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threadedComments/threadedComment3.xml" ContentType="application/vnd.ms-excel.threaded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8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9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User\Desktop\變更\"/>
    </mc:Choice>
  </mc:AlternateContent>
  <xr:revisionPtr revIDLastSave="0" documentId="13_ncr:1_{544037B1-692B-422B-AC54-6F8E504535FA}" xr6:coauthVersionLast="47" xr6:coauthVersionMax="47" xr10:uidLastSave="{00000000-0000-0000-0000-000000000000}"/>
  <bookViews>
    <workbookView xWindow="6450" yWindow="2760" windowWidth="16080" windowHeight="12780" activeTab="11" xr2:uid="{00000000-000D-0000-FFFF-FFFF00000000}"/>
  </bookViews>
  <sheets>
    <sheet name="CON" sheetId="39" r:id="rId1"/>
    <sheet name="模板(全)" sheetId="36" r:id="rId2"/>
    <sheet name="鋼筋280420" sheetId="34" r:id="rId3"/>
    <sheet name="估驗單" sheetId="30" r:id="rId4"/>
    <sheet name="契約" sheetId="9" r:id="rId5"/>
    <sheet name="數量計算(勇哥)" sheetId="10" state="hidden" r:id="rId6"/>
    <sheet name="4變 (變更項目)" sheetId="45" state="hidden" r:id="rId7"/>
    <sheet name="4變 (總表)" sheetId="44" state="hidden" r:id="rId8"/>
    <sheet name="數量計算(FOR4變)" sheetId="25" state="hidden" r:id="rId9"/>
    <sheet name="4變" sheetId="31" state="hidden" r:id="rId10"/>
    <sheet name="數量計算(FOR5變) " sheetId="52" r:id="rId11"/>
    <sheet name="5變(議價前)" sheetId="51" r:id="rId12"/>
    <sheet name="變更說明" sheetId="32" state="hidden" r:id="rId13"/>
    <sheet name="鋪面緣石" sheetId="54" r:id="rId14"/>
    <sheet name="三合祠" sheetId="56" r:id="rId15"/>
    <sheet name="木棧道" sheetId="57" r:id="rId16"/>
    <sheet name="欄杆" sheetId="46" r:id="rId17"/>
    <sheet name="水溝集水井 (2)" sheetId="48" r:id="rId18"/>
    <sheet name="移植移除" sheetId="40" r:id="rId19"/>
    <sheet name="AC刨" sheetId="55" r:id="rId20"/>
    <sheet name="AC鋪" sheetId="58" r:id="rId21"/>
    <sheet name="挖填方計算" sheetId="33" r:id="rId22"/>
    <sheet name="鋼筋" sheetId="18" r:id="rId23"/>
    <sheet name="回填" sheetId="27" r:id="rId24"/>
    <sheet name="箱涵上回填(原)" sheetId="53" r:id="rId25"/>
    <sheet name="土方挖填及拆除" sheetId="24" r:id="rId26"/>
    <sheet name="HDPE" sheetId="49" r:id="rId27"/>
    <sheet name="希冀橋" sheetId="15" r:id="rId28"/>
    <sheet name="道路切割" sheetId="50" r:id="rId29"/>
    <sheet name="堤牆加高" sheetId="22" r:id="rId30"/>
    <sheet name="砌石" sheetId="26" r:id="rId31"/>
    <sheet name="圍籬" sheetId="11" r:id="rId32"/>
    <sheet name="鄰房" sheetId="21" r:id="rId33"/>
    <sheet name="試驗統計" sheetId="20" r:id="rId34"/>
  </sheets>
  <externalReferences>
    <externalReference r:id="rId35"/>
  </externalReferences>
  <definedNames>
    <definedName name="_290_2_0.15_0.2_12_5_0.15_0.2" localSheetId="8">'數量計算(FOR4變)'!$G$9</definedName>
    <definedName name="_290_2_0.15_0.2_12_5_0.15_0.2" localSheetId="10">'數量計算(FOR5變) '!$G$9</definedName>
    <definedName name="_290_2_0.15_0.2_12_5_0.15_0.2">'數量計算(勇哥)'!$G$9</definedName>
    <definedName name="_xlnm._FilterDatabase" localSheetId="9" hidden="1">'4變'!$A$1:$A$471</definedName>
    <definedName name="_xlnm._FilterDatabase" localSheetId="7" hidden="1">'4變 (總表)'!$A$1:$S$471</definedName>
    <definedName name="_xlnm._FilterDatabase" localSheetId="6" hidden="1">'4變 (變更項目)'!$A$1:$S$471</definedName>
    <definedName name="_xlnm._FilterDatabase" localSheetId="11" hidden="1">'5變(議價前)'!$A$7:$P$503</definedName>
    <definedName name="_xlnm._FilterDatabase" localSheetId="0" hidden="1">CON!$B$1:$B$475</definedName>
    <definedName name="_xlnm._FilterDatabase" localSheetId="8" hidden="1">'數量計算(FOR4變)'!$A$5:$L$670</definedName>
    <definedName name="_xlnm._FilterDatabase" localSheetId="10" hidden="1">'數量計算(FOR5變) '!$A$5:$L$756</definedName>
    <definedName name="_xlnm._FilterDatabase" localSheetId="5" hidden="1">'數量計算(勇哥)'!$A$5:$L$584</definedName>
    <definedName name="_xlnm._FilterDatabase" localSheetId="1" hidden="1">'模板(全)'!$B$1:$B$473</definedName>
    <definedName name="_xlnm._FilterDatabase" localSheetId="2" hidden="1">鋼筋280420!$B$1:$B$475</definedName>
    <definedName name="_xlnm.Print_Area" localSheetId="9">'4變'!$A$1:$Q$471</definedName>
    <definedName name="_xlnm.Print_Area" localSheetId="7">'4變 (總表)'!$A$1:$Q$471</definedName>
    <definedName name="_xlnm.Print_Area" localSheetId="6">'4變 (變更項目)'!$A$1:$Q$471</definedName>
    <definedName name="_xlnm.Print_Area" localSheetId="11">'5變(議價前)'!$A$1:$P$503</definedName>
    <definedName name="_xlnm.Print_Area" localSheetId="0">CON!$A$1:$M$481</definedName>
    <definedName name="_xlnm.Print_Area" localSheetId="25">土方挖填及拆除!$A$1:$H$19</definedName>
    <definedName name="_xlnm.Print_Area" localSheetId="3">估驗單!$A$1:$R$473</definedName>
    <definedName name="_xlnm.Print_Area" localSheetId="21">挖填方計算!$A$1:$Q$26</definedName>
    <definedName name="_xlnm.Print_Area" localSheetId="31">圍籬!$A$1:$G$36</definedName>
    <definedName name="_xlnm.Print_Area" localSheetId="8">'數量計算(FOR4變)'!$A$1:$J$671</definedName>
    <definedName name="_xlnm.Print_Area" localSheetId="10">'數量計算(FOR5變) '!$A$1:$J$757</definedName>
    <definedName name="_xlnm.Print_Area" localSheetId="5">'數量計算(勇哥)'!$A$1:$I$585</definedName>
    <definedName name="_xlnm.Print_Area" localSheetId="1">'模板(全)'!$A$1:$M$481</definedName>
    <definedName name="_xlnm.Print_Area" localSheetId="2">鋼筋280420!$A$1:$M$475</definedName>
    <definedName name="_xlnm.Print_Area" localSheetId="12">變更說明!$A$1:$P$452</definedName>
    <definedName name="_xlnm.Print_Titles" localSheetId="9">'4變'!$1:$8</definedName>
    <definedName name="_xlnm.Print_Titles" localSheetId="7">'4變 (總表)'!$1:$8</definedName>
    <definedName name="_xlnm.Print_Titles" localSheetId="6">'4變 (變更項目)'!$1:$8</definedName>
    <definedName name="_xlnm.Print_Titles" localSheetId="11">'5變(議價前)'!$1:$8</definedName>
    <definedName name="_xlnm.Print_Titles" localSheetId="0">CON!$1:$8</definedName>
    <definedName name="_xlnm.Print_Titles" localSheetId="8">'數量計算(FOR4變)'!$1:$5</definedName>
    <definedName name="_xlnm.Print_Titles" localSheetId="10">'數量計算(FOR5變) '!$1:$5</definedName>
    <definedName name="_xlnm.Print_Titles" localSheetId="5">'數量計算(勇哥)'!$1:$5</definedName>
    <definedName name="_xlnm.Print_Titles" localSheetId="1">'模板(全)'!$1:$8</definedName>
    <definedName name="_xlnm.Print_Titles" localSheetId="2">鋼筋280420!$1:$8</definedName>
    <definedName name="_xlnm.Print_Titles" localSheetId="12">變更說明!$1:$8</definedName>
    <definedName name="鋼筋資料">鋼筋!$AD$4:$AM$13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5" i="52" l="1"/>
  <c r="H63" i="52"/>
  <c r="H61" i="52"/>
  <c r="H457" i="52"/>
  <c r="H453" i="52"/>
  <c r="H455" i="52"/>
  <c r="H452" i="52"/>
  <c r="H450" i="52"/>
  <c r="P5" i="55"/>
  <c r="P6" i="55"/>
  <c r="P7" i="55"/>
  <c r="P9" i="55"/>
  <c r="H707" i="52"/>
  <c r="I706" i="52"/>
  <c r="E706" i="52" s="1"/>
  <c r="E463" i="51" s="1"/>
  <c r="H704" i="52" l="1"/>
  <c r="I703" i="52" s="1"/>
  <c r="E703" i="52" s="1"/>
  <c r="E461" i="51" s="1"/>
  <c r="H193" i="52"/>
  <c r="H660" i="52"/>
  <c r="H659" i="52"/>
  <c r="M225" i="52"/>
  <c r="I222" i="52" l="1"/>
  <c r="J222" i="52" s="1"/>
  <c r="I223" i="52"/>
  <c r="J223" i="52" s="1"/>
  <c r="I224" i="52"/>
  <c r="J224" i="52" s="1"/>
  <c r="I221" i="52"/>
  <c r="J221" i="52" s="1"/>
  <c r="E222" i="52"/>
  <c r="E223" i="52"/>
  <c r="E224" i="52"/>
  <c r="E225" i="52"/>
  <c r="E221" i="52"/>
  <c r="C222" i="52"/>
  <c r="C223" i="52"/>
  <c r="C224" i="52"/>
  <c r="C225" i="52"/>
  <c r="C221" i="52"/>
  <c r="B222" i="52"/>
  <c r="B223" i="52"/>
  <c r="B224" i="52"/>
  <c r="B225" i="52"/>
  <c r="B221" i="52"/>
  <c r="H370" i="52" l="1"/>
  <c r="H374" i="52" l="1"/>
  <c r="H404" i="52"/>
  <c r="H405" i="52"/>
  <c r="H406" i="52"/>
  <c r="E211" i="51" s="1"/>
  <c r="H210" i="52"/>
  <c r="I209" i="52" s="1"/>
  <c r="E209" i="52" s="1"/>
  <c r="K132" i="51"/>
  <c r="K133" i="51"/>
  <c r="K134" i="51"/>
  <c r="K135" i="51"/>
  <c r="J132" i="51"/>
  <c r="J133" i="51"/>
  <c r="J134" i="51"/>
  <c r="J135" i="51"/>
  <c r="F135" i="51"/>
  <c r="F134" i="51"/>
  <c r="F133" i="51"/>
  <c r="F132" i="51"/>
  <c r="H373" i="52"/>
  <c r="H376" i="52"/>
  <c r="H375" i="52"/>
  <c r="H371" i="52"/>
  <c r="H372" i="52"/>
  <c r="L135" i="51" l="1"/>
  <c r="L134" i="51"/>
  <c r="L133" i="51"/>
  <c r="I404" i="52"/>
  <c r="L132" i="51"/>
  <c r="I188" i="52"/>
  <c r="E188" i="52" s="1"/>
  <c r="E104" i="51" l="1"/>
  <c r="J188" i="52"/>
  <c r="F9" i="54"/>
  <c r="G130" i="51" l="1"/>
  <c r="G129" i="51"/>
  <c r="K339" i="51"/>
  <c r="F339" i="51" l="1"/>
  <c r="H490" i="52"/>
  <c r="I490" i="52" s="1"/>
  <c r="E490" i="52" s="1"/>
  <c r="H489" i="52"/>
  <c r="I489" i="52" s="1"/>
  <c r="E489" i="52" s="1"/>
  <c r="C490" i="52"/>
  <c r="C489" i="52"/>
  <c r="B490" i="52"/>
  <c r="B489" i="52"/>
  <c r="J254" i="51"/>
  <c r="H494" i="52"/>
  <c r="E253" i="51" l="1"/>
  <c r="J489" i="52"/>
  <c r="E254" i="51"/>
  <c r="J490" i="52"/>
  <c r="H112" i="52"/>
  <c r="H578" i="52"/>
  <c r="I578" i="52" s="1"/>
  <c r="B578" i="52"/>
  <c r="J339" i="51"/>
  <c r="H561" i="52"/>
  <c r="H559" i="52"/>
  <c r="H557" i="52"/>
  <c r="H549" i="52"/>
  <c r="H577" i="52"/>
  <c r="H546" i="52"/>
  <c r="H542" i="52"/>
  <c r="H540" i="52"/>
  <c r="H539" i="52"/>
  <c r="H538" i="52"/>
  <c r="H537" i="52"/>
  <c r="H536" i="52"/>
  <c r="H535" i="52"/>
  <c r="D30" i="55"/>
  <c r="A28" i="55"/>
  <c r="C26" i="55"/>
  <c r="E3" i="55"/>
  <c r="E4" i="55"/>
  <c r="E5" i="55"/>
  <c r="E6" i="55"/>
  <c r="E7" i="55"/>
  <c r="E8" i="55"/>
  <c r="E9" i="55"/>
  <c r="E10" i="55"/>
  <c r="E11" i="55"/>
  <c r="E12" i="55"/>
  <c r="E13" i="55"/>
  <c r="E14" i="55"/>
  <c r="E2" i="55"/>
  <c r="J25" i="55"/>
  <c r="J3" i="55"/>
  <c r="J4" i="55"/>
  <c r="J7" i="55"/>
  <c r="J8" i="55"/>
  <c r="J9" i="55"/>
  <c r="J10" i="55"/>
  <c r="J11" i="55"/>
  <c r="J12" i="55"/>
  <c r="J13" i="55"/>
  <c r="J14" i="55"/>
  <c r="J15" i="55"/>
  <c r="J2" i="55"/>
  <c r="G25" i="55"/>
  <c r="G15" i="55"/>
  <c r="G14" i="55"/>
  <c r="F254" i="51" l="1"/>
  <c r="K254" i="51"/>
  <c r="L254" i="51" s="1"/>
  <c r="J578" i="52"/>
  <c r="E578" i="52"/>
  <c r="F10" i="55"/>
  <c r="C14" i="55"/>
  <c r="F7" i="55" l="1"/>
  <c r="S5" i="55"/>
  <c r="S8" i="55" s="1"/>
  <c r="S6" i="55"/>
  <c r="S7" i="55"/>
  <c r="S4" i="55"/>
  <c r="K61" i="52" l="1"/>
  <c r="R9" i="55"/>
  <c r="R5" i="55"/>
  <c r="R6" i="55"/>
  <c r="R7" i="55"/>
  <c r="R4" i="55"/>
  <c r="R8" i="55" s="1"/>
  <c r="F22" i="55"/>
  <c r="A25" i="55"/>
  <c r="A30" i="55" s="1"/>
  <c r="H84" i="52"/>
  <c r="I83" i="52" s="1"/>
  <c r="E83" i="52" s="1"/>
  <c r="I282" i="52"/>
  <c r="J253" i="51"/>
  <c r="K253" i="51"/>
  <c r="F253" i="51"/>
  <c r="M456" i="51"/>
  <c r="M385" i="51"/>
  <c r="L253" i="51" l="1"/>
  <c r="J83" i="52"/>
  <c r="E35" i="51"/>
  <c r="E25" i="55"/>
  <c r="C30" i="55" s="1"/>
  <c r="C25" i="55"/>
  <c r="H107" i="52"/>
  <c r="H95" i="52"/>
  <c r="H98" i="52"/>
  <c r="H199" i="52"/>
  <c r="H481" i="52" l="1"/>
  <c r="H475" i="52"/>
  <c r="H465" i="52"/>
  <c r="H363" i="52"/>
  <c r="F10" i="56" l="1"/>
  <c r="F9" i="56"/>
  <c r="F12" i="56" l="1"/>
  <c r="F4" i="56" l="1"/>
  <c r="F5" i="56"/>
  <c r="F3" i="56"/>
  <c r="F6" i="56" l="1"/>
  <c r="H106" i="52" l="1"/>
  <c r="H96" i="52" l="1"/>
  <c r="H113" i="52"/>
  <c r="I292" i="52"/>
  <c r="E292" i="52" s="1"/>
  <c r="E158" i="51" l="1"/>
  <c r="J292" i="52"/>
  <c r="H671" i="52" l="1"/>
  <c r="H574" i="52"/>
  <c r="I67" i="52" l="1"/>
  <c r="E147" i="51"/>
  <c r="H266" i="52"/>
  <c r="H99" i="52" l="1"/>
  <c r="H685" i="52" l="1"/>
  <c r="H673" i="52"/>
  <c r="H657" i="52"/>
  <c r="H656" i="52"/>
  <c r="H655" i="52"/>
  <c r="H312" i="52" l="1"/>
  <c r="I312" i="52"/>
  <c r="E312" i="52" s="1"/>
  <c r="J312" i="52" s="1"/>
  <c r="H102" i="52"/>
  <c r="H103" i="52"/>
  <c r="J234" i="51"/>
  <c r="K234" i="51"/>
  <c r="F234" i="51"/>
  <c r="L234" i="51" l="1"/>
  <c r="E177" i="51"/>
  <c r="F340" i="51" l="1"/>
  <c r="E579" i="52"/>
  <c r="J579" i="52"/>
  <c r="C579" i="52"/>
  <c r="B579" i="52"/>
  <c r="K340" i="51"/>
  <c r="J340" i="51"/>
  <c r="L340" i="51" l="1"/>
  <c r="H296" i="52"/>
  <c r="E137" i="51"/>
  <c r="K137" i="51" s="1"/>
  <c r="E138" i="51"/>
  <c r="K138" i="51" s="1"/>
  <c r="J227" i="52"/>
  <c r="J228" i="52"/>
  <c r="I228" i="52"/>
  <c r="I227" i="52"/>
  <c r="B227" i="52"/>
  <c r="C227" i="52"/>
  <c r="B228" i="52"/>
  <c r="C228" i="52"/>
  <c r="J138" i="51"/>
  <c r="J137" i="51"/>
  <c r="L138" i="51" l="1"/>
  <c r="L137" i="51"/>
  <c r="F138" i="51"/>
  <c r="F137" i="51"/>
  <c r="C741" i="52"/>
  <c r="B741" i="52"/>
  <c r="K296" i="52" l="1"/>
  <c r="I301" i="52"/>
  <c r="E301" i="52" s="1"/>
  <c r="J301" i="52" s="1"/>
  <c r="I300" i="52"/>
  <c r="E300" i="52" s="1"/>
  <c r="J300" i="52" s="1"/>
  <c r="B226" i="52"/>
  <c r="E13" i="54" l="1"/>
  <c r="G3" i="54"/>
  <c r="H447" i="52" l="1"/>
  <c r="I447" i="52" s="1"/>
  <c r="H700" i="52" l="1"/>
  <c r="H699" i="52"/>
  <c r="H82" i="52" l="1"/>
  <c r="H86" i="52"/>
  <c r="H144" i="52" l="1"/>
  <c r="E9" i="52"/>
  <c r="J233" i="51"/>
  <c r="K233" i="51"/>
  <c r="L233" i="51" s="1"/>
  <c r="F233" i="51"/>
  <c r="E694" i="52"/>
  <c r="E226" i="52"/>
  <c r="J226" i="52" s="1"/>
  <c r="C226" i="52"/>
  <c r="F136" i="51"/>
  <c r="K136" i="51"/>
  <c r="J136" i="51"/>
  <c r="D44" i="54"/>
  <c r="D45" i="54"/>
  <c r="B44" i="54"/>
  <c r="H369" i="52"/>
  <c r="L136" i="51" l="1"/>
  <c r="K85" i="52"/>
  <c r="K83" i="52"/>
  <c r="I63" i="52" l="1"/>
  <c r="E63" i="52" s="1"/>
  <c r="H738" i="52"/>
  <c r="H714" i="52"/>
  <c r="J705" i="52"/>
  <c r="J706" i="52"/>
  <c r="J708" i="52"/>
  <c r="J709" i="52"/>
  <c r="J711" i="52"/>
  <c r="J712" i="52"/>
  <c r="J714" i="52"/>
  <c r="J715" i="52"/>
  <c r="J716" i="52"/>
  <c r="J717" i="52"/>
  <c r="J718" i="52"/>
  <c r="J720" i="52"/>
  <c r="J701" i="52"/>
  <c r="J702" i="52"/>
  <c r="J703" i="52"/>
  <c r="J699" i="52"/>
  <c r="H713" i="52"/>
  <c r="J631" i="52"/>
  <c r="I629" i="52"/>
  <c r="E629" i="52" s="1"/>
  <c r="J629" i="52" s="1"/>
  <c r="I628" i="52"/>
  <c r="E628" i="52" s="1"/>
  <c r="J628" i="52" s="1"/>
  <c r="D625" i="52"/>
  <c r="D626" i="52"/>
  <c r="D624" i="52"/>
  <c r="D623" i="52"/>
  <c r="D619" i="52"/>
  <c r="J252" i="51"/>
  <c r="H488" i="52"/>
  <c r="I488" i="52" s="1"/>
  <c r="E488" i="52" s="1"/>
  <c r="C488" i="52"/>
  <c r="B488" i="52"/>
  <c r="H92" i="52"/>
  <c r="H480" i="52"/>
  <c r="H479" i="52"/>
  <c r="H474" i="52"/>
  <c r="H473" i="52"/>
  <c r="H464" i="52"/>
  <c r="H463" i="52"/>
  <c r="H530" i="52"/>
  <c r="E252" i="51" l="1"/>
  <c r="J488" i="52"/>
  <c r="E21" i="51"/>
  <c r="J63" i="52"/>
  <c r="K252" i="51" l="1"/>
  <c r="L252" i="51" s="1"/>
  <c r="F252" i="51"/>
  <c r="D754" i="52"/>
  <c r="J754" i="52" s="1"/>
  <c r="H754" i="52"/>
  <c r="D719" i="52"/>
  <c r="H572" i="52"/>
  <c r="I574" i="52"/>
  <c r="H477" i="52"/>
  <c r="H476" i="52"/>
  <c r="H485" i="52"/>
  <c r="G91" i="48" l="1"/>
  <c r="H472" i="52" s="1"/>
  <c r="F91" i="48"/>
  <c r="H468" i="52" s="1"/>
  <c r="D93" i="48"/>
  <c r="D94" i="48"/>
  <c r="H406" i="25"/>
  <c r="U4" i="48"/>
  <c r="U5" i="48"/>
  <c r="U3" i="48"/>
  <c r="I4" i="48"/>
  <c r="I5" i="48"/>
  <c r="I6" i="48"/>
  <c r="I7" i="48"/>
  <c r="I8" i="48"/>
  <c r="I9" i="48"/>
  <c r="I10" i="48"/>
  <c r="I11" i="48"/>
  <c r="I12" i="48"/>
  <c r="I13" i="48"/>
  <c r="I14" i="48"/>
  <c r="I15" i="48"/>
  <c r="I16" i="48"/>
  <c r="I17" i="48"/>
  <c r="I18" i="48"/>
  <c r="I19" i="48"/>
  <c r="I3" i="48"/>
  <c r="H467" i="52"/>
  <c r="H460" i="52"/>
  <c r="H459" i="52"/>
  <c r="E200" i="52"/>
  <c r="H169" i="52"/>
  <c r="I148" i="52"/>
  <c r="H130" i="52"/>
  <c r="H597" i="52"/>
  <c r="I597" i="52" s="1"/>
  <c r="E597" i="52" s="1"/>
  <c r="J597" i="52" s="1"/>
  <c r="D511" i="52"/>
  <c r="D512" i="52"/>
  <c r="D513" i="52"/>
  <c r="D514" i="52"/>
  <c r="D510" i="52"/>
  <c r="D507" i="52"/>
  <c r="D508" i="52"/>
  <c r="D509" i="52"/>
  <c r="D506" i="52"/>
  <c r="D497" i="52"/>
  <c r="D498" i="52"/>
  <c r="D499" i="52"/>
  <c r="D500" i="52"/>
  <c r="D501" i="52"/>
  <c r="D502" i="52"/>
  <c r="D503" i="52"/>
  <c r="D504" i="52"/>
  <c r="D505" i="52"/>
  <c r="D496" i="52"/>
  <c r="H486" i="52"/>
  <c r="D400" i="52"/>
  <c r="D391" i="52"/>
  <c r="D392" i="52"/>
  <c r="D393" i="52"/>
  <c r="D390" i="52"/>
  <c r="D385" i="52"/>
  <c r="D386" i="52"/>
  <c r="D387" i="52"/>
  <c r="D388" i="52"/>
  <c r="D384" i="52"/>
  <c r="D361" i="52"/>
  <c r="L114" i="52"/>
  <c r="L140" i="52"/>
  <c r="L147" i="52"/>
  <c r="H146" i="52" l="1"/>
  <c r="I146" i="52" s="1"/>
  <c r="B35" i="54" l="1"/>
  <c r="H111" i="52"/>
  <c r="H205" i="52" l="1"/>
  <c r="I205" i="52" s="1"/>
  <c r="H207" i="52"/>
  <c r="L145" i="52"/>
  <c r="H149" i="52"/>
  <c r="H147" i="52"/>
  <c r="I147" i="52" s="1"/>
  <c r="B33" i="54"/>
  <c r="D33" i="54"/>
  <c r="H143" i="52"/>
  <c r="I143" i="52" s="1"/>
  <c r="J515" i="52"/>
  <c r="J516" i="52"/>
  <c r="J518" i="52"/>
  <c r="J519" i="52"/>
  <c r="I519" i="52"/>
  <c r="E205" i="52" l="1"/>
  <c r="J205" i="52" s="1"/>
  <c r="J513" i="52"/>
  <c r="J514" i="52"/>
  <c r="J18" i="46"/>
  <c r="H131" i="52"/>
  <c r="H129" i="52"/>
  <c r="I129" i="52" s="1"/>
  <c r="C2" i="54"/>
  <c r="C33" i="54" s="1"/>
  <c r="G2" i="54" l="1"/>
  <c r="E2" i="54"/>
  <c r="H496" i="52" l="1"/>
  <c r="E169" i="51"/>
  <c r="E284" i="52"/>
  <c r="J503" i="51"/>
  <c r="K503" i="51"/>
  <c r="J502" i="51"/>
  <c r="K502" i="51"/>
  <c r="L500" i="51"/>
  <c r="M500" i="51"/>
  <c r="K501" i="51"/>
  <c r="K500" i="51" s="1"/>
  <c r="J501" i="51"/>
  <c r="J500" i="51" s="1"/>
  <c r="J499" i="51"/>
  <c r="F498" i="51"/>
  <c r="F499" i="51"/>
  <c r="J498" i="51"/>
  <c r="K498" i="51"/>
  <c r="J497" i="51"/>
  <c r="M496" i="51"/>
  <c r="M476" i="51"/>
  <c r="M452" i="51"/>
  <c r="L375" i="51"/>
  <c r="M375" i="51"/>
  <c r="L341" i="51"/>
  <c r="M341" i="51"/>
  <c r="J40" i="51"/>
  <c r="K40" i="51"/>
  <c r="J41" i="51"/>
  <c r="J42" i="51"/>
  <c r="J43" i="51"/>
  <c r="J44" i="51"/>
  <c r="J45" i="51"/>
  <c r="J46" i="51"/>
  <c r="J47" i="51"/>
  <c r="J48" i="51"/>
  <c r="J49" i="51"/>
  <c r="J50" i="51"/>
  <c r="K50" i="51"/>
  <c r="J51" i="51"/>
  <c r="K51" i="51"/>
  <c r="J52" i="51"/>
  <c r="K52" i="51"/>
  <c r="J53" i="51"/>
  <c r="K53" i="51"/>
  <c r="J54" i="51"/>
  <c r="K54" i="51"/>
  <c r="J55" i="51"/>
  <c r="K55" i="51"/>
  <c r="J56" i="51"/>
  <c r="K56" i="51"/>
  <c r="J57" i="51"/>
  <c r="K57" i="51"/>
  <c r="J58" i="51"/>
  <c r="K58" i="51"/>
  <c r="J59" i="51"/>
  <c r="J60" i="51"/>
  <c r="K60" i="51"/>
  <c r="J61" i="51"/>
  <c r="K61" i="51"/>
  <c r="J62" i="51"/>
  <c r="K62" i="51"/>
  <c r="J63" i="51"/>
  <c r="K63" i="51"/>
  <c r="J64" i="51"/>
  <c r="J65" i="51"/>
  <c r="J66" i="51"/>
  <c r="K66" i="51"/>
  <c r="J67" i="51"/>
  <c r="K67" i="51"/>
  <c r="J68" i="51"/>
  <c r="K68" i="51"/>
  <c r="J69" i="51"/>
  <c r="K69" i="51"/>
  <c r="J70" i="51"/>
  <c r="K70" i="51"/>
  <c r="J71" i="51"/>
  <c r="K71" i="51"/>
  <c r="J72" i="51"/>
  <c r="K72" i="51"/>
  <c r="J73" i="51"/>
  <c r="K73" i="51"/>
  <c r="J74" i="51"/>
  <c r="K74" i="51"/>
  <c r="J75" i="51"/>
  <c r="K75" i="51"/>
  <c r="J76" i="51"/>
  <c r="K76" i="51"/>
  <c r="J77" i="51"/>
  <c r="K77" i="51"/>
  <c r="J78" i="51"/>
  <c r="K78" i="51"/>
  <c r="J79" i="51"/>
  <c r="K79" i="51"/>
  <c r="J80" i="51"/>
  <c r="K80" i="51"/>
  <c r="J81" i="51"/>
  <c r="K81" i="51"/>
  <c r="J82" i="51"/>
  <c r="K82" i="51"/>
  <c r="J83" i="51"/>
  <c r="K83" i="51"/>
  <c r="J84" i="51"/>
  <c r="K84" i="51"/>
  <c r="J85" i="51"/>
  <c r="J86" i="51"/>
  <c r="K86" i="51"/>
  <c r="J87" i="51"/>
  <c r="J88" i="51"/>
  <c r="K88" i="51"/>
  <c r="J89" i="51"/>
  <c r="K89" i="51"/>
  <c r="J90" i="51"/>
  <c r="K90" i="51"/>
  <c r="J91" i="51"/>
  <c r="K91" i="51"/>
  <c r="J92" i="51"/>
  <c r="K92" i="51"/>
  <c r="J93" i="51"/>
  <c r="K93" i="51"/>
  <c r="J94" i="51"/>
  <c r="K94" i="51"/>
  <c r="J95" i="51"/>
  <c r="K95" i="51"/>
  <c r="J96" i="51"/>
  <c r="K96" i="51"/>
  <c r="J97" i="51"/>
  <c r="K97" i="51"/>
  <c r="J98" i="51"/>
  <c r="K98" i="51"/>
  <c r="J99" i="51"/>
  <c r="K99" i="51"/>
  <c r="J100" i="51"/>
  <c r="K100" i="51"/>
  <c r="J101" i="51"/>
  <c r="K101" i="51"/>
  <c r="J102" i="51"/>
  <c r="K102" i="51"/>
  <c r="J103" i="51"/>
  <c r="K103" i="51"/>
  <c r="J104" i="51"/>
  <c r="K104" i="51"/>
  <c r="L104" i="51" s="1"/>
  <c r="J105" i="51"/>
  <c r="K105" i="51"/>
  <c r="J106" i="51"/>
  <c r="J107" i="51"/>
  <c r="K107" i="51"/>
  <c r="J108" i="51"/>
  <c r="K108" i="51"/>
  <c r="J109" i="51"/>
  <c r="J110" i="51"/>
  <c r="K110" i="51"/>
  <c r="J111" i="51"/>
  <c r="J112" i="51"/>
  <c r="J113" i="51"/>
  <c r="K113" i="51"/>
  <c r="J114" i="51"/>
  <c r="K114" i="51"/>
  <c r="J115" i="51"/>
  <c r="J116" i="51"/>
  <c r="K116" i="51"/>
  <c r="J117" i="51"/>
  <c r="K117" i="51"/>
  <c r="J118" i="51"/>
  <c r="K118" i="51"/>
  <c r="J119" i="51"/>
  <c r="J120" i="51"/>
  <c r="J121" i="51"/>
  <c r="J122" i="51"/>
  <c r="J123" i="51"/>
  <c r="K123" i="51"/>
  <c r="J124" i="51"/>
  <c r="K124" i="51"/>
  <c r="J125" i="51"/>
  <c r="K125" i="51"/>
  <c r="J126" i="51"/>
  <c r="K126" i="51"/>
  <c r="J127" i="51"/>
  <c r="J128" i="51"/>
  <c r="J129" i="51"/>
  <c r="J130" i="51"/>
  <c r="J131" i="51"/>
  <c r="H682" i="52"/>
  <c r="H668" i="52"/>
  <c r="H667" i="52"/>
  <c r="I660" i="52"/>
  <c r="E660" i="52" s="1"/>
  <c r="H739" i="52"/>
  <c r="N743" i="52"/>
  <c r="H743" i="52"/>
  <c r="H697" i="52"/>
  <c r="H718" i="52"/>
  <c r="H715" i="52"/>
  <c r="H717" i="52"/>
  <c r="H696" i="52"/>
  <c r="J496" i="51" l="1"/>
  <c r="G496" i="51" s="1"/>
  <c r="J660" i="52"/>
  <c r="E418" i="51"/>
  <c r="F418" i="51" s="1"/>
  <c r="J697" i="52"/>
  <c r="H695" i="52"/>
  <c r="J635" i="52"/>
  <c r="J636" i="52"/>
  <c r="J637" i="52"/>
  <c r="J638" i="52"/>
  <c r="J639" i="52"/>
  <c r="J640" i="52"/>
  <c r="J641" i="52"/>
  <c r="J642" i="52"/>
  <c r="J643" i="52"/>
  <c r="J644" i="52"/>
  <c r="J645" i="52"/>
  <c r="J646" i="52"/>
  <c r="J647" i="52"/>
  <c r="J648" i="52"/>
  <c r="J649" i="52"/>
  <c r="J650" i="52"/>
  <c r="J651" i="52"/>
  <c r="J652" i="52"/>
  <c r="J653" i="52"/>
  <c r="I653" i="52"/>
  <c r="H632" i="52"/>
  <c r="I632" i="52" s="1"/>
  <c r="E632" i="52" s="1"/>
  <c r="H630" i="52"/>
  <c r="E146" i="52"/>
  <c r="E147" i="52"/>
  <c r="J147" i="52" s="1"/>
  <c r="E148" i="52"/>
  <c r="F478" i="51"/>
  <c r="F479" i="51"/>
  <c r="F480" i="51"/>
  <c r="F481" i="51"/>
  <c r="F482" i="51"/>
  <c r="F483" i="51"/>
  <c r="F484" i="51"/>
  <c r="F485" i="51"/>
  <c r="F486" i="51"/>
  <c r="F487" i="51"/>
  <c r="F488" i="51"/>
  <c r="F489" i="51"/>
  <c r="F490" i="51"/>
  <c r="F491" i="51"/>
  <c r="F492" i="51"/>
  <c r="F493" i="51"/>
  <c r="F495" i="51"/>
  <c r="F477" i="51"/>
  <c r="J478" i="51"/>
  <c r="K478" i="51"/>
  <c r="J479" i="51"/>
  <c r="K479" i="51"/>
  <c r="J480" i="51"/>
  <c r="K480" i="51"/>
  <c r="J481" i="51"/>
  <c r="K481" i="51"/>
  <c r="J482" i="51"/>
  <c r="K482" i="51"/>
  <c r="J483" i="51"/>
  <c r="K483" i="51"/>
  <c r="J484" i="51"/>
  <c r="K484" i="51"/>
  <c r="J485" i="51"/>
  <c r="K485" i="51"/>
  <c r="J486" i="51"/>
  <c r="K486" i="51"/>
  <c r="J487" i="51"/>
  <c r="K487" i="51"/>
  <c r="J488" i="51"/>
  <c r="K488" i="51"/>
  <c r="J489" i="51"/>
  <c r="K489" i="51"/>
  <c r="J490" i="51"/>
  <c r="K490" i="51"/>
  <c r="J491" i="51"/>
  <c r="K491" i="51"/>
  <c r="J492" i="51"/>
  <c r="K492" i="51"/>
  <c r="J493" i="51"/>
  <c r="K493" i="51"/>
  <c r="J494" i="51"/>
  <c r="J495" i="51"/>
  <c r="K495" i="51"/>
  <c r="K477" i="51"/>
  <c r="J477" i="51"/>
  <c r="F459" i="51"/>
  <c r="F460" i="51"/>
  <c r="F461" i="51"/>
  <c r="F462" i="51"/>
  <c r="F463" i="51"/>
  <c r="F464" i="51"/>
  <c r="F465" i="51"/>
  <c r="F466" i="51"/>
  <c r="F467" i="51"/>
  <c r="F468" i="51"/>
  <c r="F469" i="51"/>
  <c r="F470" i="51"/>
  <c r="F471" i="51"/>
  <c r="F472" i="51"/>
  <c r="F473" i="51"/>
  <c r="F474" i="51"/>
  <c r="F475" i="51"/>
  <c r="F457" i="51"/>
  <c r="J458" i="51"/>
  <c r="J459" i="51"/>
  <c r="K459" i="51"/>
  <c r="J460" i="51"/>
  <c r="K460" i="51"/>
  <c r="J461" i="51"/>
  <c r="K461" i="51"/>
  <c r="L461" i="51" s="1"/>
  <c r="J462" i="51"/>
  <c r="K462" i="51"/>
  <c r="J463" i="51"/>
  <c r="K463" i="51"/>
  <c r="L463" i="51" s="1"/>
  <c r="J464" i="51"/>
  <c r="K464" i="51"/>
  <c r="J465" i="51"/>
  <c r="K465" i="51"/>
  <c r="J466" i="51"/>
  <c r="K466" i="51"/>
  <c r="J467" i="51"/>
  <c r="K467" i="51"/>
  <c r="J468" i="51"/>
  <c r="K468" i="51"/>
  <c r="J469" i="51"/>
  <c r="K469" i="51"/>
  <c r="J470" i="51"/>
  <c r="K470" i="51"/>
  <c r="J471" i="51"/>
  <c r="K471" i="51"/>
  <c r="J472" i="51"/>
  <c r="K472" i="51"/>
  <c r="J473" i="51"/>
  <c r="K473" i="51"/>
  <c r="J474" i="51"/>
  <c r="K474" i="51"/>
  <c r="J475" i="51"/>
  <c r="K475" i="51"/>
  <c r="K457" i="51"/>
  <c r="J457" i="51"/>
  <c r="J454" i="51"/>
  <c r="J455" i="51"/>
  <c r="K455" i="51"/>
  <c r="J453" i="51"/>
  <c r="F455" i="51"/>
  <c r="J414" i="51"/>
  <c r="J415" i="51"/>
  <c r="J416" i="51"/>
  <c r="J417" i="51"/>
  <c r="J418" i="51"/>
  <c r="J419" i="51"/>
  <c r="J420" i="51"/>
  <c r="J421" i="51"/>
  <c r="J422" i="51"/>
  <c r="J423" i="51"/>
  <c r="J424" i="51"/>
  <c r="J425" i="51"/>
  <c r="J426" i="51"/>
  <c r="J427" i="51"/>
  <c r="J428" i="51"/>
  <c r="J429" i="51"/>
  <c r="J430" i="51"/>
  <c r="J431" i="51"/>
  <c r="J432" i="51"/>
  <c r="J433" i="51"/>
  <c r="J434" i="51"/>
  <c r="J435" i="51"/>
  <c r="J436" i="51"/>
  <c r="J437" i="51"/>
  <c r="J438" i="51"/>
  <c r="J439" i="51"/>
  <c r="J440" i="51"/>
  <c r="J441" i="51"/>
  <c r="J442" i="51"/>
  <c r="J443" i="51"/>
  <c r="J444" i="51"/>
  <c r="J445" i="51"/>
  <c r="J446" i="51"/>
  <c r="J447" i="51"/>
  <c r="J448" i="51"/>
  <c r="J449" i="51"/>
  <c r="J450" i="51"/>
  <c r="J451" i="51"/>
  <c r="J413" i="51"/>
  <c r="J387" i="51"/>
  <c r="K387" i="51"/>
  <c r="J388" i="51"/>
  <c r="J389" i="51"/>
  <c r="K389" i="51"/>
  <c r="J390" i="51"/>
  <c r="J391" i="51"/>
  <c r="K391" i="51"/>
  <c r="J392" i="51"/>
  <c r="K392" i="51"/>
  <c r="J393" i="51"/>
  <c r="K393" i="51"/>
  <c r="J394" i="51"/>
  <c r="K394" i="51"/>
  <c r="J395" i="51"/>
  <c r="K395" i="51"/>
  <c r="J396" i="51"/>
  <c r="K396" i="51"/>
  <c r="J397" i="51"/>
  <c r="K397" i="51"/>
  <c r="J398" i="51"/>
  <c r="K398" i="51"/>
  <c r="J399" i="51"/>
  <c r="K399" i="51"/>
  <c r="J400" i="51"/>
  <c r="K400" i="51"/>
  <c r="J401" i="51"/>
  <c r="K401" i="51"/>
  <c r="J402" i="51"/>
  <c r="K402" i="51"/>
  <c r="J403" i="51"/>
  <c r="K403" i="51"/>
  <c r="J404" i="51"/>
  <c r="K404" i="51"/>
  <c r="J405" i="51"/>
  <c r="K405" i="51"/>
  <c r="J406" i="51"/>
  <c r="K406" i="51"/>
  <c r="J407" i="51"/>
  <c r="K407" i="51"/>
  <c r="J408" i="51"/>
  <c r="K408" i="51"/>
  <c r="J409" i="51"/>
  <c r="K409" i="51"/>
  <c r="J410" i="51"/>
  <c r="K410" i="51"/>
  <c r="J411" i="51"/>
  <c r="K411" i="51"/>
  <c r="K386" i="51"/>
  <c r="J386" i="51"/>
  <c r="J377" i="51"/>
  <c r="K377" i="51"/>
  <c r="J378" i="51"/>
  <c r="K378" i="51"/>
  <c r="J379" i="51"/>
  <c r="K379" i="51"/>
  <c r="J380" i="51"/>
  <c r="K380" i="51"/>
  <c r="J381" i="51"/>
  <c r="K381" i="51"/>
  <c r="J382" i="51"/>
  <c r="K382" i="51"/>
  <c r="J383" i="51"/>
  <c r="K383" i="51"/>
  <c r="J384" i="51"/>
  <c r="K384" i="51"/>
  <c r="K376" i="51"/>
  <c r="J376" i="51"/>
  <c r="F389" i="51"/>
  <c r="F391" i="51"/>
  <c r="F392" i="51"/>
  <c r="F393" i="51"/>
  <c r="F394" i="51"/>
  <c r="F395" i="51"/>
  <c r="F396" i="51"/>
  <c r="F397" i="51"/>
  <c r="F398" i="51"/>
  <c r="F399" i="51"/>
  <c r="F400" i="51"/>
  <c r="F401" i="51"/>
  <c r="F402" i="51"/>
  <c r="F403" i="51"/>
  <c r="F404" i="51"/>
  <c r="F405" i="51"/>
  <c r="F406" i="51"/>
  <c r="F407" i="51"/>
  <c r="F408" i="51"/>
  <c r="F409" i="51"/>
  <c r="F410" i="51"/>
  <c r="F411" i="51"/>
  <c r="F386" i="51"/>
  <c r="F387" i="51"/>
  <c r="F377" i="51"/>
  <c r="F378" i="51"/>
  <c r="F379" i="51"/>
  <c r="F380" i="51"/>
  <c r="F381" i="51"/>
  <c r="F382" i="51"/>
  <c r="F383" i="51"/>
  <c r="F384" i="51"/>
  <c r="F376" i="51"/>
  <c r="F343" i="51"/>
  <c r="F344" i="51"/>
  <c r="F345" i="51"/>
  <c r="F346" i="51"/>
  <c r="F347" i="51"/>
  <c r="F348" i="51"/>
  <c r="F349" i="51"/>
  <c r="F350" i="51"/>
  <c r="F351" i="51"/>
  <c r="F352" i="51"/>
  <c r="F353" i="51"/>
  <c r="F354" i="51"/>
  <c r="F355" i="51"/>
  <c r="F356" i="51"/>
  <c r="F357" i="51"/>
  <c r="F358" i="51"/>
  <c r="F359" i="51"/>
  <c r="F360" i="51"/>
  <c r="F361" i="51"/>
  <c r="F362" i="51"/>
  <c r="F363" i="51"/>
  <c r="F364" i="51"/>
  <c r="F365" i="51"/>
  <c r="F366" i="51"/>
  <c r="F367" i="51"/>
  <c r="F368" i="51"/>
  <c r="F369" i="51"/>
  <c r="F370" i="51"/>
  <c r="F371" i="51"/>
  <c r="F372" i="51"/>
  <c r="F373" i="51"/>
  <c r="F374" i="51"/>
  <c r="F342" i="51"/>
  <c r="F334" i="51"/>
  <c r="F335" i="51"/>
  <c r="J332" i="51"/>
  <c r="J333" i="51"/>
  <c r="J334" i="51"/>
  <c r="K334" i="51"/>
  <c r="J335" i="51"/>
  <c r="K335" i="51"/>
  <c r="J336" i="51"/>
  <c r="J337" i="51"/>
  <c r="J338" i="51"/>
  <c r="J342" i="51"/>
  <c r="K342" i="51"/>
  <c r="J343" i="51"/>
  <c r="K343" i="51"/>
  <c r="J344" i="51"/>
  <c r="K344" i="51"/>
  <c r="J345" i="51"/>
  <c r="K345" i="51"/>
  <c r="J346" i="51"/>
  <c r="K346" i="51"/>
  <c r="J347" i="51"/>
  <c r="K347" i="51"/>
  <c r="J348" i="51"/>
  <c r="K348" i="51"/>
  <c r="J349" i="51"/>
  <c r="K349" i="51"/>
  <c r="J350" i="51"/>
  <c r="K350" i="51"/>
  <c r="J351" i="51"/>
  <c r="K351" i="51"/>
  <c r="J352" i="51"/>
  <c r="K352" i="51"/>
  <c r="J353" i="51"/>
  <c r="K353" i="51"/>
  <c r="J354" i="51"/>
  <c r="K354" i="51"/>
  <c r="J355" i="51"/>
  <c r="K355" i="51"/>
  <c r="J356" i="51"/>
  <c r="K356" i="51"/>
  <c r="J357" i="51"/>
  <c r="K357" i="51"/>
  <c r="J358" i="51"/>
  <c r="K358" i="51"/>
  <c r="J359" i="51"/>
  <c r="K359" i="51"/>
  <c r="J360" i="51"/>
  <c r="K360" i="51"/>
  <c r="J361" i="51"/>
  <c r="K361" i="51"/>
  <c r="J362" i="51"/>
  <c r="K362" i="51"/>
  <c r="J363" i="51"/>
  <c r="K363" i="51"/>
  <c r="J364" i="51"/>
  <c r="K364" i="51"/>
  <c r="J365" i="51"/>
  <c r="K365" i="51"/>
  <c r="J366" i="51"/>
  <c r="K366" i="51"/>
  <c r="J367" i="51"/>
  <c r="K367" i="51"/>
  <c r="J368" i="51"/>
  <c r="K368" i="51"/>
  <c r="J369" i="51"/>
  <c r="K369" i="51"/>
  <c r="J370" i="51"/>
  <c r="K370" i="51"/>
  <c r="J371" i="51"/>
  <c r="K371" i="51"/>
  <c r="J372" i="51"/>
  <c r="K372" i="51"/>
  <c r="J373" i="51"/>
  <c r="K373" i="51"/>
  <c r="J374" i="51"/>
  <c r="K374" i="51"/>
  <c r="I510" i="52"/>
  <c r="E510" i="52" s="1"/>
  <c r="I496" i="52"/>
  <c r="E496" i="52" s="1"/>
  <c r="J456" i="51" l="1"/>
  <c r="J385" i="51"/>
  <c r="J412" i="51"/>
  <c r="G412" i="51" s="1"/>
  <c r="K418" i="51"/>
  <c r="L418" i="51" s="1"/>
  <c r="E64" i="51"/>
  <c r="K64" i="51" s="1"/>
  <c r="M64" i="51" s="1"/>
  <c r="J148" i="52"/>
  <c r="J510" i="52"/>
  <c r="E271" i="51"/>
  <c r="F271" i="51" s="1"/>
  <c r="E390" i="51"/>
  <c r="J632" i="52"/>
  <c r="J341" i="51"/>
  <c r="G341" i="51" s="1"/>
  <c r="J476" i="51"/>
  <c r="G476" i="51" s="1"/>
  <c r="G456" i="51"/>
  <c r="G385" i="51"/>
  <c r="J375" i="51"/>
  <c r="G375" i="51" s="1"/>
  <c r="J452" i="51"/>
  <c r="G452" i="51" s="1"/>
  <c r="K375" i="51"/>
  <c r="E257" i="51"/>
  <c r="F257" i="51" s="1"/>
  <c r="J496" i="52"/>
  <c r="H484" i="52"/>
  <c r="I484" i="52" s="1"/>
  <c r="E484" i="52" s="1"/>
  <c r="J484" i="52" s="1"/>
  <c r="H441" i="52"/>
  <c r="I441" i="52" s="1"/>
  <c r="E441" i="52" s="1"/>
  <c r="H440" i="52"/>
  <c r="I440" i="52" s="1"/>
  <c r="E440" i="52" s="1"/>
  <c r="H439" i="52"/>
  <c r="I439" i="52" s="1"/>
  <c r="E439" i="52" s="1"/>
  <c r="H218" i="52"/>
  <c r="I218" i="52" s="1"/>
  <c r="E218" i="52" s="1"/>
  <c r="J218" i="52" s="1"/>
  <c r="K486" i="52"/>
  <c r="J485" i="52"/>
  <c r="I482" i="52"/>
  <c r="E482" i="52" s="1"/>
  <c r="J482" i="52" s="1"/>
  <c r="H483" i="52"/>
  <c r="I483" i="52" s="1"/>
  <c r="E483" i="52" s="1"/>
  <c r="J483" i="52" s="1"/>
  <c r="H487" i="52"/>
  <c r="L420" i="52"/>
  <c r="J214" i="51"/>
  <c r="K214" i="51"/>
  <c r="J215" i="51"/>
  <c r="J216" i="51"/>
  <c r="J217" i="51"/>
  <c r="J218" i="51"/>
  <c r="K218" i="51"/>
  <c r="J219" i="51"/>
  <c r="K219" i="51"/>
  <c r="J220" i="51"/>
  <c r="K220" i="51"/>
  <c r="J221" i="51"/>
  <c r="K221" i="51"/>
  <c r="J222" i="51"/>
  <c r="K222" i="51"/>
  <c r="J223" i="51"/>
  <c r="K223" i="51"/>
  <c r="J224" i="51"/>
  <c r="J225" i="51"/>
  <c r="J226" i="51"/>
  <c r="J227" i="51"/>
  <c r="J228" i="51"/>
  <c r="J229" i="51"/>
  <c r="J230" i="51"/>
  <c r="K230" i="51"/>
  <c r="J231" i="51"/>
  <c r="K231" i="51"/>
  <c r="J232" i="51"/>
  <c r="J236" i="51"/>
  <c r="J237" i="51"/>
  <c r="J238" i="51"/>
  <c r="J239" i="51"/>
  <c r="J240" i="51"/>
  <c r="J241" i="51"/>
  <c r="J242" i="51"/>
  <c r="J243" i="51"/>
  <c r="J244" i="51"/>
  <c r="J245" i="51"/>
  <c r="J246" i="51"/>
  <c r="J247" i="51"/>
  <c r="K247" i="51"/>
  <c r="J248" i="51"/>
  <c r="K248" i="51"/>
  <c r="J249" i="51"/>
  <c r="K249" i="51"/>
  <c r="J250" i="51"/>
  <c r="K250" i="51"/>
  <c r="J251" i="51"/>
  <c r="K251" i="51"/>
  <c r="J256" i="51"/>
  <c r="J257" i="51"/>
  <c r="J258" i="51"/>
  <c r="K258" i="51"/>
  <c r="J259" i="51"/>
  <c r="K259" i="51"/>
  <c r="J260" i="51"/>
  <c r="K260" i="51"/>
  <c r="J261" i="51"/>
  <c r="K261" i="51"/>
  <c r="J262" i="51"/>
  <c r="K262" i="51"/>
  <c r="J263" i="51"/>
  <c r="K263" i="51"/>
  <c r="J264" i="51"/>
  <c r="K264" i="51"/>
  <c r="J265" i="51"/>
  <c r="K265" i="51"/>
  <c r="J266" i="51"/>
  <c r="K266" i="51"/>
  <c r="J267" i="51"/>
  <c r="K267" i="51"/>
  <c r="J268" i="51"/>
  <c r="K268" i="51"/>
  <c r="J269" i="51"/>
  <c r="K269" i="51"/>
  <c r="J270" i="51"/>
  <c r="K270" i="51"/>
  <c r="J271" i="51"/>
  <c r="J272" i="51"/>
  <c r="K272" i="51"/>
  <c r="J273" i="51"/>
  <c r="K273" i="51"/>
  <c r="J274" i="51"/>
  <c r="K274" i="51"/>
  <c r="J275" i="51"/>
  <c r="K275" i="51"/>
  <c r="J276" i="51"/>
  <c r="K276" i="51"/>
  <c r="J277" i="51"/>
  <c r="K277" i="51"/>
  <c r="J278" i="51"/>
  <c r="K278" i="51"/>
  <c r="J279" i="51"/>
  <c r="K279" i="51"/>
  <c r="J280" i="51"/>
  <c r="K280" i="51"/>
  <c r="J281" i="51"/>
  <c r="K281" i="51"/>
  <c r="J282" i="51"/>
  <c r="J283" i="51"/>
  <c r="J284" i="51"/>
  <c r="J285" i="51"/>
  <c r="J286" i="51"/>
  <c r="J287" i="51"/>
  <c r="J288" i="51"/>
  <c r="J289" i="51"/>
  <c r="J290" i="51"/>
  <c r="J291" i="51"/>
  <c r="J292" i="51"/>
  <c r="J293" i="51"/>
  <c r="J294" i="51"/>
  <c r="J295" i="51"/>
  <c r="J296" i="51"/>
  <c r="J297" i="51"/>
  <c r="J298" i="51"/>
  <c r="J299" i="51"/>
  <c r="J300" i="51"/>
  <c r="J301" i="51"/>
  <c r="J302" i="51"/>
  <c r="J303" i="51"/>
  <c r="J304" i="51"/>
  <c r="J305" i="51"/>
  <c r="J306" i="51"/>
  <c r="J307" i="51"/>
  <c r="J308" i="51"/>
  <c r="J309" i="51"/>
  <c r="J310" i="51"/>
  <c r="J311" i="51"/>
  <c r="J312" i="51"/>
  <c r="J313" i="51"/>
  <c r="J314" i="51"/>
  <c r="J315" i="51"/>
  <c r="J316" i="51"/>
  <c r="J317" i="51"/>
  <c r="J318" i="51"/>
  <c r="J319" i="51"/>
  <c r="J320" i="51"/>
  <c r="J321" i="51"/>
  <c r="J322" i="51"/>
  <c r="J323" i="51"/>
  <c r="J324" i="51"/>
  <c r="J325" i="51"/>
  <c r="J326" i="51"/>
  <c r="J327" i="51"/>
  <c r="J328" i="51"/>
  <c r="J329" i="51"/>
  <c r="J330" i="51"/>
  <c r="J331" i="51"/>
  <c r="F220" i="51"/>
  <c r="F221" i="51"/>
  <c r="F222" i="51"/>
  <c r="F223" i="51"/>
  <c r="F230" i="51"/>
  <c r="F231" i="51"/>
  <c r="F247" i="51"/>
  <c r="F248" i="51"/>
  <c r="F249" i="51"/>
  <c r="F250" i="51"/>
  <c r="F251" i="51"/>
  <c r="F258" i="51"/>
  <c r="F259" i="51"/>
  <c r="F260" i="51"/>
  <c r="F261" i="51"/>
  <c r="F262" i="51"/>
  <c r="F263" i="51"/>
  <c r="F264" i="51"/>
  <c r="F265" i="51"/>
  <c r="F266" i="51"/>
  <c r="F267" i="51"/>
  <c r="F268" i="51"/>
  <c r="F269" i="51"/>
  <c r="F270" i="51"/>
  <c r="F272" i="51"/>
  <c r="F273" i="51"/>
  <c r="F274" i="51"/>
  <c r="F275" i="51"/>
  <c r="F276" i="51"/>
  <c r="F277" i="51"/>
  <c r="F278" i="51"/>
  <c r="F279" i="51"/>
  <c r="F280" i="51"/>
  <c r="F281" i="51"/>
  <c r="F214" i="51"/>
  <c r="F218" i="51"/>
  <c r="F219" i="51"/>
  <c r="J212" i="51"/>
  <c r="J210" i="51"/>
  <c r="J211" i="51"/>
  <c r="F186" i="51"/>
  <c r="F187" i="51"/>
  <c r="F188" i="51"/>
  <c r="F189" i="51"/>
  <c r="F190" i="51"/>
  <c r="F191" i="51"/>
  <c r="F192" i="51"/>
  <c r="F194" i="51"/>
  <c r="F196" i="51"/>
  <c r="F197" i="51"/>
  <c r="F198" i="51"/>
  <c r="F199" i="51"/>
  <c r="F200" i="51"/>
  <c r="F201" i="51"/>
  <c r="F202" i="51"/>
  <c r="F203" i="51"/>
  <c r="F204" i="51"/>
  <c r="F205" i="51"/>
  <c r="F206" i="51"/>
  <c r="F208" i="51"/>
  <c r="F179" i="51"/>
  <c r="F182" i="51"/>
  <c r="F183" i="51"/>
  <c r="F184" i="51"/>
  <c r="F185" i="51"/>
  <c r="J183" i="51"/>
  <c r="K183" i="51"/>
  <c r="J184" i="51"/>
  <c r="K184" i="51"/>
  <c r="J185" i="51"/>
  <c r="K185" i="51"/>
  <c r="J186" i="51"/>
  <c r="K186" i="51"/>
  <c r="J187" i="51"/>
  <c r="K187" i="51"/>
  <c r="J188" i="51"/>
  <c r="K188" i="51"/>
  <c r="J189" i="51"/>
  <c r="K189" i="51"/>
  <c r="J190" i="51"/>
  <c r="K190" i="51"/>
  <c r="J191" i="51"/>
  <c r="K191" i="51"/>
  <c r="J192" i="51"/>
  <c r="K192" i="51"/>
  <c r="J193" i="51"/>
  <c r="J194" i="51"/>
  <c r="K194" i="51"/>
  <c r="J195" i="51"/>
  <c r="J196" i="51"/>
  <c r="K196" i="51"/>
  <c r="J197" i="51"/>
  <c r="K197" i="51"/>
  <c r="J198" i="51"/>
  <c r="K198" i="51"/>
  <c r="J199" i="51"/>
  <c r="K199" i="51"/>
  <c r="J200" i="51"/>
  <c r="K200" i="51"/>
  <c r="J201" i="51"/>
  <c r="K201" i="51"/>
  <c r="J202" i="51"/>
  <c r="K202" i="51"/>
  <c r="J203" i="51"/>
  <c r="K203" i="51"/>
  <c r="J204" i="51"/>
  <c r="K204" i="51"/>
  <c r="J205" i="51"/>
  <c r="K205" i="51"/>
  <c r="J206" i="51"/>
  <c r="K206" i="51"/>
  <c r="J207" i="51"/>
  <c r="J208" i="51"/>
  <c r="K208" i="51"/>
  <c r="J209" i="51"/>
  <c r="K182" i="51"/>
  <c r="J182" i="51"/>
  <c r="J173" i="51"/>
  <c r="K173" i="51"/>
  <c r="J174" i="51"/>
  <c r="K174" i="51"/>
  <c r="J175" i="51"/>
  <c r="K175" i="51"/>
  <c r="J176" i="51"/>
  <c r="K176" i="51"/>
  <c r="J177" i="51"/>
  <c r="K177" i="51"/>
  <c r="J178" i="51"/>
  <c r="K178" i="51"/>
  <c r="J179" i="51"/>
  <c r="K179" i="51"/>
  <c r="J180" i="51"/>
  <c r="K295" i="52"/>
  <c r="F149" i="51"/>
  <c r="F150" i="51"/>
  <c r="F151" i="51"/>
  <c r="F153" i="51"/>
  <c r="F154" i="51"/>
  <c r="F156" i="51"/>
  <c r="F157" i="51"/>
  <c r="F158" i="51"/>
  <c r="F159" i="51"/>
  <c r="F160" i="51"/>
  <c r="F162" i="51"/>
  <c r="F163" i="51"/>
  <c r="F164" i="51"/>
  <c r="F165" i="51"/>
  <c r="F166" i="51"/>
  <c r="F167" i="51"/>
  <c r="F168" i="51"/>
  <c r="F169" i="51"/>
  <c r="F170" i="51"/>
  <c r="F171" i="51"/>
  <c r="F172" i="51"/>
  <c r="F173" i="51"/>
  <c r="F174" i="51"/>
  <c r="F175" i="51"/>
  <c r="F176" i="51"/>
  <c r="F177" i="51"/>
  <c r="F178" i="51"/>
  <c r="F148" i="51"/>
  <c r="J235" i="51" l="1"/>
  <c r="G235" i="51" s="1"/>
  <c r="L179" i="51"/>
  <c r="J213" i="51"/>
  <c r="G213" i="51" s="1"/>
  <c r="J255" i="51"/>
  <c r="L177" i="51"/>
  <c r="K271" i="51"/>
  <c r="L271" i="51" s="1"/>
  <c r="M281" i="51"/>
  <c r="J439" i="52"/>
  <c r="E224" i="51"/>
  <c r="F224" i="51" s="1"/>
  <c r="E225" i="51"/>
  <c r="K225" i="51" s="1"/>
  <c r="M225" i="51" s="1"/>
  <c r="J440" i="52"/>
  <c r="E226" i="51"/>
  <c r="K226" i="51" s="1"/>
  <c r="M226" i="51" s="1"/>
  <c r="J441" i="52"/>
  <c r="F390" i="51"/>
  <c r="K390" i="51"/>
  <c r="L390" i="51" s="1"/>
  <c r="J181" i="51"/>
  <c r="G181" i="51" s="1"/>
  <c r="K257" i="51"/>
  <c r="L257" i="51" s="1"/>
  <c r="K224" i="51" l="1"/>
  <c r="M224" i="51" s="1"/>
  <c r="F225" i="51"/>
  <c r="F226" i="51"/>
  <c r="G255" i="51"/>
  <c r="J148" i="51" l="1"/>
  <c r="K148" i="51"/>
  <c r="J149" i="51"/>
  <c r="K149" i="51"/>
  <c r="J150" i="51"/>
  <c r="K150" i="51"/>
  <c r="J151" i="51"/>
  <c r="K151" i="51"/>
  <c r="J152" i="51"/>
  <c r="J153" i="51"/>
  <c r="K153" i="51"/>
  <c r="J154" i="51"/>
  <c r="K154" i="51"/>
  <c r="J155" i="51"/>
  <c r="J156" i="51"/>
  <c r="K156" i="51"/>
  <c r="J157" i="51"/>
  <c r="K157" i="51"/>
  <c r="J158" i="51"/>
  <c r="K158" i="51"/>
  <c r="J159" i="51"/>
  <c r="K159" i="51"/>
  <c r="J160" i="51"/>
  <c r="K160" i="51"/>
  <c r="J161" i="51"/>
  <c r="J162" i="51"/>
  <c r="K162" i="51"/>
  <c r="J163" i="51"/>
  <c r="K163" i="51"/>
  <c r="J164" i="51"/>
  <c r="K164" i="51"/>
  <c r="J165" i="51"/>
  <c r="K165" i="51"/>
  <c r="J166" i="51"/>
  <c r="K166" i="51"/>
  <c r="J167" i="51"/>
  <c r="K167" i="51"/>
  <c r="J168" i="51"/>
  <c r="K168" i="51"/>
  <c r="J169" i="51"/>
  <c r="K169" i="51"/>
  <c r="J170" i="51"/>
  <c r="K170" i="51"/>
  <c r="J171" i="51"/>
  <c r="K171" i="51"/>
  <c r="J172" i="51"/>
  <c r="K172" i="51"/>
  <c r="J147" i="51"/>
  <c r="J145" i="51"/>
  <c r="J146" i="51"/>
  <c r="J140" i="51"/>
  <c r="K140" i="51"/>
  <c r="J141" i="51"/>
  <c r="J142" i="51"/>
  <c r="J143" i="51"/>
  <c r="J144" i="51"/>
  <c r="F140" i="51"/>
  <c r="F19" i="51"/>
  <c r="F21" i="51"/>
  <c r="F24" i="51"/>
  <c r="F25" i="51"/>
  <c r="F26" i="51"/>
  <c r="F27" i="51"/>
  <c r="F28" i="51"/>
  <c r="F29" i="51"/>
  <c r="F30" i="51"/>
  <c r="F31" i="51"/>
  <c r="F33" i="51"/>
  <c r="F35" i="51"/>
  <c r="F36" i="51"/>
  <c r="F38" i="51"/>
  <c r="F39" i="51"/>
  <c r="F40" i="51"/>
  <c r="F50" i="51"/>
  <c r="F51" i="51"/>
  <c r="F52" i="51"/>
  <c r="F53" i="51"/>
  <c r="F54" i="51"/>
  <c r="F55" i="51"/>
  <c r="F56" i="51"/>
  <c r="F57" i="51"/>
  <c r="F58" i="51"/>
  <c r="F60" i="51"/>
  <c r="F61" i="51"/>
  <c r="F62" i="51"/>
  <c r="F63" i="51"/>
  <c r="F64" i="51"/>
  <c r="F66" i="51"/>
  <c r="F67" i="51"/>
  <c r="F68" i="51"/>
  <c r="F69" i="51"/>
  <c r="F70" i="51"/>
  <c r="F71" i="51"/>
  <c r="F72" i="51"/>
  <c r="F73" i="51"/>
  <c r="F74" i="51"/>
  <c r="F75" i="51"/>
  <c r="F76" i="51"/>
  <c r="F77" i="51"/>
  <c r="F78" i="51"/>
  <c r="F79" i="51"/>
  <c r="F80" i="51"/>
  <c r="F81" i="51"/>
  <c r="F82" i="51"/>
  <c r="F83" i="51"/>
  <c r="F84" i="51"/>
  <c r="F86" i="51"/>
  <c r="F88" i="51"/>
  <c r="F89" i="51"/>
  <c r="F90" i="51"/>
  <c r="F91" i="51"/>
  <c r="F92" i="51"/>
  <c r="F93" i="51"/>
  <c r="F94" i="51"/>
  <c r="F95" i="51"/>
  <c r="F96" i="51"/>
  <c r="F97" i="51"/>
  <c r="F98" i="51"/>
  <c r="F99" i="51"/>
  <c r="F100" i="51"/>
  <c r="F101" i="51"/>
  <c r="F102" i="51"/>
  <c r="F103" i="51"/>
  <c r="F104" i="51"/>
  <c r="F105" i="51"/>
  <c r="F107" i="51"/>
  <c r="F108" i="51"/>
  <c r="F110" i="51"/>
  <c r="F113" i="51"/>
  <c r="F114" i="51"/>
  <c r="F116" i="51"/>
  <c r="F117" i="51"/>
  <c r="F118" i="51"/>
  <c r="F123" i="51"/>
  <c r="F124" i="51"/>
  <c r="F125" i="51"/>
  <c r="F126" i="51"/>
  <c r="F13" i="51"/>
  <c r="F18" i="51"/>
  <c r="J39" i="51"/>
  <c r="J38" i="51" s="1"/>
  <c r="J270" i="52"/>
  <c r="H316" i="52"/>
  <c r="I316" i="52" s="1"/>
  <c r="E316" i="52" s="1"/>
  <c r="B316" i="52"/>
  <c r="H462" i="52"/>
  <c r="H470" i="52"/>
  <c r="H401" i="52"/>
  <c r="H236" i="52"/>
  <c r="E122" i="51"/>
  <c r="J209" i="52"/>
  <c r="E120" i="51"/>
  <c r="K120" i="51" s="1"/>
  <c r="L120" i="51" s="1"/>
  <c r="K198" i="52"/>
  <c r="K196" i="52"/>
  <c r="H197" i="52"/>
  <c r="K202" i="52"/>
  <c r="H202" i="52"/>
  <c r="I202" i="52" s="1"/>
  <c r="J212" i="52"/>
  <c r="H211" i="52"/>
  <c r="I211" i="52" s="1"/>
  <c r="H196" i="52"/>
  <c r="J196" i="52" s="1"/>
  <c r="H192" i="52"/>
  <c r="H191" i="52"/>
  <c r="H190" i="52"/>
  <c r="I190" i="52" s="1"/>
  <c r="H171" i="52"/>
  <c r="E172" i="52"/>
  <c r="E173" i="52"/>
  <c r="I86" i="52"/>
  <c r="I82" i="52"/>
  <c r="L158" i="51" l="1"/>
  <c r="L169" i="51"/>
  <c r="G38" i="51"/>
  <c r="F122" i="51"/>
  <c r="K122" i="51"/>
  <c r="J139" i="51"/>
  <c r="G139" i="51" s="1"/>
  <c r="F120" i="51"/>
  <c r="I196" i="52"/>
  <c r="E196" i="52" s="1"/>
  <c r="E109" i="51" s="1"/>
  <c r="K109" i="51" s="1"/>
  <c r="E190" i="52"/>
  <c r="E180" i="51" l="1"/>
  <c r="K180" i="51" s="1"/>
  <c r="L180" i="51" s="1"/>
  <c r="J316" i="52"/>
  <c r="F109" i="51"/>
  <c r="E106" i="51"/>
  <c r="K106" i="51" s="1"/>
  <c r="J190" i="52"/>
  <c r="F180" i="51" l="1"/>
  <c r="F106" i="51"/>
  <c r="H150" i="52" l="1"/>
  <c r="H127" i="52"/>
  <c r="H128" i="52"/>
  <c r="I127" i="52" l="1"/>
  <c r="H121" i="52"/>
  <c r="H114" i="52"/>
  <c r="I114" i="52" s="1"/>
  <c r="E114" i="52" s="1"/>
  <c r="H90" i="52"/>
  <c r="I90" i="52" s="1"/>
  <c r="H88" i="52"/>
  <c r="H89" i="52"/>
  <c r="E45" i="51" l="1"/>
  <c r="K45" i="51" s="1"/>
  <c r="M45" i="51" s="1"/>
  <c r="J114" i="52"/>
  <c r="F45" i="51" l="1"/>
  <c r="H75" i="52"/>
  <c r="I75" i="52" s="1"/>
  <c r="E75" i="52" s="1"/>
  <c r="H379" i="52"/>
  <c r="H105" i="52"/>
  <c r="H104" i="52"/>
  <c r="H208" i="52"/>
  <c r="I207" i="52" s="1"/>
  <c r="E207" i="52" l="1"/>
  <c r="E119" i="51" s="1"/>
  <c r="K119" i="51" s="1"/>
  <c r="L119" i="51" s="1"/>
  <c r="J207" i="52"/>
  <c r="F119" i="51" l="1"/>
  <c r="H458" i="52"/>
  <c r="K456" i="52"/>
  <c r="K454" i="52"/>
  <c r="I453" i="52"/>
  <c r="E453" i="52" s="1"/>
  <c r="E238" i="51" s="1"/>
  <c r="E447" i="52"/>
  <c r="E445" i="52"/>
  <c r="E435" i="52"/>
  <c r="H433" i="52"/>
  <c r="E430" i="52"/>
  <c r="E427" i="52"/>
  <c r="E421" i="52"/>
  <c r="E425" i="52"/>
  <c r="E424" i="52"/>
  <c r="H418" i="52"/>
  <c r="E409" i="52"/>
  <c r="E388" i="52"/>
  <c r="H382" i="52"/>
  <c r="I382" i="52" s="1"/>
  <c r="E382" i="52"/>
  <c r="H366" i="52"/>
  <c r="E359" i="52"/>
  <c r="E360" i="52"/>
  <c r="E358" i="52"/>
  <c r="E354" i="52"/>
  <c r="H349" i="52"/>
  <c r="H348" i="52"/>
  <c r="H345" i="52"/>
  <c r="H343" i="52"/>
  <c r="E334" i="52"/>
  <c r="E342" i="52"/>
  <c r="H336" i="52"/>
  <c r="J304" i="52"/>
  <c r="I304" i="52"/>
  <c r="H304" i="52"/>
  <c r="I303" i="52"/>
  <c r="H303" i="52"/>
  <c r="J298" i="52"/>
  <c r="F238" i="51" l="1"/>
  <c r="K238" i="51"/>
  <c r="M238" i="51" s="1"/>
  <c r="J447" i="52"/>
  <c r="E232" i="51"/>
  <c r="H295" i="52"/>
  <c r="I295" i="52" s="1"/>
  <c r="E282" i="52"/>
  <c r="E152" i="51" s="1"/>
  <c r="H279" i="52"/>
  <c r="I279" i="52" s="1"/>
  <c r="E279" i="52" s="1"/>
  <c r="J279" i="52" s="1"/>
  <c r="H264" i="52"/>
  <c r="F152" i="51" l="1"/>
  <c r="K152" i="51"/>
  <c r="L152" i="51" s="1"/>
  <c r="F232" i="51"/>
  <c r="K232" i="51"/>
  <c r="H256" i="52"/>
  <c r="E213" i="52" l="1"/>
  <c r="E215" i="52"/>
  <c r="E216" i="52"/>
  <c r="E214" i="52"/>
  <c r="J200" i="52"/>
  <c r="J201" i="52"/>
  <c r="I198" i="52"/>
  <c r="I197" i="52"/>
  <c r="J197" i="52" s="1"/>
  <c r="I296" i="52"/>
  <c r="I526" i="52"/>
  <c r="I527" i="52"/>
  <c r="I528" i="52"/>
  <c r="I530" i="52"/>
  <c r="I531" i="52"/>
  <c r="I523" i="52"/>
  <c r="H94" i="52"/>
  <c r="M88" i="52"/>
  <c r="I149" i="52"/>
  <c r="E149" i="52" s="1"/>
  <c r="C44" i="54"/>
  <c r="J296" i="52" l="1"/>
  <c r="E296" i="52"/>
  <c r="E161" i="51" s="1"/>
  <c r="J198" i="52"/>
  <c r="E198" i="52"/>
  <c r="E111" i="51" s="1"/>
  <c r="K111" i="51" s="1"/>
  <c r="J149" i="52"/>
  <c r="E65" i="51"/>
  <c r="K65" i="51" s="1"/>
  <c r="I88" i="52"/>
  <c r="M296" i="52"/>
  <c r="H252" i="52"/>
  <c r="F161" i="51" l="1"/>
  <c r="K161" i="51"/>
  <c r="M161" i="51" s="1"/>
  <c r="F65" i="51"/>
  <c r="F111" i="51"/>
  <c r="K88" i="52"/>
  <c r="H250" i="52"/>
  <c r="H230" i="52"/>
  <c r="E211" i="52" l="1"/>
  <c r="I201" i="52"/>
  <c r="H206" i="52"/>
  <c r="I206" i="52" s="1"/>
  <c r="C15" i="49"/>
  <c r="H204" i="52"/>
  <c r="I204" i="52" s="1"/>
  <c r="C4" i="49"/>
  <c r="C12" i="49"/>
  <c r="C3" i="49"/>
  <c r="C18" i="49"/>
  <c r="C2" i="49"/>
  <c r="I195" i="52"/>
  <c r="I194" i="52"/>
  <c r="M143" i="52"/>
  <c r="N129" i="52"/>
  <c r="I199" i="52"/>
  <c r="E199" i="52" s="1"/>
  <c r="J13" i="46"/>
  <c r="H115" i="52"/>
  <c r="J199" i="52" l="1"/>
  <c r="E112" i="51"/>
  <c r="K112" i="51" s="1"/>
  <c r="E121" i="51"/>
  <c r="K121" i="51" s="1"/>
  <c r="J211" i="52"/>
  <c r="E202" i="52"/>
  <c r="E115" i="51" s="1"/>
  <c r="K115" i="51" s="1"/>
  <c r="J202" i="52"/>
  <c r="J24" i="46"/>
  <c r="J31" i="46"/>
  <c r="H30" i="46"/>
  <c r="H31" i="46"/>
  <c r="H32" i="46"/>
  <c r="H33" i="46"/>
  <c r="H29" i="46"/>
  <c r="J15" i="46"/>
  <c r="J20" i="46" s="1"/>
  <c r="J2" i="46"/>
  <c r="J4" i="46" s="1"/>
  <c r="B40" i="54"/>
  <c r="I34" i="54"/>
  <c r="C45" i="54"/>
  <c r="H30" i="54"/>
  <c r="A30" i="54"/>
  <c r="G29" i="54"/>
  <c r="F29" i="54"/>
  <c r="E29" i="54"/>
  <c r="A29" i="54"/>
  <c r="A28" i="54"/>
  <c r="A27" i="54"/>
  <c r="A26" i="54"/>
  <c r="A25" i="54"/>
  <c r="A24" i="54"/>
  <c r="A23" i="54"/>
  <c r="A22" i="54"/>
  <c r="A21" i="54"/>
  <c r="A20" i="54"/>
  <c r="A19" i="54"/>
  <c r="A18" i="54"/>
  <c r="A17" i="54"/>
  <c r="A16" i="54"/>
  <c r="A15" i="54"/>
  <c r="A14" i="54"/>
  <c r="A13" i="54"/>
  <c r="A12" i="54"/>
  <c r="A11" i="54"/>
  <c r="A10" i="54"/>
  <c r="A9" i="54"/>
  <c r="A8" i="54"/>
  <c r="A7" i="54"/>
  <c r="A6" i="54"/>
  <c r="A5" i="54"/>
  <c r="A4" i="54"/>
  <c r="A3" i="54"/>
  <c r="A2" i="54"/>
  <c r="J143" i="52"/>
  <c r="H137" i="52"/>
  <c r="I137" i="52" s="1"/>
  <c r="E137" i="52" s="1"/>
  <c r="E129" i="52"/>
  <c r="E49" i="51" s="1"/>
  <c r="K49" i="51" s="1"/>
  <c r="H34" i="46" l="1"/>
  <c r="H35" i="46" s="1"/>
  <c r="L31" i="46" s="1"/>
  <c r="H119" i="52" s="1"/>
  <c r="H125" i="52" s="1"/>
  <c r="G125" i="52" s="1"/>
  <c r="H29" i="54"/>
  <c r="B41" i="54"/>
  <c r="F49" i="51"/>
  <c r="F115" i="51"/>
  <c r="F121" i="51"/>
  <c r="F112" i="51"/>
  <c r="I171" i="52"/>
  <c r="I169" i="52"/>
  <c r="I161" i="52"/>
  <c r="E161" i="52" s="1"/>
  <c r="I162" i="52"/>
  <c r="E162" i="52" s="1"/>
  <c r="I163" i="52"/>
  <c r="E163" i="52" s="1"/>
  <c r="I164" i="52"/>
  <c r="E164" i="52" s="1"/>
  <c r="I165" i="52"/>
  <c r="E165" i="52" s="1"/>
  <c r="I166" i="52"/>
  <c r="E166" i="52" s="1"/>
  <c r="I167" i="52"/>
  <c r="E167" i="52" s="1"/>
  <c r="I168" i="52"/>
  <c r="E168" i="52" s="1"/>
  <c r="I154" i="52"/>
  <c r="E154" i="52" s="1"/>
  <c r="J154" i="52" s="1"/>
  <c r="I155" i="52"/>
  <c r="E155" i="52" s="1"/>
  <c r="J155" i="52" s="1"/>
  <c r="I156" i="52"/>
  <c r="E156" i="52" s="1"/>
  <c r="J156" i="52" s="1"/>
  <c r="I157" i="52"/>
  <c r="E157" i="52" s="1"/>
  <c r="J157" i="52" s="1"/>
  <c r="I153" i="52"/>
  <c r="E153" i="52" s="1"/>
  <c r="J153" i="52" s="1"/>
  <c r="H158" i="52"/>
  <c r="I158" i="52" s="1"/>
  <c r="E158" i="52" s="1"/>
  <c r="I152" i="52"/>
  <c r="E152" i="52" s="1"/>
  <c r="J152" i="52" s="1"/>
  <c r="I151" i="52"/>
  <c r="E151" i="52" s="1"/>
  <c r="J151" i="52" s="1"/>
  <c r="I150" i="52"/>
  <c r="E150" i="52" s="1"/>
  <c r="J150" i="52" s="1"/>
  <c r="H170" i="52"/>
  <c r="I170" i="52" s="1"/>
  <c r="E170" i="52" s="1"/>
  <c r="H93" i="52"/>
  <c r="J81" i="52"/>
  <c r="J76" i="52"/>
  <c r="J77" i="52"/>
  <c r="J78" i="52"/>
  <c r="J75" i="52"/>
  <c r="G119" i="52" l="1"/>
  <c r="B45" i="54"/>
  <c r="H145" i="52"/>
  <c r="I145" i="52" s="1"/>
  <c r="E145" i="52" s="1"/>
  <c r="E169" i="52"/>
  <c r="E85" i="51" s="1"/>
  <c r="K85" i="51" s="1"/>
  <c r="E171" i="52"/>
  <c r="I74" i="52"/>
  <c r="H70" i="52"/>
  <c r="H69" i="52"/>
  <c r="I69" i="52" s="1"/>
  <c r="E69" i="52" s="1"/>
  <c r="E67" i="52"/>
  <c r="H65" i="52"/>
  <c r="I65" i="52" s="1"/>
  <c r="E65" i="52" s="1"/>
  <c r="I61" i="52"/>
  <c r="E61" i="52" s="1"/>
  <c r="H54" i="52"/>
  <c r="I21" i="33"/>
  <c r="H51" i="52"/>
  <c r="M26" i="27"/>
  <c r="M25" i="27"/>
  <c r="M24" i="27"/>
  <c r="AF19" i="27"/>
  <c r="AE19" i="27"/>
  <c r="AE5" i="27"/>
  <c r="AE6" i="27"/>
  <c r="AE7" i="27"/>
  <c r="AE8" i="27"/>
  <c r="AE9" i="27"/>
  <c r="AE10" i="27"/>
  <c r="AE11" i="27"/>
  <c r="AE12" i="27"/>
  <c r="AE13" i="27"/>
  <c r="AE14" i="27"/>
  <c r="AE15" i="27"/>
  <c r="AE16" i="27"/>
  <c r="AE17" i="27"/>
  <c r="AE18" i="27"/>
  <c r="AE4" i="27"/>
  <c r="O4" i="27"/>
  <c r="AD4" i="27"/>
  <c r="AD5" i="27"/>
  <c r="AD6" i="27"/>
  <c r="AD7" i="27"/>
  <c r="AD8" i="27"/>
  <c r="AD9" i="27"/>
  <c r="AD10" i="27"/>
  <c r="AD11" i="27"/>
  <c r="AD12" i="27"/>
  <c r="AD13" i="27"/>
  <c r="AD14" i="27"/>
  <c r="AD15" i="27"/>
  <c r="AD16" i="27"/>
  <c r="AD17" i="27"/>
  <c r="AD18" i="27"/>
  <c r="AD3" i="27"/>
  <c r="V43" i="27"/>
  <c r="V44" i="27"/>
  <c r="V45" i="27"/>
  <c r="V46" i="27"/>
  <c r="V47" i="27"/>
  <c r="V48" i="27"/>
  <c r="V49" i="27"/>
  <c r="V50" i="27"/>
  <c r="V51" i="27"/>
  <c r="V52" i="27"/>
  <c r="V53" i="27"/>
  <c r="V54" i="27"/>
  <c r="V55" i="27"/>
  <c r="V56" i="27"/>
  <c r="V57" i="27"/>
  <c r="V42" i="27"/>
  <c r="U57" i="27"/>
  <c r="U56" i="27"/>
  <c r="U55" i="27"/>
  <c r="U54" i="27"/>
  <c r="U53" i="27"/>
  <c r="U52" i="27"/>
  <c r="U51" i="27"/>
  <c r="U50" i="27"/>
  <c r="U49" i="27"/>
  <c r="U48" i="27"/>
  <c r="U47" i="27"/>
  <c r="U46" i="27"/>
  <c r="U45" i="27"/>
  <c r="U44" i="27"/>
  <c r="U43" i="27"/>
  <c r="U42" i="27"/>
  <c r="AC18" i="27"/>
  <c r="AC19" i="27" s="1"/>
  <c r="AC5" i="27"/>
  <c r="AC6" i="27"/>
  <c r="AC7" i="27"/>
  <c r="AC8" i="27"/>
  <c r="AC9" i="27"/>
  <c r="AC10" i="27"/>
  <c r="AC11" i="27"/>
  <c r="AC12" i="27"/>
  <c r="AC13" i="27"/>
  <c r="AC14" i="27"/>
  <c r="AC15" i="27"/>
  <c r="AC16" i="27"/>
  <c r="AC17" i="27"/>
  <c r="AC4" i="27"/>
  <c r="L4" i="27"/>
  <c r="E23" i="51" l="1"/>
  <c r="F23" i="51" s="1"/>
  <c r="J67" i="52"/>
  <c r="J61" i="52"/>
  <c r="E20" i="51"/>
  <c r="F20" i="51" s="1"/>
  <c r="F85" i="51"/>
  <c r="J171" i="52"/>
  <c r="E87" i="51"/>
  <c r="K87" i="51" s="1"/>
  <c r="J169" i="52"/>
  <c r="J65" i="52"/>
  <c r="E22" i="51"/>
  <c r="F22" i="51" s="1"/>
  <c r="K43" i="27"/>
  <c r="K44" i="27"/>
  <c r="K45" i="27"/>
  <c r="K46" i="27"/>
  <c r="K47" i="27"/>
  <c r="K48" i="27"/>
  <c r="K49" i="27"/>
  <c r="K50" i="27"/>
  <c r="K51" i="27"/>
  <c r="K52" i="27"/>
  <c r="K53" i="27"/>
  <c r="K54" i="27"/>
  <c r="K55" i="27"/>
  <c r="K56" i="27"/>
  <c r="K57" i="27"/>
  <c r="K42" i="27"/>
  <c r="J43" i="27"/>
  <c r="J44" i="27"/>
  <c r="J45" i="27"/>
  <c r="J46" i="27"/>
  <c r="J47" i="27"/>
  <c r="J48" i="27"/>
  <c r="J49" i="27"/>
  <c r="J50" i="27"/>
  <c r="J51" i="27"/>
  <c r="J52" i="27"/>
  <c r="J53" i="27"/>
  <c r="J54" i="27"/>
  <c r="J55" i="27"/>
  <c r="J56" i="27"/>
  <c r="J57" i="27"/>
  <c r="J42" i="27"/>
  <c r="I43" i="27"/>
  <c r="I44" i="27"/>
  <c r="I45" i="27"/>
  <c r="I46" i="27"/>
  <c r="I47" i="27"/>
  <c r="I48" i="27"/>
  <c r="I49" i="27"/>
  <c r="I50" i="27"/>
  <c r="I51" i="27"/>
  <c r="I52" i="27"/>
  <c r="I53" i="27"/>
  <c r="I54" i="27"/>
  <c r="I55" i="27"/>
  <c r="I56" i="27"/>
  <c r="I57" i="27"/>
  <c r="I42" i="27"/>
  <c r="R43" i="27"/>
  <c r="R44" i="27"/>
  <c r="R45" i="27"/>
  <c r="R46" i="27"/>
  <c r="R47" i="27"/>
  <c r="R48" i="27"/>
  <c r="R49" i="27"/>
  <c r="R50" i="27"/>
  <c r="R51" i="27"/>
  <c r="R52" i="27"/>
  <c r="R53" i="27"/>
  <c r="R54" i="27"/>
  <c r="R55" i="27"/>
  <c r="R56" i="27"/>
  <c r="R57" i="27"/>
  <c r="R42" i="27"/>
  <c r="D57" i="27"/>
  <c r="F57" i="27"/>
  <c r="M17" i="53"/>
  <c r="K17" i="53"/>
  <c r="C17" i="53"/>
  <c r="K16" i="53"/>
  <c r="M16" i="53" s="1"/>
  <c r="H16" i="53"/>
  <c r="I16" i="53" s="1"/>
  <c r="G16" i="53"/>
  <c r="C16" i="53"/>
  <c r="K15" i="53"/>
  <c r="M15" i="53" s="1"/>
  <c r="H15" i="53"/>
  <c r="G15" i="53"/>
  <c r="C15" i="53"/>
  <c r="I15" i="53" s="1"/>
  <c r="K14" i="53"/>
  <c r="M14" i="53" s="1"/>
  <c r="H14" i="53"/>
  <c r="I14" i="53" s="1"/>
  <c r="G14" i="53"/>
  <c r="C14" i="53"/>
  <c r="M13" i="53"/>
  <c r="K13" i="53"/>
  <c r="H13" i="53"/>
  <c r="L13" i="53" s="1"/>
  <c r="G13" i="53"/>
  <c r="C13" i="53"/>
  <c r="K12" i="53"/>
  <c r="M12" i="53" s="1"/>
  <c r="H12" i="53"/>
  <c r="I12" i="53" s="1"/>
  <c r="G12" i="53"/>
  <c r="C12" i="53"/>
  <c r="K11" i="53"/>
  <c r="L11" i="53" s="1"/>
  <c r="H11" i="53"/>
  <c r="I11" i="53" s="1"/>
  <c r="G11" i="53"/>
  <c r="C11" i="53"/>
  <c r="K10" i="53"/>
  <c r="L10" i="53" s="1"/>
  <c r="I10" i="53"/>
  <c r="H10" i="53"/>
  <c r="G10" i="53"/>
  <c r="C10" i="53"/>
  <c r="K9" i="53"/>
  <c r="M9" i="53" s="1"/>
  <c r="H9" i="53"/>
  <c r="I9" i="53" s="1"/>
  <c r="G9" i="53"/>
  <c r="C9" i="53"/>
  <c r="M8" i="53"/>
  <c r="L8" i="53"/>
  <c r="K8" i="53"/>
  <c r="H8" i="53"/>
  <c r="I8" i="53" s="1"/>
  <c r="G8" i="53"/>
  <c r="C8" i="53"/>
  <c r="K7" i="53"/>
  <c r="M7" i="53" s="1"/>
  <c r="H7" i="53"/>
  <c r="I7" i="53" s="1"/>
  <c r="G7" i="53"/>
  <c r="C7" i="53"/>
  <c r="K6" i="53"/>
  <c r="M6" i="53" s="1"/>
  <c r="H6" i="53"/>
  <c r="I6" i="53" s="1"/>
  <c r="G6" i="53"/>
  <c r="C6" i="53"/>
  <c r="K5" i="53"/>
  <c r="M5" i="53" s="1"/>
  <c r="H5" i="53"/>
  <c r="I5" i="53" s="1"/>
  <c r="G5" i="53"/>
  <c r="C5" i="53"/>
  <c r="K4" i="53"/>
  <c r="M4" i="53" s="1"/>
  <c r="H4" i="53"/>
  <c r="I4" i="53" s="1"/>
  <c r="G4" i="53"/>
  <c r="C4" i="53"/>
  <c r="K3" i="53"/>
  <c r="M3" i="53" s="1"/>
  <c r="H3" i="53"/>
  <c r="I3" i="53" s="1"/>
  <c r="G3" i="53"/>
  <c r="C3" i="53"/>
  <c r="K2" i="53"/>
  <c r="L2" i="53" s="1"/>
  <c r="H2" i="53"/>
  <c r="I2" i="53" s="1"/>
  <c r="G2" i="53"/>
  <c r="C2" i="53"/>
  <c r="W1" i="53"/>
  <c r="F87" i="51" l="1"/>
  <c r="G57" i="27"/>
  <c r="K18" i="27" s="1"/>
  <c r="M2" i="53"/>
  <c r="L9" i="53"/>
  <c r="L4" i="53"/>
  <c r="L16" i="53"/>
  <c r="L3" i="53"/>
  <c r="L15" i="53"/>
  <c r="L5" i="53"/>
  <c r="M10" i="53"/>
  <c r="L14" i="53"/>
  <c r="I13" i="53"/>
  <c r="L6" i="53"/>
  <c r="M11" i="53"/>
  <c r="L12" i="53"/>
  <c r="L7" i="53"/>
  <c r="F43" i="27" l="1"/>
  <c r="F44" i="27"/>
  <c r="F45" i="27"/>
  <c r="F46" i="27"/>
  <c r="F47" i="27"/>
  <c r="F48" i="27"/>
  <c r="F49" i="27"/>
  <c r="F50" i="27"/>
  <c r="F51" i="27"/>
  <c r="F52" i="27"/>
  <c r="F53" i="27"/>
  <c r="F54" i="27"/>
  <c r="F55" i="27"/>
  <c r="F56" i="27"/>
  <c r="F42" i="27"/>
  <c r="H50" i="52"/>
  <c r="F2" i="33"/>
  <c r="H26" i="52"/>
  <c r="H36" i="52"/>
  <c r="D27" i="33"/>
  <c r="C27" i="33"/>
  <c r="B27" i="33"/>
  <c r="H20" i="52"/>
  <c r="H33" i="52"/>
  <c r="H11" i="52"/>
  <c r="H13" i="52"/>
  <c r="H35" i="52"/>
  <c r="H34" i="52"/>
  <c r="H14" i="52" l="1"/>
  <c r="H321" i="25"/>
  <c r="I142" i="52"/>
  <c r="E142" i="52" s="1"/>
  <c r="H141" i="52"/>
  <c r="I141" i="52" s="1"/>
  <c r="E141" i="52" s="1"/>
  <c r="H140" i="52"/>
  <c r="I140" i="52" s="1"/>
  <c r="E140" i="52" s="1"/>
  <c r="J140" i="52" s="1"/>
  <c r="I139" i="52"/>
  <c r="E139" i="52" s="1"/>
  <c r="I138" i="52"/>
  <c r="H135" i="52"/>
  <c r="I135" i="52" s="1"/>
  <c r="E135" i="52" s="1"/>
  <c r="H136" i="52"/>
  <c r="I136" i="52" s="1"/>
  <c r="E136" i="52" s="1"/>
  <c r="H134" i="52"/>
  <c r="J142" i="52" l="1"/>
  <c r="E59" i="51"/>
  <c r="K59" i="51" s="1"/>
  <c r="I134" i="52"/>
  <c r="I133" i="52"/>
  <c r="E48" i="51"/>
  <c r="K48" i="51" s="1"/>
  <c r="E130" i="51"/>
  <c r="K130" i="51" s="1"/>
  <c r="L130" i="51" s="1"/>
  <c r="E129" i="51"/>
  <c r="K129" i="51" s="1"/>
  <c r="L129" i="51" s="1"/>
  <c r="I225" i="52"/>
  <c r="E574" i="52"/>
  <c r="J574" i="52" s="1"/>
  <c r="F130" i="51" l="1"/>
  <c r="F129" i="51"/>
  <c r="F48" i="51"/>
  <c r="F59" i="51"/>
  <c r="J225" i="52"/>
  <c r="K131" i="51"/>
  <c r="L131" i="51" l="1"/>
  <c r="K341" i="51"/>
  <c r="F131" i="51"/>
  <c r="I572" i="52"/>
  <c r="H571" i="52"/>
  <c r="I571" i="52" s="1"/>
  <c r="H568" i="52"/>
  <c r="H569" i="52"/>
  <c r="H565" i="52"/>
  <c r="H564" i="52"/>
  <c r="H560" i="52"/>
  <c r="H555" i="52"/>
  <c r="I555" i="52" s="1"/>
  <c r="H552" i="52"/>
  <c r="B555" i="52"/>
  <c r="E555" i="52" l="1"/>
  <c r="I552" i="52"/>
  <c r="E552" i="52" s="1"/>
  <c r="E313" i="51" s="1"/>
  <c r="F313" i="51" s="1"/>
  <c r="H551" i="52"/>
  <c r="I551" i="52" s="1"/>
  <c r="E551" i="52" s="1"/>
  <c r="E312" i="51" s="1"/>
  <c r="F312" i="51" s="1"/>
  <c r="H550" i="52"/>
  <c r="I550" i="52" s="1"/>
  <c r="E550" i="52" s="1"/>
  <c r="E311" i="51" s="1"/>
  <c r="F311" i="51" s="1"/>
  <c r="I549" i="52"/>
  <c r="E549" i="52" s="1"/>
  <c r="E310" i="51" s="1"/>
  <c r="F310" i="51" s="1"/>
  <c r="H548" i="52"/>
  <c r="I548" i="52" s="1"/>
  <c r="E548" i="52" s="1"/>
  <c r="E309" i="51" s="1"/>
  <c r="F309" i="51" s="1"/>
  <c r="I577" i="52"/>
  <c r="J577" i="52" s="1"/>
  <c r="B577" i="52"/>
  <c r="I547" i="52"/>
  <c r="E547" i="52" s="1"/>
  <c r="E308" i="51" s="1"/>
  <c r="F308" i="51" s="1"/>
  <c r="I546" i="52"/>
  <c r="E546" i="52" s="1"/>
  <c r="E307" i="51" s="1"/>
  <c r="F307" i="51" s="1"/>
  <c r="H545" i="52"/>
  <c r="I545" i="52" s="1"/>
  <c r="E545" i="52" s="1"/>
  <c r="E306" i="51" s="1"/>
  <c r="F306" i="51" s="1"/>
  <c r="H544" i="52"/>
  <c r="I544" i="52" s="1"/>
  <c r="E544" i="52" s="1"/>
  <c r="E305" i="51" s="1"/>
  <c r="F305" i="51" s="1"/>
  <c r="E521" i="52"/>
  <c r="E282" i="51" s="1"/>
  <c r="E520" i="52"/>
  <c r="I542" i="52"/>
  <c r="E542" i="52" s="1"/>
  <c r="E303" i="51" s="1"/>
  <c r="F303" i="51" s="1"/>
  <c r="H541" i="52"/>
  <c r="I541" i="52" s="1"/>
  <c r="E541" i="52" s="1"/>
  <c r="E302" i="51" s="1"/>
  <c r="F302" i="51" s="1"/>
  <c r="I540" i="52"/>
  <c r="E540" i="52" s="1"/>
  <c r="E301" i="51" s="1"/>
  <c r="F301" i="51" s="1"/>
  <c r="I539" i="52"/>
  <c r="E539" i="52" s="1"/>
  <c r="E300" i="51" s="1"/>
  <c r="F300" i="51" s="1"/>
  <c r="H576" i="52"/>
  <c r="I576" i="52" s="1"/>
  <c r="E576" i="52" s="1"/>
  <c r="E337" i="51" s="1"/>
  <c r="B576" i="52"/>
  <c r="I538" i="52"/>
  <c r="E538" i="52" s="1"/>
  <c r="E299" i="51" s="1"/>
  <c r="F299" i="51" s="1"/>
  <c r="I537" i="52"/>
  <c r="E537" i="52" s="1"/>
  <c r="E298" i="51" s="1"/>
  <c r="F298" i="51" s="1"/>
  <c r="I553" i="52"/>
  <c r="E553" i="52" s="1"/>
  <c r="E314" i="51" s="1"/>
  <c r="F314" i="51" s="1"/>
  <c r="I554" i="52"/>
  <c r="E554" i="52" s="1"/>
  <c r="I556" i="52"/>
  <c r="E556" i="52" s="1"/>
  <c r="E317" i="51" s="1"/>
  <c r="F317" i="51" s="1"/>
  <c r="I557" i="52"/>
  <c r="E557" i="52" s="1"/>
  <c r="E318" i="51" s="1"/>
  <c r="F318" i="51" s="1"/>
  <c r="I558" i="52"/>
  <c r="E558" i="52" s="1"/>
  <c r="E319" i="51" s="1"/>
  <c r="F319" i="51" s="1"/>
  <c r="I559" i="52"/>
  <c r="E559" i="52" s="1"/>
  <c r="E320" i="51" s="1"/>
  <c r="F320" i="51" s="1"/>
  <c r="I560" i="52"/>
  <c r="E560" i="52" s="1"/>
  <c r="E321" i="51" s="1"/>
  <c r="F321" i="51" s="1"/>
  <c r="I561" i="52"/>
  <c r="E561" i="52" s="1"/>
  <c r="E322" i="51" s="1"/>
  <c r="F322" i="51" s="1"/>
  <c r="I562" i="52"/>
  <c r="E562" i="52" s="1"/>
  <c r="E323" i="51" s="1"/>
  <c r="F323" i="51" s="1"/>
  <c r="I563" i="52"/>
  <c r="E563" i="52" s="1"/>
  <c r="E324" i="51" s="1"/>
  <c r="F324" i="51" s="1"/>
  <c r="I564" i="52"/>
  <c r="E564" i="52" s="1"/>
  <c r="E325" i="51" s="1"/>
  <c r="F325" i="51" s="1"/>
  <c r="I565" i="52"/>
  <c r="E565" i="52" s="1"/>
  <c r="E326" i="51" s="1"/>
  <c r="F326" i="51" s="1"/>
  <c r="I566" i="52"/>
  <c r="E566" i="52" s="1"/>
  <c r="E327" i="51" s="1"/>
  <c r="F327" i="51" s="1"/>
  <c r="I567" i="52"/>
  <c r="E567" i="52" s="1"/>
  <c r="E328" i="51" s="1"/>
  <c r="F328" i="51" s="1"/>
  <c r="I568" i="52"/>
  <c r="E568" i="52" s="1"/>
  <c r="E329" i="51" s="1"/>
  <c r="F329" i="51" s="1"/>
  <c r="I569" i="52"/>
  <c r="E569" i="52" s="1"/>
  <c r="E330" i="51" s="1"/>
  <c r="F330" i="51" s="1"/>
  <c r="I570" i="52"/>
  <c r="E570" i="52" s="1"/>
  <c r="E331" i="51" s="1"/>
  <c r="F331" i="51" s="1"/>
  <c r="I533" i="52"/>
  <c r="E533" i="52" s="1"/>
  <c r="E294" i="51" s="1"/>
  <c r="F294" i="51" s="1"/>
  <c r="I543" i="52"/>
  <c r="E543" i="52" s="1"/>
  <c r="E304" i="51" s="1"/>
  <c r="F304" i="51" s="1"/>
  <c r="I536" i="52"/>
  <c r="E536" i="52" s="1"/>
  <c r="E297" i="51" s="1"/>
  <c r="F297" i="51" s="1"/>
  <c r="I535" i="52"/>
  <c r="E535" i="52" s="1"/>
  <c r="E296" i="51" s="1"/>
  <c r="F296" i="51" s="1"/>
  <c r="H534" i="52"/>
  <c r="I534" i="52" s="1"/>
  <c r="E534" i="52" s="1"/>
  <c r="E295" i="51" s="1"/>
  <c r="F295" i="51" s="1"/>
  <c r="H532" i="52"/>
  <c r="I532" i="52" s="1"/>
  <c r="E532" i="52" s="1"/>
  <c r="E293" i="51" s="1"/>
  <c r="H575" i="52"/>
  <c r="I575" i="52" s="1"/>
  <c r="J575" i="52" s="1"/>
  <c r="B575" i="52"/>
  <c r="H529" i="52"/>
  <c r="I529" i="52" s="1"/>
  <c r="H525" i="52"/>
  <c r="C524" i="52"/>
  <c r="C521" i="52"/>
  <c r="B524" i="52"/>
  <c r="B521" i="52"/>
  <c r="H524" i="52"/>
  <c r="I524" i="52" s="1"/>
  <c r="E524" i="52" s="1"/>
  <c r="E285" i="51" s="1"/>
  <c r="H522" i="52"/>
  <c r="I522" i="52" s="1"/>
  <c r="E522" i="52" s="1"/>
  <c r="H521" i="52"/>
  <c r="F293" i="51" l="1"/>
  <c r="K293" i="51"/>
  <c r="L293" i="51" s="1"/>
  <c r="K337" i="51"/>
  <c r="F337" i="51"/>
  <c r="K302" i="51"/>
  <c r="L302" i="51" s="1"/>
  <c r="K303" i="51"/>
  <c r="L303" i="51" s="1"/>
  <c r="K296" i="51"/>
  <c r="L296" i="51" s="1"/>
  <c r="K330" i="51"/>
  <c r="L330" i="51" s="1"/>
  <c r="K295" i="51"/>
  <c r="L295" i="51" s="1"/>
  <c r="K327" i="51"/>
  <c r="M327" i="51" s="1"/>
  <c r="K298" i="51"/>
  <c r="L298" i="51" s="1"/>
  <c r="K304" i="51"/>
  <c r="M304" i="51" s="1"/>
  <c r="F282" i="51"/>
  <c r="K282" i="51"/>
  <c r="K326" i="51"/>
  <c r="L326" i="51" s="1"/>
  <c r="K323" i="51"/>
  <c r="M323" i="51" s="1"/>
  <c r="K299" i="51"/>
  <c r="L299" i="51" s="1"/>
  <c r="K294" i="51"/>
  <c r="M294" i="51" s="1"/>
  <c r="K306" i="51"/>
  <c r="L306" i="51" s="1"/>
  <c r="K308" i="51"/>
  <c r="M308" i="51" s="1"/>
  <c r="K322" i="51"/>
  <c r="L322" i="51" s="1"/>
  <c r="K309" i="51"/>
  <c r="L309" i="51" s="1"/>
  <c r="K301" i="51"/>
  <c r="L301" i="51" s="1"/>
  <c r="K310" i="51"/>
  <c r="L310" i="51" s="1"/>
  <c r="K331" i="51"/>
  <c r="L331" i="51" s="1"/>
  <c r="K325" i="51"/>
  <c r="L325" i="51" s="1"/>
  <c r="K311" i="51"/>
  <c r="L311" i="51" s="1"/>
  <c r="K300" i="51"/>
  <c r="L300" i="51" s="1"/>
  <c r="K329" i="51"/>
  <c r="L329" i="51" s="1"/>
  <c r="K307" i="51"/>
  <c r="L307" i="51" s="1"/>
  <c r="K324" i="51"/>
  <c r="M324" i="51" s="1"/>
  <c r="K321" i="51"/>
  <c r="L321" i="51" s="1"/>
  <c r="K319" i="51"/>
  <c r="M319" i="51" s="1"/>
  <c r="K312" i="51"/>
  <c r="L312" i="51" s="1"/>
  <c r="K328" i="51"/>
  <c r="M328" i="51" s="1"/>
  <c r="K320" i="51"/>
  <c r="L320" i="51" s="1"/>
  <c r="K318" i="51"/>
  <c r="L318" i="51" s="1"/>
  <c r="K313" i="51"/>
  <c r="L313" i="51" s="1"/>
  <c r="K314" i="51"/>
  <c r="M314" i="51" s="1"/>
  <c r="K297" i="51"/>
  <c r="L297" i="51" s="1"/>
  <c r="K305" i="51"/>
  <c r="L305" i="51" s="1"/>
  <c r="F285" i="51"/>
  <c r="K285" i="51"/>
  <c r="K317" i="51"/>
  <c r="M317" i="51" s="1"/>
  <c r="I525" i="52"/>
  <c r="E525" i="52" s="1"/>
  <c r="E286" i="51" s="1"/>
  <c r="E315" i="51"/>
  <c r="F315" i="51" s="1"/>
  <c r="J554" i="52"/>
  <c r="E316" i="51"/>
  <c r="F316" i="51" s="1"/>
  <c r="J555" i="52"/>
  <c r="E577" i="52"/>
  <c r="E338" i="51" s="1"/>
  <c r="J576" i="52"/>
  <c r="E283" i="51"/>
  <c r="E575" i="52"/>
  <c r="E336" i="51" s="1"/>
  <c r="K338" i="51" l="1"/>
  <c r="F338" i="51"/>
  <c r="K336" i="51"/>
  <c r="F336" i="51"/>
  <c r="K283" i="51"/>
  <c r="L283" i="51" s="1"/>
  <c r="F283" i="51"/>
  <c r="K315" i="51"/>
  <c r="M315" i="51" s="1"/>
  <c r="K316" i="51"/>
  <c r="L316" i="51" s="1"/>
  <c r="F286" i="51"/>
  <c r="K286" i="51"/>
  <c r="L286" i="51" s="1"/>
  <c r="J525" i="52"/>
  <c r="E506" i="52"/>
  <c r="J506" i="52" s="1"/>
  <c r="E508" i="52"/>
  <c r="E509" i="52"/>
  <c r="E497" i="52"/>
  <c r="J497" i="52" s="1"/>
  <c r="H469" i="52"/>
  <c r="C220" i="52" l="1"/>
  <c r="C219" i="52"/>
  <c r="B220" i="52"/>
  <c r="B219" i="52"/>
  <c r="H478" i="52"/>
  <c r="I476" i="52" s="1"/>
  <c r="H461" i="52"/>
  <c r="I459" i="52" s="1"/>
  <c r="K129" i="52" l="1"/>
  <c r="L65" i="51" l="1"/>
  <c r="L85" i="51"/>
  <c r="M87" i="51"/>
  <c r="L115" i="51"/>
  <c r="K39" i="51"/>
  <c r="M3" i="51"/>
  <c r="J4" i="52" s="1" a="1"/>
  <c r="J4" i="52" s="1"/>
  <c r="J13" i="51"/>
  <c r="J14" i="51"/>
  <c r="J15" i="51"/>
  <c r="J16" i="51"/>
  <c r="J17" i="51"/>
  <c r="J18" i="51"/>
  <c r="J19" i="51"/>
  <c r="J20" i="51"/>
  <c r="M20" i="51" s="1"/>
  <c r="J21" i="51"/>
  <c r="J22" i="51"/>
  <c r="J23" i="51"/>
  <c r="J24" i="51"/>
  <c r="J25" i="51"/>
  <c r="J26" i="51"/>
  <c r="J27" i="51"/>
  <c r="J28" i="51"/>
  <c r="J29" i="51"/>
  <c r="J30" i="51"/>
  <c r="J31" i="51"/>
  <c r="J32" i="51"/>
  <c r="J33" i="51"/>
  <c r="J34" i="51"/>
  <c r="J35" i="51"/>
  <c r="J36" i="51"/>
  <c r="J37" i="51"/>
  <c r="J12" i="51"/>
  <c r="K13" i="51"/>
  <c r="K18" i="51"/>
  <c r="K19" i="51"/>
  <c r="K20" i="51"/>
  <c r="K21" i="51"/>
  <c r="K22" i="51"/>
  <c r="K23" i="51"/>
  <c r="K24" i="51"/>
  <c r="K25" i="51"/>
  <c r="K26" i="51"/>
  <c r="K27" i="51"/>
  <c r="K28" i="51"/>
  <c r="K29" i="51"/>
  <c r="K30" i="51"/>
  <c r="K31" i="51"/>
  <c r="K33" i="51"/>
  <c r="K35" i="51"/>
  <c r="K36" i="51"/>
  <c r="H444" i="52"/>
  <c r="I444" i="52" s="1"/>
  <c r="E444" i="52" s="1"/>
  <c r="E229" i="51" s="1"/>
  <c r="L35" i="51" l="1"/>
  <c r="M21" i="51"/>
  <c r="F229" i="51"/>
  <c r="K229" i="51"/>
  <c r="M229" i="51" s="1"/>
  <c r="L112" i="51"/>
  <c r="M122" i="51"/>
  <c r="M121" i="51"/>
  <c r="M59" i="51"/>
  <c r="L22" i="51"/>
  <c r="M111" i="51"/>
  <c r="M109" i="51"/>
  <c r="L106" i="51"/>
  <c r="J11" i="51"/>
  <c r="G11" i="51" l="1"/>
  <c r="J10" i="51"/>
  <c r="J9" i="51" s="1"/>
  <c r="M5" i="51" s="1"/>
  <c r="E212" i="51"/>
  <c r="H407" i="52"/>
  <c r="I407" i="52" s="1"/>
  <c r="B128" i="51"/>
  <c r="I379" i="52"/>
  <c r="E379" i="52" s="1"/>
  <c r="F212" i="51" l="1"/>
  <c r="K212" i="51"/>
  <c r="L212" i="51" s="1"/>
  <c r="J379" i="52"/>
  <c r="E195" i="51"/>
  <c r="E407" i="52"/>
  <c r="K195" i="51" l="1"/>
  <c r="M195" i="51" s="1"/>
  <c r="M181" i="51" s="1"/>
  <c r="F195" i="51"/>
  <c r="H403" i="52"/>
  <c r="C404" i="52"/>
  <c r="C402" i="52"/>
  <c r="B404" i="52"/>
  <c r="B402" i="52"/>
  <c r="J404" i="52"/>
  <c r="H402" i="52"/>
  <c r="I315" i="52"/>
  <c r="J315" i="52" s="1"/>
  <c r="C315" i="52"/>
  <c r="B315" i="52"/>
  <c r="H217" i="52"/>
  <c r="I217" i="52" s="1"/>
  <c r="E217" i="52" s="1"/>
  <c r="E127" i="51" s="1"/>
  <c r="K127" i="51" s="1"/>
  <c r="L127" i="51" s="1"/>
  <c r="C217" i="52"/>
  <c r="B217" i="52"/>
  <c r="B215" i="52"/>
  <c r="B216" i="52"/>
  <c r="B214" i="52"/>
  <c r="J82" i="52"/>
  <c r="E82" i="52"/>
  <c r="E34" i="51" s="1"/>
  <c r="F34" i="51" s="1"/>
  <c r="J86" i="52"/>
  <c r="E86" i="52" s="1"/>
  <c r="C86" i="52"/>
  <c r="B86" i="52"/>
  <c r="O81" i="52"/>
  <c r="N80" i="52"/>
  <c r="N81" i="52"/>
  <c r="I754" i="52"/>
  <c r="H751" i="52"/>
  <c r="H749" i="52"/>
  <c r="H748" i="52"/>
  <c r="H747" i="52"/>
  <c r="I744" i="52"/>
  <c r="I743" i="52"/>
  <c r="E743" i="52" s="1"/>
  <c r="I740" i="52"/>
  <c r="I739" i="52"/>
  <c r="E739" i="52" s="1"/>
  <c r="I738" i="52"/>
  <c r="I737" i="52"/>
  <c r="I736" i="52"/>
  <c r="I735" i="52"/>
  <c r="I734" i="52"/>
  <c r="I733" i="52"/>
  <c r="I732" i="52"/>
  <c r="I731" i="52"/>
  <c r="I730" i="52"/>
  <c r="I729" i="52"/>
  <c r="I728" i="52"/>
  <c r="I727" i="52"/>
  <c r="I726" i="52"/>
  <c r="I725" i="52"/>
  <c r="I724" i="52"/>
  <c r="I723" i="52"/>
  <c r="I722" i="52"/>
  <c r="H719" i="52"/>
  <c r="I719" i="52" s="1"/>
  <c r="I717" i="52"/>
  <c r="I716" i="52"/>
  <c r="I715" i="52"/>
  <c r="I714" i="52"/>
  <c r="I713" i="52"/>
  <c r="E713" i="52" s="1"/>
  <c r="J713" i="52" s="1"/>
  <c r="I712" i="52"/>
  <c r="I711" i="52"/>
  <c r="I709" i="52"/>
  <c r="I705" i="52"/>
  <c r="I702" i="52"/>
  <c r="I701" i="52"/>
  <c r="I700" i="52"/>
  <c r="E700" i="52" s="1"/>
  <c r="I699" i="52"/>
  <c r="I697" i="52"/>
  <c r="I696" i="52"/>
  <c r="E696" i="52" s="1"/>
  <c r="I695" i="52"/>
  <c r="E695" i="52" s="1"/>
  <c r="I693" i="52"/>
  <c r="E693" i="52" s="1"/>
  <c r="I692" i="52"/>
  <c r="E692" i="52" s="1"/>
  <c r="I691" i="52"/>
  <c r="E691" i="52" s="1"/>
  <c r="I690" i="52"/>
  <c r="E690" i="52" s="1"/>
  <c r="I689" i="52"/>
  <c r="E689" i="52" s="1"/>
  <c r="I688" i="52"/>
  <c r="E688" i="52" s="1"/>
  <c r="I687" i="52"/>
  <c r="E687" i="52" s="1"/>
  <c r="I686" i="52"/>
  <c r="E686" i="52" s="1"/>
  <c r="I685" i="52"/>
  <c r="E685" i="52" s="1"/>
  <c r="I684" i="52"/>
  <c r="E684" i="52" s="1"/>
  <c r="I683" i="52"/>
  <c r="E683" i="52" s="1"/>
  <c r="I682" i="52"/>
  <c r="E682" i="52" s="1"/>
  <c r="I681" i="52"/>
  <c r="E681" i="52" s="1"/>
  <c r="I680" i="52"/>
  <c r="E680" i="52" s="1"/>
  <c r="I679" i="52"/>
  <c r="E679" i="52" s="1"/>
  <c r="I678" i="52"/>
  <c r="E678" i="52" s="1"/>
  <c r="I677" i="52"/>
  <c r="E677" i="52" s="1"/>
  <c r="I676" i="52"/>
  <c r="E676" i="52" s="1"/>
  <c r="I675" i="52"/>
  <c r="E675" i="52" s="1"/>
  <c r="I674" i="52"/>
  <c r="E674" i="52" s="1"/>
  <c r="I673" i="52"/>
  <c r="E673" i="52" s="1"/>
  <c r="I672" i="52"/>
  <c r="E672" i="52" s="1"/>
  <c r="I671" i="52"/>
  <c r="E671" i="52" s="1"/>
  <c r="I670" i="52"/>
  <c r="E670" i="52" s="1"/>
  <c r="I669" i="52"/>
  <c r="E669" i="52" s="1"/>
  <c r="I668" i="52"/>
  <c r="E668" i="52" s="1"/>
  <c r="I667" i="52"/>
  <c r="E667" i="52" s="1"/>
  <c r="I666" i="52"/>
  <c r="E666" i="52" s="1"/>
  <c r="I665" i="52"/>
  <c r="E665" i="52" s="1"/>
  <c r="I664" i="52"/>
  <c r="E664" i="52" s="1"/>
  <c r="I663" i="52"/>
  <c r="E663" i="52" s="1"/>
  <c r="I662" i="52"/>
  <c r="E662" i="52" s="1"/>
  <c r="I661" i="52"/>
  <c r="E661" i="52" s="1"/>
  <c r="I659" i="52"/>
  <c r="E659" i="52" s="1"/>
  <c r="I658" i="52"/>
  <c r="E658" i="52" s="1"/>
  <c r="I657" i="52"/>
  <c r="E657" i="52" s="1"/>
  <c r="I656" i="52"/>
  <c r="E656" i="52" s="1"/>
  <c r="I655" i="52"/>
  <c r="E655" i="52" s="1"/>
  <c r="H652" i="52"/>
  <c r="I652" i="52" s="1"/>
  <c r="H651" i="52"/>
  <c r="I651" i="52" s="1"/>
  <c r="H650" i="52"/>
  <c r="I650" i="52" s="1"/>
  <c r="H649" i="52"/>
  <c r="I649" i="52" s="1"/>
  <c r="H648" i="52"/>
  <c r="I648" i="52" s="1"/>
  <c r="H647" i="52"/>
  <c r="I647" i="52" s="1"/>
  <c r="H646" i="52"/>
  <c r="I646" i="52" s="1"/>
  <c r="H645" i="52"/>
  <c r="I645" i="52" s="1"/>
  <c r="H644" i="52"/>
  <c r="I644" i="52" s="1"/>
  <c r="H643" i="52"/>
  <c r="I643" i="52" s="1"/>
  <c r="H642" i="52"/>
  <c r="I642" i="52" s="1"/>
  <c r="H641" i="52"/>
  <c r="I641" i="52" s="1"/>
  <c r="H640" i="52"/>
  <c r="I640" i="52" s="1"/>
  <c r="H639" i="52"/>
  <c r="I639" i="52" s="1"/>
  <c r="H638" i="52"/>
  <c r="I638" i="52" s="1"/>
  <c r="I637" i="52"/>
  <c r="H636" i="52"/>
  <c r="I636" i="52" s="1"/>
  <c r="I634" i="52"/>
  <c r="E634" i="52" s="1"/>
  <c r="J634" i="52" s="1"/>
  <c r="I633" i="52"/>
  <c r="E633" i="52" s="1"/>
  <c r="J633" i="52" s="1"/>
  <c r="I631" i="52"/>
  <c r="I630" i="52"/>
  <c r="E630" i="52" s="1"/>
  <c r="I626" i="52"/>
  <c r="J626" i="52" s="1"/>
  <c r="I625" i="52"/>
  <c r="J625" i="52" s="1"/>
  <c r="I624" i="52"/>
  <c r="J624" i="52" s="1"/>
  <c r="H623" i="52"/>
  <c r="I623" i="52" s="1"/>
  <c r="H622" i="52"/>
  <c r="H621" i="52"/>
  <c r="H620" i="52"/>
  <c r="H619" i="52"/>
  <c r="H617" i="52"/>
  <c r="I617" i="52" s="1"/>
  <c r="H615" i="52"/>
  <c r="H616" i="52" s="1"/>
  <c r="I616" i="52" s="1"/>
  <c r="H573" i="52"/>
  <c r="I573" i="52" s="1"/>
  <c r="E573" i="52" s="1"/>
  <c r="J573" i="52" s="1"/>
  <c r="J570" i="52"/>
  <c r="J569" i="52"/>
  <c r="J568" i="52"/>
  <c r="J567" i="52"/>
  <c r="J566" i="52"/>
  <c r="J565" i="52"/>
  <c r="J564" i="52"/>
  <c r="J563" i="52"/>
  <c r="J562" i="52"/>
  <c r="J561" i="52"/>
  <c r="J560" i="52"/>
  <c r="J559" i="52"/>
  <c r="J558" i="52"/>
  <c r="J557" i="52"/>
  <c r="J556" i="52"/>
  <c r="J553" i="52"/>
  <c r="J552" i="52"/>
  <c r="J551" i="52"/>
  <c r="J550" i="52"/>
  <c r="J549" i="52"/>
  <c r="J548" i="52"/>
  <c r="J547" i="52"/>
  <c r="J546" i="52"/>
  <c r="J545" i="52"/>
  <c r="J544" i="52"/>
  <c r="J543" i="52"/>
  <c r="J542" i="52"/>
  <c r="J541" i="52"/>
  <c r="J540" i="52"/>
  <c r="J539" i="52"/>
  <c r="J538" i="52"/>
  <c r="J537" i="52"/>
  <c r="J536" i="52"/>
  <c r="J535" i="52"/>
  <c r="J534" i="52"/>
  <c r="J533" i="52"/>
  <c r="I518" i="52"/>
  <c r="I517" i="52"/>
  <c r="I516" i="52"/>
  <c r="I515" i="52"/>
  <c r="I514" i="52"/>
  <c r="I513" i="52"/>
  <c r="I512" i="52"/>
  <c r="E512" i="52" s="1"/>
  <c r="J512" i="52" s="1"/>
  <c r="J509" i="52"/>
  <c r="J508" i="52"/>
  <c r="I507" i="52"/>
  <c r="I505" i="52"/>
  <c r="E505" i="52" s="1"/>
  <c r="J505" i="52" s="1"/>
  <c r="I504" i="52"/>
  <c r="E504" i="52" s="1"/>
  <c r="J504" i="52" s="1"/>
  <c r="I503" i="52"/>
  <c r="E503" i="52" s="1"/>
  <c r="J503" i="52" s="1"/>
  <c r="I502" i="52"/>
  <c r="E502" i="52" s="1"/>
  <c r="J502" i="52" s="1"/>
  <c r="I501" i="52"/>
  <c r="E501" i="52" s="1"/>
  <c r="J501" i="52" s="1"/>
  <c r="I500" i="52"/>
  <c r="E500" i="52" s="1"/>
  <c r="J500" i="52" s="1"/>
  <c r="I499" i="52"/>
  <c r="I498" i="52"/>
  <c r="E498" i="52" s="1"/>
  <c r="J498" i="52" s="1"/>
  <c r="H495" i="52"/>
  <c r="H493" i="52"/>
  <c r="H492" i="52"/>
  <c r="I486" i="52"/>
  <c r="E486" i="52" s="1"/>
  <c r="J486" i="52" s="1"/>
  <c r="I458" i="52"/>
  <c r="H456" i="52"/>
  <c r="I456" i="52" s="1"/>
  <c r="H454" i="52"/>
  <c r="I454" i="52" s="1"/>
  <c r="J453" i="52"/>
  <c r="M485" i="52"/>
  <c r="H451" i="52"/>
  <c r="I451" i="52" s="1"/>
  <c r="H449" i="52"/>
  <c r="I449" i="52" s="1"/>
  <c r="M445" i="52"/>
  <c r="H445" i="52"/>
  <c r="I445" i="52" s="1"/>
  <c r="J445" i="52" s="1"/>
  <c r="J444" i="52"/>
  <c r="H443" i="52"/>
  <c r="I443" i="52" s="1"/>
  <c r="E443" i="52" s="1"/>
  <c r="E228" i="51" s="1"/>
  <c r="I442" i="52"/>
  <c r="H436" i="52"/>
  <c r="H435" i="52"/>
  <c r="H431" i="52"/>
  <c r="H429" i="52"/>
  <c r="H428" i="52"/>
  <c r="H427" i="52"/>
  <c r="H425" i="52"/>
  <c r="I425" i="52" s="1"/>
  <c r="J425" i="52" s="1"/>
  <c r="H424" i="52"/>
  <c r="I424" i="52" s="1"/>
  <c r="J424" i="52" s="1"/>
  <c r="H423" i="52"/>
  <c r="H422" i="52"/>
  <c r="H421" i="52"/>
  <c r="H419" i="52"/>
  <c r="H417" i="52"/>
  <c r="H416" i="52"/>
  <c r="H415" i="52"/>
  <c r="H413" i="52"/>
  <c r="H412" i="52"/>
  <c r="H411" i="52"/>
  <c r="H410" i="52"/>
  <c r="H409" i="52"/>
  <c r="I409" i="52" s="1"/>
  <c r="G408" i="52"/>
  <c r="H400" i="52"/>
  <c r="I400" i="52" s="1"/>
  <c r="E400" i="52" s="1"/>
  <c r="H399" i="52"/>
  <c r="H398" i="52"/>
  <c r="H397" i="52"/>
  <c r="H396" i="52"/>
  <c r="H395" i="52"/>
  <c r="H394" i="52"/>
  <c r="I393" i="52"/>
  <c r="H393" i="52"/>
  <c r="H392" i="52"/>
  <c r="I392" i="52" s="1"/>
  <c r="H391" i="52"/>
  <c r="I391" i="52" s="1"/>
  <c r="J391" i="52" s="1"/>
  <c r="H390" i="52"/>
  <c r="I390" i="52" s="1"/>
  <c r="J390" i="52" s="1"/>
  <c r="H389" i="52"/>
  <c r="H388" i="52"/>
  <c r="I386" i="52"/>
  <c r="J386" i="52" s="1"/>
  <c r="I385" i="52"/>
  <c r="H384" i="52"/>
  <c r="I384" i="52" s="1"/>
  <c r="J384" i="52" s="1"/>
  <c r="I383" i="52"/>
  <c r="I381" i="52"/>
  <c r="H381" i="52"/>
  <c r="I380" i="52"/>
  <c r="H380" i="52"/>
  <c r="H377" i="52"/>
  <c r="I377" i="52" s="1"/>
  <c r="H368" i="52"/>
  <c r="H367" i="52"/>
  <c r="H365" i="52"/>
  <c r="H364" i="52"/>
  <c r="H362" i="52"/>
  <c r="H361" i="52"/>
  <c r="I361" i="52" s="1"/>
  <c r="H360" i="52"/>
  <c r="I360" i="52" s="1"/>
  <c r="I359" i="52"/>
  <c r="H358" i="52"/>
  <c r="I358" i="52" s="1"/>
  <c r="H356" i="52"/>
  <c r="H355" i="52"/>
  <c r="H354" i="52"/>
  <c r="H352" i="52"/>
  <c r="H346" i="52"/>
  <c r="H341" i="52"/>
  <c r="H340" i="52"/>
  <c r="H339" i="52"/>
  <c r="H337" i="52"/>
  <c r="H335" i="52"/>
  <c r="H334" i="52"/>
  <c r="H332" i="52"/>
  <c r="H331" i="52"/>
  <c r="H330" i="52"/>
  <c r="H329" i="52"/>
  <c r="H328" i="52"/>
  <c r="H324" i="52"/>
  <c r="H323" i="52"/>
  <c r="H322" i="52"/>
  <c r="H321" i="52"/>
  <c r="H318" i="52"/>
  <c r="I314" i="52"/>
  <c r="J314" i="52" s="1"/>
  <c r="I311" i="52"/>
  <c r="I310" i="52"/>
  <c r="I309" i="52"/>
  <c r="I308" i="52"/>
  <c r="I307" i="52"/>
  <c r="H294" i="52"/>
  <c r="I294" i="52" s="1"/>
  <c r="I291" i="52"/>
  <c r="J291" i="52" s="1"/>
  <c r="H290" i="52"/>
  <c r="I290" i="52" s="1"/>
  <c r="J290" i="52" s="1"/>
  <c r="K287" i="52"/>
  <c r="H287" i="52"/>
  <c r="I287" i="52" s="1"/>
  <c r="J285" i="52"/>
  <c r="I285" i="52"/>
  <c r="E285" i="52" s="1"/>
  <c r="H276" i="52"/>
  <c r="H275" i="52"/>
  <c r="H272" i="52"/>
  <c r="H271" i="52"/>
  <c r="H270" i="52"/>
  <c r="H268" i="52"/>
  <c r="H267" i="52"/>
  <c r="H262" i="52"/>
  <c r="H255" i="52"/>
  <c r="H254" i="52"/>
  <c r="H249" i="52"/>
  <c r="H263" i="52" s="1"/>
  <c r="H248" i="52"/>
  <c r="H247" i="52"/>
  <c r="H261" i="52" s="1"/>
  <c r="H246" i="52"/>
  <c r="H245" i="52"/>
  <c r="H260" i="52" s="1"/>
  <c r="H244" i="52"/>
  <c r="H243" i="52"/>
  <c r="H241" i="52"/>
  <c r="H240" i="52"/>
  <c r="H239" i="52"/>
  <c r="H238" i="52"/>
  <c r="H235" i="52"/>
  <c r="H234" i="52"/>
  <c r="H233" i="52"/>
  <c r="H231" i="52"/>
  <c r="I230" i="52" s="1"/>
  <c r="H160" i="52"/>
  <c r="I160" i="52" s="1"/>
  <c r="H159" i="52"/>
  <c r="I159" i="52" s="1"/>
  <c r="M120" i="52"/>
  <c r="M119" i="52"/>
  <c r="K119" i="52"/>
  <c r="M118" i="52"/>
  <c r="K118" i="52"/>
  <c r="M117" i="52"/>
  <c r="K117" i="52"/>
  <c r="M116" i="52"/>
  <c r="K116" i="52"/>
  <c r="H110" i="52"/>
  <c r="H109" i="52"/>
  <c r="H108" i="52"/>
  <c r="H101" i="52"/>
  <c r="H97" i="52"/>
  <c r="H91" i="52"/>
  <c r="I91" i="52" s="1"/>
  <c r="M82" i="52"/>
  <c r="H79" i="52"/>
  <c r="I79" i="52" s="1"/>
  <c r="E79" i="52" s="1"/>
  <c r="H72" i="52"/>
  <c r="H71" i="52"/>
  <c r="H59" i="52"/>
  <c r="H57" i="52"/>
  <c r="H56" i="52"/>
  <c r="H53" i="52"/>
  <c r="H49" i="52"/>
  <c r="H48" i="52"/>
  <c r="I45" i="52"/>
  <c r="E45" i="52" s="1"/>
  <c r="H43" i="52"/>
  <c r="H42" i="52"/>
  <c r="H41" i="52"/>
  <c r="H38" i="52"/>
  <c r="H37" i="52"/>
  <c r="I37" i="52" s="1"/>
  <c r="E37" i="52" s="1"/>
  <c r="E14" i="51" s="1"/>
  <c r="H32" i="52"/>
  <c r="H31" i="52"/>
  <c r="H30" i="52"/>
  <c r="H29" i="52"/>
  <c r="H28" i="52"/>
  <c r="H27" i="52"/>
  <c r="H25" i="52"/>
  <c r="H24" i="52"/>
  <c r="H23" i="52"/>
  <c r="H22" i="52"/>
  <c r="H21" i="52"/>
  <c r="H19" i="52"/>
  <c r="H18" i="52"/>
  <c r="H17" i="52"/>
  <c r="H16" i="52"/>
  <c r="H12" i="52"/>
  <c r="H10" i="52"/>
  <c r="H9" i="52"/>
  <c r="E187" i="18"/>
  <c r="E185" i="18"/>
  <c r="E186" i="18"/>
  <c r="C186" i="18"/>
  <c r="C185" i="18"/>
  <c r="E184" i="18"/>
  <c r="C184" i="18"/>
  <c r="C21" i="50"/>
  <c r="B21" i="50"/>
  <c r="J451" i="52" l="1"/>
  <c r="E451" i="52"/>
  <c r="E237" i="51" s="1"/>
  <c r="J449" i="52"/>
  <c r="E449" i="52"/>
  <c r="E236" i="51" s="1"/>
  <c r="J456" i="52"/>
  <c r="E456" i="52"/>
  <c r="E240" i="51" s="1"/>
  <c r="J454" i="52"/>
  <c r="E454" i="52"/>
  <c r="E239" i="51" s="1"/>
  <c r="I492" i="52"/>
  <c r="E492" i="52" s="1"/>
  <c r="F14" i="51"/>
  <c r="K14" i="51"/>
  <c r="L14" i="51" s="1"/>
  <c r="E209" i="51"/>
  <c r="L400" i="52"/>
  <c r="I108" i="52"/>
  <c r="E108" i="52" s="1"/>
  <c r="E44" i="51" s="1"/>
  <c r="K44" i="51" s="1"/>
  <c r="E392" i="52"/>
  <c r="E207" i="51" s="1"/>
  <c r="I97" i="52"/>
  <c r="E97" i="52" s="1"/>
  <c r="E32" i="51"/>
  <c r="J79" i="52"/>
  <c r="E451" i="51"/>
  <c r="J693" i="52"/>
  <c r="J670" i="52"/>
  <c r="E428" i="51"/>
  <c r="E430" i="51"/>
  <c r="J672" i="52"/>
  <c r="J673" i="52"/>
  <c r="E431" i="51"/>
  <c r="J677" i="52"/>
  <c r="E435" i="51"/>
  <c r="E623" i="52"/>
  <c r="J623" i="52" s="1"/>
  <c r="E437" i="51"/>
  <c r="J679" i="52"/>
  <c r="J655" i="52"/>
  <c r="E413" i="51"/>
  <c r="E438" i="51"/>
  <c r="J680" i="52"/>
  <c r="J656" i="52"/>
  <c r="E414" i="51"/>
  <c r="J681" i="52"/>
  <c r="E439" i="51"/>
  <c r="E427" i="51"/>
  <c r="J669" i="52"/>
  <c r="J674" i="52"/>
  <c r="E432" i="51"/>
  <c r="J657" i="52"/>
  <c r="E415" i="51"/>
  <c r="J662" i="52"/>
  <c r="E420" i="51"/>
  <c r="E422" i="51"/>
  <c r="J664" i="52"/>
  <c r="J665" i="52"/>
  <c r="E423" i="51"/>
  <c r="J689" i="52"/>
  <c r="E447" i="51"/>
  <c r="E434" i="51"/>
  <c r="J676" i="52"/>
  <c r="J658" i="52"/>
  <c r="E416" i="51"/>
  <c r="J659" i="52"/>
  <c r="E417" i="51"/>
  <c r="J663" i="52"/>
  <c r="E421" i="51"/>
  <c r="E445" i="51"/>
  <c r="J687" i="52"/>
  <c r="J666" i="52"/>
  <c r="E424" i="51"/>
  <c r="J690" i="52"/>
  <c r="E448" i="51"/>
  <c r="E440" i="51"/>
  <c r="J682" i="52"/>
  <c r="E419" i="51"/>
  <c r="J661" i="52"/>
  <c r="E444" i="51"/>
  <c r="J686" i="52"/>
  <c r="J688" i="52"/>
  <c r="E446" i="51"/>
  <c r="J667" i="52"/>
  <c r="E425" i="51"/>
  <c r="J691" i="52"/>
  <c r="E449" i="51"/>
  <c r="J675" i="52"/>
  <c r="E433" i="51"/>
  <c r="J678" i="52"/>
  <c r="E436" i="51"/>
  <c r="E441" i="51"/>
  <c r="J683" i="52"/>
  <c r="E442" i="51"/>
  <c r="J684" i="52"/>
  <c r="J668" i="52"/>
  <c r="E426" i="51"/>
  <c r="E450" i="51"/>
  <c r="J692" i="52"/>
  <c r="E458" i="51"/>
  <c r="J700" i="52"/>
  <c r="E443" i="51"/>
  <c r="J685" i="52"/>
  <c r="J671" i="52"/>
  <c r="E429" i="51"/>
  <c r="E719" i="52"/>
  <c r="J719" i="52" s="1"/>
  <c r="E91" i="52"/>
  <c r="J287" i="52"/>
  <c r="K288" i="52" s="1"/>
  <c r="E287" i="52"/>
  <c r="E155" i="51" s="1"/>
  <c r="E497" i="51"/>
  <c r="J743" i="52"/>
  <c r="E453" i="51"/>
  <c r="J695" i="52"/>
  <c r="E388" i="51"/>
  <c r="J630" i="52"/>
  <c r="E454" i="51"/>
  <c r="J696" i="52"/>
  <c r="I467" i="52"/>
  <c r="E467" i="52" s="1"/>
  <c r="E494" i="51"/>
  <c r="J739" i="52"/>
  <c r="J442" i="52"/>
  <c r="E442" i="52"/>
  <c r="E227" i="51" s="1"/>
  <c r="K211" i="51"/>
  <c r="L211" i="51" s="1"/>
  <c r="F211" i="51"/>
  <c r="F228" i="51"/>
  <c r="K228" i="51"/>
  <c r="F127" i="51"/>
  <c r="N82" i="52"/>
  <c r="E16" i="51"/>
  <c r="F16" i="51" s="1"/>
  <c r="J45" i="52"/>
  <c r="E459" i="52"/>
  <c r="I415" i="52"/>
  <c r="J415" i="52" s="1"/>
  <c r="J217" i="52"/>
  <c r="I410" i="52"/>
  <c r="I243" i="52"/>
  <c r="E243" i="52" s="1"/>
  <c r="J243" i="52" s="1"/>
  <c r="I334" i="52"/>
  <c r="I40" i="52"/>
  <c r="I48" i="52"/>
  <c r="E48" i="52" s="1"/>
  <c r="E17" i="51" s="1"/>
  <c r="F17" i="51" s="1"/>
  <c r="I55" i="52"/>
  <c r="K55" i="52" s="1"/>
  <c r="I16" i="52"/>
  <c r="E476" i="52"/>
  <c r="J476" i="52" s="1"/>
  <c r="E499" i="52"/>
  <c r="J499" i="52" s="1"/>
  <c r="E507" i="52"/>
  <c r="J507" i="52" s="1"/>
  <c r="E458" i="52"/>
  <c r="E241" i="51" s="1"/>
  <c r="I270" i="52"/>
  <c r="I354" i="52"/>
  <c r="I254" i="52"/>
  <c r="E254" i="52" s="1"/>
  <c r="I402" i="52"/>
  <c r="J402" i="52" s="1"/>
  <c r="E210" i="51" s="1"/>
  <c r="K34" i="51"/>
  <c r="M34" i="51" s="1"/>
  <c r="J443" i="52"/>
  <c r="E404" i="52"/>
  <c r="I101" i="52"/>
  <c r="E101" i="52" s="1"/>
  <c r="E43" i="51" s="1"/>
  <c r="E37" i="51"/>
  <c r="K37" i="51" s="1"/>
  <c r="J380" i="52"/>
  <c r="J37" i="52"/>
  <c r="J400" i="52"/>
  <c r="I71" i="52"/>
  <c r="E71" i="52" s="1"/>
  <c r="I421" i="52"/>
  <c r="J421" i="52" s="1"/>
  <c r="I615" i="52"/>
  <c r="I619" i="52"/>
  <c r="I430" i="52"/>
  <c r="J430" i="52" s="1"/>
  <c r="I485" i="52"/>
  <c r="I747" i="52"/>
  <c r="J747" i="52" s="1"/>
  <c r="O115" i="52"/>
  <c r="I435" i="52"/>
  <c r="J435" i="52" s="1"/>
  <c r="J48" i="52"/>
  <c r="I427" i="52"/>
  <c r="J427" i="52" s="1"/>
  <c r="I275" i="52"/>
  <c r="I388" i="52"/>
  <c r="J388" i="52" s="1"/>
  <c r="I233" i="52"/>
  <c r="E233" i="52" s="1"/>
  <c r="I266" i="52"/>
  <c r="E266" i="52" s="1"/>
  <c r="I328" i="52"/>
  <c r="E328" i="52" s="1"/>
  <c r="J381" i="52"/>
  <c r="I321" i="52"/>
  <c r="J321" i="52" s="1"/>
  <c r="I9" i="52"/>
  <c r="K72" i="52"/>
  <c r="I238" i="52"/>
  <c r="E238" i="52" s="1"/>
  <c r="D3" i="49"/>
  <c r="D2" i="49"/>
  <c r="V11" i="48"/>
  <c r="K239" i="51" l="1"/>
  <c r="M239" i="51" s="1"/>
  <c r="F239" i="51"/>
  <c r="F240" i="51"/>
  <c r="K240" i="51"/>
  <c r="L240" i="51" s="1"/>
  <c r="K236" i="51"/>
  <c r="L236" i="51" s="1"/>
  <c r="F236" i="51"/>
  <c r="K237" i="51"/>
  <c r="M237" i="51" s="1"/>
  <c r="F237" i="51"/>
  <c r="J392" i="52"/>
  <c r="K207" i="51"/>
  <c r="L207" i="51" s="1"/>
  <c r="F207" i="51"/>
  <c r="E410" i="52"/>
  <c r="E215" i="51" s="1"/>
  <c r="K43" i="51"/>
  <c r="L43" i="51" s="1"/>
  <c r="F43" i="51"/>
  <c r="K209" i="51"/>
  <c r="L209" i="51" s="1"/>
  <c r="F209" i="51"/>
  <c r="K147" i="51"/>
  <c r="L147" i="51" s="1"/>
  <c r="F147" i="51"/>
  <c r="J97" i="52"/>
  <c r="E42" i="51"/>
  <c r="K42" i="51" s="1"/>
  <c r="M42" i="51" s="1"/>
  <c r="F32" i="51"/>
  <c r="K32" i="51"/>
  <c r="L32" i="51" s="1"/>
  <c r="F426" i="51"/>
  <c r="K426" i="51"/>
  <c r="F424" i="51"/>
  <c r="K424" i="51"/>
  <c r="F427" i="51"/>
  <c r="K427" i="51"/>
  <c r="F416" i="51"/>
  <c r="K416" i="51"/>
  <c r="F434" i="51"/>
  <c r="K434" i="51"/>
  <c r="F437" i="51"/>
  <c r="K437" i="51"/>
  <c r="F425" i="51"/>
  <c r="K425" i="51"/>
  <c r="L425" i="51" s="1"/>
  <c r="F447" i="51"/>
  <c r="K447" i="51"/>
  <c r="F417" i="51"/>
  <c r="K417" i="51"/>
  <c r="L417" i="51" s="1"/>
  <c r="F413" i="51"/>
  <c r="K413" i="51"/>
  <c r="F415" i="51"/>
  <c r="K415" i="51"/>
  <c r="L415" i="51" s="1"/>
  <c r="F428" i="51"/>
  <c r="K428" i="51"/>
  <c r="F439" i="51"/>
  <c r="K439" i="51"/>
  <c r="F414" i="51"/>
  <c r="K414" i="51"/>
  <c r="L414" i="51" s="1"/>
  <c r="J619" i="52"/>
  <c r="E619" i="52"/>
  <c r="F433" i="51"/>
  <c r="K433" i="51"/>
  <c r="F431" i="51"/>
  <c r="K431" i="51"/>
  <c r="M431" i="51" s="1"/>
  <c r="F422" i="51"/>
  <c r="K422" i="51"/>
  <c r="F420" i="51"/>
  <c r="K420" i="51"/>
  <c r="F430" i="51"/>
  <c r="K430" i="51"/>
  <c r="F440" i="51"/>
  <c r="K440" i="51"/>
  <c r="L440" i="51" s="1"/>
  <c r="F442" i="51"/>
  <c r="K442" i="51"/>
  <c r="M442" i="51" s="1"/>
  <c r="F421" i="51"/>
  <c r="K421" i="51"/>
  <c r="F441" i="51"/>
  <c r="K441" i="51"/>
  <c r="E12" i="51"/>
  <c r="J9" i="52"/>
  <c r="F423" i="51"/>
  <c r="K423" i="51"/>
  <c r="F448" i="51"/>
  <c r="K448" i="51"/>
  <c r="F432" i="51"/>
  <c r="K432" i="51"/>
  <c r="F445" i="51"/>
  <c r="K445" i="51"/>
  <c r="F436" i="51"/>
  <c r="K436" i="51"/>
  <c r="F438" i="51"/>
  <c r="K438" i="51"/>
  <c r="F449" i="51"/>
  <c r="K449" i="51"/>
  <c r="F446" i="51"/>
  <c r="K446" i="51"/>
  <c r="F435" i="51"/>
  <c r="K435" i="51"/>
  <c r="F444" i="51"/>
  <c r="K444" i="51"/>
  <c r="F419" i="51"/>
  <c r="K419" i="51"/>
  <c r="F450" i="51"/>
  <c r="K450" i="51"/>
  <c r="F451" i="51"/>
  <c r="K451" i="51"/>
  <c r="F458" i="51"/>
  <c r="K458" i="51"/>
  <c r="K456" i="51" s="1"/>
  <c r="F443" i="51"/>
  <c r="K443" i="51"/>
  <c r="L443" i="51" s="1"/>
  <c r="F429" i="51"/>
  <c r="K429" i="51"/>
  <c r="J459" i="52"/>
  <c r="E242" i="51"/>
  <c r="E41" i="51"/>
  <c r="F41" i="51" s="1"/>
  <c r="J91" i="52"/>
  <c r="J467" i="52"/>
  <c r="E244" i="51"/>
  <c r="K241" i="51"/>
  <c r="F241" i="51"/>
  <c r="F454" i="51"/>
  <c r="K454" i="51"/>
  <c r="L454" i="51" s="1"/>
  <c r="E246" i="51"/>
  <c r="F388" i="51"/>
  <c r="K388" i="51"/>
  <c r="K385" i="51" s="1"/>
  <c r="E361" i="52"/>
  <c r="F227" i="51"/>
  <c r="K227" i="51"/>
  <c r="M227" i="51" s="1"/>
  <c r="F494" i="51"/>
  <c r="K494" i="51"/>
  <c r="E256" i="51"/>
  <c r="J492" i="52"/>
  <c r="K453" i="51"/>
  <c r="F453" i="51"/>
  <c r="E146" i="51"/>
  <c r="J266" i="52"/>
  <c r="K497" i="51"/>
  <c r="F497" i="51"/>
  <c r="F155" i="51"/>
  <c r="K155" i="51"/>
  <c r="L155" i="51" s="1"/>
  <c r="J254" i="52"/>
  <c r="E144" i="51"/>
  <c r="J108" i="52"/>
  <c r="M228" i="51"/>
  <c r="F37" i="51"/>
  <c r="L37" i="51"/>
  <c r="K210" i="51"/>
  <c r="L210" i="51" s="1"/>
  <c r="F210" i="51"/>
  <c r="F44" i="51"/>
  <c r="E143" i="51"/>
  <c r="J238" i="52"/>
  <c r="E142" i="51"/>
  <c r="J233" i="52"/>
  <c r="E141" i="51"/>
  <c r="M44" i="51"/>
  <c r="E40" i="52"/>
  <c r="K17" i="51"/>
  <c r="L17" i="51" s="1"/>
  <c r="J101" i="52"/>
  <c r="K16" i="51"/>
  <c r="M16" i="51" s="1"/>
  <c r="E415" i="52"/>
  <c r="E216" i="51" s="1"/>
  <c r="H420" i="52"/>
  <c r="I420" i="52" s="1"/>
  <c r="E420" i="52" s="1"/>
  <c r="E217" i="51" s="1"/>
  <c r="H466" i="52"/>
  <c r="J466" i="52" s="1"/>
  <c r="E466" i="52"/>
  <c r="E243" i="51" s="1"/>
  <c r="E402" i="52"/>
  <c r="H327" i="52"/>
  <c r="I327" i="52" s="1"/>
  <c r="H12" i="25"/>
  <c r="H14" i="25"/>
  <c r="H205" i="25"/>
  <c r="H93" i="25"/>
  <c r="H98" i="25"/>
  <c r="M105" i="25"/>
  <c r="M104" i="25"/>
  <c r="M103" i="25"/>
  <c r="M102" i="25"/>
  <c r="O100" i="25" s="1"/>
  <c r="M101" i="25"/>
  <c r="M38" i="51" l="1"/>
  <c r="L413" i="51"/>
  <c r="L412" i="51" s="1"/>
  <c r="K412" i="51"/>
  <c r="K215" i="51"/>
  <c r="F215" i="51"/>
  <c r="J410" i="52"/>
  <c r="F42" i="51"/>
  <c r="E15" i="51"/>
  <c r="F15" i="51" s="1"/>
  <c r="J40" i="52"/>
  <c r="K41" i="51"/>
  <c r="M241" i="51"/>
  <c r="M235" i="51" s="1"/>
  <c r="F12" i="51"/>
  <c r="K12" i="51"/>
  <c r="L11" i="51"/>
  <c r="L458" i="51"/>
  <c r="L456" i="51" s="1"/>
  <c r="M429" i="51"/>
  <c r="M412" i="51" s="1"/>
  <c r="E193" i="51"/>
  <c r="K193" i="51" s="1"/>
  <c r="L193" i="51" s="1"/>
  <c r="L181" i="51" s="1"/>
  <c r="J361" i="52"/>
  <c r="J420" i="52"/>
  <c r="K146" i="51"/>
  <c r="L146" i="51" s="1"/>
  <c r="F146" i="51"/>
  <c r="F243" i="51"/>
  <c r="K243" i="51"/>
  <c r="L243" i="51" s="1"/>
  <c r="L453" i="51"/>
  <c r="L452" i="51" s="1"/>
  <c r="K452" i="51"/>
  <c r="F246" i="51"/>
  <c r="K246" i="51"/>
  <c r="L246" i="51" s="1"/>
  <c r="F244" i="51"/>
  <c r="K244" i="51"/>
  <c r="L244" i="51" s="1"/>
  <c r="L497" i="51"/>
  <c r="L496" i="51" s="1"/>
  <c r="K496" i="51"/>
  <c r="L388" i="51"/>
  <c r="L385" i="51" s="1"/>
  <c r="F256" i="51"/>
  <c r="K256" i="51"/>
  <c r="F217" i="51"/>
  <c r="K217" i="51"/>
  <c r="M217" i="51" s="1"/>
  <c r="F144" i="51"/>
  <c r="K144" i="51"/>
  <c r="L144" i="51" s="1"/>
  <c r="L494" i="51"/>
  <c r="L476" i="51" s="1"/>
  <c r="K476" i="51"/>
  <c r="K216" i="51"/>
  <c r="F216" i="51"/>
  <c r="K242" i="51"/>
  <c r="F242" i="51"/>
  <c r="F141" i="51"/>
  <c r="K141" i="51"/>
  <c r="M141" i="51" s="1"/>
  <c r="K143" i="51"/>
  <c r="M143" i="51" s="1"/>
  <c r="F143" i="51"/>
  <c r="K142" i="51"/>
  <c r="L142" i="51" s="1"/>
  <c r="F142" i="51"/>
  <c r="I466" i="52"/>
  <c r="H200" i="25"/>
  <c r="H199" i="25"/>
  <c r="H201" i="25"/>
  <c r="H224" i="25"/>
  <c r="H226" i="25"/>
  <c r="H225" i="25"/>
  <c r="L256" i="51" l="1"/>
  <c r="L215" i="51"/>
  <c r="L213" i="51" s="1"/>
  <c r="K213" i="51"/>
  <c r="L41" i="51"/>
  <c r="K15" i="51"/>
  <c r="K11" i="51" s="1"/>
  <c r="F193" i="51"/>
  <c r="L139" i="51"/>
  <c r="M216" i="51"/>
  <c r="M213" i="51" s="1"/>
  <c r="K181" i="51"/>
  <c r="L242" i="51"/>
  <c r="H111" i="25"/>
  <c r="H105" i="25"/>
  <c r="M15" i="51" l="1"/>
  <c r="M11" i="51" s="1"/>
  <c r="K207" i="18"/>
  <c r="L207" i="18" s="1"/>
  <c r="K206" i="18"/>
  <c r="L206" i="18" s="1"/>
  <c r="H212" i="25"/>
  <c r="K208" i="18"/>
  <c r="L208" i="18"/>
  <c r="J207" i="18"/>
  <c r="J206" i="18"/>
  <c r="L203" i="18"/>
  <c r="K203" i="18"/>
  <c r="J201" i="18"/>
  <c r="L201" i="18" s="1"/>
  <c r="J202" i="18"/>
  <c r="K205" i="18"/>
  <c r="L205" i="18" s="1"/>
  <c r="K204" i="18"/>
  <c r="L204" i="18" s="1"/>
  <c r="K201" i="18"/>
  <c r="K202" i="18"/>
  <c r="L202" i="18" s="1"/>
  <c r="L198" i="18"/>
  <c r="L199" i="18"/>
  <c r="L200" i="18"/>
  <c r="L197" i="18"/>
  <c r="K183" i="18"/>
  <c r="L183" i="18" s="1"/>
  <c r="K182" i="18"/>
  <c r="J182" i="18"/>
  <c r="K192" i="18"/>
  <c r="L192" i="18" s="1"/>
  <c r="K191" i="18"/>
  <c r="L191" i="18" s="1"/>
  <c r="K186" i="18"/>
  <c r="L186" i="18" s="1"/>
  <c r="K181" i="18"/>
  <c r="L181" i="18" s="1"/>
  <c r="J190" i="18"/>
  <c r="J189" i="18"/>
  <c r="K185" i="18"/>
  <c r="J185" i="18"/>
  <c r="K184" i="18"/>
  <c r="J184" i="18"/>
  <c r="L209" i="18" l="1"/>
  <c r="H213" i="25" s="1"/>
  <c r="L184" i="18"/>
  <c r="L182" i="18"/>
  <c r="L185" i="18"/>
  <c r="K180" i="18" l="1"/>
  <c r="J180" i="18"/>
  <c r="K179" i="18"/>
  <c r="J179" i="18"/>
  <c r="K190" i="18"/>
  <c r="L190" i="18" s="1"/>
  <c r="K189" i="18"/>
  <c r="L189" i="18" s="1"/>
  <c r="K187" i="18"/>
  <c r="K188" i="18"/>
  <c r="J188" i="18"/>
  <c r="J187" i="18"/>
  <c r="I224" i="25"/>
  <c r="L180" i="18" l="1"/>
  <c r="L179" i="18"/>
  <c r="L188" i="18"/>
  <c r="L187" i="18"/>
  <c r="H88" i="25"/>
  <c r="L170" i="18"/>
  <c r="L169" i="18"/>
  <c r="K173" i="18"/>
  <c r="L173" i="18" s="1"/>
  <c r="J172" i="18"/>
  <c r="L172" i="18" s="1"/>
  <c r="J171" i="18"/>
  <c r="L171" i="18" s="1"/>
  <c r="K10" i="48"/>
  <c r="W4" i="48"/>
  <c r="W5" i="48"/>
  <c r="W3" i="48"/>
  <c r="K4" i="48"/>
  <c r="K5" i="48"/>
  <c r="K6" i="48"/>
  <c r="K7" i="48"/>
  <c r="K8" i="48"/>
  <c r="K9" i="48"/>
  <c r="K11" i="48"/>
  <c r="K12" i="48"/>
  <c r="K13" i="48"/>
  <c r="K14" i="48"/>
  <c r="K15" i="48"/>
  <c r="K16" i="48"/>
  <c r="K17" i="48"/>
  <c r="K18" i="48"/>
  <c r="K19" i="48"/>
  <c r="K3" i="48"/>
  <c r="O97" i="48"/>
  <c r="N97" i="48"/>
  <c r="O96" i="48"/>
  <c r="N96" i="48"/>
  <c r="O95" i="48"/>
  <c r="N95" i="48"/>
  <c r="O94" i="48"/>
  <c r="N94" i="48"/>
  <c r="O93" i="48"/>
  <c r="N93" i="48"/>
  <c r="O92" i="48"/>
  <c r="N92" i="48"/>
  <c r="O91" i="48"/>
  <c r="N91" i="48"/>
  <c r="O90" i="48"/>
  <c r="N90" i="48"/>
  <c r="O89" i="48"/>
  <c r="N89" i="48"/>
  <c r="O88" i="48"/>
  <c r="N88" i="48"/>
  <c r="O87" i="48"/>
  <c r="N87" i="48"/>
  <c r="O86" i="48"/>
  <c r="N86" i="48"/>
  <c r="O85" i="48"/>
  <c r="N85" i="48"/>
  <c r="O84" i="48"/>
  <c r="N84" i="48"/>
  <c r="O83" i="48"/>
  <c r="N83" i="48"/>
  <c r="O82" i="48"/>
  <c r="N82" i="48"/>
  <c r="K82" i="48"/>
  <c r="I82" i="48"/>
  <c r="H82" i="48"/>
  <c r="G82" i="48"/>
  <c r="O81" i="48"/>
  <c r="N81" i="48"/>
  <c r="K81" i="48"/>
  <c r="I81" i="48"/>
  <c r="H81" i="48"/>
  <c r="G81" i="48"/>
  <c r="O80" i="48"/>
  <c r="N80" i="48"/>
  <c r="K80" i="48"/>
  <c r="I80" i="48"/>
  <c r="H80" i="48"/>
  <c r="G80" i="48"/>
  <c r="O79" i="48"/>
  <c r="N79" i="48"/>
  <c r="K79" i="48"/>
  <c r="I79" i="48"/>
  <c r="H79" i="48"/>
  <c r="G79" i="48"/>
  <c r="O78" i="48"/>
  <c r="N78" i="48"/>
  <c r="K78" i="48"/>
  <c r="I78" i="48"/>
  <c r="H78" i="48"/>
  <c r="G78" i="48"/>
  <c r="O77" i="48"/>
  <c r="N77" i="48"/>
  <c r="K77" i="48"/>
  <c r="I77" i="48"/>
  <c r="H77" i="48"/>
  <c r="G77" i="48"/>
  <c r="O76" i="48"/>
  <c r="N76" i="48"/>
  <c r="K76" i="48"/>
  <c r="I76" i="48"/>
  <c r="H76" i="48"/>
  <c r="G76" i="48"/>
  <c r="O75" i="48"/>
  <c r="N75" i="48"/>
  <c r="K75" i="48"/>
  <c r="I75" i="48"/>
  <c r="H75" i="48"/>
  <c r="G75" i="48"/>
  <c r="O74" i="48"/>
  <c r="N74" i="48"/>
  <c r="K74" i="48"/>
  <c r="I74" i="48"/>
  <c r="H74" i="48"/>
  <c r="G74" i="48"/>
  <c r="O73" i="48"/>
  <c r="N73" i="48"/>
  <c r="K73" i="48"/>
  <c r="I73" i="48"/>
  <c r="H73" i="48"/>
  <c r="G73" i="48"/>
  <c r="O72" i="48"/>
  <c r="N72" i="48"/>
  <c r="K72" i="48"/>
  <c r="I72" i="48"/>
  <c r="H72" i="48"/>
  <c r="G72" i="48"/>
  <c r="O71" i="48"/>
  <c r="N71" i="48"/>
  <c r="K71" i="48"/>
  <c r="I71" i="48"/>
  <c r="H71" i="48"/>
  <c r="G71" i="48"/>
  <c r="O70" i="48"/>
  <c r="N70" i="48"/>
  <c r="K70" i="48"/>
  <c r="I70" i="48"/>
  <c r="H70" i="48"/>
  <c r="G70" i="48"/>
  <c r="O69" i="48"/>
  <c r="N69" i="48"/>
  <c r="K69" i="48"/>
  <c r="I69" i="48"/>
  <c r="H69" i="48"/>
  <c r="G69" i="48"/>
  <c r="O68" i="48"/>
  <c r="N68" i="48"/>
  <c r="K68" i="48"/>
  <c r="I68" i="48"/>
  <c r="H68" i="48"/>
  <c r="G68" i="48"/>
  <c r="O67" i="48"/>
  <c r="N67" i="48"/>
  <c r="K67" i="48"/>
  <c r="I67" i="48"/>
  <c r="H67" i="48"/>
  <c r="G67" i="48"/>
  <c r="O66" i="48"/>
  <c r="N66" i="48"/>
  <c r="K66" i="48"/>
  <c r="I66" i="48"/>
  <c r="H66" i="48"/>
  <c r="G66" i="48"/>
  <c r="O65" i="48"/>
  <c r="N65" i="48"/>
  <c r="K65" i="48"/>
  <c r="I65" i="48"/>
  <c r="H65" i="48"/>
  <c r="G65" i="48"/>
  <c r="O64" i="48"/>
  <c r="N64" i="48"/>
  <c r="K64" i="48"/>
  <c r="I64" i="48"/>
  <c r="H64" i="48"/>
  <c r="G64" i="48"/>
  <c r="O63" i="48"/>
  <c r="N63" i="48"/>
  <c r="K63" i="48"/>
  <c r="I63" i="48"/>
  <c r="H63" i="48"/>
  <c r="G63" i="48"/>
  <c r="O62" i="48"/>
  <c r="N62" i="48"/>
  <c r="K62" i="48"/>
  <c r="I62" i="48"/>
  <c r="H62" i="48"/>
  <c r="G62" i="48"/>
  <c r="O61" i="48"/>
  <c r="N61" i="48"/>
  <c r="K61" i="48"/>
  <c r="I61" i="48"/>
  <c r="H61" i="48"/>
  <c r="G61" i="48"/>
  <c r="O60" i="48"/>
  <c r="N60" i="48"/>
  <c r="K60" i="48"/>
  <c r="I60" i="48"/>
  <c r="H60" i="48"/>
  <c r="G60" i="48"/>
  <c r="O59" i="48"/>
  <c r="N59" i="48"/>
  <c r="K59" i="48"/>
  <c r="I59" i="48"/>
  <c r="H59" i="48"/>
  <c r="G59" i="48"/>
  <c r="O58" i="48"/>
  <c r="N58" i="48"/>
  <c r="K58" i="48"/>
  <c r="I58" i="48"/>
  <c r="H58" i="48"/>
  <c r="G58" i="48"/>
  <c r="O57" i="48"/>
  <c r="N57" i="48"/>
  <c r="K57" i="48"/>
  <c r="I57" i="48"/>
  <c r="H57" i="48"/>
  <c r="G57" i="48"/>
  <c r="O56" i="48"/>
  <c r="N56" i="48"/>
  <c r="K56" i="48"/>
  <c r="I56" i="48"/>
  <c r="H56" i="48"/>
  <c r="G56" i="48"/>
  <c r="K55" i="48"/>
  <c r="I55" i="48"/>
  <c r="H55" i="48"/>
  <c r="G55" i="48"/>
  <c r="K54" i="48"/>
  <c r="I54" i="48"/>
  <c r="H54" i="48"/>
  <c r="G54" i="48"/>
  <c r="O53" i="48"/>
  <c r="N53" i="48"/>
  <c r="K53" i="48"/>
  <c r="I53" i="48"/>
  <c r="H53" i="48"/>
  <c r="G53" i="48"/>
  <c r="O52" i="48"/>
  <c r="N52" i="48"/>
  <c r="K52" i="48"/>
  <c r="I52" i="48"/>
  <c r="H52" i="48"/>
  <c r="G52" i="48"/>
  <c r="O51" i="48"/>
  <c r="N51" i="48"/>
  <c r="K51" i="48"/>
  <c r="I51" i="48"/>
  <c r="H51" i="48"/>
  <c r="G51" i="48"/>
  <c r="O50" i="48"/>
  <c r="N50" i="48"/>
  <c r="K50" i="48"/>
  <c r="I50" i="48"/>
  <c r="H50" i="48"/>
  <c r="G50" i="48"/>
  <c r="O49" i="48"/>
  <c r="N49" i="48"/>
  <c r="K49" i="48"/>
  <c r="I49" i="48"/>
  <c r="H49" i="48"/>
  <c r="G49" i="48"/>
  <c r="O48" i="48"/>
  <c r="N48" i="48"/>
  <c r="K48" i="48"/>
  <c r="I48" i="48"/>
  <c r="H48" i="48"/>
  <c r="G48" i="48"/>
  <c r="O47" i="48"/>
  <c r="N47" i="48"/>
  <c r="K47" i="48"/>
  <c r="I47" i="48"/>
  <c r="H47" i="48"/>
  <c r="G47" i="48"/>
  <c r="O46" i="48"/>
  <c r="N46" i="48"/>
  <c r="K46" i="48"/>
  <c r="I46" i="48"/>
  <c r="H46" i="48"/>
  <c r="G46" i="48"/>
  <c r="O45" i="48"/>
  <c r="N45" i="48"/>
  <c r="K45" i="48"/>
  <c r="I45" i="48"/>
  <c r="H45" i="48"/>
  <c r="G45" i="48"/>
  <c r="O44" i="48"/>
  <c r="N44" i="48"/>
  <c r="K44" i="48"/>
  <c r="I44" i="48"/>
  <c r="H44" i="48"/>
  <c r="G44" i="48"/>
  <c r="O43" i="48"/>
  <c r="N43" i="48"/>
  <c r="K43" i="48"/>
  <c r="I43" i="48"/>
  <c r="H43" i="48"/>
  <c r="G43" i="48"/>
  <c r="O42" i="48"/>
  <c r="N42" i="48"/>
  <c r="K42" i="48"/>
  <c r="I42" i="48"/>
  <c r="H42" i="48"/>
  <c r="G42" i="48"/>
  <c r="O41" i="48"/>
  <c r="N41" i="48"/>
  <c r="K41" i="48"/>
  <c r="I41" i="48"/>
  <c r="H41" i="48"/>
  <c r="G41" i="48"/>
  <c r="O40" i="48"/>
  <c r="N40" i="48"/>
  <c r="O39" i="48"/>
  <c r="O98" i="48" s="1"/>
  <c r="N39" i="48"/>
  <c r="N98" i="48" s="1"/>
  <c r="K38" i="48"/>
  <c r="I38" i="48"/>
  <c r="H38" i="48"/>
  <c r="G38" i="48"/>
  <c r="K37" i="48"/>
  <c r="I37" i="48"/>
  <c r="H37" i="48"/>
  <c r="G37" i="48"/>
  <c r="O36" i="48"/>
  <c r="N36" i="48"/>
  <c r="K36" i="48"/>
  <c r="I36" i="48"/>
  <c r="H36" i="48"/>
  <c r="G36" i="48"/>
  <c r="K35" i="48"/>
  <c r="I35" i="48"/>
  <c r="H35" i="48"/>
  <c r="G35" i="48"/>
  <c r="K34" i="48"/>
  <c r="I34" i="48"/>
  <c r="H34" i="48"/>
  <c r="G34" i="48"/>
  <c r="K33" i="48"/>
  <c r="I33" i="48"/>
  <c r="H33" i="48"/>
  <c r="G33" i="48"/>
  <c r="K32" i="48"/>
  <c r="I32" i="48"/>
  <c r="H32" i="48"/>
  <c r="G32" i="48"/>
  <c r="K31" i="48"/>
  <c r="I31" i="48"/>
  <c r="H31" i="48"/>
  <c r="G31" i="48"/>
  <c r="K30" i="48"/>
  <c r="I30" i="48"/>
  <c r="H30" i="48"/>
  <c r="G30" i="48"/>
  <c r="K29" i="48"/>
  <c r="I29" i="48"/>
  <c r="H29" i="48"/>
  <c r="G29" i="48"/>
  <c r="N28" i="48"/>
  <c r="K28" i="48"/>
  <c r="I28" i="48"/>
  <c r="H28" i="48"/>
  <c r="G28" i="48"/>
  <c r="K27" i="48"/>
  <c r="I27" i="48"/>
  <c r="H27" i="48"/>
  <c r="G27" i="48"/>
  <c r="K26" i="48"/>
  <c r="I26" i="48"/>
  <c r="H26" i="48"/>
  <c r="G26" i="48"/>
  <c r="K25" i="48"/>
  <c r="I25" i="48"/>
  <c r="H25" i="48"/>
  <c r="G25" i="48"/>
  <c r="N24" i="48"/>
  <c r="K24" i="48"/>
  <c r="K83" i="48" s="1"/>
  <c r="I91" i="48" s="1"/>
  <c r="I24" i="48"/>
  <c r="I83" i="48" s="1"/>
  <c r="H24" i="48"/>
  <c r="H83" i="48" s="1"/>
  <c r="G24" i="48"/>
  <c r="G83" i="48" s="1"/>
  <c r="D91" i="48" s="1"/>
  <c r="O21" i="48"/>
  <c r="E20" i="48"/>
  <c r="O19" i="48"/>
  <c r="N19" i="48"/>
  <c r="J19" i="48"/>
  <c r="G19" i="48"/>
  <c r="B19" i="48"/>
  <c r="N32" i="48" s="1"/>
  <c r="O18" i="48"/>
  <c r="N18" i="48"/>
  <c r="J18" i="48"/>
  <c r="G18" i="48"/>
  <c r="B18" i="48"/>
  <c r="O31" i="48" s="1"/>
  <c r="S17" i="48"/>
  <c r="R17" i="48"/>
  <c r="J17" i="48"/>
  <c r="G17" i="48"/>
  <c r="B17" i="48"/>
  <c r="N30" i="48" s="1"/>
  <c r="S16" i="48"/>
  <c r="S18" i="48" s="1"/>
  <c r="R16" i="48"/>
  <c r="R18" i="48" s="1"/>
  <c r="N16" i="48"/>
  <c r="J16" i="48"/>
  <c r="G16" i="48"/>
  <c r="B16" i="48"/>
  <c r="O29" i="48" s="1"/>
  <c r="J15" i="48"/>
  <c r="G15" i="48"/>
  <c r="B15" i="48"/>
  <c r="J14" i="48"/>
  <c r="H14" i="48"/>
  <c r="G14" i="48"/>
  <c r="B14" i="48"/>
  <c r="O27" i="48" s="1"/>
  <c r="J13" i="48"/>
  <c r="T16" i="48" s="1"/>
  <c r="G13" i="48"/>
  <c r="B13" i="48"/>
  <c r="F13" i="48" s="1"/>
  <c r="N12" i="48"/>
  <c r="C90" i="48" s="1"/>
  <c r="J12" i="48"/>
  <c r="G12" i="48"/>
  <c r="B12" i="48"/>
  <c r="O25" i="48" s="1"/>
  <c r="J11" i="48"/>
  <c r="G11" i="48"/>
  <c r="B11" i="48"/>
  <c r="J10" i="48"/>
  <c r="H10" i="48"/>
  <c r="G10" i="48"/>
  <c r="B10" i="48"/>
  <c r="O23" i="48" s="1"/>
  <c r="J9" i="48"/>
  <c r="G9" i="48"/>
  <c r="B9" i="48"/>
  <c r="N22" i="48" s="1"/>
  <c r="J8" i="48"/>
  <c r="G8" i="48"/>
  <c r="B8" i="48"/>
  <c r="H8" i="48" s="1"/>
  <c r="J7" i="48"/>
  <c r="G7" i="48"/>
  <c r="B7" i="48"/>
  <c r="F7" i="48" s="1"/>
  <c r="Q6" i="48"/>
  <c r="J6" i="48"/>
  <c r="H6" i="48"/>
  <c r="G6" i="48"/>
  <c r="F6" i="48"/>
  <c r="B6" i="48"/>
  <c r="V5" i="48"/>
  <c r="S5" i="48"/>
  <c r="N5" i="48"/>
  <c r="J5" i="48"/>
  <c r="T17" i="48" s="1"/>
  <c r="H5" i="48"/>
  <c r="G5" i="48"/>
  <c r="F5" i="48"/>
  <c r="B5" i="48"/>
  <c r="V4" i="48"/>
  <c r="S4" i="48"/>
  <c r="N4" i="48"/>
  <c r="J4" i="48"/>
  <c r="J20" i="48" s="1"/>
  <c r="S12" i="48" s="1"/>
  <c r="H90" i="48" s="1"/>
  <c r="H92" i="48" s="1"/>
  <c r="G4" i="48"/>
  <c r="B4" i="48"/>
  <c r="V3" i="48"/>
  <c r="V6" i="48" s="1"/>
  <c r="S3" i="48"/>
  <c r="S6" i="48" s="1"/>
  <c r="N3" i="48"/>
  <c r="T3" i="48" s="1"/>
  <c r="J3" i="48"/>
  <c r="G3" i="48"/>
  <c r="G20" i="48" s="1"/>
  <c r="B3" i="48"/>
  <c r="D1" i="48"/>
  <c r="H109" i="25"/>
  <c r="K103" i="25"/>
  <c r="H103" i="25"/>
  <c r="L193" i="18" l="1"/>
  <c r="L174" i="18"/>
  <c r="T18" i="48"/>
  <c r="P12" i="48"/>
  <c r="E90" i="48" s="1"/>
  <c r="F16" i="48"/>
  <c r="N34" i="48"/>
  <c r="H12" i="48"/>
  <c r="O34" i="48"/>
  <c r="U6" i="48"/>
  <c r="N20" i="48"/>
  <c r="T4" i="48"/>
  <c r="R5" i="48"/>
  <c r="H13" i="48"/>
  <c r="O20" i="48"/>
  <c r="O24" i="48"/>
  <c r="O26" i="48"/>
  <c r="O28" i="48"/>
  <c r="O30" i="48"/>
  <c r="O32" i="48"/>
  <c r="F3" i="48"/>
  <c r="W6" i="48"/>
  <c r="H9" i="48"/>
  <c r="F11" i="48"/>
  <c r="F15" i="48"/>
  <c r="N21" i="48"/>
  <c r="F17" i="48"/>
  <c r="F19" i="48"/>
  <c r="F12" i="48"/>
  <c r="H17" i="48"/>
  <c r="H7" i="48"/>
  <c r="N26" i="48"/>
  <c r="T5" i="48"/>
  <c r="T6" i="48" s="1"/>
  <c r="K20" i="48"/>
  <c r="F4" i="48"/>
  <c r="N35" i="48"/>
  <c r="F8" i="48"/>
  <c r="O22" i="48"/>
  <c r="O35" i="48"/>
  <c r="R3" i="48"/>
  <c r="F18" i="48"/>
  <c r="R4" i="48"/>
  <c r="H16" i="48"/>
  <c r="H18" i="48"/>
  <c r="H19" i="48"/>
  <c r="F9" i="48"/>
  <c r="N17" i="48"/>
  <c r="N37" i="48" s="1"/>
  <c r="N99" i="48" s="1"/>
  <c r="H3" i="48"/>
  <c r="H11" i="48"/>
  <c r="H15" i="48"/>
  <c r="O16" i="48"/>
  <c r="O37" i="48" s="1"/>
  <c r="O99" i="48" s="1"/>
  <c r="O17" i="48"/>
  <c r="H4" i="48"/>
  <c r="N23" i="48"/>
  <c r="N25" i="48"/>
  <c r="N27" i="48"/>
  <c r="N29" i="48"/>
  <c r="N31" i="48"/>
  <c r="F10" i="48"/>
  <c r="F14" i="48"/>
  <c r="K102" i="25"/>
  <c r="T12" i="48" l="1"/>
  <c r="I90" i="48" s="1"/>
  <c r="F20" i="48"/>
  <c r="O12" i="48" s="1"/>
  <c r="R6" i="48"/>
  <c r="H20" i="48"/>
  <c r="Q12" i="48" s="1"/>
  <c r="F90" i="48" s="1"/>
  <c r="F92" i="48" s="1"/>
  <c r="I20" i="48"/>
  <c r="R12" i="48" s="1"/>
  <c r="G90" i="48" s="1"/>
  <c r="O470" i="44"/>
  <c r="O464" i="44"/>
  <c r="O444" i="44"/>
  <c r="O420" i="44"/>
  <c r="O380" i="44"/>
  <c r="O310" i="44"/>
  <c r="G92" i="48" l="1"/>
  <c r="H471" i="52"/>
  <c r="I471" i="52" s="1"/>
  <c r="I92" i="48"/>
  <c r="H405" i="25"/>
  <c r="D90" i="48"/>
  <c r="O13" i="48"/>
  <c r="H107" i="25"/>
  <c r="H101" i="25"/>
  <c r="H108" i="25"/>
  <c r="H102" i="25"/>
  <c r="H110" i="25"/>
  <c r="H104" i="25"/>
  <c r="H25" i="46"/>
  <c r="H23" i="46"/>
  <c r="H24" i="46"/>
  <c r="H22" i="46"/>
  <c r="H11" i="46"/>
  <c r="H12" i="46"/>
  <c r="H13" i="46"/>
  <c r="H14" i="46"/>
  <c r="H15" i="46"/>
  <c r="H10" i="46"/>
  <c r="H6" i="46"/>
  <c r="H5" i="46"/>
  <c r="H4" i="46"/>
  <c r="G3" i="46"/>
  <c r="H3" i="46" s="1"/>
  <c r="H2" i="46"/>
  <c r="K101" i="25"/>
  <c r="H26" i="46" l="1"/>
  <c r="H27" i="46" s="1"/>
  <c r="L24" i="46" s="1"/>
  <c r="H118" i="52" s="1"/>
  <c r="H124" i="52" s="1"/>
  <c r="G124" i="52" s="1"/>
  <c r="H7" i="46"/>
  <c r="H8" i="46" s="1"/>
  <c r="L4" i="46" s="1"/>
  <c r="H116" i="52" s="1"/>
  <c r="E471" i="52"/>
  <c r="I106" i="25"/>
  <c r="I100" i="25"/>
  <c r="D92" i="48"/>
  <c r="H16" i="46"/>
  <c r="H17" i="46" s="1"/>
  <c r="L20" i="46" s="1"/>
  <c r="H117" i="52" s="1"/>
  <c r="G118" i="52" l="1"/>
  <c r="G117" i="52"/>
  <c r="H123" i="52"/>
  <c r="G123" i="52" s="1"/>
  <c r="H122" i="52"/>
  <c r="G116" i="52"/>
  <c r="I115" i="52"/>
  <c r="E245" i="51"/>
  <c r="K245" i="51" s="1"/>
  <c r="K235" i="51" s="1"/>
  <c r="J471" i="52"/>
  <c r="K104" i="25"/>
  <c r="L245" i="51" l="1"/>
  <c r="L235" i="51" s="1"/>
  <c r="F245" i="51"/>
  <c r="J115" i="52"/>
  <c r="E115" i="52"/>
  <c r="E47" i="51" s="1"/>
  <c r="E46" i="51"/>
  <c r="G122" i="52"/>
  <c r="I121" i="52"/>
  <c r="K332" i="25"/>
  <c r="F471" i="45"/>
  <c r="E471" i="45"/>
  <c r="J471" i="45" s="1"/>
  <c r="J470" i="45"/>
  <c r="F470" i="45"/>
  <c r="I468" i="45"/>
  <c r="E468" i="45"/>
  <c r="F468" i="45" s="1"/>
  <c r="G467" i="45"/>
  <c r="E467" i="45"/>
  <c r="F467" i="45" s="1"/>
  <c r="I466" i="45"/>
  <c r="E466" i="45"/>
  <c r="J466" i="45" s="1"/>
  <c r="K466" i="45" s="1"/>
  <c r="I465" i="45"/>
  <c r="E465" i="45"/>
  <c r="L464" i="45"/>
  <c r="F464" i="45"/>
  <c r="I463" i="45"/>
  <c r="E463" i="45"/>
  <c r="J463" i="45" s="1"/>
  <c r="K463" i="45" s="1"/>
  <c r="I462" i="45"/>
  <c r="E462" i="45"/>
  <c r="J462" i="45" s="1"/>
  <c r="K462" i="45" s="1"/>
  <c r="J461" i="45"/>
  <c r="I461" i="45"/>
  <c r="E461" i="45"/>
  <c r="F461" i="45" s="1"/>
  <c r="I460" i="45"/>
  <c r="E460" i="45"/>
  <c r="J460" i="45" s="1"/>
  <c r="I459" i="45"/>
  <c r="E459" i="45"/>
  <c r="J459" i="45" s="1"/>
  <c r="I458" i="45"/>
  <c r="E458" i="45"/>
  <c r="J457" i="45"/>
  <c r="K457" i="45" s="1"/>
  <c r="I457" i="45"/>
  <c r="E457" i="45"/>
  <c r="F457" i="45" s="1"/>
  <c r="J456" i="45"/>
  <c r="I456" i="45"/>
  <c r="F456" i="45"/>
  <c r="E456" i="45"/>
  <c r="J455" i="45"/>
  <c r="I455" i="45"/>
  <c r="F455" i="45"/>
  <c r="E455" i="45"/>
  <c r="I454" i="45"/>
  <c r="E454" i="45"/>
  <c r="I453" i="45"/>
  <c r="E453" i="45"/>
  <c r="J453" i="45" s="1"/>
  <c r="K453" i="45" s="1"/>
  <c r="I452" i="45"/>
  <c r="E452" i="45"/>
  <c r="J452" i="45" s="1"/>
  <c r="K452" i="45" s="1"/>
  <c r="I451" i="45"/>
  <c r="E451" i="45"/>
  <c r="J451" i="45" s="1"/>
  <c r="K451" i="45" s="1"/>
  <c r="I450" i="45"/>
  <c r="E450" i="45"/>
  <c r="J450" i="45" s="1"/>
  <c r="I449" i="45"/>
  <c r="E449" i="45"/>
  <c r="J448" i="45"/>
  <c r="I448" i="45"/>
  <c r="E448" i="45"/>
  <c r="F448" i="45" s="1"/>
  <c r="I447" i="45"/>
  <c r="E447" i="45"/>
  <c r="I446" i="45"/>
  <c r="E446" i="45"/>
  <c r="I445" i="45"/>
  <c r="E445" i="45"/>
  <c r="J445" i="45" s="1"/>
  <c r="L444" i="45"/>
  <c r="F444" i="45"/>
  <c r="J443" i="45"/>
  <c r="K443" i="45" s="1"/>
  <c r="I443" i="45"/>
  <c r="I442" i="45"/>
  <c r="I441" i="45"/>
  <c r="E441" i="45"/>
  <c r="I440" i="45"/>
  <c r="E440" i="45"/>
  <c r="J440" i="45" s="1"/>
  <c r="I439" i="45"/>
  <c r="E439" i="45"/>
  <c r="J439" i="45" s="1"/>
  <c r="K439" i="45" s="1"/>
  <c r="I438" i="45"/>
  <c r="E438" i="45"/>
  <c r="J437" i="45"/>
  <c r="I437" i="45"/>
  <c r="F437" i="45"/>
  <c r="E437" i="45"/>
  <c r="I436" i="45"/>
  <c r="F436" i="45"/>
  <c r="E436" i="45"/>
  <c r="J436" i="45" s="1"/>
  <c r="K436" i="45" s="1"/>
  <c r="I435" i="45"/>
  <c r="E435" i="45"/>
  <c r="J435" i="45" s="1"/>
  <c r="K435" i="45" s="1"/>
  <c r="J434" i="45"/>
  <c r="I434" i="45"/>
  <c r="F434" i="45"/>
  <c r="E434" i="45"/>
  <c r="J433" i="45"/>
  <c r="I433" i="45"/>
  <c r="E433" i="45"/>
  <c r="F433" i="45" s="1"/>
  <c r="J432" i="45"/>
  <c r="I432" i="45"/>
  <c r="E432" i="45"/>
  <c r="F432" i="45" s="1"/>
  <c r="I431" i="45"/>
  <c r="E431" i="45"/>
  <c r="J431" i="45" s="1"/>
  <c r="J430" i="45"/>
  <c r="K430" i="45" s="1"/>
  <c r="I430" i="45"/>
  <c r="E430" i="45"/>
  <c r="F430" i="45" s="1"/>
  <c r="I429" i="45"/>
  <c r="E429" i="45"/>
  <c r="J429" i="45" s="1"/>
  <c r="J428" i="45"/>
  <c r="I428" i="45"/>
  <c r="K428" i="45" s="1"/>
  <c r="F428" i="45"/>
  <c r="E428" i="45"/>
  <c r="J427" i="45"/>
  <c r="I427" i="45"/>
  <c r="F427" i="45"/>
  <c r="E427" i="45"/>
  <c r="I426" i="45"/>
  <c r="E426" i="45"/>
  <c r="J425" i="45"/>
  <c r="K425" i="45" s="1"/>
  <c r="I425" i="45"/>
  <c r="E425" i="45"/>
  <c r="F425" i="45" s="1"/>
  <c r="L424" i="45"/>
  <c r="F424" i="45"/>
  <c r="J423" i="45"/>
  <c r="K423" i="45" s="1"/>
  <c r="I423" i="45"/>
  <c r="E423" i="45"/>
  <c r="F423" i="45" s="1"/>
  <c r="I422" i="45"/>
  <c r="I420" i="45" s="1"/>
  <c r="G420" i="45" s="1"/>
  <c r="E422" i="45"/>
  <c r="K421" i="45"/>
  <c r="J421" i="45"/>
  <c r="I421" i="45"/>
  <c r="E421" i="45"/>
  <c r="F421" i="45" s="1"/>
  <c r="F420" i="45"/>
  <c r="I419" i="45"/>
  <c r="E419" i="45"/>
  <c r="J419" i="45" s="1"/>
  <c r="K419" i="45" s="1"/>
  <c r="J418" i="45"/>
  <c r="I418" i="45"/>
  <c r="F418" i="45"/>
  <c r="E418" i="45"/>
  <c r="I417" i="45"/>
  <c r="E417" i="45"/>
  <c r="J417" i="45" s="1"/>
  <c r="K417" i="45" s="1"/>
  <c r="I416" i="45"/>
  <c r="E416" i="45"/>
  <c r="J415" i="45"/>
  <c r="I415" i="45"/>
  <c r="F415" i="45"/>
  <c r="E415" i="45"/>
  <c r="J414" i="45"/>
  <c r="I414" i="45"/>
  <c r="E414" i="45"/>
  <c r="F414" i="45" s="1"/>
  <c r="J413" i="45"/>
  <c r="K413" i="45" s="1"/>
  <c r="I413" i="45"/>
  <c r="E413" i="45"/>
  <c r="F413" i="45" s="1"/>
  <c r="I412" i="45"/>
  <c r="F412" i="45"/>
  <c r="E412" i="45"/>
  <c r="J412" i="45" s="1"/>
  <c r="I411" i="45"/>
  <c r="F411" i="45"/>
  <c r="E411" i="45"/>
  <c r="J411" i="45" s="1"/>
  <c r="I410" i="45"/>
  <c r="E410" i="45"/>
  <c r="F410" i="45" s="1"/>
  <c r="I409" i="45"/>
  <c r="E409" i="45"/>
  <c r="J409" i="45" s="1"/>
  <c r="K409" i="45" s="1"/>
  <c r="J408" i="45"/>
  <c r="K408" i="45" s="1"/>
  <c r="I408" i="45"/>
  <c r="F408" i="45"/>
  <c r="E408" i="45"/>
  <c r="J407" i="45"/>
  <c r="I407" i="45"/>
  <c r="F407" i="45"/>
  <c r="E407" i="45"/>
  <c r="I406" i="45"/>
  <c r="E406" i="45"/>
  <c r="J406" i="45" s="1"/>
  <c r="I405" i="45"/>
  <c r="E405" i="45"/>
  <c r="J405" i="45" s="1"/>
  <c r="I404" i="45"/>
  <c r="E404" i="45"/>
  <c r="J404" i="45" s="1"/>
  <c r="I403" i="45"/>
  <c r="E403" i="45"/>
  <c r="J403" i="45" s="1"/>
  <c r="K403" i="45" s="1"/>
  <c r="I402" i="45"/>
  <c r="E402" i="45"/>
  <c r="J402" i="45" s="1"/>
  <c r="K402" i="45" s="1"/>
  <c r="I401" i="45"/>
  <c r="E401" i="45"/>
  <c r="J401" i="45" s="1"/>
  <c r="K401" i="45" s="1"/>
  <c r="I400" i="45"/>
  <c r="E400" i="45"/>
  <c r="J400" i="45" s="1"/>
  <c r="K400" i="45" s="1"/>
  <c r="J399" i="45"/>
  <c r="I399" i="45"/>
  <c r="E399" i="45"/>
  <c r="F399" i="45" s="1"/>
  <c r="I398" i="45"/>
  <c r="E398" i="45"/>
  <c r="J397" i="45"/>
  <c r="I397" i="45"/>
  <c r="F397" i="45"/>
  <c r="E397" i="45"/>
  <c r="J396" i="45"/>
  <c r="K396" i="45" s="1"/>
  <c r="I396" i="45"/>
  <c r="E396" i="45"/>
  <c r="F396" i="45" s="1"/>
  <c r="I395" i="45"/>
  <c r="E395" i="45"/>
  <c r="J395" i="45" s="1"/>
  <c r="J394" i="45"/>
  <c r="I394" i="45"/>
  <c r="F394" i="45"/>
  <c r="E394" i="45"/>
  <c r="I393" i="45"/>
  <c r="F393" i="45"/>
  <c r="E393" i="45"/>
  <c r="J393" i="45" s="1"/>
  <c r="K393" i="45" s="1"/>
  <c r="I392" i="45"/>
  <c r="E392" i="45"/>
  <c r="J392" i="45" s="1"/>
  <c r="J391" i="45"/>
  <c r="K391" i="45" s="1"/>
  <c r="I391" i="45"/>
  <c r="E391" i="45"/>
  <c r="F391" i="45" s="1"/>
  <c r="I390" i="45"/>
  <c r="E390" i="45"/>
  <c r="J389" i="45"/>
  <c r="I389" i="45"/>
  <c r="E389" i="45"/>
  <c r="F389" i="45" s="1"/>
  <c r="I388" i="45"/>
  <c r="F388" i="45"/>
  <c r="E388" i="45"/>
  <c r="J388" i="45" s="1"/>
  <c r="I387" i="45"/>
  <c r="E387" i="45"/>
  <c r="J387" i="45" s="1"/>
  <c r="I386" i="45"/>
  <c r="E386" i="45"/>
  <c r="J386" i="45" s="1"/>
  <c r="I385" i="45"/>
  <c r="E385" i="45"/>
  <c r="J385" i="45" s="1"/>
  <c r="K385" i="45" s="1"/>
  <c r="J384" i="45"/>
  <c r="I384" i="45"/>
  <c r="F384" i="45"/>
  <c r="E384" i="45"/>
  <c r="I383" i="45"/>
  <c r="E383" i="45"/>
  <c r="I382" i="45"/>
  <c r="E382" i="45"/>
  <c r="J382" i="45" s="1"/>
  <c r="K382" i="45" s="1"/>
  <c r="J381" i="45"/>
  <c r="I381" i="45"/>
  <c r="F381" i="45"/>
  <c r="E381" i="45"/>
  <c r="L380" i="45"/>
  <c r="F380" i="45"/>
  <c r="E380" i="45"/>
  <c r="J379" i="45"/>
  <c r="K379" i="45" s="1"/>
  <c r="I379" i="45"/>
  <c r="J378" i="45"/>
  <c r="K378" i="45" s="1"/>
  <c r="I378" i="45"/>
  <c r="J377" i="45"/>
  <c r="K377" i="45" s="1"/>
  <c r="I377" i="45"/>
  <c r="J376" i="45"/>
  <c r="I376" i="45"/>
  <c r="J375" i="45"/>
  <c r="I375" i="45"/>
  <c r="J374" i="45"/>
  <c r="I374" i="45"/>
  <c r="J373" i="45"/>
  <c r="K373" i="45" s="1"/>
  <c r="I373" i="45"/>
  <c r="J372" i="45"/>
  <c r="K372" i="45" s="1"/>
  <c r="I372" i="45"/>
  <c r="J371" i="45"/>
  <c r="K371" i="45" s="1"/>
  <c r="I371" i="45"/>
  <c r="J370" i="45"/>
  <c r="I370" i="45"/>
  <c r="J369" i="45"/>
  <c r="I369" i="45"/>
  <c r="J368" i="45"/>
  <c r="I368" i="45"/>
  <c r="J367" i="45"/>
  <c r="K367" i="45" s="1"/>
  <c r="I367" i="45"/>
  <c r="J366" i="45"/>
  <c r="K366" i="45" s="1"/>
  <c r="I366" i="45"/>
  <c r="J365" i="45"/>
  <c r="I365" i="45"/>
  <c r="J364" i="45"/>
  <c r="K364" i="45" s="1"/>
  <c r="I364" i="45"/>
  <c r="F364" i="45"/>
  <c r="E364" i="45"/>
  <c r="I363" i="45"/>
  <c r="E363" i="45"/>
  <c r="I362" i="45"/>
  <c r="E362" i="45"/>
  <c r="J362" i="45" s="1"/>
  <c r="K362" i="45" s="1"/>
  <c r="I361" i="45"/>
  <c r="F361" i="45"/>
  <c r="E361" i="45"/>
  <c r="J361" i="45" s="1"/>
  <c r="I360" i="45"/>
  <c r="E360" i="45"/>
  <c r="I359" i="45"/>
  <c r="I358" i="45"/>
  <c r="E358" i="45"/>
  <c r="J358" i="45" s="1"/>
  <c r="K358" i="45" s="1"/>
  <c r="I357" i="45"/>
  <c r="E357" i="45"/>
  <c r="J357" i="45" s="1"/>
  <c r="I356" i="45"/>
  <c r="E356" i="45"/>
  <c r="J356" i="45" s="1"/>
  <c r="J355" i="45"/>
  <c r="I355" i="45"/>
  <c r="E355" i="45"/>
  <c r="F355" i="45" s="1"/>
  <c r="L354" i="45"/>
  <c r="E354" i="45"/>
  <c r="F354" i="45" s="1"/>
  <c r="K353" i="45"/>
  <c r="J353" i="45"/>
  <c r="I353" i="45"/>
  <c r="E353" i="45"/>
  <c r="F353" i="45" s="1"/>
  <c r="I352" i="45"/>
  <c r="E352" i="45"/>
  <c r="J352" i="45" s="1"/>
  <c r="K352" i="45" s="1"/>
  <c r="I351" i="45"/>
  <c r="E351" i="45"/>
  <c r="J351" i="45" s="1"/>
  <c r="D350" i="45"/>
  <c r="I350" i="45" s="1"/>
  <c r="D349" i="45"/>
  <c r="I349" i="45" s="1"/>
  <c r="E348" i="45"/>
  <c r="J348" i="45" s="1"/>
  <c r="D348" i="45"/>
  <c r="I348" i="45" s="1"/>
  <c r="E347" i="45"/>
  <c r="J347" i="45" s="1"/>
  <c r="D347" i="45"/>
  <c r="I347" i="45" s="1"/>
  <c r="J346" i="45"/>
  <c r="F346" i="45"/>
  <c r="E346" i="45"/>
  <c r="D346" i="45"/>
  <c r="I346" i="45" s="1"/>
  <c r="E345" i="45"/>
  <c r="J345" i="45" s="1"/>
  <c r="D345" i="45"/>
  <c r="I345" i="45" s="1"/>
  <c r="L344" i="45"/>
  <c r="F344" i="45"/>
  <c r="I343" i="45"/>
  <c r="E343" i="45"/>
  <c r="I342" i="45"/>
  <c r="E342" i="45"/>
  <c r="F342" i="45" s="1"/>
  <c r="I341" i="45"/>
  <c r="E341" i="45"/>
  <c r="J341" i="45" s="1"/>
  <c r="J340" i="45"/>
  <c r="I340" i="45"/>
  <c r="E340" i="45"/>
  <c r="F340" i="45" s="1"/>
  <c r="I339" i="45"/>
  <c r="E339" i="45"/>
  <c r="I338" i="45"/>
  <c r="E338" i="45"/>
  <c r="J338" i="45" s="1"/>
  <c r="K338" i="45" s="1"/>
  <c r="J337" i="45"/>
  <c r="K337" i="45" s="1"/>
  <c r="I337" i="45"/>
  <c r="F337" i="45"/>
  <c r="E337" i="45"/>
  <c r="J336" i="45"/>
  <c r="I336" i="45"/>
  <c r="E336" i="45"/>
  <c r="F336" i="45" s="1"/>
  <c r="I335" i="45"/>
  <c r="E335" i="45"/>
  <c r="J335" i="45" s="1"/>
  <c r="K335" i="45" s="1"/>
  <c r="K334" i="45"/>
  <c r="J334" i="45"/>
  <c r="I334" i="45"/>
  <c r="F334" i="45"/>
  <c r="E334" i="45"/>
  <c r="J333" i="45"/>
  <c r="I333" i="45"/>
  <c r="E333" i="45"/>
  <c r="F333" i="45" s="1"/>
  <c r="I332" i="45"/>
  <c r="E332" i="45"/>
  <c r="J332" i="45" s="1"/>
  <c r="J331" i="45"/>
  <c r="K331" i="45" s="1"/>
  <c r="I331" i="45"/>
  <c r="F331" i="45"/>
  <c r="E331" i="45"/>
  <c r="I330" i="45"/>
  <c r="E330" i="45"/>
  <c r="I329" i="45"/>
  <c r="E329" i="45"/>
  <c r="J329" i="45" s="1"/>
  <c r="J328" i="45"/>
  <c r="I328" i="45"/>
  <c r="F328" i="45"/>
  <c r="E328" i="45"/>
  <c r="I327" i="45"/>
  <c r="E327" i="45"/>
  <c r="F327" i="45" s="1"/>
  <c r="I326" i="45"/>
  <c r="E326" i="45"/>
  <c r="J326" i="45" s="1"/>
  <c r="I325" i="45"/>
  <c r="E325" i="45"/>
  <c r="J325" i="45" s="1"/>
  <c r="K325" i="45" s="1"/>
  <c r="J324" i="45"/>
  <c r="I324" i="45"/>
  <c r="E324" i="45"/>
  <c r="F324" i="45" s="1"/>
  <c r="J323" i="45"/>
  <c r="I323" i="45"/>
  <c r="F323" i="45"/>
  <c r="E323" i="45"/>
  <c r="I322" i="45"/>
  <c r="F322" i="45"/>
  <c r="E322" i="45"/>
  <c r="J322" i="45" s="1"/>
  <c r="K322" i="45" s="1"/>
  <c r="I321" i="45"/>
  <c r="E321" i="45"/>
  <c r="I320" i="45"/>
  <c r="E320" i="45"/>
  <c r="J320" i="45" s="1"/>
  <c r="K320" i="45" s="1"/>
  <c r="I319" i="45"/>
  <c r="E319" i="45"/>
  <c r="J319" i="45" s="1"/>
  <c r="K319" i="45" s="1"/>
  <c r="J318" i="45"/>
  <c r="I318" i="45"/>
  <c r="E318" i="45"/>
  <c r="F318" i="45" s="1"/>
  <c r="I317" i="45"/>
  <c r="F317" i="45"/>
  <c r="E317" i="45"/>
  <c r="J317" i="45" s="1"/>
  <c r="J316" i="45"/>
  <c r="I316" i="45"/>
  <c r="F316" i="45"/>
  <c r="E316" i="45"/>
  <c r="J315" i="45"/>
  <c r="I315" i="45"/>
  <c r="E315" i="45"/>
  <c r="F315" i="45" s="1"/>
  <c r="I314" i="45"/>
  <c r="E314" i="45"/>
  <c r="J314" i="45" s="1"/>
  <c r="K314" i="45" s="1"/>
  <c r="J313" i="45"/>
  <c r="K313" i="45" s="1"/>
  <c r="I313" i="45"/>
  <c r="F313" i="45"/>
  <c r="E313" i="45"/>
  <c r="J312" i="45"/>
  <c r="K312" i="45" s="1"/>
  <c r="I312" i="45"/>
  <c r="E312" i="45"/>
  <c r="F312" i="45" s="1"/>
  <c r="J311" i="45"/>
  <c r="I311" i="45"/>
  <c r="F311" i="45"/>
  <c r="E311" i="45"/>
  <c r="L310" i="45"/>
  <c r="E310" i="45"/>
  <c r="J309" i="45"/>
  <c r="I309" i="45"/>
  <c r="F309" i="45"/>
  <c r="E309" i="45"/>
  <c r="D309" i="45"/>
  <c r="I308" i="45"/>
  <c r="E308" i="45"/>
  <c r="J308" i="45" s="1"/>
  <c r="I307" i="45"/>
  <c r="E307" i="45"/>
  <c r="J307" i="45" s="1"/>
  <c r="I306" i="45"/>
  <c r="E306" i="45"/>
  <c r="J306" i="45" s="1"/>
  <c r="K306" i="45" s="1"/>
  <c r="I305" i="45"/>
  <c r="E305" i="45"/>
  <c r="J305" i="45" s="1"/>
  <c r="I304" i="45"/>
  <c r="E304" i="45"/>
  <c r="I303" i="45"/>
  <c r="E303" i="45"/>
  <c r="J303" i="45" s="1"/>
  <c r="I302" i="45"/>
  <c r="E302" i="45"/>
  <c r="J302" i="45" s="1"/>
  <c r="K302" i="45" s="1"/>
  <c r="I301" i="45"/>
  <c r="E301" i="45"/>
  <c r="J301" i="45" s="1"/>
  <c r="K301" i="45" s="1"/>
  <c r="J300" i="45"/>
  <c r="I300" i="45"/>
  <c r="E300" i="45"/>
  <c r="F300" i="45" s="1"/>
  <c r="J299" i="45"/>
  <c r="K299" i="45" s="1"/>
  <c r="I299" i="45"/>
  <c r="F299" i="45"/>
  <c r="E299" i="45"/>
  <c r="I298" i="45"/>
  <c r="E298" i="45"/>
  <c r="J298" i="45" s="1"/>
  <c r="K298" i="45" s="1"/>
  <c r="J297" i="45"/>
  <c r="K297" i="45" s="1"/>
  <c r="I297" i="45"/>
  <c r="E297" i="45"/>
  <c r="F297" i="45" s="1"/>
  <c r="I296" i="45"/>
  <c r="F296" i="45"/>
  <c r="E296" i="45"/>
  <c r="J296" i="45" s="1"/>
  <c r="K296" i="45" s="1"/>
  <c r="J295" i="45"/>
  <c r="K295" i="45" s="1"/>
  <c r="I295" i="45"/>
  <c r="E295" i="45"/>
  <c r="F295" i="45" s="1"/>
  <c r="I294" i="45"/>
  <c r="E294" i="45"/>
  <c r="J294" i="45" s="1"/>
  <c r="K294" i="45" s="1"/>
  <c r="I293" i="45"/>
  <c r="E293" i="45"/>
  <c r="J292" i="45"/>
  <c r="I292" i="45"/>
  <c r="E292" i="45"/>
  <c r="F292" i="45" s="1"/>
  <c r="I291" i="45"/>
  <c r="E291" i="45"/>
  <c r="J291" i="45" s="1"/>
  <c r="K291" i="45" s="1"/>
  <c r="J290" i="45"/>
  <c r="I290" i="45"/>
  <c r="E290" i="45"/>
  <c r="F290" i="45" s="1"/>
  <c r="I289" i="45"/>
  <c r="E289" i="45"/>
  <c r="I288" i="45"/>
  <c r="E288" i="45"/>
  <c r="J288" i="45" s="1"/>
  <c r="K288" i="45" s="1"/>
  <c r="I287" i="45"/>
  <c r="E287" i="45"/>
  <c r="J287" i="45" s="1"/>
  <c r="I286" i="45"/>
  <c r="E286" i="45"/>
  <c r="J285" i="45"/>
  <c r="K285" i="45" s="1"/>
  <c r="I285" i="45"/>
  <c r="F285" i="45"/>
  <c r="E285" i="45"/>
  <c r="I284" i="45"/>
  <c r="E284" i="45"/>
  <c r="J284" i="45" s="1"/>
  <c r="K284" i="45" s="1"/>
  <c r="J283" i="45"/>
  <c r="I283" i="45"/>
  <c r="E283" i="45"/>
  <c r="F283" i="45" s="1"/>
  <c r="I282" i="45"/>
  <c r="E282" i="45"/>
  <c r="J282" i="45" s="1"/>
  <c r="I281" i="45"/>
  <c r="E281" i="45"/>
  <c r="J281" i="45" s="1"/>
  <c r="K281" i="45" s="1"/>
  <c r="I280" i="45"/>
  <c r="E280" i="45"/>
  <c r="F280" i="45" s="1"/>
  <c r="I279" i="45"/>
  <c r="E279" i="45"/>
  <c r="J279" i="45" s="1"/>
  <c r="K279" i="45" s="1"/>
  <c r="I278" i="45"/>
  <c r="E278" i="45"/>
  <c r="J278" i="45" s="1"/>
  <c r="K278" i="45" s="1"/>
  <c r="I277" i="45"/>
  <c r="E277" i="45"/>
  <c r="J277" i="45" s="1"/>
  <c r="K277" i="45" s="1"/>
  <c r="J276" i="45"/>
  <c r="I276" i="45"/>
  <c r="F276" i="45"/>
  <c r="E276" i="45"/>
  <c r="J275" i="45"/>
  <c r="I275" i="45"/>
  <c r="F275" i="45"/>
  <c r="E275" i="45"/>
  <c r="J274" i="45"/>
  <c r="I274" i="45"/>
  <c r="E274" i="45"/>
  <c r="F274" i="45" s="1"/>
  <c r="J273" i="45"/>
  <c r="K273" i="45" s="1"/>
  <c r="I273" i="45"/>
  <c r="F273" i="45"/>
  <c r="E273" i="45"/>
  <c r="I272" i="45"/>
  <c r="E272" i="45"/>
  <c r="J272" i="45" s="1"/>
  <c r="K272" i="45" s="1"/>
  <c r="I271" i="45"/>
  <c r="E271" i="45"/>
  <c r="J271" i="45" s="1"/>
  <c r="K270" i="45"/>
  <c r="I270" i="45"/>
  <c r="E270" i="45"/>
  <c r="J270" i="45" s="1"/>
  <c r="J269" i="45"/>
  <c r="I269" i="45"/>
  <c r="E269" i="45"/>
  <c r="F269" i="45" s="1"/>
  <c r="I268" i="45"/>
  <c r="E268" i="45"/>
  <c r="J268" i="45" s="1"/>
  <c r="J267" i="45"/>
  <c r="K267" i="45" s="1"/>
  <c r="I267" i="45"/>
  <c r="F267" i="45"/>
  <c r="E267" i="45"/>
  <c r="I266" i="45"/>
  <c r="E266" i="45"/>
  <c r="I265" i="45"/>
  <c r="E265" i="45"/>
  <c r="F265" i="45" s="1"/>
  <c r="J264" i="45"/>
  <c r="I264" i="45"/>
  <c r="F264" i="45"/>
  <c r="E264" i="45"/>
  <c r="I263" i="45"/>
  <c r="E263" i="45"/>
  <c r="J263" i="45" s="1"/>
  <c r="I262" i="45"/>
  <c r="E262" i="45"/>
  <c r="J262" i="45" s="1"/>
  <c r="J261" i="45"/>
  <c r="K261" i="45" s="1"/>
  <c r="I261" i="45"/>
  <c r="F261" i="45"/>
  <c r="E261" i="45"/>
  <c r="I260" i="45"/>
  <c r="E260" i="45"/>
  <c r="J260" i="45" s="1"/>
  <c r="J259" i="45"/>
  <c r="K259" i="45" s="1"/>
  <c r="I259" i="45"/>
  <c r="F259" i="45"/>
  <c r="E259" i="45"/>
  <c r="I258" i="45"/>
  <c r="E258" i="45"/>
  <c r="J258" i="45" s="1"/>
  <c r="K258" i="45" s="1"/>
  <c r="I257" i="45"/>
  <c r="E257" i="45"/>
  <c r="J256" i="45"/>
  <c r="I256" i="45"/>
  <c r="E256" i="45"/>
  <c r="F256" i="45" s="1"/>
  <c r="I255" i="45"/>
  <c r="E255" i="45"/>
  <c r="J255" i="45" s="1"/>
  <c r="K255" i="45" s="1"/>
  <c r="I254" i="45"/>
  <c r="E254" i="45"/>
  <c r="J254" i="45" s="1"/>
  <c r="K254" i="45" s="1"/>
  <c r="I253" i="45"/>
  <c r="E253" i="45"/>
  <c r="I252" i="45"/>
  <c r="E252" i="45"/>
  <c r="J252" i="45" s="1"/>
  <c r="K252" i="45" s="1"/>
  <c r="J251" i="45"/>
  <c r="K251" i="45" s="1"/>
  <c r="I251" i="45"/>
  <c r="F251" i="45"/>
  <c r="E251" i="45"/>
  <c r="J250" i="45"/>
  <c r="I250" i="45"/>
  <c r="F250" i="45"/>
  <c r="E250" i="45"/>
  <c r="I249" i="45"/>
  <c r="E249" i="45"/>
  <c r="I248" i="45"/>
  <c r="I247" i="45"/>
  <c r="I246" i="45"/>
  <c r="I245" i="45"/>
  <c r="I244" i="45"/>
  <c r="I243" i="45"/>
  <c r="I242" i="45"/>
  <c r="I241" i="45"/>
  <c r="I240" i="45"/>
  <c r="I239" i="45"/>
  <c r="I238" i="45"/>
  <c r="I237" i="45"/>
  <c r="I236" i="45"/>
  <c r="I235" i="45"/>
  <c r="I234" i="45"/>
  <c r="J233" i="45"/>
  <c r="I233" i="45"/>
  <c r="K233" i="45" s="1"/>
  <c r="E233" i="45"/>
  <c r="F233" i="45" s="1"/>
  <c r="S232" i="45"/>
  <c r="L232" i="45"/>
  <c r="F232" i="45"/>
  <c r="I231" i="45"/>
  <c r="E231" i="45"/>
  <c r="J231" i="45" s="1"/>
  <c r="K231" i="45" s="1"/>
  <c r="I230" i="45"/>
  <c r="E230" i="45"/>
  <c r="J230" i="45" s="1"/>
  <c r="K230" i="45" s="1"/>
  <c r="I229" i="45"/>
  <c r="E229" i="45"/>
  <c r="I228" i="45"/>
  <c r="E228" i="45"/>
  <c r="F228" i="45" s="1"/>
  <c r="I227" i="45"/>
  <c r="E227" i="45"/>
  <c r="I226" i="45"/>
  <c r="J225" i="45"/>
  <c r="I225" i="45"/>
  <c r="E225" i="45"/>
  <c r="F225" i="45" s="1"/>
  <c r="I224" i="45"/>
  <c r="I223" i="45"/>
  <c r="I222" i="45"/>
  <c r="I221" i="45"/>
  <c r="E221" i="45"/>
  <c r="J221" i="45" s="1"/>
  <c r="K221" i="45" s="1"/>
  <c r="I220" i="45"/>
  <c r="E220" i="45"/>
  <c r="J220" i="45" s="1"/>
  <c r="J219" i="45"/>
  <c r="I219" i="45"/>
  <c r="E219" i="45"/>
  <c r="F219" i="45" s="1"/>
  <c r="I218" i="45"/>
  <c r="I217" i="45"/>
  <c r="E217" i="45"/>
  <c r="J217" i="45" s="1"/>
  <c r="K217" i="45" s="1"/>
  <c r="I216" i="45"/>
  <c r="F216" i="45"/>
  <c r="E216" i="45"/>
  <c r="J216" i="45" s="1"/>
  <c r="L215" i="45"/>
  <c r="J214" i="45"/>
  <c r="K214" i="45" s="1"/>
  <c r="I214" i="45"/>
  <c r="E214" i="45"/>
  <c r="F214" i="45" s="1"/>
  <c r="J213" i="45"/>
  <c r="I213" i="45"/>
  <c r="F213" i="45"/>
  <c r="E213" i="45"/>
  <c r="I212" i="45"/>
  <c r="F212" i="45"/>
  <c r="E212" i="45"/>
  <c r="J212" i="45" s="1"/>
  <c r="I211" i="45"/>
  <c r="I210" i="45"/>
  <c r="I209" i="45"/>
  <c r="E209" i="45"/>
  <c r="J209" i="45" s="1"/>
  <c r="K209" i="45" s="1"/>
  <c r="I208" i="45"/>
  <c r="E208" i="45"/>
  <c r="J207" i="45"/>
  <c r="K207" i="45" s="1"/>
  <c r="I207" i="45"/>
  <c r="E207" i="45"/>
  <c r="F207" i="45" s="1"/>
  <c r="J206" i="45"/>
  <c r="I206" i="45"/>
  <c r="F206" i="45"/>
  <c r="E206" i="45"/>
  <c r="I205" i="45"/>
  <c r="I204" i="45"/>
  <c r="I203" i="45"/>
  <c r="I202" i="45"/>
  <c r="I201" i="45"/>
  <c r="I200" i="45"/>
  <c r="I199" i="45"/>
  <c r="I198" i="45"/>
  <c r="I197" i="45"/>
  <c r="I196" i="45"/>
  <c r="E195" i="45"/>
  <c r="F195" i="45" s="1"/>
  <c r="I194" i="45"/>
  <c r="I193" i="45"/>
  <c r="S192" i="45"/>
  <c r="I192" i="45"/>
  <c r="D191" i="45"/>
  <c r="I191" i="45" s="1"/>
  <c r="D190" i="45"/>
  <c r="I190" i="45" s="1"/>
  <c r="I189" i="45"/>
  <c r="I188" i="45"/>
  <c r="I187" i="45"/>
  <c r="E187" i="45"/>
  <c r="J186" i="45"/>
  <c r="I186" i="45"/>
  <c r="F186" i="45"/>
  <c r="E186" i="45"/>
  <c r="J185" i="45"/>
  <c r="K185" i="45" s="1"/>
  <c r="I185" i="45"/>
  <c r="F185" i="45"/>
  <c r="E185" i="45"/>
  <c r="I184" i="45"/>
  <c r="E184" i="45"/>
  <c r="J184" i="45" s="1"/>
  <c r="K184" i="45" s="1"/>
  <c r="I183" i="45"/>
  <c r="I182" i="45"/>
  <c r="I181" i="45"/>
  <c r="I180" i="45"/>
  <c r="I179" i="45"/>
  <c r="E179" i="45"/>
  <c r="J179" i="45" s="1"/>
  <c r="J178" i="45"/>
  <c r="K178" i="45" s="1"/>
  <c r="I178" i="45"/>
  <c r="F178" i="45"/>
  <c r="E178" i="45"/>
  <c r="I177" i="45"/>
  <c r="I176" i="45"/>
  <c r="I175" i="45"/>
  <c r="E175" i="45"/>
  <c r="I174" i="45"/>
  <c r="I173" i="45"/>
  <c r="I172" i="45"/>
  <c r="I171" i="45"/>
  <c r="I170" i="45"/>
  <c r="J169" i="45"/>
  <c r="I169" i="45"/>
  <c r="F169" i="45"/>
  <c r="E169" i="45"/>
  <c r="I168" i="45"/>
  <c r="E168" i="45"/>
  <c r="J168" i="45" s="1"/>
  <c r="I167" i="45"/>
  <c r="E167" i="45"/>
  <c r="J167" i="45" s="1"/>
  <c r="E166" i="45"/>
  <c r="F166" i="45" s="1"/>
  <c r="J165" i="45"/>
  <c r="I165" i="45"/>
  <c r="F165" i="45"/>
  <c r="E165" i="45"/>
  <c r="I164" i="45"/>
  <c r="J163" i="45"/>
  <c r="I163" i="45"/>
  <c r="K163" i="45" s="1"/>
  <c r="E163" i="45"/>
  <c r="F163" i="45" s="1"/>
  <c r="I162" i="45"/>
  <c r="F162" i="45"/>
  <c r="E162" i="45"/>
  <c r="J162" i="45" s="1"/>
  <c r="J161" i="45"/>
  <c r="I161" i="45"/>
  <c r="F161" i="45"/>
  <c r="E161" i="45"/>
  <c r="I160" i="45"/>
  <c r="E160" i="45"/>
  <c r="J160" i="45" s="1"/>
  <c r="K160" i="45" s="1"/>
  <c r="J159" i="45"/>
  <c r="I159" i="45"/>
  <c r="E159" i="45"/>
  <c r="F159" i="45" s="1"/>
  <c r="J158" i="45"/>
  <c r="I158" i="45"/>
  <c r="E158" i="45"/>
  <c r="F158" i="45" s="1"/>
  <c r="I157" i="45"/>
  <c r="E157" i="45"/>
  <c r="J156" i="45"/>
  <c r="K156" i="45" s="1"/>
  <c r="I156" i="45"/>
  <c r="E156" i="45"/>
  <c r="F156" i="45" s="1"/>
  <c r="I155" i="45"/>
  <c r="E155" i="45"/>
  <c r="J155" i="45" s="1"/>
  <c r="I154" i="45"/>
  <c r="E154" i="45"/>
  <c r="J154" i="45" s="1"/>
  <c r="K154" i="45" s="1"/>
  <c r="J153" i="45"/>
  <c r="I153" i="45"/>
  <c r="F153" i="45"/>
  <c r="E153" i="45"/>
  <c r="I152" i="45"/>
  <c r="E152" i="45"/>
  <c r="J152" i="45" s="1"/>
  <c r="K152" i="45" s="1"/>
  <c r="J151" i="45"/>
  <c r="I151" i="45"/>
  <c r="F151" i="45"/>
  <c r="E151" i="45"/>
  <c r="J150" i="45"/>
  <c r="I150" i="45"/>
  <c r="E150" i="45"/>
  <c r="F150" i="45" s="1"/>
  <c r="I149" i="45"/>
  <c r="E149" i="45"/>
  <c r="J149" i="45" s="1"/>
  <c r="K149" i="45" s="1"/>
  <c r="J148" i="45"/>
  <c r="I148" i="45"/>
  <c r="E148" i="45"/>
  <c r="F148" i="45" s="1"/>
  <c r="J147" i="45"/>
  <c r="I147" i="45"/>
  <c r="F147" i="45"/>
  <c r="E147" i="45"/>
  <c r="I146" i="45"/>
  <c r="E146" i="45"/>
  <c r="I145" i="45"/>
  <c r="E145" i="45"/>
  <c r="J145" i="45" s="1"/>
  <c r="K145" i="45" s="1"/>
  <c r="I144" i="45"/>
  <c r="J143" i="45"/>
  <c r="I143" i="45"/>
  <c r="F143" i="45"/>
  <c r="E143" i="45"/>
  <c r="I142" i="45"/>
  <c r="I141" i="45"/>
  <c r="I140" i="45"/>
  <c r="E140" i="45"/>
  <c r="J140" i="45" s="1"/>
  <c r="K140" i="45" s="1"/>
  <c r="I139" i="45"/>
  <c r="E139" i="45"/>
  <c r="J139" i="45" s="1"/>
  <c r="K139" i="45" s="1"/>
  <c r="J138" i="45"/>
  <c r="K138" i="45" s="1"/>
  <c r="I138" i="45"/>
  <c r="F138" i="45"/>
  <c r="E138" i="45"/>
  <c r="J137" i="45"/>
  <c r="I137" i="45"/>
  <c r="F137" i="45"/>
  <c r="E137" i="45"/>
  <c r="I136" i="45"/>
  <c r="E136" i="45"/>
  <c r="J136" i="45" s="1"/>
  <c r="K136" i="45" s="1"/>
  <c r="I135" i="45"/>
  <c r="I134" i="45"/>
  <c r="J133" i="45"/>
  <c r="K133" i="45" s="1"/>
  <c r="I133" i="45"/>
  <c r="F133" i="45"/>
  <c r="E133" i="45"/>
  <c r="I132" i="45"/>
  <c r="E132" i="45"/>
  <c r="F132" i="45" s="1"/>
  <c r="J131" i="45"/>
  <c r="I131" i="45"/>
  <c r="F131" i="45"/>
  <c r="E131" i="45"/>
  <c r="I130" i="45"/>
  <c r="E130" i="45"/>
  <c r="J129" i="45"/>
  <c r="K129" i="45" s="1"/>
  <c r="I129" i="45"/>
  <c r="F129" i="45"/>
  <c r="E129" i="45"/>
  <c r="I128" i="45"/>
  <c r="E128" i="45"/>
  <c r="J128" i="45" s="1"/>
  <c r="J127" i="45"/>
  <c r="I127" i="45"/>
  <c r="F127" i="45"/>
  <c r="E127" i="45"/>
  <c r="E126" i="45"/>
  <c r="F126" i="45" s="1"/>
  <c r="J125" i="45"/>
  <c r="I125" i="45"/>
  <c r="F125" i="45"/>
  <c r="J124" i="45"/>
  <c r="I124" i="45"/>
  <c r="F124" i="45"/>
  <c r="J123" i="45"/>
  <c r="K123" i="45" s="1"/>
  <c r="I123" i="45"/>
  <c r="F123" i="45"/>
  <c r="J122" i="45"/>
  <c r="L122" i="45" s="1"/>
  <c r="I122" i="45"/>
  <c r="F122" i="45"/>
  <c r="I121" i="45"/>
  <c r="E121" i="45"/>
  <c r="J121" i="45" s="1"/>
  <c r="J120" i="45"/>
  <c r="K120" i="45" s="1"/>
  <c r="I120" i="45"/>
  <c r="E120" i="45"/>
  <c r="F120" i="45" s="1"/>
  <c r="I119" i="45"/>
  <c r="E119" i="45"/>
  <c r="J119" i="45" s="1"/>
  <c r="K119" i="45" s="1"/>
  <c r="I118" i="45"/>
  <c r="E118" i="45"/>
  <c r="J118" i="45" s="1"/>
  <c r="K118" i="45" s="1"/>
  <c r="J117" i="45"/>
  <c r="K117" i="45" s="1"/>
  <c r="I117" i="45"/>
  <c r="F117" i="45"/>
  <c r="E117" i="45"/>
  <c r="I116" i="45"/>
  <c r="E116" i="45"/>
  <c r="I115" i="45"/>
  <c r="E115" i="45"/>
  <c r="J115" i="45" s="1"/>
  <c r="K115" i="45" s="1"/>
  <c r="J114" i="45"/>
  <c r="K114" i="45" s="1"/>
  <c r="I114" i="45"/>
  <c r="E114" i="45"/>
  <c r="F114" i="45" s="1"/>
  <c r="I113" i="45"/>
  <c r="E113" i="45"/>
  <c r="J113" i="45" s="1"/>
  <c r="K113" i="45" s="1"/>
  <c r="I112" i="45"/>
  <c r="E112" i="45"/>
  <c r="J111" i="45"/>
  <c r="I111" i="45"/>
  <c r="E111" i="45"/>
  <c r="F111" i="45" s="1"/>
  <c r="J110" i="45"/>
  <c r="K110" i="45" s="1"/>
  <c r="I110" i="45"/>
  <c r="F110" i="45"/>
  <c r="E110" i="45"/>
  <c r="I109" i="45"/>
  <c r="E109" i="45"/>
  <c r="J109" i="45" s="1"/>
  <c r="K109" i="45" s="1"/>
  <c r="I108" i="45"/>
  <c r="I107" i="45"/>
  <c r="E107" i="45"/>
  <c r="F107" i="45" s="1"/>
  <c r="I106" i="45"/>
  <c r="E106" i="45"/>
  <c r="J106" i="45" s="1"/>
  <c r="K106" i="45" s="1"/>
  <c r="J105" i="45"/>
  <c r="K105" i="45" s="1"/>
  <c r="I105" i="45"/>
  <c r="F105" i="45"/>
  <c r="E105" i="45"/>
  <c r="I104" i="45"/>
  <c r="E104" i="45"/>
  <c r="J103" i="45"/>
  <c r="K103" i="45" s="1"/>
  <c r="I103" i="45"/>
  <c r="F103" i="45"/>
  <c r="E103" i="45"/>
  <c r="I102" i="45"/>
  <c r="E102" i="45"/>
  <c r="I101" i="45"/>
  <c r="E101" i="45"/>
  <c r="J101" i="45" s="1"/>
  <c r="K101" i="45" s="1"/>
  <c r="I100" i="45"/>
  <c r="E100" i="45"/>
  <c r="J100" i="45" s="1"/>
  <c r="K100" i="45" s="1"/>
  <c r="I99" i="45"/>
  <c r="E99" i="45"/>
  <c r="J99" i="45" s="1"/>
  <c r="K99" i="45" s="1"/>
  <c r="I98" i="45"/>
  <c r="E98" i="45"/>
  <c r="F98" i="45" s="1"/>
  <c r="J97" i="45"/>
  <c r="I97" i="45"/>
  <c r="E97" i="45"/>
  <c r="F97" i="45" s="1"/>
  <c r="J96" i="45"/>
  <c r="I96" i="45"/>
  <c r="E96" i="45"/>
  <c r="F96" i="45" s="1"/>
  <c r="I95" i="45"/>
  <c r="E95" i="45"/>
  <c r="J95" i="45" s="1"/>
  <c r="J94" i="45"/>
  <c r="K94" i="45" s="1"/>
  <c r="I94" i="45"/>
  <c r="E94" i="45"/>
  <c r="F94" i="45" s="1"/>
  <c r="J93" i="45"/>
  <c r="I93" i="45"/>
  <c r="F93" i="45"/>
  <c r="E93" i="45"/>
  <c r="I92" i="45"/>
  <c r="E92" i="45"/>
  <c r="J91" i="45"/>
  <c r="I91" i="45"/>
  <c r="F91" i="45"/>
  <c r="E91" i="45"/>
  <c r="I90" i="45"/>
  <c r="F90" i="45"/>
  <c r="E90" i="45"/>
  <c r="J90" i="45" s="1"/>
  <c r="J89" i="45"/>
  <c r="I89" i="45"/>
  <c r="E89" i="45"/>
  <c r="F89" i="45" s="1"/>
  <c r="I88" i="45"/>
  <c r="E88" i="45"/>
  <c r="J87" i="45"/>
  <c r="K87" i="45" s="1"/>
  <c r="I87" i="45"/>
  <c r="E87" i="45"/>
  <c r="F87" i="45" s="1"/>
  <c r="I86" i="45"/>
  <c r="E86" i="45"/>
  <c r="J86" i="45" s="1"/>
  <c r="K86" i="45" s="1"/>
  <c r="J85" i="45"/>
  <c r="I85" i="45"/>
  <c r="E85" i="45"/>
  <c r="F85" i="45" s="1"/>
  <c r="J84" i="45"/>
  <c r="I84" i="45"/>
  <c r="F84" i="45"/>
  <c r="E84" i="45"/>
  <c r="I83" i="45"/>
  <c r="E83" i="45"/>
  <c r="J83" i="45" s="1"/>
  <c r="K83" i="45" s="1"/>
  <c r="J82" i="45"/>
  <c r="I82" i="45"/>
  <c r="E82" i="45"/>
  <c r="F82" i="45" s="1"/>
  <c r="I81" i="45"/>
  <c r="E81" i="45"/>
  <c r="J81" i="45" s="1"/>
  <c r="K81" i="45" s="1"/>
  <c r="I80" i="45"/>
  <c r="E80" i="45"/>
  <c r="J80" i="45" s="1"/>
  <c r="K80" i="45" s="1"/>
  <c r="J79" i="45"/>
  <c r="K79" i="45" s="1"/>
  <c r="I79" i="45"/>
  <c r="F79" i="45"/>
  <c r="E79" i="45"/>
  <c r="I78" i="45"/>
  <c r="E78" i="45"/>
  <c r="J78" i="45" s="1"/>
  <c r="K78" i="45" s="1"/>
  <c r="J77" i="45"/>
  <c r="I77" i="45"/>
  <c r="E77" i="45"/>
  <c r="F77" i="45" s="1"/>
  <c r="J76" i="45"/>
  <c r="I76" i="45"/>
  <c r="F76" i="45"/>
  <c r="E76" i="45"/>
  <c r="I75" i="45"/>
  <c r="I74" i="45"/>
  <c r="J73" i="45"/>
  <c r="I73" i="45"/>
  <c r="F73" i="45"/>
  <c r="E73" i="45"/>
  <c r="J72" i="45"/>
  <c r="I72" i="45"/>
  <c r="F72" i="45"/>
  <c r="E72" i="45"/>
  <c r="I71" i="45"/>
  <c r="E71" i="45"/>
  <c r="J71" i="45" s="1"/>
  <c r="K71" i="45" s="1"/>
  <c r="J70" i="45"/>
  <c r="I70" i="45"/>
  <c r="E70" i="45"/>
  <c r="F70" i="45" s="1"/>
  <c r="J69" i="45"/>
  <c r="K69" i="45" s="1"/>
  <c r="I69" i="45"/>
  <c r="F69" i="45"/>
  <c r="E69" i="45"/>
  <c r="J68" i="45"/>
  <c r="K68" i="45" s="1"/>
  <c r="I68" i="45"/>
  <c r="F68" i="45"/>
  <c r="E68" i="45"/>
  <c r="J67" i="45"/>
  <c r="I67" i="45"/>
  <c r="E67" i="45"/>
  <c r="F67" i="45" s="1"/>
  <c r="I66" i="45"/>
  <c r="E66" i="45"/>
  <c r="J66" i="45" s="1"/>
  <c r="K66" i="45" s="1"/>
  <c r="J65" i="45"/>
  <c r="I65" i="45"/>
  <c r="E65" i="45"/>
  <c r="F65" i="45" s="1"/>
  <c r="I64" i="45"/>
  <c r="E64" i="45"/>
  <c r="J63" i="45"/>
  <c r="I63" i="45"/>
  <c r="E63" i="45"/>
  <c r="F63" i="45" s="1"/>
  <c r="J62" i="45"/>
  <c r="I62" i="45"/>
  <c r="F62" i="45"/>
  <c r="E62" i="45"/>
  <c r="I61" i="45"/>
  <c r="E61" i="45"/>
  <c r="J61" i="45" s="1"/>
  <c r="K61" i="45" s="1"/>
  <c r="I60" i="45"/>
  <c r="E60" i="45"/>
  <c r="J60" i="45" s="1"/>
  <c r="J59" i="45"/>
  <c r="I59" i="45"/>
  <c r="E59" i="45"/>
  <c r="F59" i="45" s="1"/>
  <c r="I58" i="45"/>
  <c r="E58" i="45"/>
  <c r="J58" i="45" s="1"/>
  <c r="K58" i="45" s="1"/>
  <c r="J57" i="45"/>
  <c r="K57" i="45" s="1"/>
  <c r="I57" i="45"/>
  <c r="F57" i="45"/>
  <c r="E57" i="45"/>
  <c r="I56" i="45"/>
  <c r="E56" i="45"/>
  <c r="J56" i="45" s="1"/>
  <c r="K56" i="45" s="1"/>
  <c r="J55" i="45"/>
  <c r="I55" i="45"/>
  <c r="F55" i="45"/>
  <c r="E55" i="45"/>
  <c r="I54" i="45"/>
  <c r="F54" i="45"/>
  <c r="E54" i="45"/>
  <c r="J54" i="45" s="1"/>
  <c r="K54" i="45" s="1"/>
  <c r="I53" i="45"/>
  <c r="E53" i="45"/>
  <c r="J53" i="45" s="1"/>
  <c r="K53" i="45" s="1"/>
  <c r="J52" i="45"/>
  <c r="K52" i="45" s="1"/>
  <c r="I52" i="45"/>
  <c r="F52" i="45"/>
  <c r="E52" i="45"/>
  <c r="I51" i="45"/>
  <c r="E51" i="45"/>
  <c r="J51" i="45" s="1"/>
  <c r="K51" i="45" s="1"/>
  <c r="I50" i="45"/>
  <c r="E50" i="45"/>
  <c r="F50" i="45" s="1"/>
  <c r="I49" i="45"/>
  <c r="E49" i="45"/>
  <c r="J49" i="45" s="1"/>
  <c r="K49" i="45" s="1"/>
  <c r="J48" i="45"/>
  <c r="I48" i="45"/>
  <c r="E48" i="45"/>
  <c r="F48" i="45" s="1"/>
  <c r="J47" i="45"/>
  <c r="I47" i="45"/>
  <c r="F47" i="45"/>
  <c r="E47" i="45"/>
  <c r="I46" i="45"/>
  <c r="E46" i="45"/>
  <c r="J46" i="45" s="1"/>
  <c r="J45" i="45"/>
  <c r="K45" i="45" s="1"/>
  <c r="I45" i="45"/>
  <c r="F45" i="45"/>
  <c r="E45" i="45"/>
  <c r="J44" i="45"/>
  <c r="K44" i="45" s="1"/>
  <c r="I44" i="45"/>
  <c r="E44" i="45"/>
  <c r="F44" i="45" s="1"/>
  <c r="I43" i="45"/>
  <c r="E43" i="45"/>
  <c r="J43" i="45" s="1"/>
  <c r="J42" i="45"/>
  <c r="I42" i="45"/>
  <c r="F42" i="45"/>
  <c r="E42" i="45"/>
  <c r="I41" i="45"/>
  <c r="E41" i="45"/>
  <c r="J41" i="45" s="1"/>
  <c r="K41" i="45" s="1"/>
  <c r="I40" i="45"/>
  <c r="E40" i="45"/>
  <c r="J39" i="45"/>
  <c r="I39" i="45"/>
  <c r="E39" i="45"/>
  <c r="F39" i="45" s="1"/>
  <c r="I38" i="45"/>
  <c r="I37" i="45" s="1"/>
  <c r="E38" i="45"/>
  <c r="J38" i="45" s="1"/>
  <c r="L37" i="45"/>
  <c r="F37" i="45"/>
  <c r="E37" i="45"/>
  <c r="I36" i="45"/>
  <c r="E36" i="45"/>
  <c r="F36" i="45" s="1"/>
  <c r="I35" i="45"/>
  <c r="E35" i="45"/>
  <c r="L34" i="45"/>
  <c r="J34" i="45"/>
  <c r="K34" i="45" s="1"/>
  <c r="I34" i="45"/>
  <c r="E34" i="45"/>
  <c r="F34" i="45" s="1"/>
  <c r="I33" i="45"/>
  <c r="E33" i="45"/>
  <c r="J33" i="45" s="1"/>
  <c r="K33" i="45" s="1"/>
  <c r="I32" i="45"/>
  <c r="E32" i="45"/>
  <c r="J32" i="45" s="1"/>
  <c r="I31" i="45"/>
  <c r="L31" i="45" s="1"/>
  <c r="E31" i="45"/>
  <c r="J31" i="45" s="1"/>
  <c r="I30" i="45"/>
  <c r="E30" i="45"/>
  <c r="J30" i="45" s="1"/>
  <c r="K30" i="45" s="1"/>
  <c r="I29" i="45"/>
  <c r="E29" i="45"/>
  <c r="J29" i="45" s="1"/>
  <c r="K29" i="45" s="1"/>
  <c r="J28" i="45"/>
  <c r="L28" i="45" s="1"/>
  <c r="I28" i="45"/>
  <c r="E28" i="45"/>
  <c r="J27" i="45"/>
  <c r="L27" i="45" s="1"/>
  <c r="I27" i="45"/>
  <c r="E27" i="45"/>
  <c r="I26" i="45"/>
  <c r="J25" i="45"/>
  <c r="I25" i="45"/>
  <c r="E25" i="45"/>
  <c r="I24" i="45"/>
  <c r="E24" i="45"/>
  <c r="J24" i="45" s="1"/>
  <c r="K24" i="45" s="1"/>
  <c r="I23" i="45"/>
  <c r="E23" i="45"/>
  <c r="J23" i="45" s="1"/>
  <c r="K23" i="45" s="1"/>
  <c r="I22" i="45"/>
  <c r="L22" i="45" s="1"/>
  <c r="E22" i="45"/>
  <c r="J22" i="45" s="1"/>
  <c r="I21" i="45"/>
  <c r="L21" i="45" s="1"/>
  <c r="E21" i="45"/>
  <c r="J21" i="45" s="1"/>
  <c r="K21" i="45" s="1"/>
  <c r="I20" i="45"/>
  <c r="E20" i="45"/>
  <c r="J20" i="45" s="1"/>
  <c r="I19" i="45"/>
  <c r="L19" i="45" s="1"/>
  <c r="F19" i="45"/>
  <c r="I18" i="45"/>
  <c r="I17" i="45"/>
  <c r="I16" i="45"/>
  <c r="E16" i="45"/>
  <c r="J16" i="45" s="1"/>
  <c r="K16" i="45" s="1"/>
  <c r="I15" i="45"/>
  <c r="I14" i="45"/>
  <c r="E14" i="45"/>
  <c r="J14" i="45" s="1"/>
  <c r="K14" i="45" s="1"/>
  <c r="I13" i="45"/>
  <c r="E13" i="45"/>
  <c r="J13" i="45" s="1"/>
  <c r="J12" i="45"/>
  <c r="I12" i="45"/>
  <c r="E12" i="45"/>
  <c r="E471" i="44"/>
  <c r="J471" i="44" s="1"/>
  <c r="J470" i="44"/>
  <c r="F470" i="44"/>
  <c r="I468" i="44"/>
  <c r="E468" i="44"/>
  <c r="F468" i="44" s="1"/>
  <c r="G467" i="44"/>
  <c r="E467" i="44"/>
  <c r="F467" i="44" s="1"/>
  <c r="J466" i="44"/>
  <c r="I466" i="44"/>
  <c r="F466" i="44"/>
  <c r="E466" i="44"/>
  <c r="I465" i="44"/>
  <c r="F465" i="44"/>
  <c r="E465" i="44"/>
  <c r="J465" i="44" s="1"/>
  <c r="K465" i="44" s="1"/>
  <c r="L464" i="44"/>
  <c r="F464" i="44"/>
  <c r="I463" i="44"/>
  <c r="E463" i="44"/>
  <c r="J463" i="44" s="1"/>
  <c r="K463" i="44" s="1"/>
  <c r="I462" i="44"/>
  <c r="E462" i="44"/>
  <c r="J462" i="44" s="1"/>
  <c r="K462" i="44" s="1"/>
  <c r="J461" i="44"/>
  <c r="I461" i="44"/>
  <c r="E461" i="44"/>
  <c r="F461" i="44" s="1"/>
  <c r="J460" i="44"/>
  <c r="I460" i="44"/>
  <c r="F460" i="44"/>
  <c r="E460" i="44"/>
  <c r="I459" i="44"/>
  <c r="E459" i="44"/>
  <c r="J459" i="44" s="1"/>
  <c r="I458" i="44"/>
  <c r="E458" i="44"/>
  <c r="J458" i="44" s="1"/>
  <c r="I457" i="44"/>
  <c r="E457" i="44"/>
  <c r="J457" i="44" s="1"/>
  <c r="J456" i="44"/>
  <c r="I456" i="44"/>
  <c r="E456" i="44"/>
  <c r="F456" i="44" s="1"/>
  <c r="J455" i="44"/>
  <c r="I455" i="44"/>
  <c r="F455" i="44"/>
  <c r="E455" i="44"/>
  <c r="I454" i="44"/>
  <c r="F454" i="44"/>
  <c r="E454" i="44"/>
  <c r="J454" i="44" s="1"/>
  <c r="I453" i="44"/>
  <c r="E453" i="44"/>
  <c r="J453" i="44" s="1"/>
  <c r="I452" i="44"/>
  <c r="E452" i="44"/>
  <c r="J452" i="44" s="1"/>
  <c r="I451" i="44"/>
  <c r="E451" i="44"/>
  <c r="I450" i="44"/>
  <c r="E450" i="44"/>
  <c r="F450" i="44" s="1"/>
  <c r="I449" i="44"/>
  <c r="E449" i="44"/>
  <c r="J449" i="44" s="1"/>
  <c r="J448" i="44"/>
  <c r="I448" i="44"/>
  <c r="E448" i="44"/>
  <c r="F448" i="44" s="1"/>
  <c r="I447" i="44"/>
  <c r="E447" i="44"/>
  <c r="J447" i="44" s="1"/>
  <c r="I446" i="44"/>
  <c r="E446" i="44"/>
  <c r="J446" i="44" s="1"/>
  <c r="J445" i="44"/>
  <c r="I445" i="44"/>
  <c r="F445" i="44"/>
  <c r="E445" i="44"/>
  <c r="L444" i="44"/>
  <c r="F444" i="44"/>
  <c r="J443" i="44"/>
  <c r="I443" i="44"/>
  <c r="I442" i="44"/>
  <c r="I441" i="44"/>
  <c r="E441" i="44"/>
  <c r="J441" i="44" s="1"/>
  <c r="I440" i="44"/>
  <c r="E440" i="44"/>
  <c r="J440" i="44" s="1"/>
  <c r="J439" i="44"/>
  <c r="I439" i="44"/>
  <c r="E439" i="44"/>
  <c r="F439" i="44" s="1"/>
  <c r="J438" i="44"/>
  <c r="I438" i="44"/>
  <c r="E438" i="44"/>
  <c r="F438" i="44" s="1"/>
  <c r="J437" i="44"/>
  <c r="I437" i="44"/>
  <c r="F437" i="44"/>
  <c r="E437" i="44"/>
  <c r="I436" i="44"/>
  <c r="E436" i="44"/>
  <c r="J436" i="44" s="1"/>
  <c r="I435" i="44"/>
  <c r="E435" i="44"/>
  <c r="J435" i="44" s="1"/>
  <c r="K435" i="44" s="1"/>
  <c r="J434" i="44"/>
  <c r="I434" i="44"/>
  <c r="F434" i="44"/>
  <c r="E434" i="44"/>
  <c r="I433" i="44"/>
  <c r="E433" i="44"/>
  <c r="J433" i="44" s="1"/>
  <c r="J432" i="44"/>
  <c r="I432" i="44"/>
  <c r="F432" i="44"/>
  <c r="E432" i="44"/>
  <c r="J431" i="44"/>
  <c r="I431" i="44"/>
  <c r="F431" i="44"/>
  <c r="E431" i="44"/>
  <c r="I430" i="44"/>
  <c r="E430" i="44"/>
  <c r="J430" i="44" s="1"/>
  <c r="J429" i="44"/>
  <c r="I429" i="44"/>
  <c r="F429" i="44"/>
  <c r="E429" i="44"/>
  <c r="I428" i="44"/>
  <c r="E428" i="44"/>
  <c r="J428" i="44" s="1"/>
  <c r="J427" i="44"/>
  <c r="I427" i="44"/>
  <c r="E427" i="44"/>
  <c r="F427" i="44" s="1"/>
  <c r="I426" i="44"/>
  <c r="E426" i="44"/>
  <c r="J426" i="44" s="1"/>
  <c r="I425" i="44"/>
  <c r="E425" i="44"/>
  <c r="J425" i="44" s="1"/>
  <c r="K425" i="44" s="1"/>
  <c r="L424" i="44"/>
  <c r="F424" i="44"/>
  <c r="I423" i="44"/>
  <c r="E423" i="44"/>
  <c r="I422" i="44"/>
  <c r="E422" i="44"/>
  <c r="J422" i="44" s="1"/>
  <c r="I421" i="44"/>
  <c r="E421" i="44"/>
  <c r="J421" i="44" s="1"/>
  <c r="F420" i="44"/>
  <c r="J419" i="44"/>
  <c r="I419" i="44"/>
  <c r="F419" i="44"/>
  <c r="E419" i="44"/>
  <c r="J418" i="44"/>
  <c r="I418" i="44"/>
  <c r="F418" i="44"/>
  <c r="E418" i="44"/>
  <c r="I417" i="44"/>
  <c r="E417" i="44"/>
  <c r="J417" i="44" s="1"/>
  <c r="K417" i="44" s="1"/>
  <c r="J416" i="44"/>
  <c r="I416" i="44"/>
  <c r="E416" i="44"/>
  <c r="F416" i="44" s="1"/>
  <c r="I415" i="44"/>
  <c r="E415" i="44"/>
  <c r="F415" i="44" s="1"/>
  <c r="I414" i="44"/>
  <c r="E414" i="44"/>
  <c r="J414" i="44" s="1"/>
  <c r="J413" i="44"/>
  <c r="I413" i="44"/>
  <c r="F413" i="44"/>
  <c r="E413" i="44"/>
  <c r="I412" i="44"/>
  <c r="E412" i="44"/>
  <c r="J412" i="44" s="1"/>
  <c r="K412" i="44" s="1"/>
  <c r="I411" i="44"/>
  <c r="E411" i="44"/>
  <c r="I410" i="44"/>
  <c r="E410" i="44"/>
  <c r="I409" i="44"/>
  <c r="E409" i="44"/>
  <c r="J409" i="44" s="1"/>
  <c r="J408" i="44"/>
  <c r="I408" i="44"/>
  <c r="E408" i="44"/>
  <c r="F408" i="44" s="1"/>
  <c r="J407" i="44"/>
  <c r="I407" i="44"/>
  <c r="E407" i="44"/>
  <c r="F407" i="44" s="1"/>
  <c r="I406" i="44"/>
  <c r="E406" i="44"/>
  <c r="J406" i="44" s="1"/>
  <c r="J405" i="44"/>
  <c r="I405" i="44"/>
  <c r="F405" i="44"/>
  <c r="E405" i="44"/>
  <c r="J404" i="44"/>
  <c r="I404" i="44"/>
  <c r="E404" i="44"/>
  <c r="F404" i="44" s="1"/>
  <c r="I403" i="44"/>
  <c r="E403" i="44"/>
  <c r="I402" i="44"/>
  <c r="E402" i="44"/>
  <c r="J402" i="44" s="1"/>
  <c r="I401" i="44"/>
  <c r="E401" i="44"/>
  <c r="J401" i="44" s="1"/>
  <c r="K401" i="44" s="1"/>
  <c r="I400" i="44"/>
  <c r="E400" i="44"/>
  <c r="J400" i="44" s="1"/>
  <c r="J399" i="44"/>
  <c r="I399" i="44"/>
  <c r="F399" i="44"/>
  <c r="E399" i="44"/>
  <c r="I398" i="44"/>
  <c r="E398" i="44"/>
  <c r="J398" i="44" s="1"/>
  <c r="K398" i="44" s="1"/>
  <c r="I397" i="44"/>
  <c r="E397" i="44"/>
  <c r="J397" i="44" s="1"/>
  <c r="K397" i="44" s="1"/>
  <c r="J396" i="44"/>
  <c r="I396" i="44"/>
  <c r="F396" i="44"/>
  <c r="E396" i="44"/>
  <c r="I395" i="44"/>
  <c r="E395" i="44"/>
  <c r="J395" i="44" s="1"/>
  <c r="J394" i="44"/>
  <c r="I394" i="44"/>
  <c r="F394" i="44"/>
  <c r="E394" i="44"/>
  <c r="I393" i="44"/>
  <c r="F393" i="44"/>
  <c r="E393" i="44"/>
  <c r="J393" i="44" s="1"/>
  <c r="I392" i="44"/>
  <c r="E392" i="44"/>
  <c r="J392" i="44" s="1"/>
  <c r="I391" i="44"/>
  <c r="E391" i="44"/>
  <c r="J391" i="44" s="1"/>
  <c r="J390" i="44"/>
  <c r="I390" i="44"/>
  <c r="F390" i="44"/>
  <c r="E390" i="44"/>
  <c r="J389" i="44"/>
  <c r="I389" i="44"/>
  <c r="F389" i="44"/>
  <c r="E389" i="44"/>
  <c r="J388" i="44"/>
  <c r="I388" i="44"/>
  <c r="F388" i="44"/>
  <c r="E388" i="44"/>
  <c r="I387" i="44"/>
  <c r="E387" i="44"/>
  <c r="J387" i="44" s="1"/>
  <c r="I386" i="44"/>
  <c r="E386" i="44"/>
  <c r="J386" i="44" s="1"/>
  <c r="I385" i="44"/>
  <c r="E385" i="44"/>
  <c r="J385" i="44" s="1"/>
  <c r="K385" i="44" s="1"/>
  <c r="J384" i="44"/>
  <c r="I384" i="44"/>
  <c r="E384" i="44"/>
  <c r="F384" i="44" s="1"/>
  <c r="J383" i="44"/>
  <c r="I383" i="44"/>
  <c r="F383" i="44"/>
  <c r="E383" i="44"/>
  <c r="I382" i="44"/>
  <c r="E382" i="44"/>
  <c r="J382" i="44" s="1"/>
  <c r="K382" i="44" s="1"/>
  <c r="I381" i="44"/>
  <c r="E381" i="44"/>
  <c r="J381" i="44" s="1"/>
  <c r="K381" i="44" s="1"/>
  <c r="L380" i="44"/>
  <c r="F380" i="44"/>
  <c r="E380" i="44"/>
  <c r="J379" i="44"/>
  <c r="I379" i="44"/>
  <c r="J378" i="44"/>
  <c r="I378" i="44"/>
  <c r="J377" i="44"/>
  <c r="I377" i="44"/>
  <c r="J376" i="44"/>
  <c r="I376" i="44"/>
  <c r="J375" i="44"/>
  <c r="I375" i="44"/>
  <c r="J374" i="44"/>
  <c r="I374" i="44"/>
  <c r="J373" i="44"/>
  <c r="I373" i="44"/>
  <c r="J372" i="44"/>
  <c r="I372" i="44"/>
  <c r="J371" i="44"/>
  <c r="I371" i="44"/>
  <c r="J370" i="44"/>
  <c r="I370" i="44"/>
  <c r="J369" i="44"/>
  <c r="I369" i="44"/>
  <c r="J368" i="44"/>
  <c r="I368" i="44"/>
  <c r="J367" i="44"/>
  <c r="I367" i="44"/>
  <c r="J366" i="44"/>
  <c r="K366" i="44" s="1"/>
  <c r="I366" i="44"/>
  <c r="J365" i="44"/>
  <c r="I365" i="44"/>
  <c r="J364" i="44"/>
  <c r="I364" i="44"/>
  <c r="E364" i="44"/>
  <c r="F364" i="44" s="1"/>
  <c r="I363" i="44"/>
  <c r="E363" i="44"/>
  <c r="J362" i="44"/>
  <c r="I362" i="44"/>
  <c r="E362" i="44"/>
  <c r="F362" i="44" s="1"/>
  <c r="J361" i="44"/>
  <c r="I361" i="44"/>
  <c r="F361" i="44"/>
  <c r="E361" i="44"/>
  <c r="I360" i="44"/>
  <c r="E360" i="44"/>
  <c r="J360" i="44" s="1"/>
  <c r="K360" i="44" s="1"/>
  <c r="I359" i="44"/>
  <c r="I358" i="44"/>
  <c r="E358" i="44"/>
  <c r="J357" i="44"/>
  <c r="I357" i="44"/>
  <c r="E357" i="44"/>
  <c r="F357" i="44" s="1"/>
  <c r="J356" i="44"/>
  <c r="I356" i="44"/>
  <c r="E356" i="44"/>
  <c r="F356" i="44" s="1"/>
  <c r="J355" i="44"/>
  <c r="I355" i="44"/>
  <c r="F355" i="44"/>
  <c r="E355" i="44"/>
  <c r="L354" i="44"/>
  <c r="E354" i="44"/>
  <c r="F354" i="44" s="1"/>
  <c r="I353" i="44"/>
  <c r="E353" i="44"/>
  <c r="J353" i="44" s="1"/>
  <c r="J352" i="44"/>
  <c r="I352" i="44"/>
  <c r="E352" i="44"/>
  <c r="F352" i="44" s="1"/>
  <c r="I351" i="44"/>
  <c r="E351" i="44"/>
  <c r="D350" i="44"/>
  <c r="I350" i="44" s="1"/>
  <c r="D349" i="44"/>
  <c r="I349" i="44" s="1"/>
  <c r="J348" i="44"/>
  <c r="E348" i="44"/>
  <c r="F348" i="44" s="1"/>
  <c r="D348" i="44"/>
  <c r="I348" i="44" s="1"/>
  <c r="E347" i="44"/>
  <c r="J347" i="44" s="1"/>
  <c r="D347" i="44"/>
  <c r="I347" i="44" s="1"/>
  <c r="J346" i="44"/>
  <c r="E346" i="44"/>
  <c r="D346" i="44"/>
  <c r="I346" i="44" s="1"/>
  <c r="I345" i="44"/>
  <c r="E345" i="44"/>
  <c r="D345" i="44"/>
  <c r="L344" i="44"/>
  <c r="F344" i="44"/>
  <c r="J343" i="44"/>
  <c r="I343" i="44"/>
  <c r="E343" i="44"/>
  <c r="F343" i="44" s="1"/>
  <c r="J342" i="44"/>
  <c r="I342" i="44"/>
  <c r="E342" i="44"/>
  <c r="F342" i="44" s="1"/>
  <c r="I341" i="44"/>
  <c r="E341" i="44"/>
  <c r="J341" i="44" s="1"/>
  <c r="J340" i="44"/>
  <c r="I340" i="44"/>
  <c r="F340" i="44"/>
  <c r="E340" i="44"/>
  <c r="I339" i="44"/>
  <c r="E339" i="44"/>
  <c r="J339" i="44" s="1"/>
  <c r="K339" i="44" s="1"/>
  <c r="J338" i="44"/>
  <c r="I338" i="44"/>
  <c r="E338" i="44"/>
  <c r="F338" i="44" s="1"/>
  <c r="J337" i="44"/>
  <c r="I337" i="44"/>
  <c r="E337" i="44"/>
  <c r="F337" i="44" s="1"/>
  <c r="J336" i="44"/>
  <c r="I336" i="44"/>
  <c r="E336" i="44"/>
  <c r="F336" i="44" s="1"/>
  <c r="I335" i="44"/>
  <c r="E335" i="44"/>
  <c r="F335" i="44" s="1"/>
  <c r="J334" i="44"/>
  <c r="I334" i="44"/>
  <c r="E334" i="44"/>
  <c r="F334" i="44" s="1"/>
  <c r="J333" i="44"/>
  <c r="I333" i="44"/>
  <c r="E333" i="44"/>
  <c r="F333" i="44" s="1"/>
  <c r="I332" i="44"/>
  <c r="E332" i="44"/>
  <c r="I331" i="44"/>
  <c r="E331" i="44"/>
  <c r="J331" i="44" s="1"/>
  <c r="J330" i="44"/>
  <c r="I330" i="44"/>
  <c r="E330" i="44"/>
  <c r="F330" i="44" s="1"/>
  <c r="I329" i="44"/>
  <c r="E329" i="44"/>
  <c r="J329" i="44" s="1"/>
  <c r="K329" i="44" s="1"/>
  <c r="J328" i="44"/>
  <c r="I328" i="44"/>
  <c r="F328" i="44"/>
  <c r="E328" i="44"/>
  <c r="I327" i="44"/>
  <c r="E327" i="44"/>
  <c r="I326" i="44"/>
  <c r="E326" i="44"/>
  <c r="J326" i="44" s="1"/>
  <c r="I325" i="44"/>
  <c r="E325" i="44"/>
  <c r="J325" i="44" s="1"/>
  <c r="K325" i="44" s="1"/>
  <c r="I324" i="44"/>
  <c r="E324" i="44"/>
  <c r="J324" i="44" s="1"/>
  <c r="K324" i="44" s="1"/>
  <c r="J323" i="44"/>
  <c r="I323" i="44"/>
  <c r="F323" i="44"/>
  <c r="E323" i="44"/>
  <c r="I322" i="44"/>
  <c r="E322" i="44"/>
  <c r="J322" i="44" s="1"/>
  <c r="I321" i="44"/>
  <c r="E321" i="44"/>
  <c r="J321" i="44" s="1"/>
  <c r="K321" i="44" s="1"/>
  <c r="I320" i="44"/>
  <c r="E320" i="44"/>
  <c r="J320" i="44" s="1"/>
  <c r="K320" i="44" s="1"/>
  <c r="J319" i="44"/>
  <c r="I319" i="44"/>
  <c r="E319" i="44"/>
  <c r="F319" i="44" s="1"/>
  <c r="J318" i="44"/>
  <c r="I318" i="44"/>
  <c r="F318" i="44"/>
  <c r="E318" i="44"/>
  <c r="J317" i="44"/>
  <c r="I317" i="44"/>
  <c r="E317" i="44"/>
  <c r="F317" i="44" s="1"/>
  <c r="J316" i="44"/>
  <c r="I316" i="44"/>
  <c r="E316" i="44"/>
  <c r="F316" i="44" s="1"/>
  <c r="I315" i="44"/>
  <c r="E315" i="44"/>
  <c r="J315" i="44" s="1"/>
  <c r="J314" i="44"/>
  <c r="I314" i="44"/>
  <c r="F314" i="44"/>
  <c r="E314" i="44"/>
  <c r="J313" i="44"/>
  <c r="I313" i="44"/>
  <c r="E313" i="44"/>
  <c r="F313" i="44" s="1"/>
  <c r="J312" i="44"/>
  <c r="I312" i="44"/>
  <c r="E312" i="44"/>
  <c r="F312" i="44" s="1"/>
  <c r="I311" i="44"/>
  <c r="E311" i="44"/>
  <c r="J311" i="44" s="1"/>
  <c r="L310" i="44"/>
  <c r="E310" i="44"/>
  <c r="I309" i="44"/>
  <c r="E309" i="44"/>
  <c r="J309" i="44" s="1"/>
  <c r="D309" i="44"/>
  <c r="I308" i="44"/>
  <c r="E308" i="44"/>
  <c r="J308" i="44" s="1"/>
  <c r="I307" i="44"/>
  <c r="E307" i="44"/>
  <c r="I306" i="44"/>
  <c r="E306" i="44"/>
  <c r="J306" i="44" s="1"/>
  <c r="K306" i="44" s="1"/>
  <c r="J305" i="44"/>
  <c r="I305" i="44"/>
  <c r="E305" i="44"/>
  <c r="F305" i="44" s="1"/>
  <c r="J304" i="44"/>
  <c r="I304" i="44"/>
  <c r="F304" i="44"/>
  <c r="E304" i="44"/>
  <c r="I303" i="44"/>
  <c r="E303" i="44"/>
  <c r="J303" i="44" s="1"/>
  <c r="I302" i="44"/>
  <c r="E302" i="44"/>
  <c r="I301" i="44"/>
  <c r="E301" i="44"/>
  <c r="J301" i="44" s="1"/>
  <c r="I300" i="44"/>
  <c r="E300" i="44"/>
  <c r="J300" i="44" s="1"/>
  <c r="J299" i="44"/>
  <c r="I299" i="44"/>
  <c r="E299" i="44"/>
  <c r="F299" i="44" s="1"/>
  <c r="I298" i="44"/>
  <c r="E298" i="44"/>
  <c r="J298" i="44" s="1"/>
  <c r="I297" i="44"/>
  <c r="E297" i="44"/>
  <c r="J296" i="44"/>
  <c r="I296" i="44"/>
  <c r="E296" i="44"/>
  <c r="F296" i="44" s="1"/>
  <c r="I295" i="44"/>
  <c r="E295" i="44"/>
  <c r="J295" i="44" s="1"/>
  <c r="K295" i="44" s="1"/>
  <c r="I294" i="44"/>
  <c r="E294" i="44"/>
  <c r="I293" i="44"/>
  <c r="F293" i="44"/>
  <c r="E293" i="44"/>
  <c r="J293" i="44" s="1"/>
  <c r="K293" i="44" s="1"/>
  <c r="J292" i="44"/>
  <c r="I292" i="44"/>
  <c r="E292" i="44"/>
  <c r="F292" i="44" s="1"/>
  <c r="J291" i="44"/>
  <c r="I291" i="44"/>
  <c r="F291" i="44"/>
  <c r="E291" i="44"/>
  <c r="I290" i="44"/>
  <c r="E290" i="44"/>
  <c r="I289" i="44"/>
  <c r="E289" i="44"/>
  <c r="J289" i="44" s="1"/>
  <c r="I288" i="44"/>
  <c r="E288" i="44"/>
  <c r="F288" i="44" s="1"/>
  <c r="J287" i="44"/>
  <c r="I287" i="44"/>
  <c r="E287" i="44"/>
  <c r="F287" i="44" s="1"/>
  <c r="J286" i="44"/>
  <c r="I286" i="44"/>
  <c r="E286" i="44"/>
  <c r="F286" i="44" s="1"/>
  <c r="J285" i="44"/>
  <c r="I285" i="44"/>
  <c r="F285" i="44"/>
  <c r="E285" i="44"/>
  <c r="I284" i="44"/>
  <c r="E284" i="44"/>
  <c r="J283" i="44"/>
  <c r="I283" i="44"/>
  <c r="E283" i="44"/>
  <c r="F283" i="44" s="1"/>
  <c r="J282" i="44"/>
  <c r="I282" i="44"/>
  <c r="F282" i="44"/>
  <c r="E282" i="44"/>
  <c r="I281" i="44"/>
  <c r="E281" i="44"/>
  <c r="J280" i="44"/>
  <c r="I280" i="44"/>
  <c r="F280" i="44"/>
  <c r="E280" i="44"/>
  <c r="I279" i="44"/>
  <c r="E279" i="44"/>
  <c r="J279" i="44" s="1"/>
  <c r="J278" i="44"/>
  <c r="I278" i="44"/>
  <c r="F278" i="44"/>
  <c r="E278" i="44"/>
  <c r="J277" i="44"/>
  <c r="I277" i="44"/>
  <c r="F277" i="44"/>
  <c r="E277" i="44"/>
  <c r="I276" i="44"/>
  <c r="E276" i="44"/>
  <c r="J276" i="44" s="1"/>
  <c r="K276" i="44" s="1"/>
  <c r="J275" i="44"/>
  <c r="I275" i="44"/>
  <c r="E275" i="44"/>
  <c r="F275" i="44" s="1"/>
  <c r="J274" i="44"/>
  <c r="I274" i="44"/>
  <c r="E274" i="44"/>
  <c r="F274" i="44" s="1"/>
  <c r="I273" i="44"/>
  <c r="E273" i="44"/>
  <c r="J273" i="44" s="1"/>
  <c r="J272" i="44"/>
  <c r="I272" i="44"/>
  <c r="F272" i="44"/>
  <c r="E272" i="44"/>
  <c r="I271" i="44"/>
  <c r="F271" i="44"/>
  <c r="E271" i="44"/>
  <c r="J271" i="44" s="1"/>
  <c r="I270" i="44"/>
  <c r="E270" i="44"/>
  <c r="I269" i="44"/>
  <c r="E269" i="44"/>
  <c r="J269" i="44" s="1"/>
  <c r="I268" i="44"/>
  <c r="E268" i="44"/>
  <c r="J268" i="44" s="1"/>
  <c r="K268" i="44" s="1"/>
  <c r="I267" i="44"/>
  <c r="E267" i="44"/>
  <c r="I266" i="44"/>
  <c r="F266" i="44"/>
  <c r="E266" i="44"/>
  <c r="J266" i="44" s="1"/>
  <c r="I265" i="44"/>
  <c r="E265" i="44"/>
  <c r="J265" i="44" s="1"/>
  <c r="J264" i="44"/>
  <c r="I264" i="44"/>
  <c r="E264" i="44"/>
  <c r="F264" i="44" s="1"/>
  <c r="J263" i="44"/>
  <c r="I263" i="44"/>
  <c r="F263" i="44"/>
  <c r="E263" i="44"/>
  <c r="I262" i="44"/>
  <c r="E262" i="44"/>
  <c r="J261" i="44"/>
  <c r="I261" i="44"/>
  <c r="F261" i="44"/>
  <c r="E261" i="44"/>
  <c r="I260" i="44"/>
  <c r="E260" i="44"/>
  <c r="J260" i="44" s="1"/>
  <c r="K260" i="44" s="1"/>
  <c r="J259" i="44"/>
  <c r="I259" i="44"/>
  <c r="E259" i="44"/>
  <c r="F259" i="44" s="1"/>
  <c r="I258" i="44"/>
  <c r="E258" i="44"/>
  <c r="J258" i="44" s="1"/>
  <c r="I257" i="44"/>
  <c r="E257" i="44"/>
  <c r="J257" i="44" s="1"/>
  <c r="K257" i="44" s="1"/>
  <c r="J256" i="44"/>
  <c r="I256" i="44"/>
  <c r="E256" i="44"/>
  <c r="F256" i="44" s="1"/>
  <c r="I255" i="44"/>
  <c r="F255" i="44"/>
  <c r="E255" i="44"/>
  <c r="J255" i="44" s="1"/>
  <c r="I254" i="44"/>
  <c r="E254" i="44"/>
  <c r="J254" i="44" s="1"/>
  <c r="I253" i="44"/>
  <c r="E253" i="44"/>
  <c r="J253" i="44" s="1"/>
  <c r="J252" i="44"/>
  <c r="I252" i="44"/>
  <c r="E252" i="44"/>
  <c r="F252" i="44" s="1"/>
  <c r="J251" i="44"/>
  <c r="I251" i="44"/>
  <c r="E251" i="44"/>
  <c r="F251" i="44" s="1"/>
  <c r="I250" i="44"/>
  <c r="E250" i="44"/>
  <c r="J250" i="44" s="1"/>
  <c r="J249" i="44"/>
  <c r="I249" i="44"/>
  <c r="E249" i="44"/>
  <c r="F249" i="44" s="1"/>
  <c r="I248" i="44"/>
  <c r="I247" i="44"/>
  <c r="I246" i="44"/>
  <c r="I245" i="44"/>
  <c r="I244" i="44"/>
  <c r="I243" i="44"/>
  <c r="I242" i="44"/>
  <c r="I241" i="44"/>
  <c r="I240" i="44"/>
  <c r="I239" i="44"/>
  <c r="I238" i="44"/>
  <c r="I237" i="44"/>
  <c r="I236" i="44"/>
  <c r="I235" i="44"/>
  <c r="I234" i="44"/>
  <c r="I233" i="44"/>
  <c r="E233" i="44"/>
  <c r="J233" i="44" s="1"/>
  <c r="S232" i="44"/>
  <c r="R232" i="44"/>
  <c r="L232" i="44"/>
  <c r="F232" i="44"/>
  <c r="J231" i="44"/>
  <c r="I231" i="44"/>
  <c r="E231" i="44"/>
  <c r="F231" i="44" s="1"/>
  <c r="J230" i="44"/>
  <c r="I230" i="44"/>
  <c r="E230" i="44"/>
  <c r="F230" i="44" s="1"/>
  <c r="I229" i="44"/>
  <c r="E229" i="44"/>
  <c r="J228" i="44"/>
  <c r="I228" i="44"/>
  <c r="E228" i="44"/>
  <c r="F228" i="44" s="1"/>
  <c r="I227" i="44"/>
  <c r="E227" i="44"/>
  <c r="J227" i="44" s="1"/>
  <c r="I226" i="44"/>
  <c r="J225" i="44"/>
  <c r="I225" i="44"/>
  <c r="E225" i="44"/>
  <c r="F225" i="44" s="1"/>
  <c r="I224" i="44"/>
  <c r="I223" i="44"/>
  <c r="I222" i="44"/>
  <c r="I221" i="44"/>
  <c r="E221" i="44"/>
  <c r="J221" i="44" s="1"/>
  <c r="J220" i="44"/>
  <c r="I220" i="44"/>
  <c r="F220" i="44"/>
  <c r="E220" i="44"/>
  <c r="I219" i="44"/>
  <c r="F219" i="44"/>
  <c r="E219" i="44"/>
  <c r="J219" i="44" s="1"/>
  <c r="I218" i="44"/>
  <c r="I217" i="44"/>
  <c r="E217" i="44"/>
  <c r="J217" i="44" s="1"/>
  <c r="K217" i="44" s="1"/>
  <c r="J216" i="44"/>
  <c r="I216" i="44"/>
  <c r="E216" i="44"/>
  <c r="F216" i="44" s="1"/>
  <c r="L215" i="44"/>
  <c r="I214" i="44"/>
  <c r="E214" i="44"/>
  <c r="J214" i="44" s="1"/>
  <c r="J213" i="44"/>
  <c r="I213" i="44"/>
  <c r="E213" i="44"/>
  <c r="F213" i="44" s="1"/>
  <c r="I212" i="44"/>
  <c r="E212" i="44"/>
  <c r="I211" i="44"/>
  <c r="I210" i="44"/>
  <c r="I209" i="44"/>
  <c r="E209" i="44"/>
  <c r="J208" i="44"/>
  <c r="I208" i="44"/>
  <c r="F208" i="44"/>
  <c r="E208" i="44"/>
  <c r="J207" i="44"/>
  <c r="I207" i="44"/>
  <c r="E207" i="44"/>
  <c r="F207" i="44" s="1"/>
  <c r="I206" i="44"/>
  <c r="E206" i="44"/>
  <c r="I205" i="44"/>
  <c r="I204" i="44"/>
  <c r="I203" i="44"/>
  <c r="I202" i="44"/>
  <c r="I201" i="44"/>
  <c r="I200" i="44"/>
  <c r="I199" i="44"/>
  <c r="I198" i="44"/>
  <c r="I197" i="44"/>
  <c r="I196" i="44"/>
  <c r="F195" i="44"/>
  <c r="E195" i="44"/>
  <c r="I194" i="44"/>
  <c r="I193" i="44"/>
  <c r="S192" i="44"/>
  <c r="I192" i="44"/>
  <c r="D191" i="44"/>
  <c r="I191" i="44" s="1"/>
  <c r="I190" i="44"/>
  <c r="D190" i="44"/>
  <c r="I189" i="44"/>
  <c r="I188" i="44"/>
  <c r="J187" i="44"/>
  <c r="I187" i="44"/>
  <c r="F187" i="44"/>
  <c r="E187" i="44"/>
  <c r="I186" i="44"/>
  <c r="E186" i="44"/>
  <c r="J185" i="44"/>
  <c r="I185" i="44"/>
  <c r="F185" i="44"/>
  <c r="E185" i="44"/>
  <c r="I184" i="44"/>
  <c r="E184" i="44"/>
  <c r="I183" i="44"/>
  <c r="I182" i="44"/>
  <c r="I181" i="44"/>
  <c r="I180" i="44"/>
  <c r="I179" i="44"/>
  <c r="E179" i="44"/>
  <c r="J179" i="44" s="1"/>
  <c r="I178" i="44"/>
  <c r="E178" i="44"/>
  <c r="J178" i="44" s="1"/>
  <c r="I177" i="44"/>
  <c r="I176" i="44"/>
  <c r="J175" i="44"/>
  <c r="I175" i="44"/>
  <c r="E175" i="44"/>
  <c r="F175" i="44" s="1"/>
  <c r="I174" i="44"/>
  <c r="I173" i="44"/>
  <c r="I172" i="44"/>
  <c r="I171" i="44"/>
  <c r="I170" i="44"/>
  <c r="J169" i="44"/>
  <c r="I169" i="44"/>
  <c r="F169" i="44"/>
  <c r="E169" i="44"/>
  <c r="I168" i="44"/>
  <c r="E168" i="44"/>
  <c r="J168" i="44" s="1"/>
  <c r="I167" i="44"/>
  <c r="E167" i="44"/>
  <c r="J167" i="44" s="1"/>
  <c r="E166" i="44"/>
  <c r="F166" i="44" s="1"/>
  <c r="I165" i="44"/>
  <c r="E165" i="44"/>
  <c r="J165" i="44" s="1"/>
  <c r="I164" i="44"/>
  <c r="I163" i="44"/>
  <c r="E163" i="44"/>
  <c r="J163" i="44" s="1"/>
  <c r="K163" i="44" s="1"/>
  <c r="J162" i="44"/>
  <c r="I162" i="44"/>
  <c r="E162" i="44"/>
  <c r="F162" i="44" s="1"/>
  <c r="J161" i="44"/>
  <c r="I161" i="44"/>
  <c r="F161" i="44"/>
  <c r="E161" i="44"/>
  <c r="I160" i="44"/>
  <c r="E160" i="44"/>
  <c r="J160" i="44" s="1"/>
  <c r="K160" i="44" s="1"/>
  <c r="I159" i="44"/>
  <c r="E159" i="44"/>
  <c r="J159" i="44" s="1"/>
  <c r="I158" i="44"/>
  <c r="E158" i="44"/>
  <c r="I157" i="44"/>
  <c r="E157" i="44"/>
  <c r="J157" i="44" s="1"/>
  <c r="J156" i="44"/>
  <c r="I156" i="44"/>
  <c r="F156" i="44"/>
  <c r="E156" i="44"/>
  <c r="I155" i="44"/>
  <c r="E155" i="44"/>
  <c r="J155" i="44" s="1"/>
  <c r="K155" i="44" s="1"/>
  <c r="J154" i="44"/>
  <c r="I154" i="44"/>
  <c r="E154" i="44"/>
  <c r="F154" i="44" s="1"/>
  <c r="I153" i="44"/>
  <c r="E153" i="44"/>
  <c r="I152" i="44"/>
  <c r="E152" i="44"/>
  <c r="J152" i="44" s="1"/>
  <c r="K152" i="44" s="1"/>
  <c r="J151" i="44"/>
  <c r="I151" i="44"/>
  <c r="K151" i="44" s="1"/>
  <c r="E151" i="44"/>
  <c r="F151" i="44" s="1"/>
  <c r="J150" i="44"/>
  <c r="I150" i="44"/>
  <c r="E150" i="44"/>
  <c r="F150" i="44" s="1"/>
  <c r="J149" i="44"/>
  <c r="I149" i="44"/>
  <c r="F149" i="44"/>
  <c r="E149" i="44"/>
  <c r="I148" i="44"/>
  <c r="E148" i="44"/>
  <c r="J148" i="44" s="1"/>
  <c r="J147" i="44"/>
  <c r="I147" i="44"/>
  <c r="F147" i="44"/>
  <c r="E147" i="44"/>
  <c r="I146" i="44"/>
  <c r="E146" i="44"/>
  <c r="I145" i="44"/>
  <c r="E145" i="44"/>
  <c r="F145" i="44" s="1"/>
  <c r="I144" i="44"/>
  <c r="I143" i="44"/>
  <c r="E143" i="44"/>
  <c r="J143" i="44" s="1"/>
  <c r="I142" i="44"/>
  <c r="I141" i="44"/>
  <c r="I140" i="44"/>
  <c r="E140" i="44"/>
  <c r="I139" i="44"/>
  <c r="E139" i="44"/>
  <c r="J139" i="44" s="1"/>
  <c r="J138" i="44"/>
  <c r="I138" i="44"/>
  <c r="E138" i="44"/>
  <c r="F138" i="44" s="1"/>
  <c r="J137" i="44"/>
  <c r="I137" i="44"/>
  <c r="F137" i="44"/>
  <c r="E137" i="44"/>
  <c r="I136" i="44"/>
  <c r="E136" i="44"/>
  <c r="J136" i="44" s="1"/>
  <c r="I135" i="44"/>
  <c r="I134" i="44"/>
  <c r="J133" i="44"/>
  <c r="I133" i="44"/>
  <c r="E133" i="44"/>
  <c r="F133" i="44" s="1"/>
  <c r="J132" i="44"/>
  <c r="I132" i="44"/>
  <c r="E132" i="44"/>
  <c r="F132" i="44" s="1"/>
  <c r="I131" i="44"/>
  <c r="E131" i="44"/>
  <c r="I130" i="44"/>
  <c r="E130" i="44"/>
  <c r="J130" i="44" s="1"/>
  <c r="K130" i="44" s="1"/>
  <c r="J129" i="44"/>
  <c r="I129" i="44"/>
  <c r="E129" i="44"/>
  <c r="F129" i="44" s="1"/>
  <c r="J128" i="44"/>
  <c r="I128" i="44"/>
  <c r="F128" i="44"/>
  <c r="E128" i="44"/>
  <c r="J127" i="44"/>
  <c r="I127" i="44"/>
  <c r="E127" i="44"/>
  <c r="F127" i="44" s="1"/>
  <c r="E126" i="44"/>
  <c r="F126" i="44" s="1"/>
  <c r="J125" i="44"/>
  <c r="I125" i="44"/>
  <c r="F125" i="44"/>
  <c r="J124" i="44"/>
  <c r="I124" i="44"/>
  <c r="F124" i="44"/>
  <c r="J123" i="44"/>
  <c r="I123" i="44"/>
  <c r="F123" i="44"/>
  <c r="J122" i="44"/>
  <c r="I122" i="44"/>
  <c r="F122" i="44"/>
  <c r="J121" i="44"/>
  <c r="I121" i="44"/>
  <c r="E121" i="44"/>
  <c r="F121" i="44" s="1"/>
  <c r="I120" i="44"/>
  <c r="E120" i="44"/>
  <c r="J120" i="44" s="1"/>
  <c r="K120" i="44" s="1"/>
  <c r="J119" i="44"/>
  <c r="I119" i="44"/>
  <c r="E119" i="44"/>
  <c r="F119" i="44" s="1"/>
  <c r="I118" i="44"/>
  <c r="E118" i="44"/>
  <c r="J118" i="44" s="1"/>
  <c r="J117" i="44"/>
  <c r="I117" i="44"/>
  <c r="E117" i="44"/>
  <c r="F117" i="44" s="1"/>
  <c r="J116" i="44"/>
  <c r="I116" i="44"/>
  <c r="E116" i="44"/>
  <c r="F116" i="44" s="1"/>
  <c r="I115" i="44"/>
  <c r="F115" i="44"/>
  <c r="E115" i="44"/>
  <c r="J115" i="44" s="1"/>
  <c r="I114" i="44"/>
  <c r="E114" i="44"/>
  <c r="F114" i="44" s="1"/>
  <c r="I113" i="44"/>
  <c r="E113" i="44"/>
  <c r="J113" i="44" s="1"/>
  <c r="I112" i="44"/>
  <c r="E112" i="44"/>
  <c r="J111" i="44"/>
  <c r="I111" i="44"/>
  <c r="F111" i="44"/>
  <c r="E111" i="44"/>
  <c r="I110" i="44"/>
  <c r="E110" i="44"/>
  <c r="I109" i="44"/>
  <c r="E109" i="44"/>
  <c r="J109" i="44" s="1"/>
  <c r="K109" i="44" s="1"/>
  <c r="I108" i="44"/>
  <c r="I107" i="44"/>
  <c r="F107" i="44"/>
  <c r="E107" i="44"/>
  <c r="J107" i="44" s="1"/>
  <c r="I106" i="44"/>
  <c r="E106" i="44"/>
  <c r="J106" i="44" s="1"/>
  <c r="I105" i="44"/>
  <c r="E105" i="44"/>
  <c r="J105" i="44" s="1"/>
  <c r="K105" i="44" s="1"/>
  <c r="J104" i="44"/>
  <c r="I104" i="44"/>
  <c r="E104" i="44"/>
  <c r="F104" i="44" s="1"/>
  <c r="J103" i="44"/>
  <c r="I103" i="44"/>
  <c r="F103" i="44"/>
  <c r="E103" i="44"/>
  <c r="I102" i="44"/>
  <c r="E102" i="44"/>
  <c r="J102" i="44" s="1"/>
  <c r="I101" i="44"/>
  <c r="F101" i="44"/>
  <c r="E101" i="44"/>
  <c r="J101" i="44" s="1"/>
  <c r="J100" i="44"/>
  <c r="I100" i="44"/>
  <c r="F100" i="44"/>
  <c r="E100" i="44"/>
  <c r="I99" i="44"/>
  <c r="E99" i="44"/>
  <c r="J98" i="44"/>
  <c r="I98" i="44"/>
  <c r="F98" i="44"/>
  <c r="E98" i="44"/>
  <c r="I97" i="44"/>
  <c r="E97" i="44"/>
  <c r="J97" i="44" s="1"/>
  <c r="K97" i="44" s="1"/>
  <c r="I96" i="44"/>
  <c r="E96" i="44"/>
  <c r="J96" i="44" s="1"/>
  <c r="J95" i="44"/>
  <c r="I95" i="44"/>
  <c r="F95" i="44"/>
  <c r="E95" i="44"/>
  <c r="I94" i="44"/>
  <c r="E94" i="44"/>
  <c r="J94" i="44" s="1"/>
  <c r="J93" i="44"/>
  <c r="I93" i="44"/>
  <c r="E93" i="44"/>
  <c r="F93" i="44" s="1"/>
  <c r="I92" i="44"/>
  <c r="E92" i="44"/>
  <c r="J92" i="44" s="1"/>
  <c r="I91" i="44"/>
  <c r="E91" i="44"/>
  <c r="J91" i="44" s="1"/>
  <c r="K91" i="44" s="1"/>
  <c r="I90" i="44"/>
  <c r="E90" i="44"/>
  <c r="J90" i="44" s="1"/>
  <c r="J89" i="44"/>
  <c r="I89" i="44"/>
  <c r="E89" i="44"/>
  <c r="F89" i="44" s="1"/>
  <c r="I88" i="44"/>
  <c r="E88" i="44"/>
  <c r="I87" i="44"/>
  <c r="E87" i="44"/>
  <c r="J87" i="44" s="1"/>
  <c r="K87" i="44" s="1"/>
  <c r="I86" i="44"/>
  <c r="E86" i="44"/>
  <c r="J86" i="44" s="1"/>
  <c r="I85" i="44"/>
  <c r="E85" i="44"/>
  <c r="I84" i="44"/>
  <c r="E84" i="44"/>
  <c r="F84" i="44" s="1"/>
  <c r="I83" i="44"/>
  <c r="E83" i="44"/>
  <c r="J83" i="44" s="1"/>
  <c r="I82" i="44"/>
  <c r="E82" i="44"/>
  <c r="J82" i="44" s="1"/>
  <c r="I81" i="44"/>
  <c r="E81" i="44"/>
  <c r="F81" i="44" s="1"/>
  <c r="I80" i="44"/>
  <c r="E80" i="44"/>
  <c r="J80" i="44" s="1"/>
  <c r="K80" i="44" s="1"/>
  <c r="J79" i="44"/>
  <c r="I79" i="44"/>
  <c r="F79" i="44"/>
  <c r="E79" i="44"/>
  <c r="I78" i="44"/>
  <c r="F78" i="44"/>
  <c r="E78" i="44"/>
  <c r="J78" i="44" s="1"/>
  <c r="I77" i="44"/>
  <c r="E77" i="44"/>
  <c r="J76" i="44"/>
  <c r="I76" i="44"/>
  <c r="E76" i="44"/>
  <c r="F76" i="44" s="1"/>
  <c r="I75" i="44"/>
  <c r="I74" i="44"/>
  <c r="J73" i="44"/>
  <c r="I73" i="44"/>
  <c r="E73" i="44"/>
  <c r="F73" i="44" s="1"/>
  <c r="I72" i="44"/>
  <c r="E72" i="44"/>
  <c r="J72" i="44" s="1"/>
  <c r="J71" i="44"/>
  <c r="I71" i="44"/>
  <c r="E71" i="44"/>
  <c r="F71" i="44" s="1"/>
  <c r="J70" i="44"/>
  <c r="I70" i="44"/>
  <c r="E70" i="44"/>
  <c r="F70" i="44" s="1"/>
  <c r="J69" i="44"/>
  <c r="I69" i="44"/>
  <c r="E69" i="44"/>
  <c r="F69" i="44" s="1"/>
  <c r="I68" i="44"/>
  <c r="E68" i="44"/>
  <c r="J68" i="44" s="1"/>
  <c r="I67" i="44"/>
  <c r="E67" i="44"/>
  <c r="J67" i="44" s="1"/>
  <c r="J66" i="44"/>
  <c r="I66" i="44"/>
  <c r="E66" i="44"/>
  <c r="F66" i="44" s="1"/>
  <c r="I65" i="44"/>
  <c r="E65" i="44"/>
  <c r="J65" i="44" s="1"/>
  <c r="K65" i="44" s="1"/>
  <c r="I64" i="44"/>
  <c r="E64" i="44"/>
  <c r="I63" i="44"/>
  <c r="E63" i="44"/>
  <c r="J63" i="44" s="1"/>
  <c r="K63" i="44" s="1"/>
  <c r="J62" i="44"/>
  <c r="I62" i="44"/>
  <c r="E62" i="44"/>
  <c r="F62" i="44" s="1"/>
  <c r="J61" i="44"/>
  <c r="I61" i="44"/>
  <c r="F61" i="44"/>
  <c r="E61" i="44"/>
  <c r="I60" i="44"/>
  <c r="E60" i="44"/>
  <c r="J60" i="44" s="1"/>
  <c r="K60" i="44" s="1"/>
  <c r="I59" i="44"/>
  <c r="E59" i="44"/>
  <c r="J59" i="44" s="1"/>
  <c r="K59" i="44" s="1"/>
  <c r="J58" i="44"/>
  <c r="K58" i="44" s="1"/>
  <c r="I58" i="44"/>
  <c r="E58" i="44"/>
  <c r="F58" i="44" s="1"/>
  <c r="I57" i="44"/>
  <c r="E57" i="44"/>
  <c r="J57" i="44" s="1"/>
  <c r="I56" i="44"/>
  <c r="E56" i="44"/>
  <c r="J56" i="44" s="1"/>
  <c r="J55" i="44"/>
  <c r="I55" i="44"/>
  <c r="F55" i="44"/>
  <c r="E55" i="44"/>
  <c r="I54" i="44"/>
  <c r="F54" i="44"/>
  <c r="E54" i="44"/>
  <c r="J54" i="44" s="1"/>
  <c r="I53" i="44"/>
  <c r="E53" i="44"/>
  <c r="J53" i="44" s="1"/>
  <c r="J52" i="44"/>
  <c r="I52" i="44"/>
  <c r="E52" i="44"/>
  <c r="F52" i="44" s="1"/>
  <c r="I51" i="44"/>
  <c r="E51" i="44"/>
  <c r="J51" i="44" s="1"/>
  <c r="K51" i="44" s="1"/>
  <c r="J50" i="44"/>
  <c r="I50" i="44"/>
  <c r="F50" i="44"/>
  <c r="E50" i="44"/>
  <c r="J49" i="44"/>
  <c r="I49" i="44"/>
  <c r="E49" i="44"/>
  <c r="F49" i="44" s="1"/>
  <c r="J48" i="44"/>
  <c r="I48" i="44"/>
  <c r="F48" i="44"/>
  <c r="E48" i="44"/>
  <c r="J47" i="44"/>
  <c r="I47" i="44"/>
  <c r="F47" i="44"/>
  <c r="E47" i="44"/>
  <c r="J46" i="44"/>
  <c r="I46" i="44"/>
  <c r="F46" i="44"/>
  <c r="E46" i="44"/>
  <c r="I45" i="44"/>
  <c r="E45" i="44"/>
  <c r="J44" i="44"/>
  <c r="I44" i="44"/>
  <c r="F44" i="44"/>
  <c r="E44" i="44"/>
  <c r="I43" i="44"/>
  <c r="E43" i="44"/>
  <c r="J43" i="44" s="1"/>
  <c r="K43" i="44" s="1"/>
  <c r="J42" i="44"/>
  <c r="I42" i="44"/>
  <c r="F42" i="44"/>
  <c r="E42" i="44"/>
  <c r="J41" i="44"/>
  <c r="I41" i="44"/>
  <c r="F41" i="44"/>
  <c r="E41" i="44"/>
  <c r="I40" i="44"/>
  <c r="E40" i="44"/>
  <c r="I39" i="44"/>
  <c r="E39" i="44"/>
  <c r="J39" i="44" s="1"/>
  <c r="I38" i="44"/>
  <c r="E38" i="44"/>
  <c r="E37" i="44"/>
  <c r="F37" i="44" s="1"/>
  <c r="J36" i="44"/>
  <c r="I36" i="44"/>
  <c r="L36" i="44" s="1"/>
  <c r="E36" i="44"/>
  <c r="F36" i="44" s="1"/>
  <c r="I35" i="44"/>
  <c r="E35" i="44"/>
  <c r="J35" i="44" s="1"/>
  <c r="K35" i="44" s="1"/>
  <c r="J34" i="44"/>
  <c r="I34" i="44"/>
  <c r="F34" i="44"/>
  <c r="E34" i="44"/>
  <c r="I33" i="44"/>
  <c r="E33" i="44"/>
  <c r="J33" i="44" s="1"/>
  <c r="J32" i="44"/>
  <c r="I32" i="44"/>
  <c r="E32" i="44"/>
  <c r="I31" i="44"/>
  <c r="E31" i="44"/>
  <c r="J31" i="44" s="1"/>
  <c r="I30" i="44"/>
  <c r="E30" i="44"/>
  <c r="J30" i="44" s="1"/>
  <c r="I29" i="44"/>
  <c r="E29" i="44"/>
  <c r="J29" i="44" s="1"/>
  <c r="J28" i="44"/>
  <c r="I28" i="44"/>
  <c r="E28" i="44"/>
  <c r="J27" i="44"/>
  <c r="I27" i="44"/>
  <c r="E27" i="44"/>
  <c r="R26" i="44"/>
  <c r="I26" i="44"/>
  <c r="J25" i="44"/>
  <c r="I25" i="44"/>
  <c r="E25" i="44"/>
  <c r="I24" i="44"/>
  <c r="E24" i="44"/>
  <c r="J24" i="44" s="1"/>
  <c r="K24" i="44" s="1"/>
  <c r="I23" i="44"/>
  <c r="E23" i="44"/>
  <c r="J23" i="44" s="1"/>
  <c r="I22" i="44"/>
  <c r="E22" i="44"/>
  <c r="J22" i="44" s="1"/>
  <c r="J21" i="44"/>
  <c r="I21" i="44"/>
  <c r="E21" i="44"/>
  <c r="I20" i="44"/>
  <c r="E20" i="44"/>
  <c r="J20" i="44" s="1"/>
  <c r="I19" i="44"/>
  <c r="L19" i="44" s="1"/>
  <c r="F19" i="44"/>
  <c r="I18" i="44"/>
  <c r="I17" i="44"/>
  <c r="I16" i="44"/>
  <c r="E16" i="44"/>
  <c r="J16" i="44" s="1"/>
  <c r="I15" i="44"/>
  <c r="I14" i="44"/>
  <c r="E14" i="44"/>
  <c r="J14" i="44" s="1"/>
  <c r="K14" i="44" s="1"/>
  <c r="I13" i="44"/>
  <c r="E13" i="44"/>
  <c r="J13" i="44" s="1"/>
  <c r="J12" i="44"/>
  <c r="I12" i="44"/>
  <c r="E12" i="44"/>
  <c r="H665" i="25"/>
  <c r="H663" i="25"/>
  <c r="H662" i="25"/>
  <c r="H634" i="25"/>
  <c r="I551" i="25"/>
  <c r="F352" i="30" s="1"/>
  <c r="E359" i="45" s="1"/>
  <c r="J359" i="45" s="1"/>
  <c r="K359" i="45" s="1"/>
  <c r="I408" i="25"/>
  <c r="I410" i="25"/>
  <c r="I412" i="25"/>
  <c r="I405" i="25"/>
  <c r="J121" i="52" l="1"/>
  <c r="E121" i="52"/>
  <c r="K46" i="51"/>
  <c r="F46" i="51"/>
  <c r="K47" i="51"/>
  <c r="L47" i="51" s="1"/>
  <c r="F47" i="51"/>
  <c r="E359" i="44"/>
  <c r="K96" i="45"/>
  <c r="K47" i="45"/>
  <c r="K148" i="45"/>
  <c r="K165" i="45"/>
  <c r="K324" i="45"/>
  <c r="K39" i="45"/>
  <c r="K72" i="45"/>
  <c r="K316" i="45"/>
  <c r="K399" i="45"/>
  <c r="K89" i="45"/>
  <c r="K317" i="45"/>
  <c r="K433" i="45"/>
  <c r="K48" i="45"/>
  <c r="K65" i="45"/>
  <c r="K158" i="45"/>
  <c r="K167" i="45"/>
  <c r="K326" i="45"/>
  <c r="K392" i="45"/>
  <c r="K55" i="45"/>
  <c r="K22" i="45"/>
  <c r="K455" i="45"/>
  <c r="K91" i="45"/>
  <c r="K151" i="45"/>
  <c r="I166" i="45"/>
  <c r="G166" i="45" s="1"/>
  <c r="I464" i="45"/>
  <c r="G464" i="45" s="1"/>
  <c r="K43" i="45"/>
  <c r="K127" i="45"/>
  <c r="K143" i="45"/>
  <c r="I215" i="45"/>
  <c r="G215" i="45" s="1"/>
  <c r="K328" i="45"/>
  <c r="K346" i="45"/>
  <c r="K376" i="45"/>
  <c r="K42" i="45"/>
  <c r="K59" i="45"/>
  <c r="K275" i="45"/>
  <c r="K303" i="45"/>
  <c r="K329" i="45"/>
  <c r="K386" i="45"/>
  <c r="K394" i="45"/>
  <c r="K404" i="45"/>
  <c r="K456" i="45"/>
  <c r="K427" i="45"/>
  <c r="K375" i="45"/>
  <c r="L25" i="45"/>
  <c r="K60" i="45"/>
  <c r="K357" i="45"/>
  <c r="K395" i="45"/>
  <c r="K179" i="45"/>
  <c r="K268" i="45"/>
  <c r="K387" i="45"/>
  <c r="K405" i="45"/>
  <c r="K429" i="45"/>
  <c r="I380" i="45"/>
  <c r="G380" i="45" s="1"/>
  <c r="K384" i="45"/>
  <c r="K85" i="45"/>
  <c r="K93" i="45"/>
  <c r="K111" i="45"/>
  <c r="K121" i="45"/>
  <c r="K153" i="45"/>
  <c r="K213" i="45"/>
  <c r="K260" i="45"/>
  <c r="K276" i="45"/>
  <c r="K287" i="45"/>
  <c r="K305" i="45"/>
  <c r="K406" i="45"/>
  <c r="K437" i="45"/>
  <c r="K448" i="45"/>
  <c r="K269" i="45"/>
  <c r="K414" i="45"/>
  <c r="K459" i="45"/>
  <c r="K67" i="45"/>
  <c r="K62" i="45"/>
  <c r="K155" i="45"/>
  <c r="K369" i="45"/>
  <c r="K450" i="45"/>
  <c r="K461" i="45"/>
  <c r="K434" i="45"/>
  <c r="K46" i="45"/>
  <c r="K70" i="45"/>
  <c r="K95" i="45"/>
  <c r="K307" i="45"/>
  <c r="K332" i="45"/>
  <c r="K431" i="45"/>
  <c r="K460" i="45"/>
  <c r="K333" i="45"/>
  <c r="K31" i="45"/>
  <c r="K73" i="45"/>
  <c r="K150" i="45"/>
  <c r="K292" i="45"/>
  <c r="K300" i="45"/>
  <c r="I344" i="45"/>
  <c r="G344" i="45" s="1"/>
  <c r="K82" i="45"/>
  <c r="K219" i="45"/>
  <c r="K256" i="45"/>
  <c r="K283" i="45"/>
  <c r="K374" i="45"/>
  <c r="K274" i="45"/>
  <c r="K318" i="45"/>
  <c r="K20" i="45"/>
  <c r="K225" i="45"/>
  <c r="K262" i="45"/>
  <c r="K271" i="45"/>
  <c r="K308" i="45"/>
  <c r="K315" i="45"/>
  <c r="K323" i="45"/>
  <c r="K351" i="45"/>
  <c r="K361" i="45"/>
  <c r="K415" i="45"/>
  <c r="K38" i="45"/>
  <c r="J343" i="45"/>
  <c r="K343" i="45" s="1"/>
  <c r="F343" i="45"/>
  <c r="J293" i="45"/>
  <c r="K293" i="45" s="1"/>
  <c r="F293" i="45"/>
  <c r="K63" i="45"/>
  <c r="F335" i="45"/>
  <c r="J426" i="45"/>
  <c r="K426" i="45" s="1"/>
  <c r="F426" i="45"/>
  <c r="K131" i="45"/>
  <c r="L13" i="45"/>
  <c r="K13" i="45"/>
  <c r="J286" i="45"/>
  <c r="K286" i="45" s="1"/>
  <c r="F286" i="45"/>
  <c r="L32" i="45"/>
  <c r="K32" i="45"/>
  <c r="K124" i="45"/>
  <c r="F208" i="45"/>
  <c r="J208" i="45"/>
  <c r="K208" i="45" s="1"/>
  <c r="L23" i="45"/>
  <c r="K445" i="45"/>
  <c r="L24" i="45"/>
  <c r="K347" i="45"/>
  <c r="K381" i="45"/>
  <c r="K432" i="45"/>
  <c r="J249" i="45"/>
  <c r="K249" i="45" s="1"/>
  <c r="F249" i="45"/>
  <c r="K159" i="45"/>
  <c r="J229" i="45"/>
  <c r="K229" i="45" s="1"/>
  <c r="F229" i="45"/>
  <c r="K76" i="45"/>
  <c r="F221" i="45"/>
  <c r="F439" i="45"/>
  <c r="F145" i="45"/>
  <c r="K186" i="45"/>
  <c r="F38" i="45"/>
  <c r="F271" i="45"/>
  <c r="F307" i="45"/>
  <c r="K220" i="45"/>
  <c r="J257" i="45"/>
  <c r="K257" i="45" s="1"/>
  <c r="F257" i="45"/>
  <c r="F404" i="45"/>
  <c r="K418" i="45"/>
  <c r="K25" i="45"/>
  <c r="F58" i="45"/>
  <c r="K97" i="45"/>
  <c r="F118" i="45"/>
  <c r="F139" i="45"/>
  <c r="J187" i="45"/>
  <c r="K187" i="45" s="1"/>
  <c r="F187" i="45"/>
  <c r="F329" i="45"/>
  <c r="K365" i="45"/>
  <c r="F382" i="45"/>
  <c r="K389" i="45"/>
  <c r="K84" i="45"/>
  <c r="K264" i="45"/>
  <c r="L33" i="45"/>
  <c r="F71" i="45"/>
  <c r="K77" i="45"/>
  <c r="F160" i="45"/>
  <c r="F209" i="45"/>
  <c r="K397" i="45"/>
  <c r="J449" i="45"/>
  <c r="K449" i="45" s="1"/>
  <c r="F449" i="45"/>
  <c r="F92" i="45"/>
  <c r="J92" i="45"/>
  <c r="K92" i="45" s="1"/>
  <c r="J112" i="45"/>
  <c r="K112" i="45" s="1"/>
  <c r="F112" i="45"/>
  <c r="K125" i="45"/>
  <c r="F258" i="45"/>
  <c r="J280" i="45"/>
  <c r="K280" i="45" s="1"/>
  <c r="K345" i="45"/>
  <c r="F466" i="45"/>
  <c r="K147" i="45"/>
  <c r="F287" i="45"/>
  <c r="J330" i="45"/>
  <c r="K330" i="45" s="1"/>
  <c r="F330" i="45"/>
  <c r="F345" i="45"/>
  <c r="F352" i="45"/>
  <c r="J383" i="45"/>
  <c r="K383" i="45" s="1"/>
  <c r="F383" i="45"/>
  <c r="L20" i="45"/>
  <c r="J40" i="45"/>
  <c r="K40" i="45" s="1"/>
  <c r="F40" i="45"/>
  <c r="F66" i="45"/>
  <c r="F119" i="45"/>
  <c r="F154" i="45"/>
  <c r="F231" i="45"/>
  <c r="F301" i="45"/>
  <c r="J360" i="45"/>
  <c r="K360" i="45" s="1"/>
  <c r="F360" i="45"/>
  <c r="F406" i="45"/>
  <c r="F458" i="45"/>
  <c r="J458" i="45"/>
  <c r="K458" i="45" s="1"/>
  <c r="F60" i="45"/>
  <c r="F100" i="45"/>
  <c r="F106" i="45"/>
  <c r="F113" i="45"/>
  <c r="F281" i="45"/>
  <c r="F86" i="45"/>
  <c r="F175" i="45"/>
  <c r="J175" i="45"/>
  <c r="K175" i="45" s="1"/>
  <c r="I195" i="45"/>
  <c r="G195" i="45" s="1"/>
  <c r="K309" i="45"/>
  <c r="K27" i="45"/>
  <c r="K161" i="45"/>
  <c r="K368" i="45"/>
  <c r="F289" i="45"/>
  <c r="J289" i="45"/>
  <c r="K289" i="45" s="1"/>
  <c r="J35" i="45"/>
  <c r="K35" i="45" s="1"/>
  <c r="F35" i="45"/>
  <c r="K128" i="45"/>
  <c r="F149" i="45"/>
  <c r="F155" i="45"/>
  <c r="F252" i="45"/>
  <c r="J339" i="45"/>
  <c r="K339" i="45" s="1"/>
  <c r="F339" i="45"/>
  <c r="F400" i="45"/>
  <c r="J422" i="45"/>
  <c r="F422" i="45"/>
  <c r="F452" i="45"/>
  <c r="F61" i="45"/>
  <c r="F80" i="45"/>
  <c r="F101" i="45"/>
  <c r="K169" i="45"/>
  <c r="F303" i="45"/>
  <c r="L14" i="45"/>
  <c r="K28" i="45"/>
  <c r="J107" i="45"/>
  <c r="K107" i="45" s="1"/>
  <c r="F121" i="45"/>
  <c r="F268" i="45"/>
  <c r="I310" i="45"/>
  <c r="G310" i="45" s="1"/>
  <c r="F325" i="45"/>
  <c r="F347" i="45"/>
  <c r="F362" i="45"/>
  <c r="J88" i="45"/>
  <c r="K88" i="45" s="1"/>
  <c r="F88" i="45"/>
  <c r="K290" i="45"/>
  <c r="F304" i="45"/>
  <c r="J304" i="45"/>
  <c r="K304" i="45" s="1"/>
  <c r="K370" i="45"/>
  <c r="F49" i="45"/>
  <c r="F95" i="45"/>
  <c r="I126" i="45"/>
  <c r="G126" i="45" s="1"/>
  <c r="K311" i="45"/>
  <c r="K340" i="45"/>
  <c r="F445" i="45"/>
  <c r="L29" i="45"/>
  <c r="F254" i="45"/>
  <c r="F387" i="45"/>
  <c r="F401" i="45"/>
  <c r="I444" i="45"/>
  <c r="G444" i="45" s="1"/>
  <c r="J454" i="45"/>
  <c r="K454" i="45" s="1"/>
  <c r="F454" i="45"/>
  <c r="F298" i="45"/>
  <c r="J416" i="45"/>
  <c r="K416" i="45" s="1"/>
  <c r="F416" i="45"/>
  <c r="F109" i="45"/>
  <c r="J130" i="45"/>
  <c r="K130" i="45" s="1"/>
  <c r="F130" i="45"/>
  <c r="K137" i="45"/>
  <c r="F262" i="45"/>
  <c r="K355" i="45"/>
  <c r="F431" i="45"/>
  <c r="J438" i="45"/>
  <c r="K438" i="45" s="1"/>
  <c r="F438" i="45"/>
  <c r="F460" i="45"/>
  <c r="F184" i="45"/>
  <c r="F43" i="45"/>
  <c r="F56" i="45"/>
  <c r="J116" i="45"/>
  <c r="K116" i="45" s="1"/>
  <c r="F116" i="45"/>
  <c r="J157" i="45"/>
  <c r="K157" i="45" s="1"/>
  <c r="F157" i="45"/>
  <c r="F220" i="45"/>
  <c r="F319" i="45"/>
  <c r="F462" i="45"/>
  <c r="K348" i="45"/>
  <c r="F409" i="45"/>
  <c r="F306" i="45"/>
  <c r="K356" i="45"/>
  <c r="F395" i="45"/>
  <c r="I424" i="45"/>
  <c r="G424" i="45" s="1"/>
  <c r="J446" i="45"/>
  <c r="K446" i="45" s="1"/>
  <c r="F446" i="45"/>
  <c r="J50" i="45"/>
  <c r="K50" i="45" s="1"/>
  <c r="K90" i="45"/>
  <c r="J342" i="45"/>
  <c r="K342" i="45" s="1"/>
  <c r="F356" i="45"/>
  <c r="K388" i="45"/>
  <c r="J102" i="45"/>
  <c r="K102" i="45" s="1"/>
  <c r="F102" i="45"/>
  <c r="F227" i="45"/>
  <c r="J227" i="45"/>
  <c r="K227" i="45" s="1"/>
  <c r="K250" i="45"/>
  <c r="K336" i="45"/>
  <c r="F447" i="45"/>
  <c r="J447" i="45"/>
  <c r="K447" i="45" s="1"/>
  <c r="L16" i="45"/>
  <c r="F51" i="45"/>
  <c r="F167" i="45"/>
  <c r="K263" i="45"/>
  <c r="K282" i="45"/>
  <c r="K440" i="45"/>
  <c r="J132" i="45"/>
  <c r="K132" i="45" s="1"/>
  <c r="K162" i="45"/>
  <c r="K216" i="45"/>
  <c r="F263" i="45"/>
  <c r="F282" i="45"/>
  <c r="J390" i="45"/>
  <c r="K390" i="45" s="1"/>
  <c r="F390" i="45"/>
  <c r="F440" i="45"/>
  <c r="J104" i="45"/>
  <c r="K104" i="45" s="1"/>
  <c r="F104" i="45"/>
  <c r="F363" i="45"/>
  <c r="J363" i="45"/>
  <c r="K363" i="45" s="1"/>
  <c r="F53" i="45"/>
  <c r="J64" i="45"/>
  <c r="K64" i="45" s="1"/>
  <c r="F64" i="45"/>
  <c r="F128" i="45"/>
  <c r="F284" i="45"/>
  <c r="F308" i="45"/>
  <c r="F326" i="45"/>
  <c r="F392" i="45"/>
  <c r="J398" i="45"/>
  <c r="K398" i="45" s="1"/>
  <c r="F398" i="45"/>
  <c r="F429" i="45"/>
  <c r="F463" i="45"/>
  <c r="F81" i="45"/>
  <c r="F140" i="45"/>
  <c r="F278" i="45"/>
  <c r="F314" i="45"/>
  <c r="F351" i="45"/>
  <c r="F386" i="45"/>
  <c r="F450" i="45"/>
  <c r="F230" i="45"/>
  <c r="J253" i="45"/>
  <c r="K253" i="45" s="1"/>
  <c r="F253" i="45"/>
  <c r="J265" i="45"/>
  <c r="K265" i="45" s="1"/>
  <c r="F291" i="45"/>
  <c r="F302" i="45"/>
  <c r="F320" i="45"/>
  <c r="F357" i="45"/>
  <c r="F405" i="45"/>
  <c r="J410" i="45"/>
  <c r="K410" i="45" s="1"/>
  <c r="L30" i="45"/>
  <c r="J266" i="45"/>
  <c r="K266" i="45" s="1"/>
  <c r="F266" i="45"/>
  <c r="I11" i="45"/>
  <c r="J98" i="45"/>
  <c r="K98" i="45" s="1"/>
  <c r="K12" i="45"/>
  <c r="L12" i="45"/>
  <c r="F260" i="45"/>
  <c r="J321" i="45"/>
  <c r="K321" i="45" s="1"/>
  <c r="F321" i="45"/>
  <c r="K411" i="45"/>
  <c r="J146" i="45"/>
  <c r="K146" i="45" s="1"/>
  <c r="F146" i="45"/>
  <c r="K407" i="45"/>
  <c r="F435" i="45"/>
  <c r="F83" i="45"/>
  <c r="F99" i="45"/>
  <c r="F168" i="45"/>
  <c r="F179" i="45"/>
  <c r="F277" i="45"/>
  <c r="F338" i="45"/>
  <c r="F348" i="45"/>
  <c r="F402" i="45"/>
  <c r="F419" i="45"/>
  <c r="J441" i="45"/>
  <c r="K441" i="45" s="1"/>
  <c r="F441" i="45"/>
  <c r="F453" i="45"/>
  <c r="F41" i="45"/>
  <c r="F46" i="45"/>
  <c r="F78" i="45"/>
  <c r="F115" i="45"/>
  <c r="F272" i="45"/>
  <c r="F288" i="45"/>
  <c r="F358" i="45"/>
  <c r="F136" i="45"/>
  <c r="F152" i="45"/>
  <c r="K212" i="45"/>
  <c r="F217" i="45"/>
  <c r="I232" i="45"/>
  <c r="F255" i="45"/>
  <c r="F305" i="45"/>
  <c r="F385" i="45"/>
  <c r="J36" i="45"/>
  <c r="K36" i="45" s="1"/>
  <c r="J228" i="45"/>
  <c r="K228" i="45" s="1"/>
  <c r="J327" i="45"/>
  <c r="K327" i="45" s="1"/>
  <c r="F459" i="45"/>
  <c r="F279" i="45"/>
  <c r="K341" i="45"/>
  <c r="F417" i="45"/>
  <c r="F341" i="45"/>
  <c r="I354" i="45"/>
  <c r="G354" i="45" s="1"/>
  <c r="K412" i="45"/>
  <c r="J465" i="45"/>
  <c r="F465" i="45"/>
  <c r="F270" i="45"/>
  <c r="F294" i="45"/>
  <c r="F332" i="45"/>
  <c r="F359" i="45"/>
  <c r="F403" i="45"/>
  <c r="F451" i="45"/>
  <c r="K157" i="44"/>
  <c r="K67" i="44"/>
  <c r="K113" i="44"/>
  <c r="K139" i="44"/>
  <c r="L27" i="44"/>
  <c r="K53" i="44"/>
  <c r="K136" i="44"/>
  <c r="K315" i="44"/>
  <c r="K102" i="44"/>
  <c r="K447" i="44"/>
  <c r="K458" i="44"/>
  <c r="L12" i="44"/>
  <c r="K22" i="44"/>
  <c r="K265" i="44"/>
  <c r="K46" i="44"/>
  <c r="K391" i="44"/>
  <c r="K41" i="44"/>
  <c r="K274" i="44"/>
  <c r="K364" i="44"/>
  <c r="K377" i="44"/>
  <c r="K275" i="44"/>
  <c r="K429" i="44"/>
  <c r="K437" i="44"/>
  <c r="K137" i="44"/>
  <c r="K456" i="44"/>
  <c r="K129" i="44"/>
  <c r="K227" i="44"/>
  <c r="K280" i="44"/>
  <c r="K289" i="44"/>
  <c r="K367" i="44"/>
  <c r="I420" i="44"/>
  <c r="G420" i="44" s="1"/>
  <c r="K386" i="44"/>
  <c r="K348" i="44"/>
  <c r="K277" i="44"/>
  <c r="K357" i="44"/>
  <c r="K162" i="44"/>
  <c r="K23" i="44"/>
  <c r="K32" i="44"/>
  <c r="K115" i="44"/>
  <c r="K441" i="44"/>
  <c r="K330" i="44"/>
  <c r="K116" i="44"/>
  <c r="K117" i="44"/>
  <c r="K68" i="44"/>
  <c r="K414" i="44"/>
  <c r="K125" i="44"/>
  <c r="I310" i="44"/>
  <c r="G310" i="44" s="1"/>
  <c r="K259" i="44"/>
  <c r="K313" i="44"/>
  <c r="K322" i="44"/>
  <c r="K406" i="44"/>
  <c r="K252" i="44"/>
  <c r="K390" i="44"/>
  <c r="K408" i="44"/>
  <c r="K261" i="44"/>
  <c r="K409" i="44"/>
  <c r="K36" i="44"/>
  <c r="K119" i="44"/>
  <c r="K93" i="44"/>
  <c r="K20" i="44"/>
  <c r="K73" i="44"/>
  <c r="K83" i="44"/>
  <c r="K94" i="44"/>
  <c r="K400" i="44"/>
  <c r="K446" i="44"/>
  <c r="K30" i="44"/>
  <c r="K148" i="44"/>
  <c r="K254" i="44"/>
  <c r="K298" i="44"/>
  <c r="K308" i="44"/>
  <c r="K273" i="44"/>
  <c r="K430" i="44"/>
  <c r="K457" i="44"/>
  <c r="K299" i="44"/>
  <c r="K375" i="44"/>
  <c r="K12" i="44"/>
  <c r="L32" i="44"/>
  <c r="K57" i="44"/>
  <c r="K86" i="44"/>
  <c r="K159" i="44"/>
  <c r="K300" i="44"/>
  <c r="K251" i="44"/>
  <c r="K185" i="44"/>
  <c r="K220" i="44"/>
  <c r="K291" i="44"/>
  <c r="K394" i="44"/>
  <c r="K440" i="44"/>
  <c r="K154" i="44"/>
  <c r="K106" i="44"/>
  <c r="K221" i="44"/>
  <c r="K395" i="44"/>
  <c r="K404" i="44"/>
  <c r="K79" i="44"/>
  <c r="K52" i="44"/>
  <c r="K256" i="44"/>
  <c r="K61" i="44"/>
  <c r="K216" i="44"/>
  <c r="K439" i="44"/>
  <c r="L25" i="44"/>
  <c r="L34" i="44"/>
  <c r="K107" i="44"/>
  <c r="K143" i="44"/>
  <c r="K178" i="44"/>
  <c r="K292" i="44"/>
  <c r="K303" i="44"/>
  <c r="K312" i="44"/>
  <c r="K369" i="44"/>
  <c r="K133" i="44"/>
  <c r="K316" i="44"/>
  <c r="K343" i="44"/>
  <c r="K352" i="44"/>
  <c r="K427" i="44"/>
  <c r="K29" i="44"/>
  <c r="K70" i="44"/>
  <c r="K90" i="44"/>
  <c r="K264" i="44"/>
  <c r="K309" i="44"/>
  <c r="K326" i="44"/>
  <c r="K353" i="44"/>
  <c r="K361" i="44"/>
  <c r="K428" i="44"/>
  <c r="K436" i="44"/>
  <c r="K69" i="44"/>
  <c r="K28" i="44"/>
  <c r="K230" i="44"/>
  <c r="K266" i="44"/>
  <c r="K336" i="44"/>
  <c r="K362" i="44"/>
  <c r="L21" i="44"/>
  <c r="K31" i="44"/>
  <c r="K39" i="44"/>
  <c r="K54" i="44"/>
  <c r="K62" i="44"/>
  <c r="K72" i="44"/>
  <c r="K92" i="44"/>
  <c r="K100" i="44"/>
  <c r="K118" i="44"/>
  <c r="K258" i="44"/>
  <c r="K282" i="44"/>
  <c r="K301" i="44"/>
  <c r="K383" i="44"/>
  <c r="K392" i="44"/>
  <c r="K453" i="44"/>
  <c r="K132" i="44"/>
  <c r="K443" i="44"/>
  <c r="K228" i="44"/>
  <c r="K399" i="44"/>
  <c r="K187" i="44"/>
  <c r="K213" i="44"/>
  <c r="K231" i="44"/>
  <c r="K318" i="44"/>
  <c r="K337" i="44"/>
  <c r="K374" i="44"/>
  <c r="K419" i="44"/>
  <c r="K214" i="44"/>
  <c r="K250" i="44"/>
  <c r="K283" i="44"/>
  <c r="K328" i="44"/>
  <c r="K384" i="44"/>
  <c r="K402" i="44"/>
  <c r="I464" i="44"/>
  <c r="G464" i="44" s="1"/>
  <c r="K396" i="44"/>
  <c r="K370" i="44"/>
  <c r="K448" i="44"/>
  <c r="K319" i="44"/>
  <c r="K338" i="44"/>
  <c r="K111" i="44"/>
  <c r="K269" i="44"/>
  <c r="K365" i="44"/>
  <c r="K449" i="44"/>
  <c r="K407" i="44"/>
  <c r="L20" i="44"/>
  <c r="K33" i="44"/>
  <c r="K56" i="44"/>
  <c r="K422" i="44"/>
  <c r="K459" i="44"/>
  <c r="K27" i="44"/>
  <c r="K150" i="44"/>
  <c r="K389" i="44"/>
  <c r="K89" i="44"/>
  <c r="K317" i="44"/>
  <c r="K165" i="44"/>
  <c r="K296" i="44"/>
  <c r="K272" i="44"/>
  <c r="K416" i="44"/>
  <c r="K285" i="44"/>
  <c r="K331" i="44"/>
  <c r="K413" i="44"/>
  <c r="K208" i="44"/>
  <c r="K314" i="44"/>
  <c r="K434" i="44"/>
  <c r="K156" i="44"/>
  <c r="K175" i="44"/>
  <c r="K323" i="44"/>
  <c r="K263" i="44"/>
  <c r="K372" i="44"/>
  <c r="K47" i="44"/>
  <c r="K48" i="44"/>
  <c r="K149" i="44"/>
  <c r="K368" i="44"/>
  <c r="K287" i="44"/>
  <c r="K461" i="44"/>
  <c r="K342" i="44"/>
  <c r="K124" i="44"/>
  <c r="K334" i="44"/>
  <c r="K161" i="44"/>
  <c r="K71" i="44"/>
  <c r="K95" i="44"/>
  <c r="K138" i="44"/>
  <c r="I37" i="44"/>
  <c r="K225" i="44"/>
  <c r="K378" i="44"/>
  <c r="K432" i="44"/>
  <c r="L16" i="44"/>
  <c r="K42" i="44"/>
  <c r="K49" i="44"/>
  <c r="K76" i="44"/>
  <c r="L122" i="44"/>
  <c r="L37" i="44" s="1"/>
  <c r="K253" i="44"/>
  <c r="K279" i="44"/>
  <c r="K286" i="44"/>
  <c r="K305" i="44"/>
  <c r="K341" i="44"/>
  <c r="K433" i="44"/>
  <c r="K452" i="44"/>
  <c r="K426" i="44"/>
  <c r="K13" i="44"/>
  <c r="L13" i="44"/>
  <c r="K421" i="44"/>
  <c r="J77" i="44"/>
  <c r="K77" i="44" s="1"/>
  <c r="F77" i="44"/>
  <c r="F446" i="44"/>
  <c r="L28" i="44"/>
  <c r="F152" i="44"/>
  <c r="F160" i="44"/>
  <c r="K278" i="44"/>
  <c r="K438" i="44"/>
  <c r="K21" i="44"/>
  <c r="K123" i="44"/>
  <c r="J145" i="44"/>
  <c r="K145" i="44" s="1"/>
  <c r="F303" i="44"/>
  <c r="K379" i="44"/>
  <c r="L29" i="44"/>
  <c r="F86" i="44"/>
  <c r="F109" i="44"/>
  <c r="J153" i="44"/>
  <c r="K153" i="44" s="1"/>
  <c r="F153" i="44"/>
  <c r="F168" i="44"/>
  <c r="I195" i="44"/>
  <c r="G195" i="44" s="1"/>
  <c r="K249" i="44"/>
  <c r="F447" i="44"/>
  <c r="F43" i="44"/>
  <c r="K55" i="44"/>
  <c r="F139" i="44"/>
  <c r="J146" i="44"/>
  <c r="K146" i="44" s="1"/>
  <c r="F146" i="44"/>
  <c r="I166" i="44"/>
  <c r="G166" i="44" s="1"/>
  <c r="K311" i="44"/>
  <c r="F331" i="44"/>
  <c r="F402" i="44"/>
  <c r="L22" i="44"/>
  <c r="F102" i="44"/>
  <c r="F311" i="44"/>
  <c r="K346" i="44"/>
  <c r="J410" i="44"/>
  <c r="K410" i="44" s="1"/>
  <c r="F410" i="44"/>
  <c r="K455" i="44"/>
  <c r="L14" i="44"/>
  <c r="F273" i="44"/>
  <c r="I354" i="44"/>
  <c r="G354" i="44" s="1"/>
  <c r="F426" i="44"/>
  <c r="L23" i="44"/>
  <c r="F325" i="44"/>
  <c r="I424" i="44"/>
  <c r="G424" i="44" s="1"/>
  <c r="F440" i="44"/>
  <c r="F65" i="44"/>
  <c r="J140" i="44"/>
  <c r="K140" i="44" s="1"/>
  <c r="F140" i="44"/>
  <c r="K169" i="44"/>
  <c r="F265" i="44"/>
  <c r="K304" i="44"/>
  <c r="J332" i="44"/>
  <c r="K332" i="44" s="1"/>
  <c r="F332" i="44"/>
  <c r="K355" i="44"/>
  <c r="J363" i="44"/>
  <c r="K363" i="44" s="1"/>
  <c r="F363" i="44"/>
  <c r="J411" i="44"/>
  <c r="K411" i="44" s="1"/>
  <c r="F411" i="44"/>
  <c r="F433" i="44"/>
  <c r="L24" i="44"/>
  <c r="J38" i="44"/>
  <c r="F38" i="44"/>
  <c r="K44" i="44"/>
  <c r="K96" i="44"/>
  <c r="K147" i="44"/>
  <c r="J206" i="44"/>
  <c r="F206" i="44"/>
  <c r="J229" i="44"/>
  <c r="K229" i="44" s="1"/>
  <c r="F229" i="44"/>
  <c r="J281" i="44"/>
  <c r="K281" i="44" s="1"/>
  <c r="F281" i="44"/>
  <c r="J297" i="44"/>
  <c r="K297" i="44" s="1"/>
  <c r="F297" i="44"/>
  <c r="K16" i="44"/>
  <c r="F80" i="44"/>
  <c r="F96" i="44"/>
  <c r="K103" i="44"/>
  <c r="K340" i="44"/>
  <c r="J85" i="44"/>
  <c r="K85" i="44" s="1"/>
  <c r="F85" i="44"/>
  <c r="K233" i="44"/>
  <c r="K25" i="44"/>
  <c r="F163" i="44"/>
  <c r="J290" i="44"/>
  <c r="K290" i="44" s="1"/>
  <c r="F290" i="44"/>
  <c r="F326" i="44"/>
  <c r="K356" i="44"/>
  <c r="F39" i="44"/>
  <c r="F97" i="44"/>
  <c r="K127" i="44"/>
  <c r="J186" i="44"/>
  <c r="K186" i="44" s="1"/>
  <c r="F186" i="44"/>
  <c r="J267" i="44"/>
  <c r="K267" i="44" s="1"/>
  <c r="F267" i="44"/>
  <c r="F298" i="44"/>
  <c r="J464" i="44"/>
  <c r="K466" i="44"/>
  <c r="K464" i="44" s="1"/>
  <c r="L33" i="44"/>
  <c r="F59" i="44"/>
  <c r="F90" i="44"/>
  <c r="F253" i="44"/>
  <c r="I215" i="44"/>
  <c r="G215" i="44" s="1"/>
  <c r="F320" i="44"/>
  <c r="F120" i="44"/>
  <c r="F157" i="44"/>
  <c r="K128" i="44"/>
  <c r="J358" i="44"/>
  <c r="K358" i="44" s="1"/>
  <c r="F358" i="44"/>
  <c r="F452" i="44"/>
  <c r="F53" i="44"/>
  <c r="J351" i="44"/>
  <c r="K351" i="44" s="1"/>
  <c r="F351" i="44"/>
  <c r="F391" i="44"/>
  <c r="F421" i="44"/>
  <c r="K34" i="44"/>
  <c r="F68" i="44"/>
  <c r="F217" i="44"/>
  <c r="J284" i="44"/>
  <c r="K284" i="44" s="1"/>
  <c r="F284" i="44"/>
  <c r="J114" i="44"/>
  <c r="K114" i="44" s="1"/>
  <c r="F315" i="44"/>
  <c r="F385" i="44"/>
  <c r="J84" i="44"/>
  <c r="K84" i="44" s="1"/>
  <c r="F92" i="44"/>
  <c r="I380" i="44"/>
  <c r="G380" i="44" s="1"/>
  <c r="J415" i="44"/>
  <c r="K415" i="44" s="1"/>
  <c r="J423" i="44"/>
  <c r="K423" i="44" s="1"/>
  <c r="F423" i="44"/>
  <c r="K167" i="44"/>
  <c r="J345" i="44"/>
  <c r="F345" i="44"/>
  <c r="K104" i="44"/>
  <c r="F458" i="44"/>
  <c r="F260" i="44"/>
  <c r="F397" i="44"/>
  <c r="F435" i="44"/>
  <c r="I126" i="44"/>
  <c r="G126" i="44" s="1"/>
  <c r="K405" i="44"/>
  <c r="F60" i="44"/>
  <c r="K98" i="44"/>
  <c r="F254" i="44"/>
  <c r="K121" i="44"/>
  <c r="J158" i="44"/>
  <c r="K158" i="44" s="1"/>
  <c r="F158" i="44"/>
  <c r="F309" i="44"/>
  <c r="F321" i="44"/>
  <c r="I444" i="44"/>
  <c r="G444" i="44" s="1"/>
  <c r="K445" i="44"/>
  <c r="K66" i="44"/>
  <c r="J212" i="44"/>
  <c r="K212" i="44" s="1"/>
  <c r="F212" i="44"/>
  <c r="K460" i="44"/>
  <c r="F91" i="44"/>
  <c r="J110" i="44"/>
  <c r="K110" i="44" s="1"/>
  <c r="F110" i="44"/>
  <c r="J327" i="44"/>
  <c r="K327" i="44" s="1"/>
  <c r="F327" i="44"/>
  <c r="I344" i="44"/>
  <c r="G344" i="44" s="1"/>
  <c r="K371" i="44"/>
  <c r="F386" i="44"/>
  <c r="F428" i="44"/>
  <c r="K219" i="44"/>
  <c r="K255" i="44"/>
  <c r="K333" i="44"/>
  <c r="F422" i="44"/>
  <c r="J262" i="44"/>
  <c r="K262" i="44" s="1"/>
  <c r="F262" i="44"/>
  <c r="F400" i="44"/>
  <c r="F417" i="44"/>
  <c r="F449" i="44"/>
  <c r="F462" i="44"/>
  <c r="J99" i="44"/>
  <c r="K99" i="44" s="1"/>
  <c r="F99" i="44"/>
  <c r="F136" i="44"/>
  <c r="J294" i="44"/>
  <c r="K294" i="44" s="1"/>
  <c r="F294" i="44"/>
  <c r="F329" i="44"/>
  <c r="F341" i="44"/>
  <c r="F382" i="44"/>
  <c r="K388" i="44"/>
  <c r="F406" i="44"/>
  <c r="F118" i="44"/>
  <c r="F353" i="44"/>
  <c r="L35" i="44"/>
  <c r="F63" i="44"/>
  <c r="F155" i="44"/>
  <c r="F178" i="44"/>
  <c r="F233" i="44"/>
  <c r="F276" i="44"/>
  <c r="J335" i="44"/>
  <c r="K335" i="44" s="1"/>
  <c r="F347" i="44"/>
  <c r="F395" i="44"/>
  <c r="F412" i="44"/>
  <c r="F167" i="44"/>
  <c r="F221" i="44"/>
  <c r="F227" i="44"/>
  <c r="I232" i="44"/>
  <c r="J270" i="44"/>
  <c r="K270" i="44" s="1"/>
  <c r="F270" i="44"/>
  <c r="J288" i="44"/>
  <c r="K288" i="44" s="1"/>
  <c r="F324" i="44"/>
  <c r="F401" i="44"/>
  <c r="K418" i="44"/>
  <c r="J450" i="44"/>
  <c r="K450" i="44" s="1"/>
  <c r="F463" i="44"/>
  <c r="L30" i="44"/>
  <c r="F113" i="44"/>
  <c r="F258" i="44"/>
  <c r="F295" i="44"/>
  <c r="F457" i="44"/>
  <c r="K82" i="44"/>
  <c r="J209" i="44"/>
  <c r="K209" i="44" s="1"/>
  <c r="F209" i="44"/>
  <c r="J302" i="44"/>
  <c r="K302" i="44" s="1"/>
  <c r="F302" i="44"/>
  <c r="F308" i="44"/>
  <c r="K376" i="44"/>
  <c r="K431" i="44"/>
  <c r="J451" i="44"/>
  <c r="K451" i="44" s="1"/>
  <c r="F451" i="44"/>
  <c r="F346" i="44"/>
  <c r="K373" i="44"/>
  <c r="F45" i="44"/>
  <c r="J45" i="44"/>
  <c r="K45" i="44" s="1"/>
  <c r="F130" i="44"/>
  <c r="K207" i="44"/>
  <c r="F214" i="44"/>
  <c r="F250" i="44"/>
  <c r="F269" i="44"/>
  <c r="F300" i="44"/>
  <c r="F306" i="44"/>
  <c r="F35" i="44"/>
  <c r="J40" i="44"/>
  <c r="K40" i="44" s="1"/>
  <c r="F40" i="44"/>
  <c r="F57" i="44"/>
  <c r="F87" i="44"/>
  <c r="F106" i="44"/>
  <c r="J184" i="44"/>
  <c r="K184" i="44" s="1"/>
  <c r="F184" i="44"/>
  <c r="K347" i="44"/>
  <c r="J359" i="44"/>
  <c r="K359" i="44" s="1"/>
  <c r="F359" i="44"/>
  <c r="J81" i="44"/>
  <c r="K81" i="44" s="1"/>
  <c r="J131" i="44"/>
  <c r="K131" i="44" s="1"/>
  <c r="F131" i="44"/>
  <c r="I11" i="44"/>
  <c r="J64" i="44"/>
  <c r="K64" i="44" s="1"/>
  <c r="F64" i="44"/>
  <c r="F82" i="44"/>
  <c r="K101" i="44"/>
  <c r="K271" i="44"/>
  <c r="F289" i="44"/>
  <c r="K50" i="44"/>
  <c r="J88" i="44"/>
  <c r="K88" i="44" s="1"/>
  <c r="F88" i="44"/>
  <c r="F430" i="44"/>
  <c r="F441" i="44"/>
  <c r="F453" i="44"/>
  <c r="F56" i="44"/>
  <c r="F72" i="44"/>
  <c r="F159" i="44"/>
  <c r="F257" i="44"/>
  <c r="F301" i="44"/>
  <c r="F339" i="44"/>
  <c r="F381" i="44"/>
  <c r="F414" i="44"/>
  <c r="F51" i="44"/>
  <c r="F67" i="44"/>
  <c r="F94" i="44"/>
  <c r="F105" i="44"/>
  <c r="F148" i="44"/>
  <c r="F268" i="44"/>
  <c r="F279" i="44"/>
  <c r="F360" i="44"/>
  <c r="F392" i="44"/>
  <c r="F409" i="44"/>
  <c r="F425" i="44"/>
  <c r="F83" i="44"/>
  <c r="J307" i="44"/>
  <c r="K307" i="44" s="1"/>
  <c r="F307" i="44"/>
  <c r="K387" i="44"/>
  <c r="F436" i="44"/>
  <c r="F459" i="44"/>
  <c r="K78" i="44"/>
  <c r="F143" i="44"/>
  <c r="F165" i="44"/>
  <c r="F387" i="44"/>
  <c r="K454" i="44"/>
  <c r="J403" i="44"/>
  <c r="K403" i="44" s="1"/>
  <c r="F403" i="44"/>
  <c r="L31" i="44"/>
  <c r="J112" i="44"/>
  <c r="K112" i="44" s="1"/>
  <c r="F112" i="44"/>
  <c r="K179" i="44"/>
  <c r="F322" i="44"/>
  <c r="F179" i="44"/>
  <c r="K393" i="44"/>
  <c r="F398" i="44"/>
  <c r="F471" i="44"/>
  <c r="L46" i="51" l="1"/>
  <c r="L35" i="45"/>
  <c r="L36" i="45"/>
  <c r="K354" i="45"/>
  <c r="J310" i="45"/>
  <c r="K465" i="45"/>
  <c r="K464" i="45" s="1"/>
  <c r="J464" i="45"/>
  <c r="L11" i="45"/>
  <c r="J354" i="45"/>
  <c r="K380" i="45"/>
  <c r="K422" i="45"/>
  <c r="K420" i="45" s="1"/>
  <c r="J420" i="45"/>
  <c r="J380" i="45"/>
  <c r="J444" i="45"/>
  <c r="K444" i="45"/>
  <c r="I10" i="45"/>
  <c r="K310" i="45"/>
  <c r="J310" i="44"/>
  <c r="J444" i="44"/>
  <c r="K380" i="44"/>
  <c r="K310" i="44"/>
  <c r="L11" i="44"/>
  <c r="J354" i="44"/>
  <c r="I10" i="44"/>
  <c r="J380" i="44"/>
  <c r="K420" i="44"/>
  <c r="K354" i="44"/>
  <c r="O354" i="44" s="1"/>
  <c r="K345" i="44"/>
  <c r="K38" i="44"/>
  <c r="J420" i="44"/>
  <c r="K444" i="44"/>
  <c r="I9" i="45" l="1"/>
  <c r="G9" i="45" s="1"/>
  <c r="G10" i="45"/>
  <c r="I9" i="44"/>
  <c r="G9" i="44" s="1"/>
  <c r="G10" i="44"/>
  <c r="I248" i="25"/>
  <c r="J248" i="25" s="1"/>
  <c r="I249" i="25"/>
  <c r="H332" i="25"/>
  <c r="I332" i="25" s="1"/>
  <c r="K333" i="25"/>
  <c r="R26" i="31"/>
  <c r="H58" i="25"/>
  <c r="H56" i="25"/>
  <c r="B6" i="33"/>
  <c r="H55" i="25"/>
  <c r="I47" i="25"/>
  <c r="I54" i="25" l="1"/>
  <c r="J54" i="25" s="1"/>
  <c r="F14" i="30" s="1"/>
  <c r="K54" i="25"/>
  <c r="F137" i="30"/>
  <c r="E18" i="31" l="1"/>
  <c r="E144" i="45"/>
  <c r="E144" i="44"/>
  <c r="E18" i="44"/>
  <c r="E18" i="45"/>
  <c r="I39" i="25"/>
  <c r="J18" i="45" l="1"/>
  <c r="K18" i="45" s="1"/>
  <c r="F18" i="45"/>
  <c r="J18" i="44"/>
  <c r="K18" i="44" s="1"/>
  <c r="F18" i="44"/>
  <c r="F144" i="44"/>
  <c r="J144" i="44"/>
  <c r="L144" i="44" s="1"/>
  <c r="L126" i="44" s="1"/>
  <c r="F144" i="45"/>
  <c r="J144" i="45"/>
  <c r="L144" i="45" s="1"/>
  <c r="L126" i="45" s="1"/>
  <c r="H329" i="25"/>
  <c r="J329" i="25" s="1"/>
  <c r="F171" i="30"/>
  <c r="F42" i="30"/>
  <c r="F41" i="30"/>
  <c r="I242" i="25" l="1"/>
  <c r="I19" i="33" l="1"/>
  <c r="H42" i="25"/>
  <c r="I23" i="33"/>
  <c r="I24" i="33"/>
  <c r="M31" i="33"/>
  <c r="B9" i="33" l="1"/>
  <c r="F11" i="33"/>
  <c r="F27" i="33" l="1"/>
  <c r="G13" i="33"/>
  <c r="I25" i="33"/>
  <c r="I13" i="33"/>
  <c r="I468" i="31" l="1"/>
  <c r="F181" i="30"/>
  <c r="J337" i="25"/>
  <c r="H337" i="25"/>
  <c r="H269" i="25"/>
  <c r="J242" i="25"/>
  <c r="E188" i="45" l="1"/>
  <c r="E188" i="44"/>
  <c r="C176" i="18"/>
  <c r="E176" i="18" s="1"/>
  <c r="C177" i="18"/>
  <c r="E177" i="18" s="1"/>
  <c r="C175" i="18"/>
  <c r="E175" i="18" s="1"/>
  <c r="C174" i="18"/>
  <c r="E174" i="18" s="1"/>
  <c r="C173" i="18"/>
  <c r="E173" i="18" s="1"/>
  <c r="C167" i="18"/>
  <c r="E167" i="18" s="1"/>
  <c r="C168" i="18"/>
  <c r="E168" i="18" s="1"/>
  <c r="C169" i="18"/>
  <c r="E169" i="18" s="1"/>
  <c r="C170" i="18"/>
  <c r="E170" i="18" s="1"/>
  <c r="C171" i="18"/>
  <c r="E171" i="18" s="1"/>
  <c r="C172" i="18"/>
  <c r="E172" i="18" s="1"/>
  <c r="C166" i="18"/>
  <c r="E166" i="18" s="1"/>
  <c r="E165" i="18"/>
  <c r="C164" i="18"/>
  <c r="E164" i="18" s="1"/>
  <c r="C163" i="18"/>
  <c r="E163" i="18" s="1"/>
  <c r="C162" i="18"/>
  <c r="E162" i="18" s="1"/>
  <c r="H322" i="25"/>
  <c r="H295" i="25"/>
  <c r="H278" i="25"/>
  <c r="H358" i="25"/>
  <c r="H357" i="25"/>
  <c r="H356" i="25"/>
  <c r="H355" i="25"/>
  <c r="H354" i="25"/>
  <c r="H320" i="25"/>
  <c r="H244" i="25"/>
  <c r="I244" i="25" s="1"/>
  <c r="J244" i="25" s="1"/>
  <c r="K244" i="25"/>
  <c r="H319" i="25"/>
  <c r="H318" i="25"/>
  <c r="H315" i="25"/>
  <c r="F188" i="44" l="1"/>
  <c r="J188" i="44"/>
  <c r="L188" i="44" s="1"/>
  <c r="L166" i="44" s="1"/>
  <c r="F188" i="45"/>
  <c r="J188" i="45"/>
  <c r="L188" i="45" s="1"/>
  <c r="L166" i="45" s="1"/>
  <c r="J355" i="25"/>
  <c r="E178" i="18"/>
  <c r="H306" i="25" s="1"/>
  <c r="E179" i="18"/>
  <c r="H310" i="25" s="1"/>
  <c r="I343" i="25" l="1"/>
  <c r="I331" i="25"/>
  <c r="I330" i="25"/>
  <c r="I173" i="25"/>
  <c r="F19" i="31"/>
  <c r="F15" i="30"/>
  <c r="L19" i="31"/>
  <c r="H59" i="25"/>
  <c r="H53" i="25"/>
  <c r="H47" i="25"/>
  <c r="H49" i="25"/>
  <c r="H52" i="25"/>
  <c r="H50" i="25"/>
  <c r="H48" i="25"/>
  <c r="E19" i="45" l="1"/>
  <c r="E19" i="44"/>
  <c r="J47" i="25"/>
  <c r="F13" i="30" l="1"/>
  <c r="E17" i="45" l="1"/>
  <c r="J17" i="45" s="1"/>
  <c r="K17" i="45" s="1"/>
  <c r="E17" i="44"/>
  <c r="J17" i="44" s="1"/>
  <c r="K17" i="44" s="1"/>
  <c r="H41" i="25"/>
  <c r="H71" i="25"/>
  <c r="H538" i="25" l="1"/>
  <c r="H542" i="25"/>
  <c r="J437" i="25"/>
  <c r="J436" i="25"/>
  <c r="J435" i="25"/>
  <c r="F239" i="30"/>
  <c r="F240" i="30"/>
  <c r="F241" i="30"/>
  <c r="I426" i="25"/>
  <c r="J426" i="25" s="1"/>
  <c r="F228" i="30"/>
  <c r="J424" i="25"/>
  <c r="U6" i="40"/>
  <c r="J11" i="40"/>
  <c r="J10" i="40"/>
  <c r="J9" i="40"/>
  <c r="J8" i="40"/>
  <c r="J7" i="40"/>
  <c r="J6" i="40"/>
  <c r="J5" i="40"/>
  <c r="J4" i="40"/>
  <c r="J3" i="40"/>
  <c r="J12" i="40" s="1"/>
  <c r="H349" i="25"/>
  <c r="H348" i="25"/>
  <c r="H347" i="25"/>
  <c r="H346" i="25"/>
  <c r="H345" i="25"/>
  <c r="H344" i="25"/>
  <c r="H343" i="25"/>
  <c r="H365" i="25"/>
  <c r="F478" i="39"/>
  <c r="O477" i="39"/>
  <c r="E246" i="45" l="1"/>
  <c r="E246" i="44"/>
  <c r="E235" i="44"/>
  <c r="E235" i="45"/>
  <c r="E247" i="44"/>
  <c r="E247" i="45"/>
  <c r="E248" i="44"/>
  <c r="E248" i="45"/>
  <c r="E235" i="31"/>
  <c r="J343" i="25"/>
  <c r="F230" i="30"/>
  <c r="J248" i="45" l="1"/>
  <c r="K248" i="45" s="1"/>
  <c r="F248" i="45"/>
  <c r="J247" i="44"/>
  <c r="K247" i="44" s="1"/>
  <c r="F247" i="44"/>
  <c r="E237" i="45"/>
  <c r="E237" i="44"/>
  <c r="J235" i="45"/>
  <c r="K235" i="45" s="1"/>
  <c r="F235" i="45"/>
  <c r="F235" i="44"/>
  <c r="J235" i="44"/>
  <c r="K235" i="44" s="1"/>
  <c r="J246" i="44"/>
  <c r="K246" i="44" s="1"/>
  <c r="F246" i="44"/>
  <c r="F248" i="44"/>
  <c r="J248" i="44"/>
  <c r="K248" i="44" s="1"/>
  <c r="F247" i="45"/>
  <c r="J247" i="45"/>
  <c r="K247" i="45" s="1"/>
  <c r="J246" i="45"/>
  <c r="K246" i="45" s="1"/>
  <c r="F246" i="45"/>
  <c r="E475" i="39"/>
  <c r="J474" i="39"/>
  <c r="F474" i="39"/>
  <c r="I472" i="39"/>
  <c r="E472" i="39"/>
  <c r="J472" i="39" s="1"/>
  <c r="G471" i="39"/>
  <c r="E471" i="39"/>
  <c r="F471" i="39" s="1"/>
  <c r="I470" i="39"/>
  <c r="E470" i="39"/>
  <c r="J470" i="39" s="1"/>
  <c r="I469" i="39"/>
  <c r="E469" i="39"/>
  <c r="J469" i="39" s="1"/>
  <c r="L468" i="39"/>
  <c r="F468" i="39"/>
  <c r="I467" i="39"/>
  <c r="E467" i="39"/>
  <c r="J467" i="39" s="1"/>
  <c r="K467" i="39" s="1"/>
  <c r="I466" i="39"/>
  <c r="E466" i="39"/>
  <c r="J466" i="39" s="1"/>
  <c r="K466" i="39" s="1"/>
  <c r="I465" i="39"/>
  <c r="E465" i="39"/>
  <c r="F465" i="39" s="1"/>
  <c r="J464" i="39"/>
  <c r="I464" i="39"/>
  <c r="E464" i="39"/>
  <c r="F464" i="39" s="1"/>
  <c r="I463" i="39"/>
  <c r="E463" i="39"/>
  <c r="J463" i="39" s="1"/>
  <c r="I462" i="39"/>
  <c r="E462" i="39"/>
  <c r="J462" i="39" s="1"/>
  <c r="K462" i="39" s="1"/>
  <c r="I461" i="39"/>
  <c r="E461" i="39"/>
  <c r="J461" i="39" s="1"/>
  <c r="J460" i="39"/>
  <c r="I460" i="39"/>
  <c r="E460" i="39"/>
  <c r="F460" i="39" s="1"/>
  <c r="I459" i="39"/>
  <c r="E459" i="39"/>
  <c r="F459" i="39" s="1"/>
  <c r="I458" i="39"/>
  <c r="E458" i="39"/>
  <c r="F458" i="39" s="1"/>
  <c r="I457" i="39"/>
  <c r="E457" i="39"/>
  <c r="J457" i="39" s="1"/>
  <c r="K457" i="39" s="1"/>
  <c r="I456" i="39"/>
  <c r="E456" i="39"/>
  <c r="J456" i="39" s="1"/>
  <c r="K456" i="39" s="1"/>
  <c r="I455" i="39"/>
  <c r="E455" i="39"/>
  <c r="F455" i="39" s="1"/>
  <c r="J454" i="39"/>
  <c r="I454" i="39"/>
  <c r="E454" i="39"/>
  <c r="F454" i="39" s="1"/>
  <c r="I453" i="39"/>
  <c r="E453" i="39"/>
  <c r="J453" i="39" s="1"/>
  <c r="I452" i="39"/>
  <c r="E452" i="39"/>
  <c r="I451" i="39"/>
  <c r="E451" i="39"/>
  <c r="J451" i="39" s="1"/>
  <c r="I450" i="39"/>
  <c r="E450" i="39"/>
  <c r="J450" i="39" s="1"/>
  <c r="I449" i="39"/>
  <c r="E449" i="39"/>
  <c r="F449" i="39" s="1"/>
  <c r="L448" i="39"/>
  <c r="F448" i="39"/>
  <c r="J447" i="39"/>
  <c r="I447" i="39"/>
  <c r="I446" i="39"/>
  <c r="I445" i="39"/>
  <c r="E445" i="39"/>
  <c r="J445" i="39" s="1"/>
  <c r="K445" i="39" s="1"/>
  <c r="J444" i="39"/>
  <c r="I444" i="39"/>
  <c r="F444" i="39"/>
  <c r="E444" i="39"/>
  <c r="I443" i="39"/>
  <c r="E443" i="39"/>
  <c r="J443" i="39" s="1"/>
  <c r="K443" i="39" s="1"/>
  <c r="I442" i="39"/>
  <c r="E442" i="39"/>
  <c r="J442" i="39" s="1"/>
  <c r="I441" i="39"/>
  <c r="E441" i="39"/>
  <c r="J441" i="39" s="1"/>
  <c r="I440" i="39"/>
  <c r="E440" i="39"/>
  <c r="J440" i="39" s="1"/>
  <c r="K440" i="39" s="1"/>
  <c r="I439" i="39"/>
  <c r="E439" i="39"/>
  <c r="J439" i="39" s="1"/>
  <c r="K439" i="39" s="1"/>
  <c r="I438" i="39"/>
  <c r="E438" i="39"/>
  <c r="J438" i="39" s="1"/>
  <c r="K438" i="39" s="1"/>
  <c r="I437" i="39"/>
  <c r="E437" i="39"/>
  <c r="J437" i="39" s="1"/>
  <c r="K437" i="39" s="1"/>
  <c r="I436" i="39"/>
  <c r="E436" i="39"/>
  <c r="F436" i="39" s="1"/>
  <c r="I435" i="39"/>
  <c r="E435" i="39"/>
  <c r="J435" i="39" s="1"/>
  <c r="I434" i="39"/>
  <c r="E434" i="39"/>
  <c r="J434" i="39" s="1"/>
  <c r="I433" i="39"/>
  <c r="E433" i="39"/>
  <c r="J433" i="39" s="1"/>
  <c r="K433" i="39" s="1"/>
  <c r="I432" i="39"/>
  <c r="E432" i="39"/>
  <c r="J432" i="39" s="1"/>
  <c r="I431" i="39"/>
  <c r="E431" i="39"/>
  <c r="F431" i="39" s="1"/>
  <c r="I430" i="39"/>
  <c r="E430" i="39"/>
  <c r="I429" i="39"/>
  <c r="E429" i="39"/>
  <c r="J429" i="39" s="1"/>
  <c r="L428" i="39"/>
  <c r="F428" i="39"/>
  <c r="I427" i="39"/>
  <c r="E427" i="39"/>
  <c r="F427" i="39" s="1"/>
  <c r="I426" i="39"/>
  <c r="E426" i="39"/>
  <c r="J426" i="39" s="1"/>
  <c r="K426" i="39" s="1"/>
  <c r="I425" i="39"/>
  <c r="I424" i="39" s="1"/>
  <c r="G424" i="39" s="1"/>
  <c r="E425" i="39"/>
  <c r="J425" i="39" s="1"/>
  <c r="K425" i="39" s="1"/>
  <c r="F424" i="39"/>
  <c r="I423" i="39"/>
  <c r="E423" i="39"/>
  <c r="J423" i="39" s="1"/>
  <c r="I422" i="39"/>
  <c r="E422" i="39"/>
  <c r="J422" i="39" s="1"/>
  <c r="I421" i="39"/>
  <c r="E421" i="39"/>
  <c r="J421" i="39" s="1"/>
  <c r="I420" i="39"/>
  <c r="E420" i="39"/>
  <c r="J420" i="39" s="1"/>
  <c r="K420" i="39" s="1"/>
  <c r="I419" i="39"/>
  <c r="E419" i="39"/>
  <c r="J419" i="39" s="1"/>
  <c r="K419" i="39" s="1"/>
  <c r="I418" i="39"/>
  <c r="E418" i="39"/>
  <c r="I417" i="39"/>
  <c r="E417" i="39"/>
  <c r="J417" i="39" s="1"/>
  <c r="I416" i="39"/>
  <c r="E416" i="39"/>
  <c r="J416" i="39" s="1"/>
  <c r="K416" i="39" s="1"/>
  <c r="I415" i="39"/>
  <c r="E415" i="39"/>
  <c r="F415" i="39" s="1"/>
  <c r="I414" i="39"/>
  <c r="E414" i="39"/>
  <c r="J414" i="39" s="1"/>
  <c r="K414" i="39" s="1"/>
  <c r="I413" i="39"/>
  <c r="E413" i="39"/>
  <c r="J413" i="39" s="1"/>
  <c r="J412" i="39"/>
  <c r="I412" i="39"/>
  <c r="E412" i="39"/>
  <c r="F412" i="39" s="1"/>
  <c r="I411" i="39"/>
  <c r="E411" i="39"/>
  <c r="J411" i="39" s="1"/>
  <c r="K411" i="39" s="1"/>
  <c r="I410" i="39"/>
  <c r="E410" i="39"/>
  <c r="F410" i="39" s="1"/>
  <c r="J409" i="39"/>
  <c r="I409" i="39"/>
  <c r="E409" i="39"/>
  <c r="F409" i="39" s="1"/>
  <c r="I408" i="39"/>
  <c r="E408" i="39"/>
  <c r="I407" i="39"/>
  <c r="E407" i="39"/>
  <c r="F407" i="39" s="1"/>
  <c r="I406" i="39"/>
  <c r="E406" i="39"/>
  <c r="J406" i="39" s="1"/>
  <c r="K406" i="39" s="1"/>
  <c r="I405" i="39"/>
  <c r="E405" i="39"/>
  <c r="J405" i="39" s="1"/>
  <c r="I404" i="39"/>
  <c r="E404" i="39"/>
  <c r="J404" i="39" s="1"/>
  <c r="K404" i="39" s="1"/>
  <c r="I403" i="39"/>
  <c r="E403" i="39"/>
  <c r="J403" i="39" s="1"/>
  <c r="I402" i="39"/>
  <c r="E402" i="39"/>
  <c r="J402" i="39" s="1"/>
  <c r="K402" i="39" s="1"/>
  <c r="I401" i="39"/>
  <c r="E401" i="39"/>
  <c r="J401" i="39" s="1"/>
  <c r="I400" i="39"/>
  <c r="E400" i="39"/>
  <c r="J400" i="39" s="1"/>
  <c r="K400" i="39" s="1"/>
  <c r="I399" i="39"/>
  <c r="E399" i="39"/>
  <c r="J399" i="39" s="1"/>
  <c r="I398" i="39"/>
  <c r="E398" i="39"/>
  <c r="J398" i="39" s="1"/>
  <c r="K398" i="39" s="1"/>
  <c r="I397" i="39"/>
  <c r="E397" i="39"/>
  <c r="J397" i="39" s="1"/>
  <c r="K397" i="39" s="1"/>
  <c r="I396" i="39"/>
  <c r="E396" i="39"/>
  <c r="F396" i="39" s="1"/>
  <c r="I395" i="39"/>
  <c r="E395" i="39"/>
  <c r="J395" i="39" s="1"/>
  <c r="K395" i="39" s="1"/>
  <c r="I394" i="39"/>
  <c r="E394" i="39"/>
  <c r="J394" i="39" s="1"/>
  <c r="I393" i="39"/>
  <c r="E393" i="39"/>
  <c r="J393" i="39" s="1"/>
  <c r="K393" i="39" s="1"/>
  <c r="I392" i="39"/>
  <c r="E392" i="39"/>
  <c r="J392" i="39" s="1"/>
  <c r="K392" i="39" s="1"/>
  <c r="I391" i="39"/>
  <c r="E391" i="39"/>
  <c r="J391" i="39" s="1"/>
  <c r="I390" i="39"/>
  <c r="E390" i="39"/>
  <c r="J390" i="39" s="1"/>
  <c r="K390" i="39" s="1"/>
  <c r="I389" i="39"/>
  <c r="E389" i="39"/>
  <c r="J389" i="39" s="1"/>
  <c r="K389" i="39" s="1"/>
  <c r="J388" i="39"/>
  <c r="K388" i="39" s="1"/>
  <c r="I388" i="39"/>
  <c r="E388" i="39"/>
  <c r="F388" i="39" s="1"/>
  <c r="I387" i="39"/>
  <c r="E387" i="39"/>
  <c r="J387" i="39" s="1"/>
  <c r="K387" i="39" s="1"/>
  <c r="I386" i="39"/>
  <c r="E386" i="39"/>
  <c r="F386" i="39" s="1"/>
  <c r="I385" i="39"/>
  <c r="E385" i="39"/>
  <c r="J385" i="39" s="1"/>
  <c r="L384" i="39"/>
  <c r="E384" i="39"/>
  <c r="F384" i="39" s="1"/>
  <c r="J383" i="39"/>
  <c r="I383" i="39"/>
  <c r="J382" i="39"/>
  <c r="I382" i="39"/>
  <c r="K382" i="39" s="1"/>
  <c r="J381" i="39"/>
  <c r="I381" i="39"/>
  <c r="J380" i="39"/>
  <c r="I380" i="39"/>
  <c r="J379" i="39"/>
  <c r="I379" i="39"/>
  <c r="J378" i="39"/>
  <c r="I378" i="39"/>
  <c r="J377" i="39"/>
  <c r="I377" i="39"/>
  <c r="J376" i="39"/>
  <c r="I376" i="39"/>
  <c r="J375" i="39"/>
  <c r="I375" i="39"/>
  <c r="J374" i="39"/>
  <c r="I374" i="39"/>
  <c r="J373" i="39"/>
  <c r="I373" i="39"/>
  <c r="J372" i="39"/>
  <c r="I372" i="39"/>
  <c r="J371" i="39"/>
  <c r="I371" i="39"/>
  <c r="J370" i="39"/>
  <c r="I370" i="39"/>
  <c r="J369" i="39"/>
  <c r="I369" i="39"/>
  <c r="K369" i="39" s="1"/>
  <c r="I368" i="39"/>
  <c r="E368" i="39"/>
  <c r="F368" i="39" s="1"/>
  <c r="I367" i="39"/>
  <c r="E367" i="39"/>
  <c r="J367" i="39" s="1"/>
  <c r="K367" i="39" s="1"/>
  <c r="J366" i="39"/>
  <c r="I366" i="39"/>
  <c r="E366" i="39"/>
  <c r="F366" i="39" s="1"/>
  <c r="I365" i="39"/>
  <c r="E365" i="39"/>
  <c r="J365" i="39" s="1"/>
  <c r="K365" i="39" s="1"/>
  <c r="I364" i="39"/>
  <c r="E364" i="39"/>
  <c r="J364" i="39" s="1"/>
  <c r="K364" i="39" s="1"/>
  <c r="I363" i="39"/>
  <c r="E363" i="39"/>
  <c r="F363" i="39" s="1"/>
  <c r="I362" i="39"/>
  <c r="E362" i="39"/>
  <c r="J362" i="39" s="1"/>
  <c r="K362" i="39" s="1"/>
  <c r="I361" i="39"/>
  <c r="E361" i="39"/>
  <c r="F361" i="39" s="1"/>
  <c r="I360" i="39"/>
  <c r="E360" i="39"/>
  <c r="J360" i="39" s="1"/>
  <c r="I359" i="39"/>
  <c r="E359" i="39"/>
  <c r="J359" i="39" s="1"/>
  <c r="L358" i="39"/>
  <c r="E358" i="39"/>
  <c r="F358" i="39" s="1"/>
  <c r="I357" i="39"/>
  <c r="E357" i="39"/>
  <c r="J357" i="39" s="1"/>
  <c r="I356" i="39"/>
  <c r="E356" i="39"/>
  <c r="J356" i="39" s="1"/>
  <c r="K356" i="39" s="1"/>
  <c r="I355" i="39"/>
  <c r="E355" i="39"/>
  <c r="D354" i="39"/>
  <c r="I354" i="39" s="1"/>
  <c r="D353" i="39"/>
  <c r="I353" i="39" s="1"/>
  <c r="E352" i="39"/>
  <c r="J352" i="39" s="1"/>
  <c r="D352" i="39"/>
  <c r="I352" i="39" s="1"/>
  <c r="J351" i="39"/>
  <c r="E351" i="39"/>
  <c r="D351" i="39"/>
  <c r="I351" i="39" s="1"/>
  <c r="E350" i="39"/>
  <c r="J350" i="39" s="1"/>
  <c r="D350" i="39"/>
  <c r="I350" i="39" s="1"/>
  <c r="J349" i="39"/>
  <c r="I349" i="39"/>
  <c r="F349" i="39"/>
  <c r="E349" i="39"/>
  <c r="D349" i="39"/>
  <c r="L348" i="39"/>
  <c r="F348" i="39"/>
  <c r="I347" i="39"/>
  <c r="E347" i="39"/>
  <c r="J347" i="39" s="1"/>
  <c r="I346" i="39"/>
  <c r="E346" i="39"/>
  <c r="J346" i="39" s="1"/>
  <c r="K346" i="39" s="1"/>
  <c r="I345" i="39"/>
  <c r="E345" i="39"/>
  <c r="J345" i="39" s="1"/>
  <c r="K345" i="39" s="1"/>
  <c r="J344" i="39"/>
  <c r="I344" i="39"/>
  <c r="E344" i="39"/>
  <c r="F344" i="39" s="1"/>
  <c r="I343" i="39"/>
  <c r="E343" i="39"/>
  <c r="J343" i="39" s="1"/>
  <c r="K343" i="39" s="1"/>
  <c r="I342" i="39"/>
  <c r="E342" i="39"/>
  <c r="J342" i="39" s="1"/>
  <c r="J341" i="39"/>
  <c r="I341" i="39"/>
  <c r="E341" i="39"/>
  <c r="F341" i="39" s="1"/>
  <c r="I340" i="39"/>
  <c r="E340" i="39"/>
  <c r="J340" i="39" s="1"/>
  <c r="K340" i="39" s="1"/>
  <c r="I339" i="39"/>
  <c r="E339" i="39"/>
  <c r="F339" i="39" s="1"/>
  <c r="I338" i="39"/>
  <c r="E338" i="39"/>
  <c r="J338" i="39" s="1"/>
  <c r="I337" i="39"/>
  <c r="E337" i="39"/>
  <c r="J337" i="39" s="1"/>
  <c r="K337" i="39" s="1"/>
  <c r="I336" i="39"/>
  <c r="E336" i="39"/>
  <c r="F336" i="39" s="1"/>
  <c r="I335" i="39"/>
  <c r="E335" i="39"/>
  <c r="J335" i="39" s="1"/>
  <c r="K335" i="39" s="1"/>
  <c r="I334" i="39"/>
  <c r="E334" i="39"/>
  <c r="F334" i="39" s="1"/>
  <c r="I333" i="39"/>
  <c r="E333" i="39"/>
  <c r="J333" i="39" s="1"/>
  <c r="K333" i="39" s="1"/>
  <c r="I332" i="39"/>
  <c r="E332" i="39"/>
  <c r="J332" i="39" s="1"/>
  <c r="K332" i="39" s="1"/>
  <c r="I331" i="39"/>
  <c r="E331" i="39"/>
  <c r="J331" i="39" s="1"/>
  <c r="K331" i="39" s="1"/>
  <c r="I330" i="39"/>
  <c r="E330" i="39"/>
  <c r="J330" i="39" s="1"/>
  <c r="I329" i="39"/>
  <c r="E329" i="39"/>
  <c r="F329" i="39" s="1"/>
  <c r="I328" i="39"/>
  <c r="E328" i="39"/>
  <c r="J328" i="39" s="1"/>
  <c r="K328" i="39" s="1"/>
  <c r="I327" i="39"/>
  <c r="E327" i="39"/>
  <c r="F327" i="39" s="1"/>
  <c r="I326" i="39"/>
  <c r="E326" i="39"/>
  <c r="J326" i="39" s="1"/>
  <c r="K326" i="39" s="1"/>
  <c r="I325" i="39"/>
  <c r="E325" i="39"/>
  <c r="J324" i="39"/>
  <c r="I324" i="39"/>
  <c r="E324" i="39"/>
  <c r="F324" i="39" s="1"/>
  <c r="I323" i="39"/>
  <c r="E323" i="39"/>
  <c r="J323" i="39" s="1"/>
  <c r="K323" i="39" s="1"/>
  <c r="I322" i="39"/>
  <c r="E322" i="39"/>
  <c r="J322" i="39" s="1"/>
  <c r="I321" i="39"/>
  <c r="E321" i="39"/>
  <c r="J321" i="39" s="1"/>
  <c r="K321" i="39" s="1"/>
  <c r="I320" i="39"/>
  <c r="E320" i="39"/>
  <c r="F320" i="39" s="1"/>
  <c r="I319" i="39"/>
  <c r="E319" i="39"/>
  <c r="F319" i="39" s="1"/>
  <c r="I318" i="39"/>
  <c r="E318" i="39"/>
  <c r="F318" i="39" s="1"/>
  <c r="I317" i="39"/>
  <c r="E317" i="39"/>
  <c r="F317" i="39" s="1"/>
  <c r="I316" i="39"/>
  <c r="E316" i="39"/>
  <c r="I315" i="39"/>
  <c r="E315" i="39"/>
  <c r="J315" i="39" s="1"/>
  <c r="L314" i="39"/>
  <c r="E314" i="39"/>
  <c r="E313" i="39"/>
  <c r="J313" i="39" s="1"/>
  <c r="D313" i="39"/>
  <c r="I313" i="39" s="1"/>
  <c r="I312" i="39"/>
  <c r="E312" i="39"/>
  <c r="J312" i="39" s="1"/>
  <c r="I311" i="39"/>
  <c r="E311" i="39"/>
  <c r="J311" i="39" s="1"/>
  <c r="I310" i="39"/>
  <c r="E310" i="39"/>
  <c r="J310" i="39" s="1"/>
  <c r="K310" i="39" s="1"/>
  <c r="I309" i="39"/>
  <c r="E309" i="39"/>
  <c r="F309" i="39" s="1"/>
  <c r="I308" i="39"/>
  <c r="E308" i="39"/>
  <c r="J308" i="39" s="1"/>
  <c r="I307" i="39"/>
  <c r="E307" i="39"/>
  <c r="J307" i="39" s="1"/>
  <c r="K307" i="39" s="1"/>
  <c r="I306" i="39"/>
  <c r="E306" i="39"/>
  <c r="J306" i="39" s="1"/>
  <c r="I305" i="39"/>
  <c r="E305" i="39"/>
  <c r="I304" i="39"/>
  <c r="E304" i="39"/>
  <c r="F304" i="39" s="1"/>
  <c r="I303" i="39"/>
  <c r="E303" i="39"/>
  <c r="F303" i="39" s="1"/>
  <c r="I302" i="39"/>
  <c r="E302" i="39"/>
  <c r="J302" i="39" s="1"/>
  <c r="K302" i="39" s="1"/>
  <c r="I301" i="39"/>
  <c r="E301" i="39"/>
  <c r="F301" i="39" s="1"/>
  <c r="I300" i="39"/>
  <c r="E300" i="39"/>
  <c r="J300" i="39" s="1"/>
  <c r="I299" i="39"/>
  <c r="E299" i="39"/>
  <c r="F299" i="39" s="1"/>
  <c r="I298" i="39"/>
  <c r="E298" i="39"/>
  <c r="I297" i="39"/>
  <c r="E297" i="39"/>
  <c r="J297" i="39" s="1"/>
  <c r="K297" i="39" s="1"/>
  <c r="I296" i="39"/>
  <c r="E296" i="39"/>
  <c r="J296" i="39" s="1"/>
  <c r="I295" i="39"/>
  <c r="E295" i="39"/>
  <c r="J295" i="39" s="1"/>
  <c r="K295" i="39" s="1"/>
  <c r="I294" i="39"/>
  <c r="E294" i="39"/>
  <c r="F294" i="39" s="1"/>
  <c r="I293" i="39"/>
  <c r="E293" i="39"/>
  <c r="I292" i="39"/>
  <c r="E292" i="39"/>
  <c r="F292" i="39" s="1"/>
  <c r="I291" i="39"/>
  <c r="E291" i="39"/>
  <c r="J291" i="39" s="1"/>
  <c r="I290" i="39"/>
  <c r="E290" i="39"/>
  <c r="F290" i="39" s="1"/>
  <c r="I289" i="39"/>
  <c r="E289" i="39"/>
  <c r="F289" i="39" s="1"/>
  <c r="I288" i="39"/>
  <c r="E288" i="39"/>
  <c r="J288" i="39" s="1"/>
  <c r="I287" i="39"/>
  <c r="E287" i="39"/>
  <c r="J287" i="39" s="1"/>
  <c r="K287" i="39" s="1"/>
  <c r="I286" i="39"/>
  <c r="E286" i="39"/>
  <c r="F286" i="39" s="1"/>
  <c r="I285" i="39"/>
  <c r="E285" i="39"/>
  <c r="J285" i="39" s="1"/>
  <c r="I284" i="39"/>
  <c r="E284" i="39"/>
  <c r="J284" i="39" s="1"/>
  <c r="I283" i="39"/>
  <c r="E283" i="39"/>
  <c r="J283" i="39" s="1"/>
  <c r="I282" i="39"/>
  <c r="E282" i="39"/>
  <c r="J282" i="39" s="1"/>
  <c r="I281" i="39"/>
  <c r="E281" i="39"/>
  <c r="F281" i="39" s="1"/>
  <c r="I280" i="39"/>
  <c r="E280" i="39"/>
  <c r="J280" i="39" s="1"/>
  <c r="K280" i="39" s="1"/>
  <c r="I279" i="39"/>
  <c r="E279" i="39"/>
  <c r="F279" i="39" s="1"/>
  <c r="I278" i="39"/>
  <c r="E278" i="39"/>
  <c r="J278" i="39" s="1"/>
  <c r="I277" i="39"/>
  <c r="E277" i="39"/>
  <c r="I276" i="39"/>
  <c r="E276" i="39"/>
  <c r="J276" i="39" s="1"/>
  <c r="I275" i="39"/>
  <c r="E275" i="39"/>
  <c r="J275" i="39" s="1"/>
  <c r="I274" i="39"/>
  <c r="E274" i="39"/>
  <c r="F274" i="39" s="1"/>
  <c r="I273" i="39"/>
  <c r="E273" i="39"/>
  <c r="J273" i="39" s="1"/>
  <c r="K273" i="39" s="1"/>
  <c r="I272" i="39"/>
  <c r="E272" i="39"/>
  <c r="F272" i="39" s="1"/>
  <c r="I271" i="39"/>
  <c r="E271" i="39"/>
  <c r="J271" i="39" s="1"/>
  <c r="K271" i="39" s="1"/>
  <c r="I270" i="39"/>
  <c r="E270" i="39"/>
  <c r="J270" i="39" s="1"/>
  <c r="K270" i="39" s="1"/>
  <c r="I269" i="39"/>
  <c r="E269" i="39"/>
  <c r="J269" i="39" s="1"/>
  <c r="K269" i="39" s="1"/>
  <c r="I268" i="39"/>
  <c r="E268" i="39"/>
  <c r="J268" i="39" s="1"/>
  <c r="K268" i="39" s="1"/>
  <c r="I267" i="39"/>
  <c r="E267" i="39"/>
  <c r="J267" i="39" s="1"/>
  <c r="I266" i="39"/>
  <c r="E266" i="39"/>
  <c r="J266" i="39" s="1"/>
  <c r="K266" i="39" s="1"/>
  <c r="I265" i="39"/>
  <c r="E265" i="39"/>
  <c r="J265" i="39" s="1"/>
  <c r="I264" i="39"/>
  <c r="E264" i="39"/>
  <c r="J264" i="39" s="1"/>
  <c r="K264" i="39" s="1"/>
  <c r="I263" i="39"/>
  <c r="E263" i="39"/>
  <c r="J263" i="39" s="1"/>
  <c r="K263" i="39" s="1"/>
  <c r="I262" i="39"/>
  <c r="E262" i="39"/>
  <c r="I261" i="39"/>
  <c r="E261" i="39"/>
  <c r="J261" i="39" s="1"/>
  <c r="K261" i="39" s="1"/>
  <c r="I260" i="39"/>
  <c r="E260" i="39"/>
  <c r="J260" i="39" s="1"/>
  <c r="K260" i="39" s="1"/>
  <c r="I259" i="39"/>
  <c r="E259" i="39"/>
  <c r="J259" i="39" s="1"/>
  <c r="I258" i="39"/>
  <c r="E258" i="39"/>
  <c r="J258" i="39" s="1"/>
  <c r="K258" i="39" s="1"/>
  <c r="I257" i="39"/>
  <c r="E257" i="39"/>
  <c r="J257" i="39" s="1"/>
  <c r="I256" i="39"/>
  <c r="E256" i="39"/>
  <c r="F256" i="39" s="1"/>
  <c r="I255" i="39"/>
  <c r="E255" i="39"/>
  <c r="I254" i="39"/>
  <c r="E254" i="39"/>
  <c r="F254" i="39" s="1"/>
  <c r="I253" i="39"/>
  <c r="E253" i="39"/>
  <c r="J253" i="39" s="1"/>
  <c r="K253" i="39" s="1"/>
  <c r="I252" i="39"/>
  <c r="I251" i="39"/>
  <c r="I250" i="39"/>
  <c r="E250" i="39"/>
  <c r="J250" i="39" s="1"/>
  <c r="I249" i="39"/>
  <c r="I248" i="39"/>
  <c r="I247" i="39"/>
  <c r="I246" i="39"/>
  <c r="I245" i="39"/>
  <c r="I244" i="39"/>
  <c r="I243" i="39"/>
  <c r="I242" i="39"/>
  <c r="I241" i="39"/>
  <c r="E241" i="39"/>
  <c r="J241" i="39" s="1"/>
  <c r="K241" i="39" s="1"/>
  <c r="I240" i="39"/>
  <c r="I239" i="39"/>
  <c r="E239" i="39"/>
  <c r="F239" i="39" s="1"/>
  <c r="I238" i="39"/>
  <c r="I237" i="39"/>
  <c r="E237" i="39"/>
  <c r="F237" i="39" s="1"/>
  <c r="S236" i="39"/>
  <c r="R236" i="39"/>
  <c r="L236" i="39"/>
  <c r="F236" i="39"/>
  <c r="J235" i="39"/>
  <c r="I235" i="39"/>
  <c r="E235" i="39"/>
  <c r="F235" i="39" s="1"/>
  <c r="I234" i="39"/>
  <c r="E234" i="39"/>
  <c r="F234" i="39" s="1"/>
  <c r="I233" i="39"/>
  <c r="E233" i="39"/>
  <c r="F233" i="39" s="1"/>
  <c r="I232" i="39"/>
  <c r="E232" i="39"/>
  <c r="J232" i="39" s="1"/>
  <c r="I231" i="39"/>
  <c r="E231" i="39"/>
  <c r="J231" i="39" s="1"/>
  <c r="I230" i="39"/>
  <c r="I229" i="39"/>
  <c r="E229" i="39"/>
  <c r="F229" i="39" s="1"/>
  <c r="I228" i="39"/>
  <c r="I227" i="39"/>
  <c r="I226" i="39"/>
  <c r="I225" i="39"/>
  <c r="E225" i="39"/>
  <c r="F225" i="39" s="1"/>
  <c r="I224" i="39"/>
  <c r="E224" i="39"/>
  <c r="F224" i="39" s="1"/>
  <c r="I223" i="39"/>
  <c r="E223" i="39"/>
  <c r="J223" i="39" s="1"/>
  <c r="I222" i="39"/>
  <c r="I221" i="39"/>
  <c r="E221" i="39"/>
  <c r="F221" i="39" s="1"/>
  <c r="I220" i="39"/>
  <c r="E220" i="39"/>
  <c r="J220" i="39" s="1"/>
  <c r="L219" i="39"/>
  <c r="I218" i="39"/>
  <c r="E218" i="39"/>
  <c r="J218" i="39" s="1"/>
  <c r="K218" i="39" s="1"/>
  <c r="I217" i="39"/>
  <c r="E217" i="39"/>
  <c r="F217" i="39" s="1"/>
  <c r="I216" i="39"/>
  <c r="E216" i="39"/>
  <c r="J216" i="39" s="1"/>
  <c r="K216" i="39" s="1"/>
  <c r="I215" i="39"/>
  <c r="I214" i="39"/>
  <c r="I213" i="39"/>
  <c r="E213" i="39"/>
  <c r="J213" i="39" s="1"/>
  <c r="I212" i="39"/>
  <c r="E212" i="39"/>
  <c r="J212" i="39" s="1"/>
  <c r="K212" i="39" s="1"/>
  <c r="I211" i="39"/>
  <c r="E211" i="39"/>
  <c r="J211" i="39" s="1"/>
  <c r="K211" i="39" s="1"/>
  <c r="I210" i="39"/>
  <c r="E210" i="39"/>
  <c r="F210" i="39" s="1"/>
  <c r="I209" i="39"/>
  <c r="I208" i="39"/>
  <c r="I207" i="39"/>
  <c r="I206" i="39"/>
  <c r="I205" i="39"/>
  <c r="I204" i="39"/>
  <c r="I203" i="39"/>
  <c r="I202" i="39"/>
  <c r="I201" i="39"/>
  <c r="I200" i="39"/>
  <c r="E199" i="39"/>
  <c r="F199" i="39" s="1"/>
  <c r="I198" i="39"/>
  <c r="I197" i="39"/>
  <c r="S196" i="39"/>
  <c r="I196" i="39"/>
  <c r="D195" i="39"/>
  <c r="I195" i="39" s="1"/>
  <c r="D194" i="39"/>
  <c r="I194" i="39" s="1"/>
  <c r="I193" i="39"/>
  <c r="I192" i="39"/>
  <c r="E192" i="39"/>
  <c r="F192" i="39" s="1"/>
  <c r="I191" i="39"/>
  <c r="E191" i="39"/>
  <c r="J191" i="39" s="1"/>
  <c r="I190" i="39"/>
  <c r="E190" i="39"/>
  <c r="J190" i="39" s="1"/>
  <c r="K190" i="39" s="1"/>
  <c r="I189" i="39"/>
  <c r="E189" i="39"/>
  <c r="J189" i="39" s="1"/>
  <c r="K189" i="39" s="1"/>
  <c r="I188" i="39"/>
  <c r="E188" i="39"/>
  <c r="I187" i="39"/>
  <c r="I186" i="39"/>
  <c r="I185" i="39"/>
  <c r="I184" i="39"/>
  <c r="I183" i="39"/>
  <c r="E183" i="39"/>
  <c r="J183" i="39" s="1"/>
  <c r="I182" i="39"/>
  <c r="I181" i="39"/>
  <c r="I180" i="39"/>
  <c r="I179" i="39"/>
  <c r="E179" i="39"/>
  <c r="F179" i="39" s="1"/>
  <c r="I178" i="39"/>
  <c r="I177" i="39"/>
  <c r="I176" i="39"/>
  <c r="I175" i="39"/>
  <c r="I174" i="39"/>
  <c r="I173" i="39"/>
  <c r="E173" i="39"/>
  <c r="J173" i="39" s="1"/>
  <c r="K173" i="39" s="1"/>
  <c r="I172" i="39"/>
  <c r="I171" i="39"/>
  <c r="E170" i="39"/>
  <c r="F170" i="39" s="1"/>
  <c r="I169" i="39"/>
  <c r="E169" i="39"/>
  <c r="J169" i="39" s="1"/>
  <c r="K169" i="39" s="1"/>
  <c r="I168" i="39"/>
  <c r="I167" i="39"/>
  <c r="E167" i="39"/>
  <c r="J167" i="39" s="1"/>
  <c r="K167" i="39" s="1"/>
  <c r="I166" i="39"/>
  <c r="E166" i="39"/>
  <c r="J166" i="39" s="1"/>
  <c r="K166" i="39" s="1"/>
  <c r="I165" i="39"/>
  <c r="E165" i="39"/>
  <c r="J165" i="39" s="1"/>
  <c r="K165" i="39" s="1"/>
  <c r="J164" i="39"/>
  <c r="I164" i="39"/>
  <c r="E164" i="39"/>
  <c r="F164" i="39" s="1"/>
  <c r="I163" i="39"/>
  <c r="E163" i="39"/>
  <c r="J163" i="39" s="1"/>
  <c r="K163" i="39" s="1"/>
  <c r="I162" i="39"/>
  <c r="E162" i="39"/>
  <c r="J162" i="39" s="1"/>
  <c r="J161" i="39"/>
  <c r="I161" i="39"/>
  <c r="F161" i="39"/>
  <c r="E161" i="39"/>
  <c r="I160" i="39"/>
  <c r="E160" i="39"/>
  <c r="J160" i="39" s="1"/>
  <c r="I159" i="39"/>
  <c r="E159" i="39"/>
  <c r="F159" i="39" s="1"/>
  <c r="I158" i="39"/>
  <c r="E158" i="39"/>
  <c r="J158" i="39" s="1"/>
  <c r="K158" i="39" s="1"/>
  <c r="I157" i="39"/>
  <c r="E157" i="39"/>
  <c r="J157" i="39" s="1"/>
  <c r="I156" i="39"/>
  <c r="E156" i="39"/>
  <c r="F156" i="39" s="1"/>
  <c r="J155" i="39"/>
  <c r="I155" i="39"/>
  <c r="E155" i="39"/>
  <c r="F155" i="39" s="1"/>
  <c r="I154" i="39"/>
  <c r="E154" i="39"/>
  <c r="F154" i="39" s="1"/>
  <c r="I153" i="39"/>
  <c r="E153" i="39"/>
  <c r="F153" i="39" s="1"/>
  <c r="I152" i="39"/>
  <c r="E152" i="39"/>
  <c r="J152" i="39" s="1"/>
  <c r="K152" i="39" s="1"/>
  <c r="I151" i="39"/>
  <c r="E151" i="39"/>
  <c r="J151" i="39" s="1"/>
  <c r="K151" i="39" s="1"/>
  <c r="I150" i="39"/>
  <c r="E150" i="39"/>
  <c r="J150" i="39" s="1"/>
  <c r="K150" i="39" s="1"/>
  <c r="I149" i="39"/>
  <c r="E149" i="39"/>
  <c r="J149" i="39" s="1"/>
  <c r="K149" i="39" s="1"/>
  <c r="I148" i="39"/>
  <c r="E148" i="39"/>
  <c r="F148" i="39" s="1"/>
  <c r="I147" i="39"/>
  <c r="E147" i="39"/>
  <c r="F147" i="39" s="1"/>
  <c r="I146" i="39"/>
  <c r="I145" i="39"/>
  <c r="I144" i="39"/>
  <c r="E144" i="39"/>
  <c r="F144" i="39" s="1"/>
  <c r="I143" i="39"/>
  <c r="E143" i="39"/>
  <c r="J143" i="39" s="1"/>
  <c r="I142" i="39"/>
  <c r="E142" i="39"/>
  <c r="F142" i="39" s="1"/>
  <c r="I141" i="39"/>
  <c r="E141" i="39"/>
  <c r="J141" i="39" s="1"/>
  <c r="K141" i="39" s="1"/>
  <c r="I140" i="39"/>
  <c r="E140" i="39"/>
  <c r="J140" i="39" s="1"/>
  <c r="I139" i="39"/>
  <c r="I138" i="39"/>
  <c r="J137" i="39"/>
  <c r="I137" i="39"/>
  <c r="F137" i="39"/>
  <c r="E137" i="39"/>
  <c r="I134" i="39"/>
  <c r="E134" i="39"/>
  <c r="J134" i="39" s="1"/>
  <c r="K134" i="39" s="1"/>
  <c r="I133" i="39"/>
  <c r="E133" i="39"/>
  <c r="J133" i="39" s="1"/>
  <c r="K133" i="39" s="1"/>
  <c r="I132" i="39"/>
  <c r="E132" i="39"/>
  <c r="F132" i="39" s="1"/>
  <c r="I131" i="39"/>
  <c r="E131" i="39"/>
  <c r="J131" i="39" s="1"/>
  <c r="K131" i="39" s="1"/>
  <c r="I130" i="39"/>
  <c r="E130" i="39"/>
  <c r="F130" i="39" s="1"/>
  <c r="I129" i="39"/>
  <c r="E129" i="39"/>
  <c r="F129" i="39" s="1"/>
  <c r="L128" i="39"/>
  <c r="E128" i="39"/>
  <c r="F128" i="39" s="1"/>
  <c r="J127" i="39"/>
  <c r="I127" i="39"/>
  <c r="F127" i="39"/>
  <c r="J126" i="39"/>
  <c r="I126" i="39"/>
  <c r="F126" i="39"/>
  <c r="J125" i="39"/>
  <c r="I125" i="39"/>
  <c r="F125" i="39"/>
  <c r="J124" i="39"/>
  <c r="I124" i="39"/>
  <c r="F124" i="39"/>
  <c r="I123" i="39"/>
  <c r="E123" i="39"/>
  <c r="J123" i="39" s="1"/>
  <c r="J122" i="39"/>
  <c r="I122" i="39"/>
  <c r="E122" i="39"/>
  <c r="F122" i="39" s="1"/>
  <c r="I121" i="39"/>
  <c r="E121" i="39"/>
  <c r="J121" i="39" s="1"/>
  <c r="K121" i="39" s="1"/>
  <c r="I120" i="39"/>
  <c r="E120" i="39"/>
  <c r="F120" i="39" s="1"/>
  <c r="I119" i="39"/>
  <c r="E119" i="39"/>
  <c r="F119" i="39" s="1"/>
  <c r="I118" i="39"/>
  <c r="E118" i="39"/>
  <c r="F118" i="39" s="1"/>
  <c r="J117" i="39"/>
  <c r="I117" i="39"/>
  <c r="E117" i="39"/>
  <c r="F117" i="39" s="1"/>
  <c r="I116" i="39"/>
  <c r="E116" i="39"/>
  <c r="J116" i="39" s="1"/>
  <c r="I115" i="39"/>
  <c r="E115" i="39"/>
  <c r="F115" i="39" s="1"/>
  <c r="I114" i="39"/>
  <c r="E114" i="39"/>
  <c r="J114" i="39" s="1"/>
  <c r="I113" i="39"/>
  <c r="E113" i="39"/>
  <c r="J113" i="39" s="1"/>
  <c r="I112" i="39"/>
  <c r="E112" i="39"/>
  <c r="F112" i="39" s="1"/>
  <c r="I111" i="39"/>
  <c r="E111" i="39"/>
  <c r="J111" i="39" s="1"/>
  <c r="I110" i="39"/>
  <c r="I109" i="39"/>
  <c r="E109" i="39"/>
  <c r="J109" i="39" s="1"/>
  <c r="K109" i="39" s="1"/>
  <c r="I108" i="39"/>
  <c r="E108" i="39"/>
  <c r="F108" i="39" s="1"/>
  <c r="J107" i="39"/>
  <c r="I107" i="39"/>
  <c r="F107" i="39"/>
  <c r="E107" i="39"/>
  <c r="I106" i="39"/>
  <c r="E106" i="39"/>
  <c r="J106" i="39" s="1"/>
  <c r="I105" i="39"/>
  <c r="E105" i="39"/>
  <c r="F105" i="39" s="1"/>
  <c r="I104" i="39"/>
  <c r="E104" i="39"/>
  <c r="J104" i="39" s="1"/>
  <c r="I103" i="39"/>
  <c r="E103" i="39"/>
  <c r="J103" i="39" s="1"/>
  <c r="K103" i="39" s="1"/>
  <c r="I102" i="39"/>
  <c r="E102" i="39"/>
  <c r="J102" i="39" s="1"/>
  <c r="I101" i="39"/>
  <c r="E101" i="39"/>
  <c r="J101" i="39" s="1"/>
  <c r="I100" i="39"/>
  <c r="E100" i="39"/>
  <c r="J100" i="39" s="1"/>
  <c r="K100" i="39" s="1"/>
  <c r="I99" i="39"/>
  <c r="E99" i="39"/>
  <c r="J99" i="39" s="1"/>
  <c r="I98" i="39"/>
  <c r="E98" i="39"/>
  <c r="J98" i="39" s="1"/>
  <c r="K98" i="39" s="1"/>
  <c r="J97" i="39"/>
  <c r="I97" i="39"/>
  <c r="F97" i="39"/>
  <c r="E97" i="39"/>
  <c r="I96" i="39"/>
  <c r="E96" i="39"/>
  <c r="I95" i="39"/>
  <c r="E95" i="39"/>
  <c r="J95" i="39" s="1"/>
  <c r="K95" i="39" s="1"/>
  <c r="I94" i="39"/>
  <c r="E94" i="39"/>
  <c r="I93" i="39"/>
  <c r="E93" i="39"/>
  <c r="J93" i="39" s="1"/>
  <c r="I92" i="39"/>
  <c r="E92" i="39"/>
  <c r="J92" i="39" s="1"/>
  <c r="K92" i="39" s="1"/>
  <c r="I91" i="39"/>
  <c r="E91" i="39"/>
  <c r="J91" i="39" s="1"/>
  <c r="K91" i="39" s="1"/>
  <c r="I90" i="39"/>
  <c r="E90" i="39"/>
  <c r="J90" i="39" s="1"/>
  <c r="K90" i="39" s="1"/>
  <c r="I89" i="39"/>
  <c r="E89" i="39"/>
  <c r="J89" i="39" s="1"/>
  <c r="K89" i="39" s="1"/>
  <c r="I88" i="39"/>
  <c r="E88" i="39"/>
  <c r="J88" i="39" s="1"/>
  <c r="K88" i="39" s="1"/>
  <c r="J87" i="39"/>
  <c r="I87" i="39"/>
  <c r="F87" i="39"/>
  <c r="E87" i="39"/>
  <c r="I86" i="39"/>
  <c r="E86" i="39"/>
  <c r="I85" i="39"/>
  <c r="E85" i="39"/>
  <c r="J85" i="39" s="1"/>
  <c r="K85" i="39" s="1"/>
  <c r="I84" i="39"/>
  <c r="E84" i="39"/>
  <c r="J84" i="39" s="1"/>
  <c r="K84" i="39" s="1"/>
  <c r="I83" i="39"/>
  <c r="E83" i="39"/>
  <c r="J83" i="39" s="1"/>
  <c r="K83" i="39" s="1"/>
  <c r="I82" i="39"/>
  <c r="E82" i="39"/>
  <c r="J82" i="39" s="1"/>
  <c r="K82" i="39" s="1"/>
  <c r="I81" i="39"/>
  <c r="E81" i="39"/>
  <c r="I80" i="39"/>
  <c r="E80" i="39"/>
  <c r="J80" i="39" s="1"/>
  <c r="K80" i="39" s="1"/>
  <c r="I79" i="39"/>
  <c r="E79" i="39"/>
  <c r="F79" i="39" s="1"/>
  <c r="I78" i="39"/>
  <c r="E78" i="39"/>
  <c r="J78" i="39" s="1"/>
  <c r="K78" i="39" s="1"/>
  <c r="I77" i="39"/>
  <c r="I76" i="39"/>
  <c r="I75" i="39"/>
  <c r="E75" i="39"/>
  <c r="J75" i="39" s="1"/>
  <c r="K75" i="39" s="1"/>
  <c r="J74" i="39"/>
  <c r="I74" i="39"/>
  <c r="F74" i="39"/>
  <c r="E74" i="39"/>
  <c r="I73" i="39"/>
  <c r="E73" i="39"/>
  <c r="J73" i="39" s="1"/>
  <c r="I72" i="39"/>
  <c r="E72" i="39"/>
  <c r="I71" i="39"/>
  <c r="E71" i="39"/>
  <c r="F71" i="39" s="1"/>
  <c r="I70" i="39"/>
  <c r="E70" i="39"/>
  <c r="J70" i="39" s="1"/>
  <c r="K70" i="39" s="1"/>
  <c r="I69" i="39"/>
  <c r="E69" i="39"/>
  <c r="F69" i="39" s="1"/>
  <c r="I68" i="39"/>
  <c r="E68" i="39"/>
  <c r="J68" i="39" s="1"/>
  <c r="K68" i="39" s="1"/>
  <c r="I67" i="39"/>
  <c r="E67" i="39"/>
  <c r="J67" i="39" s="1"/>
  <c r="I66" i="39"/>
  <c r="E66" i="39"/>
  <c r="F66" i="39" s="1"/>
  <c r="I65" i="39"/>
  <c r="E65" i="39"/>
  <c r="J65" i="39" s="1"/>
  <c r="I64" i="39"/>
  <c r="E64" i="39"/>
  <c r="J64" i="39" s="1"/>
  <c r="K64" i="39" s="1"/>
  <c r="I63" i="39"/>
  <c r="E63" i="39"/>
  <c r="J63" i="39" s="1"/>
  <c r="K63" i="39" s="1"/>
  <c r="I62" i="39"/>
  <c r="E62" i="39"/>
  <c r="J62" i="39" s="1"/>
  <c r="K62" i="39" s="1"/>
  <c r="I61" i="39"/>
  <c r="E61" i="39"/>
  <c r="J61" i="39" s="1"/>
  <c r="I60" i="39"/>
  <c r="E60" i="39"/>
  <c r="J60" i="39" s="1"/>
  <c r="K60" i="39" s="1"/>
  <c r="J59" i="39"/>
  <c r="I59" i="39"/>
  <c r="F59" i="39"/>
  <c r="E59" i="39"/>
  <c r="I58" i="39"/>
  <c r="E58" i="39"/>
  <c r="J58" i="39" s="1"/>
  <c r="K58" i="39" s="1"/>
  <c r="I57" i="39"/>
  <c r="E57" i="39"/>
  <c r="J57" i="39" s="1"/>
  <c r="I56" i="39"/>
  <c r="E56" i="39"/>
  <c r="J56" i="39" s="1"/>
  <c r="I55" i="39"/>
  <c r="E55" i="39"/>
  <c r="F55" i="39" s="1"/>
  <c r="I54" i="39"/>
  <c r="E54" i="39"/>
  <c r="J54" i="39" s="1"/>
  <c r="K54" i="39" s="1"/>
  <c r="I53" i="39"/>
  <c r="E53" i="39"/>
  <c r="J53" i="39" s="1"/>
  <c r="I52" i="39"/>
  <c r="I51" i="39"/>
  <c r="E51" i="39"/>
  <c r="F51" i="39" s="1"/>
  <c r="I50" i="39"/>
  <c r="E50" i="39"/>
  <c r="F50" i="39" s="1"/>
  <c r="I49" i="39"/>
  <c r="E49" i="39"/>
  <c r="J49" i="39" s="1"/>
  <c r="I48" i="39"/>
  <c r="I47" i="39"/>
  <c r="I46" i="39"/>
  <c r="E46" i="39"/>
  <c r="F46" i="39" s="1"/>
  <c r="J45" i="39"/>
  <c r="I45" i="39"/>
  <c r="E45" i="39"/>
  <c r="F45" i="39" s="1"/>
  <c r="I44" i="39"/>
  <c r="E44" i="39"/>
  <c r="J44" i="39" s="1"/>
  <c r="K44" i="39" s="1"/>
  <c r="I43" i="39"/>
  <c r="E43" i="39"/>
  <c r="F43" i="39" s="1"/>
  <c r="I40" i="39"/>
  <c r="E40" i="39"/>
  <c r="J40" i="39" s="1"/>
  <c r="K40" i="39" s="1"/>
  <c r="I39" i="39"/>
  <c r="E39" i="39"/>
  <c r="F39" i="39" s="1"/>
  <c r="I38" i="39"/>
  <c r="E38" i="39"/>
  <c r="J38" i="39" s="1"/>
  <c r="E37" i="39"/>
  <c r="F37" i="39" s="1"/>
  <c r="I36" i="39"/>
  <c r="E36" i="39"/>
  <c r="F36" i="39" s="1"/>
  <c r="I35" i="39"/>
  <c r="E35" i="39"/>
  <c r="J35" i="39" s="1"/>
  <c r="I34" i="39"/>
  <c r="E34" i="39"/>
  <c r="J34" i="39" s="1"/>
  <c r="K34" i="39" s="1"/>
  <c r="I33" i="39"/>
  <c r="E33" i="39"/>
  <c r="J33" i="39" s="1"/>
  <c r="I32" i="39"/>
  <c r="E32" i="39"/>
  <c r="J32" i="39" s="1"/>
  <c r="I31" i="39"/>
  <c r="E31" i="39"/>
  <c r="J31" i="39" s="1"/>
  <c r="L31" i="39" s="1"/>
  <c r="I30" i="39"/>
  <c r="E30" i="39"/>
  <c r="J30" i="39" s="1"/>
  <c r="I29" i="39"/>
  <c r="E29" i="39"/>
  <c r="J29" i="39" s="1"/>
  <c r="K29" i="39" s="1"/>
  <c r="I28" i="39"/>
  <c r="E28" i="39"/>
  <c r="J28" i="39" s="1"/>
  <c r="I27" i="39"/>
  <c r="E27" i="39"/>
  <c r="J27" i="39" s="1"/>
  <c r="I26" i="39"/>
  <c r="I25" i="39"/>
  <c r="E25" i="39"/>
  <c r="J25" i="39" s="1"/>
  <c r="I24" i="39"/>
  <c r="E24" i="39"/>
  <c r="J24" i="39" s="1"/>
  <c r="K24" i="39" s="1"/>
  <c r="I23" i="39"/>
  <c r="E23" i="39"/>
  <c r="J23" i="39" s="1"/>
  <c r="K23" i="39" s="1"/>
  <c r="I22" i="39"/>
  <c r="E22" i="39"/>
  <c r="J22" i="39" s="1"/>
  <c r="K22" i="39" s="1"/>
  <c r="I21" i="39"/>
  <c r="E21" i="39"/>
  <c r="J21" i="39" s="1"/>
  <c r="I20" i="39"/>
  <c r="E20" i="39"/>
  <c r="J20" i="39" s="1"/>
  <c r="K20" i="39" s="1"/>
  <c r="I19" i="39"/>
  <c r="E19" i="39"/>
  <c r="J19" i="39" s="1"/>
  <c r="I18" i="39"/>
  <c r="E18" i="39"/>
  <c r="J18" i="39" s="1"/>
  <c r="I17" i="39"/>
  <c r="E17" i="39"/>
  <c r="J17" i="39" s="1"/>
  <c r="I16" i="39"/>
  <c r="E16" i="39"/>
  <c r="J16" i="39" s="1"/>
  <c r="I15" i="39"/>
  <c r="I14" i="39"/>
  <c r="E14" i="39"/>
  <c r="J14" i="39" s="1"/>
  <c r="I13" i="39"/>
  <c r="E13" i="39"/>
  <c r="J13" i="39" s="1"/>
  <c r="K13" i="39" s="1"/>
  <c r="I12" i="39"/>
  <c r="E12" i="39"/>
  <c r="J12" i="39" s="1"/>
  <c r="E473" i="36"/>
  <c r="J473" i="36" s="1"/>
  <c r="J472" i="36"/>
  <c r="F472" i="36"/>
  <c r="I470" i="36"/>
  <c r="E470" i="36"/>
  <c r="J470" i="36" s="1"/>
  <c r="G469" i="36"/>
  <c r="E469" i="36"/>
  <c r="F469" i="36" s="1"/>
  <c r="I468" i="36"/>
  <c r="E468" i="36"/>
  <c r="J468" i="36" s="1"/>
  <c r="I467" i="36"/>
  <c r="E467" i="36"/>
  <c r="L466" i="36"/>
  <c r="F466" i="36"/>
  <c r="I465" i="36"/>
  <c r="E465" i="36"/>
  <c r="F465" i="36" s="1"/>
  <c r="I464" i="36"/>
  <c r="E464" i="36"/>
  <c r="F464" i="36" s="1"/>
  <c r="I463" i="36"/>
  <c r="E463" i="36"/>
  <c r="J463" i="36" s="1"/>
  <c r="I462" i="36"/>
  <c r="E462" i="36"/>
  <c r="J462" i="36" s="1"/>
  <c r="I461" i="36"/>
  <c r="E461" i="36"/>
  <c r="J461" i="36" s="1"/>
  <c r="I460" i="36"/>
  <c r="E460" i="36"/>
  <c r="F460" i="36" s="1"/>
  <c r="I459" i="36"/>
  <c r="E459" i="36"/>
  <c r="J459" i="36" s="1"/>
  <c r="I458" i="36"/>
  <c r="E458" i="36"/>
  <c r="F458" i="36" s="1"/>
  <c r="I457" i="36"/>
  <c r="E457" i="36"/>
  <c r="F457" i="36" s="1"/>
  <c r="I456" i="36"/>
  <c r="E456" i="36"/>
  <c r="J456" i="36" s="1"/>
  <c r="I455" i="36"/>
  <c r="E455" i="36"/>
  <c r="J455" i="36" s="1"/>
  <c r="K455" i="36" s="1"/>
  <c r="I454" i="36"/>
  <c r="E454" i="36"/>
  <c r="F454" i="36" s="1"/>
  <c r="I453" i="36"/>
  <c r="E453" i="36"/>
  <c r="I452" i="36"/>
  <c r="E452" i="36"/>
  <c r="J452" i="36" s="1"/>
  <c r="I451" i="36"/>
  <c r="E451" i="36"/>
  <c r="J451" i="36" s="1"/>
  <c r="I450" i="36"/>
  <c r="E450" i="36"/>
  <c r="J450" i="36" s="1"/>
  <c r="I449" i="36"/>
  <c r="E449" i="36"/>
  <c r="F449" i="36" s="1"/>
  <c r="I448" i="36"/>
  <c r="E448" i="36"/>
  <c r="I447" i="36"/>
  <c r="E447" i="36"/>
  <c r="F447" i="36" s="1"/>
  <c r="L446" i="36"/>
  <c r="F446" i="36"/>
  <c r="J445" i="36"/>
  <c r="I445" i="36"/>
  <c r="I444" i="36"/>
  <c r="I443" i="36"/>
  <c r="E443" i="36"/>
  <c r="I442" i="36"/>
  <c r="E442" i="36"/>
  <c r="I441" i="36"/>
  <c r="E441" i="36"/>
  <c r="J441" i="36" s="1"/>
  <c r="K441" i="36" s="1"/>
  <c r="I440" i="36"/>
  <c r="E440" i="36"/>
  <c r="I439" i="36"/>
  <c r="E439" i="36"/>
  <c r="I438" i="36"/>
  <c r="E438" i="36"/>
  <c r="J438" i="36" s="1"/>
  <c r="K438" i="36" s="1"/>
  <c r="I437" i="36"/>
  <c r="E437" i="36"/>
  <c r="J437" i="36" s="1"/>
  <c r="I436" i="36"/>
  <c r="E436" i="36"/>
  <c r="F436" i="36" s="1"/>
  <c r="I435" i="36"/>
  <c r="E435" i="36"/>
  <c r="I434" i="36"/>
  <c r="E434" i="36"/>
  <c r="F434" i="36" s="1"/>
  <c r="I433" i="36"/>
  <c r="E433" i="36"/>
  <c r="J433" i="36" s="1"/>
  <c r="I432" i="36"/>
  <c r="E432" i="36"/>
  <c r="I431" i="36"/>
  <c r="E431" i="36"/>
  <c r="J431" i="36" s="1"/>
  <c r="I430" i="36"/>
  <c r="E430" i="36"/>
  <c r="J430" i="36" s="1"/>
  <c r="I429" i="36"/>
  <c r="E429" i="36"/>
  <c r="F429" i="36" s="1"/>
  <c r="I428" i="36"/>
  <c r="E428" i="36"/>
  <c r="J428" i="36" s="1"/>
  <c r="I427" i="36"/>
  <c r="E427" i="36"/>
  <c r="J427" i="36" s="1"/>
  <c r="L426" i="36"/>
  <c r="F426" i="36"/>
  <c r="I425" i="36"/>
  <c r="E425" i="36"/>
  <c r="J425" i="36" s="1"/>
  <c r="K425" i="36" s="1"/>
  <c r="I424" i="36"/>
  <c r="E424" i="36"/>
  <c r="I423" i="36"/>
  <c r="I422" i="36" s="1"/>
  <c r="G422" i="36" s="1"/>
  <c r="E423" i="36"/>
  <c r="F423" i="36" s="1"/>
  <c r="F422" i="36"/>
  <c r="I421" i="36"/>
  <c r="E421" i="36"/>
  <c r="J421" i="36" s="1"/>
  <c r="K421" i="36" s="1"/>
  <c r="I420" i="36"/>
  <c r="E420" i="36"/>
  <c r="F420" i="36" s="1"/>
  <c r="I419" i="36"/>
  <c r="E419" i="36"/>
  <c r="J419" i="36" s="1"/>
  <c r="K419" i="36" s="1"/>
  <c r="I418" i="36"/>
  <c r="E418" i="36"/>
  <c r="F418" i="36" s="1"/>
  <c r="I417" i="36"/>
  <c r="E417" i="36"/>
  <c r="J417" i="36" s="1"/>
  <c r="I416" i="36"/>
  <c r="E416" i="36"/>
  <c r="J416" i="36" s="1"/>
  <c r="I415" i="36"/>
  <c r="E415" i="36"/>
  <c r="J415" i="36" s="1"/>
  <c r="I414" i="36"/>
  <c r="E414" i="36"/>
  <c r="I413" i="36"/>
  <c r="E413" i="36"/>
  <c r="J413" i="36" s="1"/>
  <c r="K413" i="36" s="1"/>
  <c r="I412" i="36"/>
  <c r="E412" i="36"/>
  <c r="J412" i="36" s="1"/>
  <c r="I411" i="36"/>
  <c r="E411" i="36"/>
  <c r="I410" i="36"/>
  <c r="E410" i="36"/>
  <c r="F410" i="36" s="1"/>
  <c r="I409" i="36"/>
  <c r="E409" i="36"/>
  <c r="J409" i="36" s="1"/>
  <c r="K409" i="36" s="1"/>
  <c r="I408" i="36"/>
  <c r="E408" i="36"/>
  <c r="J408" i="36" s="1"/>
  <c r="I407" i="36"/>
  <c r="E407" i="36"/>
  <c r="F407" i="36" s="1"/>
  <c r="I406" i="36"/>
  <c r="E406" i="36"/>
  <c r="J406" i="36" s="1"/>
  <c r="I405" i="36"/>
  <c r="E405" i="36"/>
  <c r="F405" i="36" s="1"/>
  <c r="I404" i="36"/>
  <c r="E404" i="36"/>
  <c r="J404" i="36" s="1"/>
  <c r="K404" i="36" s="1"/>
  <c r="I403" i="36"/>
  <c r="E403" i="36"/>
  <c r="J403" i="36" s="1"/>
  <c r="K403" i="36" s="1"/>
  <c r="I402" i="36"/>
  <c r="E402" i="36"/>
  <c r="J402" i="36" s="1"/>
  <c r="K402" i="36" s="1"/>
  <c r="I401" i="36"/>
  <c r="E401" i="36"/>
  <c r="J401" i="36" s="1"/>
  <c r="K401" i="36" s="1"/>
  <c r="I400" i="36"/>
  <c r="E400" i="36"/>
  <c r="I399" i="36"/>
  <c r="E399" i="36"/>
  <c r="F399" i="36" s="1"/>
  <c r="I398" i="36"/>
  <c r="E398" i="36"/>
  <c r="J398" i="36" s="1"/>
  <c r="K398" i="36" s="1"/>
  <c r="I397" i="36"/>
  <c r="E397" i="36"/>
  <c r="F397" i="36" s="1"/>
  <c r="I396" i="36"/>
  <c r="E396" i="36"/>
  <c r="F396" i="36" s="1"/>
  <c r="I395" i="36"/>
  <c r="E395" i="36"/>
  <c r="J395" i="36" s="1"/>
  <c r="I394" i="36"/>
  <c r="E394" i="36"/>
  <c r="I393" i="36"/>
  <c r="E393" i="36"/>
  <c r="J393" i="36" s="1"/>
  <c r="K393" i="36" s="1"/>
  <c r="I392" i="36"/>
  <c r="E392" i="36"/>
  <c r="F392" i="36" s="1"/>
  <c r="I391" i="36"/>
  <c r="E391" i="36"/>
  <c r="F391" i="36" s="1"/>
  <c r="I390" i="36"/>
  <c r="E390" i="36"/>
  <c r="J390" i="36" s="1"/>
  <c r="K390" i="36" s="1"/>
  <c r="I389" i="36"/>
  <c r="E389" i="36"/>
  <c r="J389" i="36" s="1"/>
  <c r="I388" i="36"/>
  <c r="E388" i="36"/>
  <c r="J388" i="36" s="1"/>
  <c r="I387" i="36"/>
  <c r="E387" i="36"/>
  <c r="J387" i="36" s="1"/>
  <c r="I386" i="36"/>
  <c r="E386" i="36"/>
  <c r="F386" i="36" s="1"/>
  <c r="I385" i="36"/>
  <c r="E385" i="36"/>
  <c r="I384" i="36"/>
  <c r="E384" i="36"/>
  <c r="J384" i="36" s="1"/>
  <c r="I383" i="36"/>
  <c r="E383" i="36"/>
  <c r="L382" i="36"/>
  <c r="E382" i="36"/>
  <c r="F382" i="36" s="1"/>
  <c r="J381" i="36"/>
  <c r="I381" i="36"/>
  <c r="J380" i="36"/>
  <c r="I380" i="36"/>
  <c r="J379" i="36"/>
  <c r="I379" i="36"/>
  <c r="J378" i="36"/>
  <c r="I378" i="36"/>
  <c r="J377" i="36"/>
  <c r="I377" i="36"/>
  <c r="J376" i="36"/>
  <c r="I376" i="36"/>
  <c r="J375" i="36"/>
  <c r="I375" i="36"/>
  <c r="J374" i="36"/>
  <c r="I374" i="36"/>
  <c r="J373" i="36"/>
  <c r="I373" i="36"/>
  <c r="J372" i="36"/>
  <c r="I372" i="36"/>
  <c r="J371" i="36"/>
  <c r="I371" i="36"/>
  <c r="J370" i="36"/>
  <c r="I370" i="36"/>
  <c r="J369" i="36"/>
  <c r="I369" i="36"/>
  <c r="J368" i="36"/>
  <c r="I368" i="36"/>
  <c r="J367" i="36"/>
  <c r="I367" i="36"/>
  <c r="I366" i="36"/>
  <c r="E366" i="36"/>
  <c r="F366" i="36" s="1"/>
  <c r="I365" i="36"/>
  <c r="E365" i="36"/>
  <c r="F365" i="36" s="1"/>
  <c r="I364" i="36"/>
  <c r="E364" i="36"/>
  <c r="F364" i="36" s="1"/>
  <c r="I363" i="36"/>
  <c r="E363" i="36"/>
  <c r="I362" i="36"/>
  <c r="E362" i="36"/>
  <c r="J362" i="36" s="1"/>
  <c r="K362" i="36" s="1"/>
  <c r="I361" i="36"/>
  <c r="E361" i="36"/>
  <c r="F361" i="36" s="1"/>
  <c r="I360" i="36"/>
  <c r="E360" i="36"/>
  <c r="J360" i="36" s="1"/>
  <c r="K360" i="36" s="1"/>
  <c r="I359" i="36"/>
  <c r="E359" i="36"/>
  <c r="J359" i="36" s="1"/>
  <c r="K359" i="36" s="1"/>
  <c r="I358" i="36"/>
  <c r="E358" i="36"/>
  <c r="F358" i="36" s="1"/>
  <c r="I357" i="36"/>
  <c r="E357" i="36"/>
  <c r="J357" i="36" s="1"/>
  <c r="L356" i="36"/>
  <c r="E356" i="36"/>
  <c r="F356" i="36" s="1"/>
  <c r="I355" i="36"/>
  <c r="E355" i="36"/>
  <c r="F355" i="36" s="1"/>
  <c r="I354" i="36"/>
  <c r="E354" i="36"/>
  <c r="J354" i="36" s="1"/>
  <c r="K354" i="36" s="1"/>
  <c r="I353" i="36"/>
  <c r="E353" i="36"/>
  <c r="J353" i="36" s="1"/>
  <c r="D352" i="36"/>
  <c r="I352" i="36" s="1"/>
  <c r="D351" i="36"/>
  <c r="I351" i="36" s="1"/>
  <c r="E350" i="36"/>
  <c r="D350" i="36"/>
  <c r="I350" i="36" s="1"/>
  <c r="E349" i="36"/>
  <c r="D349" i="36"/>
  <c r="I349" i="36" s="1"/>
  <c r="E348" i="36"/>
  <c r="D348" i="36"/>
  <c r="I348" i="36" s="1"/>
  <c r="E347" i="36"/>
  <c r="D347" i="36"/>
  <c r="I347" i="36" s="1"/>
  <c r="L346" i="36"/>
  <c r="F346" i="36"/>
  <c r="I345" i="36"/>
  <c r="E345" i="36"/>
  <c r="J345" i="36" s="1"/>
  <c r="K345" i="36" s="1"/>
  <c r="I344" i="36"/>
  <c r="E344" i="36"/>
  <c r="F344" i="36" s="1"/>
  <c r="I343" i="36"/>
  <c r="E343" i="36"/>
  <c r="J343" i="36" s="1"/>
  <c r="K343" i="36" s="1"/>
  <c r="I342" i="36"/>
  <c r="E342" i="36"/>
  <c r="F342" i="36" s="1"/>
  <c r="I341" i="36"/>
  <c r="E341" i="36"/>
  <c r="F341" i="36" s="1"/>
  <c r="I340" i="36"/>
  <c r="E340" i="36"/>
  <c r="F340" i="36" s="1"/>
  <c r="I339" i="36"/>
  <c r="E339" i="36"/>
  <c r="F339" i="36" s="1"/>
  <c r="I338" i="36"/>
  <c r="E338" i="36"/>
  <c r="I337" i="36"/>
  <c r="E337" i="36"/>
  <c r="J337" i="36" s="1"/>
  <c r="I336" i="36"/>
  <c r="E336" i="36"/>
  <c r="F336" i="36" s="1"/>
  <c r="I335" i="36"/>
  <c r="E335" i="36"/>
  <c r="F335" i="36" s="1"/>
  <c r="I334" i="36"/>
  <c r="E334" i="36"/>
  <c r="F334" i="36" s="1"/>
  <c r="I333" i="36"/>
  <c r="E333" i="36"/>
  <c r="I332" i="36"/>
  <c r="E332" i="36"/>
  <c r="F332" i="36" s="1"/>
  <c r="I331" i="36"/>
  <c r="E331" i="36"/>
  <c r="F331" i="36" s="1"/>
  <c r="I330" i="36"/>
  <c r="E330" i="36"/>
  <c r="I329" i="36"/>
  <c r="E329" i="36"/>
  <c r="I328" i="36"/>
  <c r="E328" i="36"/>
  <c r="J328" i="36" s="1"/>
  <c r="I327" i="36"/>
  <c r="E327" i="36"/>
  <c r="F327" i="36" s="1"/>
  <c r="I326" i="36"/>
  <c r="E326" i="36"/>
  <c r="F326" i="36" s="1"/>
  <c r="I325" i="36"/>
  <c r="E325" i="36"/>
  <c r="J325" i="36" s="1"/>
  <c r="K325" i="36" s="1"/>
  <c r="I324" i="36"/>
  <c r="E324" i="36"/>
  <c r="I323" i="36"/>
  <c r="E323" i="36"/>
  <c r="F323" i="36" s="1"/>
  <c r="I322" i="36"/>
  <c r="E322" i="36"/>
  <c r="I321" i="36"/>
  <c r="E321" i="36"/>
  <c r="F321" i="36" s="1"/>
  <c r="I320" i="36"/>
  <c r="E320" i="36"/>
  <c r="J320" i="36" s="1"/>
  <c r="I319" i="36"/>
  <c r="E319" i="36"/>
  <c r="J319" i="36" s="1"/>
  <c r="I318" i="36"/>
  <c r="E318" i="36"/>
  <c r="F318" i="36" s="1"/>
  <c r="I317" i="36"/>
  <c r="E317" i="36"/>
  <c r="J317" i="36" s="1"/>
  <c r="I316" i="36"/>
  <c r="E316" i="36"/>
  <c r="J316" i="36" s="1"/>
  <c r="I315" i="36"/>
  <c r="E315" i="36"/>
  <c r="F315" i="36" s="1"/>
  <c r="I314" i="36"/>
  <c r="E314" i="36"/>
  <c r="J314" i="36" s="1"/>
  <c r="K314" i="36" s="1"/>
  <c r="I313" i="36"/>
  <c r="E313" i="36"/>
  <c r="J313" i="36" s="1"/>
  <c r="L312" i="36"/>
  <c r="E312" i="36"/>
  <c r="E311" i="36"/>
  <c r="J311" i="36" s="1"/>
  <c r="D311" i="36"/>
  <c r="I311" i="36" s="1"/>
  <c r="I310" i="36"/>
  <c r="E310" i="36"/>
  <c r="J310" i="36" s="1"/>
  <c r="I309" i="36"/>
  <c r="E309" i="36"/>
  <c r="F309" i="36" s="1"/>
  <c r="I308" i="36"/>
  <c r="E308" i="36"/>
  <c r="I307" i="36"/>
  <c r="E307" i="36"/>
  <c r="J307" i="36" s="1"/>
  <c r="I306" i="36"/>
  <c r="E306" i="36"/>
  <c r="F306" i="36" s="1"/>
  <c r="I305" i="36"/>
  <c r="E305" i="36"/>
  <c r="J305" i="36" s="1"/>
  <c r="K305" i="36" s="1"/>
  <c r="I304" i="36"/>
  <c r="E304" i="36"/>
  <c r="F304" i="36" s="1"/>
  <c r="I303" i="36"/>
  <c r="E303" i="36"/>
  <c r="J303" i="36" s="1"/>
  <c r="K303" i="36" s="1"/>
  <c r="I302" i="36"/>
  <c r="E302" i="36"/>
  <c r="J302" i="36" s="1"/>
  <c r="I301" i="36"/>
  <c r="E301" i="36"/>
  <c r="F301" i="36" s="1"/>
  <c r="I300" i="36"/>
  <c r="E300" i="36"/>
  <c r="J300" i="36" s="1"/>
  <c r="I299" i="36"/>
  <c r="E299" i="36"/>
  <c r="J299" i="36" s="1"/>
  <c r="I298" i="36"/>
  <c r="E298" i="36"/>
  <c r="F298" i="36" s="1"/>
  <c r="I297" i="36"/>
  <c r="E297" i="36"/>
  <c r="I296" i="36"/>
  <c r="E296" i="36"/>
  <c r="F296" i="36" s="1"/>
  <c r="I295" i="36"/>
  <c r="E295" i="36"/>
  <c r="F295" i="36" s="1"/>
  <c r="I294" i="36"/>
  <c r="E294" i="36"/>
  <c r="J294" i="36" s="1"/>
  <c r="K294" i="36" s="1"/>
  <c r="I293" i="36"/>
  <c r="E293" i="36"/>
  <c r="J293" i="36" s="1"/>
  <c r="I292" i="36"/>
  <c r="E292" i="36"/>
  <c r="I291" i="36"/>
  <c r="E291" i="36"/>
  <c r="I290" i="36"/>
  <c r="E290" i="36"/>
  <c r="J290" i="36" s="1"/>
  <c r="K290" i="36" s="1"/>
  <c r="I289" i="36"/>
  <c r="E289" i="36"/>
  <c r="F289" i="36" s="1"/>
  <c r="I288" i="36"/>
  <c r="E288" i="36"/>
  <c r="J288" i="36" s="1"/>
  <c r="I287" i="36"/>
  <c r="E287" i="36"/>
  <c r="J287" i="36" s="1"/>
  <c r="I286" i="36"/>
  <c r="E286" i="36"/>
  <c r="J286" i="36" s="1"/>
  <c r="K286" i="36" s="1"/>
  <c r="I285" i="36"/>
  <c r="E285" i="36"/>
  <c r="J285" i="36" s="1"/>
  <c r="K285" i="36" s="1"/>
  <c r="I284" i="36"/>
  <c r="E284" i="36"/>
  <c r="F284" i="36" s="1"/>
  <c r="I283" i="36"/>
  <c r="E283" i="36"/>
  <c r="J283" i="36" s="1"/>
  <c r="I282" i="36"/>
  <c r="E282" i="36"/>
  <c r="F282" i="36" s="1"/>
  <c r="I281" i="36"/>
  <c r="E281" i="36"/>
  <c r="J281" i="36" s="1"/>
  <c r="K281" i="36" s="1"/>
  <c r="I280" i="36"/>
  <c r="E280" i="36"/>
  <c r="J280" i="36" s="1"/>
  <c r="I279" i="36"/>
  <c r="E279" i="36"/>
  <c r="J279" i="36" s="1"/>
  <c r="K279" i="36" s="1"/>
  <c r="I278" i="36"/>
  <c r="E278" i="36"/>
  <c r="F278" i="36" s="1"/>
  <c r="I277" i="36"/>
  <c r="E277" i="36"/>
  <c r="F277" i="36" s="1"/>
  <c r="I276" i="36"/>
  <c r="E276" i="36"/>
  <c r="I275" i="36"/>
  <c r="E275" i="36"/>
  <c r="F275" i="36" s="1"/>
  <c r="I274" i="36"/>
  <c r="E274" i="36"/>
  <c r="F274" i="36" s="1"/>
  <c r="I273" i="36"/>
  <c r="E273" i="36"/>
  <c r="I272" i="36"/>
  <c r="E272" i="36"/>
  <c r="F272" i="36" s="1"/>
  <c r="I271" i="36"/>
  <c r="E271" i="36"/>
  <c r="I270" i="36"/>
  <c r="E270" i="36"/>
  <c r="J270" i="36" s="1"/>
  <c r="I269" i="36"/>
  <c r="E269" i="36"/>
  <c r="F269" i="36" s="1"/>
  <c r="I268" i="36"/>
  <c r="E268" i="36"/>
  <c r="F268" i="36" s="1"/>
  <c r="I267" i="36"/>
  <c r="E267" i="36"/>
  <c r="I266" i="36"/>
  <c r="E266" i="36"/>
  <c r="J266" i="36" s="1"/>
  <c r="I265" i="36"/>
  <c r="E265" i="36"/>
  <c r="J265" i="36" s="1"/>
  <c r="I264" i="36"/>
  <c r="E264" i="36"/>
  <c r="F264" i="36" s="1"/>
  <c r="I263" i="36"/>
  <c r="E263" i="36"/>
  <c r="J263" i="36" s="1"/>
  <c r="I262" i="36"/>
  <c r="E262" i="36"/>
  <c r="J262" i="36" s="1"/>
  <c r="K262" i="36" s="1"/>
  <c r="I261" i="36"/>
  <c r="E261" i="36"/>
  <c r="F261" i="36" s="1"/>
  <c r="I260" i="36"/>
  <c r="E260" i="36"/>
  <c r="I259" i="36"/>
  <c r="E259" i="36"/>
  <c r="F259" i="36" s="1"/>
  <c r="I258" i="36"/>
  <c r="E258" i="36"/>
  <c r="J258" i="36" s="1"/>
  <c r="I257" i="36"/>
  <c r="E257" i="36"/>
  <c r="J257" i="36" s="1"/>
  <c r="K257" i="36" s="1"/>
  <c r="I256" i="36"/>
  <c r="E256" i="36"/>
  <c r="F256" i="36" s="1"/>
  <c r="I255" i="36"/>
  <c r="E255" i="36"/>
  <c r="J255" i="36" s="1"/>
  <c r="I254" i="36"/>
  <c r="E254" i="36"/>
  <c r="J254" i="36" s="1"/>
  <c r="I253" i="36"/>
  <c r="E253" i="36"/>
  <c r="F253" i="36" s="1"/>
  <c r="I252" i="36"/>
  <c r="E252" i="36"/>
  <c r="J252" i="36" s="1"/>
  <c r="J251" i="36"/>
  <c r="I251" i="36"/>
  <c r="E251" i="36"/>
  <c r="F251" i="36" s="1"/>
  <c r="I250" i="36"/>
  <c r="I249" i="36"/>
  <c r="I248" i="36"/>
  <c r="E248" i="36"/>
  <c r="F248" i="36" s="1"/>
  <c r="I247" i="36"/>
  <c r="I246" i="36"/>
  <c r="I245" i="36"/>
  <c r="I244" i="36"/>
  <c r="I243" i="36"/>
  <c r="I242" i="36"/>
  <c r="I241" i="36"/>
  <c r="I240" i="36"/>
  <c r="I239" i="36"/>
  <c r="E239" i="36"/>
  <c r="J239" i="36" s="1"/>
  <c r="K239" i="36" s="1"/>
  <c r="I238" i="36"/>
  <c r="I237" i="36"/>
  <c r="E237" i="36"/>
  <c r="J237" i="36" s="1"/>
  <c r="K237" i="36" s="1"/>
  <c r="I236" i="36"/>
  <c r="I235" i="36"/>
  <c r="E235" i="36"/>
  <c r="J235" i="36" s="1"/>
  <c r="S234" i="36"/>
  <c r="R234" i="36"/>
  <c r="L234" i="36"/>
  <c r="F234" i="36"/>
  <c r="I233" i="36"/>
  <c r="E233" i="36"/>
  <c r="F233" i="36" s="1"/>
  <c r="I232" i="36"/>
  <c r="E232" i="36"/>
  <c r="J232" i="36" s="1"/>
  <c r="K232" i="36" s="1"/>
  <c r="I231" i="36"/>
  <c r="E231" i="36"/>
  <c r="J231" i="36" s="1"/>
  <c r="K231" i="36" s="1"/>
  <c r="I230" i="36"/>
  <c r="E230" i="36"/>
  <c r="I229" i="36"/>
  <c r="E229" i="36"/>
  <c r="I228" i="36"/>
  <c r="I227" i="36"/>
  <c r="E227" i="36"/>
  <c r="I226" i="36"/>
  <c r="I225" i="36"/>
  <c r="I224" i="36"/>
  <c r="I223" i="36"/>
  <c r="E223" i="36"/>
  <c r="F223" i="36" s="1"/>
  <c r="I222" i="36"/>
  <c r="E222" i="36"/>
  <c r="F222" i="36" s="1"/>
  <c r="I221" i="36"/>
  <c r="E221" i="36"/>
  <c r="F221" i="36" s="1"/>
  <c r="I220" i="36"/>
  <c r="I219" i="36"/>
  <c r="E219" i="36"/>
  <c r="J219" i="36" s="1"/>
  <c r="I218" i="36"/>
  <c r="E218" i="36"/>
  <c r="F218" i="36" s="1"/>
  <c r="L217" i="36"/>
  <c r="I216" i="36"/>
  <c r="E216" i="36"/>
  <c r="I215" i="36"/>
  <c r="E215" i="36"/>
  <c r="F215" i="36" s="1"/>
  <c r="I214" i="36"/>
  <c r="E214" i="36"/>
  <c r="I213" i="36"/>
  <c r="I212" i="36"/>
  <c r="I211" i="36"/>
  <c r="E211" i="36"/>
  <c r="J211" i="36" s="1"/>
  <c r="K211" i="36" s="1"/>
  <c r="I210" i="36"/>
  <c r="E210" i="36"/>
  <c r="F210" i="36" s="1"/>
  <c r="I209" i="36"/>
  <c r="E209" i="36"/>
  <c r="I208" i="36"/>
  <c r="E208" i="36"/>
  <c r="J208" i="36" s="1"/>
  <c r="I207" i="36"/>
  <c r="I206" i="36"/>
  <c r="I205" i="36"/>
  <c r="I204" i="36"/>
  <c r="I203" i="36"/>
  <c r="I202" i="36"/>
  <c r="I201" i="36"/>
  <c r="I200" i="36"/>
  <c r="I199" i="36"/>
  <c r="I198" i="36"/>
  <c r="E197" i="36"/>
  <c r="F197" i="36" s="1"/>
  <c r="I196" i="36"/>
  <c r="I195" i="36"/>
  <c r="S194" i="36"/>
  <c r="I194" i="36"/>
  <c r="D193" i="36"/>
  <c r="I193" i="36" s="1"/>
  <c r="D192" i="36"/>
  <c r="I192" i="36" s="1"/>
  <c r="I191" i="36"/>
  <c r="I190" i="36"/>
  <c r="E190" i="36"/>
  <c r="F190" i="36" s="1"/>
  <c r="I189" i="36"/>
  <c r="E189" i="36"/>
  <c r="J189" i="36" s="1"/>
  <c r="K189" i="36" s="1"/>
  <c r="I188" i="36"/>
  <c r="E188" i="36"/>
  <c r="I187" i="36"/>
  <c r="E187" i="36"/>
  <c r="F187" i="36" s="1"/>
  <c r="I186" i="36"/>
  <c r="E186" i="36"/>
  <c r="J186" i="36" s="1"/>
  <c r="I185" i="36"/>
  <c r="I184" i="36"/>
  <c r="I183" i="36"/>
  <c r="I182" i="36"/>
  <c r="I181" i="36"/>
  <c r="E181" i="36"/>
  <c r="J181" i="36" s="1"/>
  <c r="I180" i="36"/>
  <c r="I179" i="36"/>
  <c r="I178" i="36"/>
  <c r="I177" i="36"/>
  <c r="E177" i="36"/>
  <c r="J177" i="36" s="1"/>
  <c r="K177" i="36" s="1"/>
  <c r="I176" i="36"/>
  <c r="I175" i="36"/>
  <c r="I172" i="36"/>
  <c r="I171" i="36"/>
  <c r="I170" i="36"/>
  <c r="E170" i="36"/>
  <c r="F170" i="36" s="1"/>
  <c r="I169" i="36"/>
  <c r="I168" i="36"/>
  <c r="E167" i="36"/>
  <c r="F167" i="36" s="1"/>
  <c r="I166" i="36"/>
  <c r="E166" i="36"/>
  <c r="F166" i="36" s="1"/>
  <c r="I165" i="36"/>
  <c r="I164" i="36"/>
  <c r="E164" i="36"/>
  <c r="J164" i="36" s="1"/>
  <c r="I163" i="36"/>
  <c r="E163" i="36"/>
  <c r="I162" i="36"/>
  <c r="E162" i="36"/>
  <c r="J162" i="36" s="1"/>
  <c r="I161" i="36"/>
  <c r="E161" i="36"/>
  <c r="F161" i="36" s="1"/>
  <c r="I160" i="36"/>
  <c r="E160" i="36"/>
  <c r="J160" i="36" s="1"/>
  <c r="K160" i="36" s="1"/>
  <c r="I159" i="36"/>
  <c r="E159" i="36"/>
  <c r="J159" i="36" s="1"/>
  <c r="I158" i="36"/>
  <c r="E158" i="36"/>
  <c r="F158" i="36" s="1"/>
  <c r="I157" i="36"/>
  <c r="E157" i="36"/>
  <c r="J157" i="36" s="1"/>
  <c r="K157" i="36" s="1"/>
  <c r="I156" i="36"/>
  <c r="E156" i="36"/>
  <c r="F156" i="36" s="1"/>
  <c r="I155" i="36"/>
  <c r="E155" i="36"/>
  <c r="F155" i="36" s="1"/>
  <c r="I154" i="36"/>
  <c r="E154" i="36"/>
  <c r="I153" i="36"/>
  <c r="E153" i="36"/>
  <c r="F153" i="36" s="1"/>
  <c r="I152" i="36"/>
  <c r="E152" i="36"/>
  <c r="I151" i="36"/>
  <c r="E151" i="36"/>
  <c r="J151" i="36" s="1"/>
  <c r="I150" i="36"/>
  <c r="E150" i="36"/>
  <c r="J150" i="36" s="1"/>
  <c r="K150" i="36" s="1"/>
  <c r="I149" i="36"/>
  <c r="E149" i="36"/>
  <c r="J149" i="36" s="1"/>
  <c r="K149" i="36" s="1"/>
  <c r="I148" i="36"/>
  <c r="E148" i="36"/>
  <c r="I147" i="36"/>
  <c r="E147" i="36"/>
  <c r="J147" i="36" s="1"/>
  <c r="K147" i="36" s="1"/>
  <c r="I146" i="36"/>
  <c r="E146" i="36"/>
  <c r="J146" i="36" s="1"/>
  <c r="K146" i="36" s="1"/>
  <c r="I145" i="36"/>
  <c r="E145" i="36"/>
  <c r="F145" i="36" s="1"/>
  <c r="I144" i="36"/>
  <c r="E144" i="36"/>
  <c r="F144" i="36" s="1"/>
  <c r="I143" i="36"/>
  <c r="I142" i="36"/>
  <c r="I141" i="36"/>
  <c r="E141" i="36"/>
  <c r="J141" i="36" s="1"/>
  <c r="I140" i="36"/>
  <c r="E140" i="36"/>
  <c r="F140" i="36" s="1"/>
  <c r="I139" i="36"/>
  <c r="E139" i="36"/>
  <c r="F139" i="36" s="1"/>
  <c r="I138" i="36"/>
  <c r="E138" i="36"/>
  <c r="J138" i="36" s="1"/>
  <c r="K138" i="36" s="1"/>
  <c r="I137" i="36"/>
  <c r="E137" i="36"/>
  <c r="J137" i="36" s="1"/>
  <c r="I136" i="36"/>
  <c r="I135" i="36"/>
  <c r="I134" i="36"/>
  <c r="E134" i="36"/>
  <c r="J134" i="36" s="1"/>
  <c r="I133" i="36"/>
  <c r="E133" i="36"/>
  <c r="J133" i="36" s="1"/>
  <c r="K133" i="36" s="1"/>
  <c r="I132" i="36"/>
  <c r="E132" i="36"/>
  <c r="F132" i="36" s="1"/>
  <c r="I131" i="36"/>
  <c r="E131" i="36"/>
  <c r="I130" i="36"/>
  <c r="E130" i="36"/>
  <c r="I129" i="36"/>
  <c r="E129" i="36"/>
  <c r="I128" i="36"/>
  <c r="E128" i="36"/>
  <c r="J128" i="36" s="1"/>
  <c r="L127" i="36"/>
  <c r="E127" i="36"/>
  <c r="F127" i="36" s="1"/>
  <c r="J126" i="36"/>
  <c r="I126" i="36"/>
  <c r="F126" i="36"/>
  <c r="J125" i="36"/>
  <c r="I125" i="36"/>
  <c r="F125" i="36"/>
  <c r="J124" i="36"/>
  <c r="I124" i="36"/>
  <c r="F124" i="36"/>
  <c r="J123" i="36"/>
  <c r="I123" i="36"/>
  <c r="F123" i="36"/>
  <c r="I122" i="36"/>
  <c r="E122" i="36"/>
  <c r="F122" i="36" s="1"/>
  <c r="I121" i="36"/>
  <c r="E121" i="36"/>
  <c r="I120" i="36"/>
  <c r="E120" i="36"/>
  <c r="F120" i="36" s="1"/>
  <c r="I119" i="36"/>
  <c r="E119" i="36"/>
  <c r="F119" i="36" s="1"/>
  <c r="I118" i="36"/>
  <c r="E118" i="36"/>
  <c r="J118" i="36" s="1"/>
  <c r="I117" i="36"/>
  <c r="E117" i="36"/>
  <c r="F117" i="36" s="1"/>
  <c r="I116" i="36"/>
  <c r="E116" i="36"/>
  <c r="J116" i="36" s="1"/>
  <c r="I115" i="36"/>
  <c r="E115" i="36"/>
  <c r="J115" i="36" s="1"/>
  <c r="I114" i="36"/>
  <c r="E114" i="36"/>
  <c r="F114" i="36" s="1"/>
  <c r="I113" i="36"/>
  <c r="E113" i="36"/>
  <c r="F113" i="36" s="1"/>
  <c r="I112" i="36"/>
  <c r="E112" i="36"/>
  <c r="I111" i="36"/>
  <c r="E111" i="36"/>
  <c r="J111" i="36" s="1"/>
  <c r="K111" i="36" s="1"/>
  <c r="I110" i="36"/>
  <c r="E110" i="36"/>
  <c r="J110" i="36" s="1"/>
  <c r="I109" i="36"/>
  <c r="I108" i="36"/>
  <c r="E108" i="36"/>
  <c r="J108" i="36" s="1"/>
  <c r="I107" i="36"/>
  <c r="E107" i="36"/>
  <c r="J107" i="36" s="1"/>
  <c r="K107" i="36" s="1"/>
  <c r="I106" i="36"/>
  <c r="E106" i="36"/>
  <c r="F106" i="36" s="1"/>
  <c r="I105" i="36"/>
  <c r="E105" i="36"/>
  <c r="J105" i="36" s="1"/>
  <c r="K105" i="36" s="1"/>
  <c r="I104" i="36"/>
  <c r="E104" i="36"/>
  <c r="J104" i="36" s="1"/>
  <c r="I103" i="36"/>
  <c r="E103" i="36"/>
  <c r="J103" i="36" s="1"/>
  <c r="K103" i="36" s="1"/>
  <c r="I102" i="36"/>
  <c r="E102" i="36"/>
  <c r="J102" i="36" s="1"/>
  <c r="I101" i="36"/>
  <c r="E101" i="36"/>
  <c r="I100" i="36"/>
  <c r="E100" i="36"/>
  <c r="F100" i="36" s="1"/>
  <c r="I99" i="36"/>
  <c r="E99" i="36"/>
  <c r="J99" i="36" s="1"/>
  <c r="I98" i="36"/>
  <c r="E98" i="36"/>
  <c r="F98" i="36" s="1"/>
  <c r="I97" i="36"/>
  <c r="E97" i="36"/>
  <c r="J97" i="36" s="1"/>
  <c r="K97" i="36" s="1"/>
  <c r="I96" i="36"/>
  <c r="E96" i="36"/>
  <c r="F96" i="36" s="1"/>
  <c r="I95" i="36"/>
  <c r="E95" i="36"/>
  <c r="F95" i="36" s="1"/>
  <c r="I94" i="36"/>
  <c r="E94" i="36"/>
  <c r="J94" i="36" s="1"/>
  <c r="K94" i="36" s="1"/>
  <c r="I93" i="36"/>
  <c r="E93" i="36"/>
  <c r="F93" i="36" s="1"/>
  <c r="I92" i="36"/>
  <c r="E92" i="36"/>
  <c r="F92" i="36" s="1"/>
  <c r="I91" i="36"/>
  <c r="E91" i="36"/>
  <c r="F91" i="36" s="1"/>
  <c r="I90" i="36"/>
  <c r="E90" i="36"/>
  <c r="I89" i="36"/>
  <c r="E89" i="36"/>
  <c r="J89" i="36" s="1"/>
  <c r="I88" i="36"/>
  <c r="E88" i="36"/>
  <c r="F88" i="36" s="1"/>
  <c r="I87" i="36"/>
  <c r="E87" i="36"/>
  <c r="F87" i="36" s="1"/>
  <c r="I86" i="36"/>
  <c r="E86" i="36"/>
  <c r="F86" i="36" s="1"/>
  <c r="I85" i="36"/>
  <c r="E85" i="36"/>
  <c r="J85" i="36" s="1"/>
  <c r="K85" i="36" s="1"/>
  <c r="I84" i="36"/>
  <c r="E84" i="36"/>
  <c r="J84" i="36" s="1"/>
  <c r="K84" i="36" s="1"/>
  <c r="I83" i="36"/>
  <c r="E83" i="36"/>
  <c r="J83" i="36" s="1"/>
  <c r="I82" i="36"/>
  <c r="E82" i="36"/>
  <c r="F82" i="36" s="1"/>
  <c r="I81" i="36"/>
  <c r="E81" i="36"/>
  <c r="F81" i="36" s="1"/>
  <c r="I80" i="36"/>
  <c r="E80" i="36"/>
  <c r="I79" i="36"/>
  <c r="E79" i="36"/>
  <c r="I78" i="36"/>
  <c r="E78" i="36"/>
  <c r="F78" i="36" s="1"/>
  <c r="I77" i="36"/>
  <c r="E77" i="36"/>
  <c r="J77" i="36" s="1"/>
  <c r="K77" i="36" s="1"/>
  <c r="I76" i="36"/>
  <c r="I75" i="36"/>
  <c r="I74" i="36"/>
  <c r="E74" i="36"/>
  <c r="F74" i="36" s="1"/>
  <c r="I73" i="36"/>
  <c r="E73" i="36"/>
  <c r="I72" i="36"/>
  <c r="E72" i="36"/>
  <c r="J72" i="36" s="1"/>
  <c r="K72" i="36" s="1"/>
  <c r="I71" i="36"/>
  <c r="E71" i="36"/>
  <c r="F71" i="36" s="1"/>
  <c r="I70" i="36"/>
  <c r="E70" i="36"/>
  <c r="I69" i="36"/>
  <c r="E69" i="36"/>
  <c r="J69" i="36" s="1"/>
  <c r="I68" i="36"/>
  <c r="E68" i="36"/>
  <c r="F68" i="36" s="1"/>
  <c r="I67" i="36"/>
  <c r="E67" i="36"/>
  <c r="J67" i="36" s="1"/>
  <c r="I66" i="36"/>
  <c r="E66" i="36"/>
  <c r="I65" i="36"/>
  <c r="E65" i="36"/>
  <c r="I64" i="36"/>
  <c r="E64" i="36"/>
  <c r="J64" i="36" s="1"/>
  <c r="I63" i="36"/>
  <c r="E63" i="36"/>
  <c r="I62" i="36"/>
  <c r="E62" i="36"/>
  <c r="J62" i="36" s="1"/>
  <c r="I61" i="36"/>
  <c r="E61" i="36"/>
  <c r="J61" i="36" s="1"/>
  <c r="I60" i="36"/>
  <c r="E60" i="36"/>
  <c r="I59" i="36"/>
  <c r="E59" i="36"/>
  <c r="F59" i="36" s="1"/>
  <c r="I58" i="36"/>
  <c r="E58" i="36"/>
  <c r="J58" i="36" s="1"/>
  <c r="K58" i="36" s="1"/>
  <c r="I57" i="36"/>
  <c r="E57" i="36"/>
  <c r="F57" i="36" s="1"/>
  <c r="I56" i="36"/>
  <c r="E56" i="36"/>
  <c r="J56" i="36" s="1"/>
  <c r="I55" i="36"/>
  <c r="E55" i="36"/>
  <c r="J55" i="36" s="1"/>
  <c r="K55" i="36" s="1"/>
  <c r="I54" i="36"/>
  <c r="E54" i="36"/>
  <c r="J54" i="36" s="1"/>
  <c r="K54" i="36" s="1"/>
  <c r="I53" i="36"/>
  <c r="E53" i="36"/>
  <c r="F53" i="36" s="1"/>
  <c r="I52" i="36"/>
  <c r="E52" i="36"/>
  <c r="J52" i="36" s="1"/>
  <c r="I51" i="36"/>
  <c r="I50" i="36"/>
  <c r="E50" i="36"/>
  <c r="J50" i="36" s="1"/>
  <c r="K50" i="36" s="1"/>
  <c r="I49" i="36"/>
  <c r="E49" i="36"/>
  <c r="F49" i="36" s="1"/>
  <c r="I48" i="36"/>
  <c r="E48" i="36"/>
  <c r="F48" i="36" s="1"/>
  <c r="I47" i="36"/>
  <c r="I46" i="36"/>
  <c r="I45" i="36"/>
  <c r="E45" i="36"/>
  <c r="J45" i="36" s="1"/>
  <c r="I42" i="36"/>
  <c r="E42" i="36"/>
  <c r="F42" i="36" s="1"/>
  <c r="I41" i="36"/>
  <c r="E41" i="36"/>
  <c r="F41" i="36" s="1"/>
  <c r="I40" i="36"/>
  <c r="E40" i="36"/>
  <c r="J40" i="36" s="1"/>
  <c r="K40" i="36" s="1"/>
  <c r="I39" i="36"/>
  <c r="E39" i="36"/>
  <c r="J39" i="36" s="1"/>
  <c r="K39" i="36" s="1"/>
  <c r="I38" i="36"/>
  <c r="E38" i="36"/>
  <c r="F38" i="36" s="1"/>
  <c r="E37" i="36"/>
  <c r="F37" i="36" s="1"/>
  <c r="I36" i="36"/>
  <c r="E36" i="36"/>
  <c r="J36" i="36" s="1"/>
  <c r="K36" i="36" s="1"/>
  <c r="I35" i="36"/>
  <c r="E35" i="36"/>
  <c r="J35" i="36" s="1"/>
  <c r="I34" i="36"/>
  <c r="E34" i="36"/>
  <c r="J34" i="36" s="1"/>
  <c r="I33" i="36"/>
  <c r="E33" i="36"/>
  <c r="J33" i="36" s="1"/>
  <c r="I32" i="36"/>
  <c r="E32" i="36"/>
  <c r="J32" i="36" s="1"/>
  <c r="I31" i="36"/>
  <c r="E31" i="36"/>
  <c r="J31" i="36" s="1"/>
  <c r="K31" i="36" s="1"/>
  <c r="I30" i="36"/>
  <c r="E30" i="36"/>
  <c r="J30" i="36" s="1"/>
  <c r="I29" i="36"/>
  <c r="E29" i="36"/>
  <c r="J29" i="36" s="1"/>
  <c r="I28" i="36"/>
  <c r="E28" i="36"/>
  <c r="J28" i="36" s="1"/>
  <c r="L28" i="36" s="1"/>
  <c r="I27" i="36"/>
  <c r="E27" i="36"/>
  <c r="J27" i="36" s="1"/>
  <c r="I26" i="36"/>
  <c r="I25" i="36"/>
  <c r="E25" i="36"/>
  <c r="J25" i="36" s="1"/>
  <c r="I24" i="36"/>
  <c r="E24" i="36"/>
  <c r="J24" i="36" s="1"/>
  <c r="I23" i="36"/>
  <c r="E23" i="36"/>
  <c r="J23" i="36" s="1"/>
  <c r="K23" i="36" s="1"/>
  <c r="I22" i="36"/>
  <c r="E22" i="36"/>
  <c r="J22" i="36" s="1"/>
  <c r="I21" i="36"/>
  <c r="E21" i="36"/>
  <c r="J21" i="36" s="1"/>
  <c r="I20" i="36"/>
  <c r="E20" i="36"/>
  <c r="J20" i="36" s="1"/>
  <c r="K20" i="36" s="1"/>
  <c r="I19" i="36"/>
  <c r="E19" i="36"/>
  <c r="J19" i="36" s="1"/>
  <c r="I18" i="36"/>
  <c r="E18" i="36"/>
  <c r="J18" i="36" s="1"/>
  <c r="I17" i="36"/>
  <c r="E17" i="36"/>
  <c r="J17" i="36" s="1"/>
  <c r="I16" i="36"/>
  <c r="E16" i="36"/>
  <c r="J16" i="36" s="1"/>
  <c r="I15" i="36"/>
  <c r="I14" i="36"/>
  <c r="E14" i="36"/>
  <c r="J14" i="36" s="1"/>
  <c r="K14" i="36" s="1"/>
  <c r="I13" i="36"/>
  <c r="E13" i="36"/>
  <c r="J13" i="36" s="1"/>
  <c r="L13" i="36" s="1"/>
  <c r="I12" i="36"/>
  <c r="E12" i="36"/>
  <c r="J12" i="36" s="1"/>
  <c r="P1" i="36"/>
  <c r="O1" i="36"/>
  <c r="E474" i="34"/>
  <c r="J473" i="34"/>
  <c r="F473" i="34"/>
  <c r="I471" i="34"/>
  <c r="E471" i="34"/>
  <c r="G470" i="34"/>
  <c r="E470" i="34"/>
  <c r="F470" i="34" s="1"/>
  <c r="I469" i="34"/>
  <c r="E469" i="34"/>
  <c r="J469" i="34" s="1"/>
  <c r="I468" i="34"/>
  <c r="E468" i="34"/>
  <c r="J468" i="34" s="1"/>
  <c r="K468" i="34" s="1"/>
  <c r="L467" i="34"/>
  <c r="F467" i="34"/>
  <c r="I466" i="34"/>
  <c r="E466" i="34"/>
  <c r="J466" i="34" s="1"/>
  <c r="K466" i="34" s="1"/>
  <c r="I465" i="34"/>
  <c r="E465" i="34"/>
  <c r="F465" i="34" s="1"/>
  <c r="I464" i="34"/>
  <c r="E464" i="34"/>
  <c r="J464" i="34" s="1"/>
  <c r="K464" i="34" s="1"/>
  <c r="I463" i="34"/>
  <c r="E463" i="34"/>
  <c r="I462" i="34"/>
  <c r="E462" i="34"/>
  <c r="I461" i="34"/>
  <c r="E461" i="34"/>
  <c r="I460" i="34"/>
  <c r="E460" i="34"/>
  <c r="J460" i="34" s="1"/>
  <c r="I459" i="34"/>
  <c r="E459" i="34"/>
  <c r="J459" i="34" s="1"/>
  <c r="K459" i="34" s="1"/>
  <c r="I458" i="34"/>
  <c r="E458" i="34"/>
  <c r="J458" i="34" s="1"/>
  <c r="I457" i="34"/>
  <c r="E457" i="34"/>
  <c r="J457" i="34" s="1"/>
  <c r="K457" i="34" s="1"/>
  <c r="I456" i="34"/>
  <c r="E456" i="34"/>
  <c r="J456" i="34" s="1"/>
  <c r="I455" i="34"/>
  <c r="E455" i="34"/>
  <c r="I454" i="34"/>
  <c r="E454" i="34"/>
  <c r="F454" i="34" s="1"/>
  <c r="I453" i="34"/>
  <c r="E453" i="34"/>
  <c r="J453" i="34" s="1"/>
  <c r="I452" i="34"/>
  <c r="E452" i="34"/>
  <c r="J452" i="34" s="1"/>
  <c r="I451" i="34"/>
  <c r="E451" i="34"/>
  <c r="F451" i="34" s="1"/>
  <c r="I450" i="34"/>
  <c r="E450" i="34"/>
  <c r="J450" i="34" s="1"/>
  <c r="I449" i="34"/>
  <c r="E449" i="34"/>
  <c r="F449" i="34" s="1"/>
  <c r="I448" i="34"/>
  <c r="E448" i="34"/>
  <c r="F448" i="34" s="1"/>
  <c r="L447" i="34"/>
  <c r="F447" i="34"/>
  <c r="J446" i="34"/>
  <c r="I446" i="34"/>
  <c r="I445" i="34"/>
  <c r="I444" i="34"/>
  <c r="E444" i="34"/>
  <c r="J444" i="34" s="1"/>
  <c r="I443" i="34"/>
  <c r="E443" i="34"/>
  <c r="J443" i="34" s="1"/>
  <c r="I442" i="34"/>
  <c r="E442" i="34"/>
  <c r="J442" i="34" s="1"/>
  <c r="I441" i="34"/>
  <c r="E441" i="34"/>
  <c r="F441" i="34" s="1"/>
  <c r="I440" i="34"/>
  <c r="E440" i="34"/>
  <c r="J440" i="34" s="1"/>
  <c r="I439" i="34"/>
  <c r="E439" i="34"/>
  <c r="F439" i="34" s="1"/>
  <c r="I438" i="34"/>
  <c r="E438" i="34"/>
  <c r="J438" i="34" s="1"/>
  <c r="I437" i="34"/>
  <c r="E437" i="34"/>
  <c r="J437" i="34" s="1"/>
  <c r="K437" i="34" s="1"/>
  <c r="I436" i="34"/>
  <c r="E436" i="34"/>
  <c r="F436" i="34" s="1"/>
  <c r="I435" i="34"/>
  <c r="E435" i="34"/>
  <c r="J435" i="34" s="1"/>
  <c r="K435" i="34" s="1"/>
  <c r="I434" i="34"/>
  <c r="E434" i="34"/>
  <c r="F434" i="34" s="1"/>
  <c r="I433" i="34"/>
  <c r="E433" i="34"/>
  <c r="J433" i="34" s="1"/>
  <c r="I432" i="34"/>
  <c r="E432" i="34"/>
  <c r="J432" i="34" s="1"/>
  <c r="I431" i="34"/>
  <c r="E431" i="34"/>
  <c r="F431" i="34" s="1"/>
  <c r="I430" i="34"/>
  <c r="E430" i="34"/>
  <c r="J430" i="34" s="1"/>
  <c r="I429" i="34"/>
  <c r="E429" i="34"/>
  <c r="I428" i="34"/>
  <c r="E428" i="34"/>
  <c r="J428" i="34" s="1"/>
  <c r="L427" i="34"/>
  <c r="F427" i="34"/>
  <c r="I426" i="34"/>
  <c r="E426" i="34"/>
  <c r="J426" i="34" s="1"/>
  <c r="K426" i="34" s="1"/>
  <c r="I425" i="34"/>
  <c r="E425" i="34"/>
  <c r="J425" i="34" s="1"/>
  <c r="I424" i="34"/>
  <c r="E424" i="34"/>
  <c r="J424" i="34" s="1"/>
  <c r="F423" i="34"/>
  <c r="I422" i="34"/>
  <c r="E422" i="34"/>
  <c r="J422" i="34" s="1"/>
  <c r="I421" i="34"/>
  <c r="E421" i="34"/>
  <c r="I420" i="34"/>
  <c r="E420" i="34"/>
  <c r="I419" i="34"/>
  <c r="E419" i="34"/>
  <c r="J419" i="34" s="1"/>
  <c r="K419" i="34" s="1"/>
  <c r="I418" i="34"/>
  <c r="E418" i="34"/>
  <c r="F418" i="34" s="1"/>
  <c r="I417" i="34"/>
  <c r="E417" i="34"/>
  <c r="J417" i="34" s="1"/>
  <c r="K417" i="34" s="1"/>
  <c r="I416" i="34"/>
  <c r="E416" i="34"/>
  <c r="F416" i="34" s="1"/>
  <c r="I415" i="34"/>
  <c r="E415" i="34"/>
  <c r="I414" i="34"/>
  <c r="E414" i="34"/>
  <c r="J414" i="34" s="1"/>
  <c r="K414" i="34" s="1"/>
  <c r="I413" i="34"/>
  <c r="E413" i="34"/>
  <c r="J413" i="34" s="1"/>
  <c r="K413" i="34" s="1"/>
  <c r="I412" i="34"/>
  <c r="E412" i="34"/>
  <c r="J412" i="34" s="1"/>
  <c r="I411" i="34"/>
  <c r="E411" i="34"/>
  <c r="F411" i="34" s="1"/>
  <c r="I410" i="34"/>
  <c r="E410" i="34"/>
  <c r="I409" i="34"/>
  <c r="E409" i="34"/>
  <c r="J409" i="34" s="1"/>
  <c r="I408" i="34"/>
  <c r="E408" i="34"/>
  <c r="F408" i="34" s="1"/>
  <c r="I407" i="34"/>
  <c r="E407" i="34"/>
  <c r="F407" i="34" s="1"/>
  <c r="I406" i="34"/>
  <c r="E406" i="34"/>
  <c r="F406" i="34" s="1"/>
  <c r="I405" i="34"/>
  <c r="E405" i="34"/>
  <c r="J405" i="34" s="1"/>
  <c r="I404" i="34"/>
  <c r="E404" i="34"/>
  <c r="J404" i="34" s="1"/>
  <c r="K404" i="34" s="1"/>
  <c r="I403" i="34"/>
  <c r="E403" i="34"/>
  <c r="J403" i="34" s="1"/>
  <c r="K403" i="34" s="1"/>
  <c r="I402" i="34"/>
  <c r="E402" i="34"/>
  <c r="I401" i="34"/>
  <c r="E401" i="34"/>
  <c r="J401" i="34" s="1"/>
  <c r="I400" i="34"/>
  <c r="E400" i="34"/>
  <c r="J400" i="34" s="1"/>
  <c r="I399" i="34"/>
  <c r="E399" i="34"/>
  <c r="F399" i="34" s="1"/>
  <c r="I398" i="34"/>
  <c r="E398" i="34"/>
  <c r="F398" i="34" s="1"/>
  <c r="I397" i="34"/>
  <c r="E397" i="34"/>
  <c r="J397" i="34" s="1"/>
  <c r="I396" i="34"/>
  <c r="E396" i="34"/>
  <c r="F396" i="34" s="1"/>
  <c r="I395" i="34"/>
  <c r="E395" i="34"/>
  <c r="I394" i="34"/>
  <c r="E394" i="34"/>
  <c r="I393" i="34"/>
  <c r="E393" i="34"/>
  <c r="I392" i="34"/>
  <c r="E392" i="34"/>
  <c r="J392" i="34" s="1"/>
  <c r="I391" i="34"/>
  <c r="E391" i="34"/>
  <c r="I390" i="34"/>
  <c r="E390" i="34"/>
  <c r="J390" i="34" s="1"/>
  <c r="K390" i="34" s="1"/>
  <c r="I389" i="34"/>
  <c r="E389" i="34"/>
  <c r="J389" i="34" s="1"/>
  <c r="I388" i="34"/>
  <c r="E388" i="34"/>
  <c r="J388" i="34" s="1"/>
  <c r="K388" i="34" s="1"/>
  <c r="I387" i="34"/>
  <c r="E387" i="34"/>
  <c r="I386" i="34"/>
  <c r="E386" i="34"/>
  <c r="I385" i="34"/>
  <c r="E385" i="34"/>
  <c r="I384" i="34"/>
  <c r="E384" i="34"/>
  <c r="J384" i="34" s="1"/>
  <c r="L383" i="34"/>
  <c r="E383" i="34"/>
  <c r="F383" i="34" s="1"/>
  <c r="J382" i="34"/>
  <c r="I382" i="34"/>
  <c r="J381" i="34"/>
  <c r="I381" i="34"/>
  <c r="J380" i="34"/>
  <c r="I380" i="34"/>
  <c r="J379" i="34"/>
  <c r="I379" i="34"/>
  <c r="J378" i="34"/>
  <c r="I378" i="34"/>
  <c r="J377" i="34"/>
  <c r="I377" i="34"/>
  <c r="J376" i="34"/>
  <c r="I376" i="34"/>
  <c r="J375" i="34"/>
  <c r="I375" i="34"/>
  <c r="J374" i="34"/>
  <c r="I374" i="34"/>
  <c r="J373" i="34"/>
  <c r="I373" i="34"/>
  <c r="J372" i="34"/>
  <c r="I372" i="34"/>
  <c r="J371" i="34"/>
  <c r="I371" i="34"/>
  <c r="J370" i="34"/>
  <c r="I370" i="34"/>
  <c r="J369" i="34"/>
  <c r="I369" i="34"/>
  <c r="J368" i="34"/>
  <c r="I368" i="34"/>
  <c r="I367" i="34"/>
  <c r="E367" i="34"/>
  <c r="J367" i="34" s="1"/>
  <c r="I366" i="34"/>
  <c r="E366" i="34"/>
  <c r="J366" i="34" s="1"/>
  <c r="K366" i="34" s="1"/>
  <c r="I365" i="34"/>
  <c r="E365" i="34"/>
  <c r="I364" i="34"/>
  <c r="E364" i="34"/>
  <c r="J364" i="34" s="1"/>
  <c r="K364" i="34" s="1"/>
  <c r="I363" i="34"/>
  <c r="E363" i="34"/>
  <c r="I362" i="34"/>
  <c r="E362" i="34"/>
  <c r="F362" i="34" s="1"/>
  <c r="I361" i="34"/>
  <c r="E361" i="34"/>
  <c r="J361" i="34" s="1"/>
  <c r="K361" i="34" s="1"/>
  <c r="I360" i="34"/>
  <c r="E360" i="34"/>
  <c r="F360" i="34" s="1"/>
  <c r="I359" i="34"/>
  <c r="E359" i="34"/>
  <c r="J359" i="34" s="1"/>
  <c r="I358" i="34"/>
  <c r="E358" i="34"/>
  <c r="L357" i="34"/>
  <c r="E357" i="34"/>
  <c r="F357" i="34" s="1"/>
  <c r="I356" i="34"/>
  <c r="E356" i="34"/>
  <c r="F356" i="34" s="1"/>
  <c r="I355" i="34"/>
  <c r="E355" i="34"/>
  <c r="F355" i="34" s="1"/>
  <c r="I354" i="34"/>
  <c r="E354" i="34"/>
  <c r="J354" i="34" s="1"/>
  <c r="K354" i="34" s="1"/>
  <c r="D353" i="34"/>
  <c r="I353" i="34" s="1"/>
  <c r="D352" i="34"/>
  <c r="I352" i="34" s="1"/>
  <c r="E351" i="34"/>
  <c r="J351" i="34" s="1"/>
  <c r="D351" i="34"/>
  <c r="I351" i="34" s="1"/>
  <c r="E350" i="34"/>
  <c r="D350" i="34"/>
  <c r="I350" i="34" s="1"/>
  <c r="E349" i="34"/>
  <c r="J349" i="34" s="1"/>
  <c r="D349" i="34"/>
  <c r="I349" i="34" s="1"/>
  <c r="E348" i="34"/>
  <c r="J348" i="34" s="1"/>
  <c r="D348" i="34"/>
  <c r="I348" i="34" s="1"/>
  <c r="L347" i="34"/>
  <c r="F347" i="34"/>
  <c r="I346" i="34"/>
  <c r="E346" i="34"/>
  <c r="I345" i="34"/>
  <c r="E345" i="34"/>
  <c r="F345" i="34" s="1"/>
  <c r="I344" i="34"/>
  <c r="E344" i="34"/>
  <c r="F344" i="34" s="1"/>
  <c r="I343" i="34"/>
  <c r="E343" i="34"/>
  <c r="J343" i="34" s="1"/>
  <c r="K343" i="34" s="1"/>
  <c r="I342" i="34"/>
  <c r="E342" i="34"/>
  <c r="I341" i="34"/>
  <c r="E341" i="34"/>
  <c r="J341" i="34" s="1"/>
  <c r="I340" i="34"/>
  <c r="E340" i="34"/>
  <c r="J340" i="34" s="1"/>
  <c r="K340" i="34" s="1"/>
  <c r="I339" i="34"/>
  <c r="E339" i="34"/>
  <c r="J339" i="34" s="1"/>
  <c r="K339" i="34" s="1"/>
  <c r="I338" i="34"/>
  <c r="E338" i="34"/>
  <c r="J338" i="34" s="1"/>
  <c r="K338" i="34" s="1"/>
  <c r="I337" i="34"/>
  <c r="E337" i="34"/>
  <c r="F337" i="34" s="1"/>
  <c r="I336" i="34"/>
  <c r="E336" i="34"/>
  <c r="F336" i="34" s="1"/>
  <c r="I335" i="34"/>
  <c r="E335" i="34"/>
  <c r="F335" i="34" s="1"/>
  <c r="I334" i="34"/>
  <c r="E334" i="34"/>
  <c r="I333" i="34"/>
  <c r="E333" i="34"/>
  <c r="J333" i="34" s="1"/>
  <c r="I332" i="34"/>
  <c r="E332" i="34"/>
  <c r="J332" i="34" s="1"/>
  <c r="K332" i="34" s="1"/>
  <c r="I331" i="34"/>
  <c r="E331" i="34"/>
  <c r="J331" i="34" s="1"/>
  <c r="I330" i="34"/>
  <c r="E330" i="34"/>
  <c r="J330" i="34" s="1"/>
  <c r="I329" i="34"/>
  <c r="E329" i="34"/>
  <c r="J329" i="34" s="1"/>
  <c r="K329" i="34" s="1"/>
  <c r="I328" i="34"/>
  <c r="E328" i="34"/>
  <c r="J328" i="34" s="1"/>
  <c r="K328" i="34" s="1"/>
  <c r="I327" i="34"/>
  <c r="E327" i="34"/>
  <c r="F327" i="34" s="1"/>
  <c r="I326" i="34"/>
  <c r="E326" i="34"/>
  <c r="J326" i="34" s="1"/>
  <c r="I325" i="34"/>
  <c r="E325" i="34"/>
  <c r="F325" i="34" s="1"/>
  <c r="I324" i="34"/>
  <c r="E324" i="34"/>
  <c r="J324" i="34" s="1"/>
  <c r="I323" i="34"/>
  <c r="E323" i="34"/>
  <c r="I322" i="34"/>
  <c r="E322" i="34"/>
  <c r="F322" i="34" s="1"/>
  <c r="I321" i="34"/>
  <c r="E321" i="34"/>
  <c r="J321" i="34" s="1"/>
  <c r="K321" i="34" s="1"/>
  <c r="I320" i="34"/>
  <c r="E320" i="34"/>
  <c r="F320" i="34" s="1"/>
  <c r="I319" i="34"/>
  <c r="E319" i="34"/>
  <c r="J319" i="34" s="1"/>
  <c r="I318" i="34"/>
  <c r="E318" i="34"/>
  <c r="F318" i="34" s="1"/>
  <c r="I317" i="34"/>
  <c r="E317" i="34"/>
  <c r="J317" i="34" s="1"/>
  <c r="I316" i="34"/>
  <c r="E316" i="34"/>
  <c r="I315" i="34"/>
  <c r="E315" i="34"/>
  <c r="J315" i="34" s="1"/>
  <c r="K315" i="34" s="1"/>
  <c r="I314" i="34"/>
  <c r="E314" i="34"/>
  <c r="J314" i="34" s="1"/>
  <c r="L313" i="34"/>
  <c r="E313" i="34"/>
  <c r="E312" i="34"/>
  <c r="J312" i="34" s="1"/>
  <c r="D312" i="34"/>
  <c r="I312" i="34" s="1"/>
  <c r="I311" i="34"/>
  <c r="E311" i="34"/>
  <c r="F311" i="34" s="1"/>
  <c r="I310" i="34"/>
  <c r="E310" i="34"/>
  <c r="I309" i="34"/>
  <c r="E309" i="34"/>
  <c r="F309" i="34" s="1"/>
  <c r="I308" i="34"/>
  <c r="E308" i="34"/>
  <c r="J308" i="34" s="1"/>
  <c r="K308" i="34" s="1"/>
  <c r="I307" i="34"/>
  <c r="E307" i="34"/>
  <c r="J307" i="34" s="1"/>
  <c r="K307" i="34" s="1"/>
  <c r="I306" i="34"/>
  <c r="E306" i="34"/>
  <c r="I305" i="34"/>
  <c r="E305" i="34"/>
  <c r="F305" i="34" s="1"/>
  <c r="I304" i="34"/>
  <c r="E304" i="34"/>
  <c r="J304" i="34" s="1"/>
  <c r="K304" i="34" s="1"/>
  <c r="I303" i="34"/>
  <c r="E303" i="34"/>
  <c r="F303" i="34" s="1"/>
  <c r="I302" i="34"/>
  <c r="E302" i="34"/>
  <c r="F302" i="34" s="1"/>
  <c r="I301" i="34"/>
  <c r="E301" i="34"/>
  <c r="J301" i="34" s="1"/>
  <c r="K301" i="34" s="1"/>
  <c r="I300" i="34"/>
  <c r="E300" i="34"/>
  <c r="F300" i="34" s="1"/>
  <c r="I299" i="34"/>
  <c r="E299" i="34"/>
  <c r="J299" i="34" s="1"/>
  <c r="K299" i="34" s="1"/>
  <c r="I298" i="34"/>
  <c r="E298" i="34"/>
  <c r="F298" i="34" s="1"/>
  <c r="I297" i="34"/>
  <c r="E297" i="34"/>
  <c r="J297" i="34" s="1"/>
  <c r="K297" i="34" s="1"/>
  <c r="I296" i="34"/>
  <c r="E296" i="34"/>
  <c r="J296" i="34" s="1"/>
  <c r="I295" i="34"/>
  <c r="E295" i="34"/>
  <c r="J295" i="34" s="1"/>
  <c r="I294" i="34"/>
  <c r="E294" i="34"/>
  <c r="J294" i="34" s="1"/>
  <c r="K294" i="34" s="1"/>
  <c r="I293" i="34"/>
  <c r="E293" i="34"/>
  <c r="F293" i="34" s="1"/>
  <c r="I292" i="34"/>
  <c r="E292" i="34"/>
  <c r="J292" i="34" s="1"/>
  <c r="I291" i="34"/>
  <c r="E291" i="34"/>
  <c r="I290" i="34"/>
  <c r="E290" i="34"/>
  <c r="F290" i="34" s="1"/>
  <c r="I289" i="34"/>
  <c r="E289" i="34"/>
  <c r="J289" i="34" s="1"/>
  <c r="I288" i="34"/>
  <c r="E288" i="34"/>
  <c r="I287" i="34"/>
  <c r="E287" i="34"/>
  <c r="F287" i="34" s="1"/>
  <c r="I286" i="34"/>
  <c r="E286" i="34"/>
  <c r="I285" i="34"/>
  <c r="E285" i="34"/>
  <c r="F285" i="34" s="1"/>
  <c r="I284" i="34"/>
  <c r="E284" i="34"/>
  <c r="J284" i="34" s="1"/>
  <c r="I283" i="34"/>
  <c r="E283" i="34"/>
  <c r="F283" i="34" s="1"/>
  <c r="I282" i="34"/>
  <c r="E282" i="34"/>
  <c r="I281" i="34"/>
  <c r="E281" i="34"/>
  <c r="J281" i="34" s="1"/>
  <c r="K281" i="34" s="1"/>
  <c r="I280" i="34"/>
  <c r="E280" i="34"/>
  <c r="I279" i="34"/>
  <c r="E279" i="34"/>
  <c r="J279" i="34" s="1"/>
  <c r="I278" i="34"/>
  <c r="E278" i="34"/>
  <c r="F278" i="34" s="1"/>
  <c r="I277" i="34"/>
  <c r="E277" i="34"/>
  <c r="I276" i="34"/>
  <c r="E276" i="34"/>
  <c r="J276" i="34" s="1"/>
  <c r="I275" i="34"/>
  <c r="E275" i="34"/>
  <c r="F275" i="34" s="1"/>
  <c r="I274" i="34"/>
  <c r="E274" i="34"/>
  <c r="F274" i="34" s="1"/>
  <c r="I273" i="34"/>
  <c r="E273" i="34"/>
  <c r="J273" i="34" s="1"/>
  <c r="K273" i="34" s="1"/>
  <c r="I272" i="34"/>
  <c r="E272" i="34"/>
  <c r="J272" i="34" s="1"/>
  <c r="I271" i="34"/>
  <c r="E271" i="34"/>
  <c r="I270" i="34"/>
  <c r="E270" i="34"/>
  <c r="F270" i="34" s="1"/>
  <c r="I269" i="34"/>
  <c r="E269" i="34"/>
  <c r="J269" i="34" s="1"/>
  <c r="K269" i="34" s="1"/>
  <c r="I268" i="34"/>
  <c r="E268" i="34"/>
  <c r="J268" i="34" s="1"/>
  <c r="I267" i="34"/>
  <c r="E267" i="34"/>
  <c r="F267" i="34" s="1"/>
  <c r="I266" i="34"/>
  <c r="E266" i="34"/>
  <c r="J266" i="34" s="1"/>
  <c r="I265" i="34"/>
  <c r="E265" i="34"/>
  <c r="J265" i="34" s="1"/>
  <c r="K265" i="34" s="1"/>
  <c r="I264" i="34"/>
  <c r="E264" i="34"/>
  <c r="J264" i="34" s="1"/>
  <c r="I263" i="34"/>
  <c r="E263" i="34"/>
  <c r="I262" i="34"/>
  <c r="E262" i="34"/>
  <c r="F262" i="34" s="1"/>
  <c r="I261" i="34"/>
  <c r="E261" i="34"/>
  <c r="F261" i="34" s="1"/>
  <c r="I260" i="34"/>
  <c r="E260" i="34"/>
  <c r="F260" i="34" s="1"/>
  <c r="I259" i="34"/>
  <c r="E259" i="34"/>
  <c r="I258" i="34"/>
  <c r="E258" i="34"/>
  <c r="I257" i="34"/>
  <c r="E257" i="34"/>
  <c r="F257" i="34" s="1"/>
  <c r="I256" i="34"/>
  <c r="E256" i="34"/>
  <c r="J256" i="34" s="1"/>
  <c r="I255" i="34"/>
  <c r="E255" i="34"/>
  <c r="J255" i="34" s="1"/>
  <c r="I254" i="34"/>
  <c r="E254" i="34"/>
  <c r="I253" i="34"/>
  <c r="E253" i="34"/>
  <c r="I252" i="34"/>
  <c r="E252" i="34"/>
  <c r="F252" i="34" s="1"/>
  <c r="I251" i="34"/>
  <c r="I250" i="34"/>
  <c r="I249" i="34"/>
  <c r="E249" i="34"/>
  <c r="J249" i="34" s="1"/>
  <c r="I248" i="34"/>
  <c r="I247" i="34"/>
  <c r="I246" i="34"/>
  <c r="I245" i="34"/>
  <c r="I244" i="34"/>
  <c r="I243" i="34"/>
  <c r="I242" i="34"/>
  <c r="I241" i="34"/>
  <c r="I240" i="34"/>
  <c r="E240" i="34"/>
  <c r="J240" i="34" s="1"/>
  <c r="I239" i="34"/>
  <c r="I238" i="34"/>
  <c r="E238" i="34"/>
  <c r="J238" i="34" s="1"/>
  <c r="K238" i="34" s="1"/>
  <c r="I237" i="34"/>
  <c r="I236" i="34"/>
  <c r="E236" i="34"/>
  <c r="F236" i="34" s="1"/>
  <c r="S235" i="34"/>
  <c r="R235" i="34"/>
  <c r="L235" i="34"/>
  <c r="F235" i="34"/>
  <c r="I234" i="34"/>
  <c r="E234" i="34"/>
  <c r="F234" i="34" s="1"/>
  <c r="I233" i="34"/>
  <c r="E233" i="34"/>
  <c r="F233" i="34" s="1"/>
  <c r="I232" i="34"/>
  <c r="E232" i="34"/>
  <c r="J232" i="34" s="1"/>
  <c r="K232" i="34" s="1"/>
  <c r="I231" i="34"/>
  <c r="E231" i="34"/>
  <c r="J231" i="34" s="1"/>
  <c r="K231" i="34" s="1"/>
  <c r="I230" i="34"/>
  <c r="E230" i="34"/>
  <c r="F230" i="34" s="1"/>
  <c r="I229" i="34"/>
  <c r="I228" i="34"/>
  <c r="E228" i="34"/>
  <c r="I227" i="34"/>
  <c r="I226" i="34"/>
  <c r="I225" i="34"/>
  <c r="I224" i="34"/>
  <c r="E224" i="34"/>
  <c r="J224" i="34" s="1"/>
  <c r="I223" i="34"/>
  <c r="E223" i="34"/>
  <c r="F223" i="34" s="1"/>
  <c r="I222" i="34"/>
  <c r="E222" i="34"/>
  <c r="J222" i="34" s="1"/>
  <c r="I221" i="34"/>
  <c r="I220" i="34"/>
  <c r="E220" i="34"/>
  <c r="J220" i="34" s="1"/>
  <c r="I219" i="34"/>
  <c r="E219" i="34"/>
  <c r="J219" i="34" s="1"/>
  <c r="L218" i="34"/>
  <c r="I217" i="34"/>
  <c r="E217" i="34"/>
  <c r="J217" i="34" s="1"/>
  <c r="I216" i="34"/>
  <c r="E216" i="34"/>
  <c r="J216" i="34" s="1"/>
  <c r="I215" i="34"/>
  <c r="E215" i="34"/>
  <c r="J215" i="34" s="1"/>
  <c r="K215" i="34" s="1"/>
  <c r="I214" i="34"/>
  <c r="I213" i="34"/>
  <c r="I212" i="34"/>
  <c r="E212" i="34"/>
  <c r="F212" i="34" s="1"/>
  <c r="I211" i="34"/>
  <c r="E211" i="34"/>
  <c r="I210" i="34"/>
  <c r="E210" i="34"/>
  <c r="J210" i="34" s="1"/>
  <c r="I209" i="34"/>
  <c r="E209" i="34"/>
  <c r="F209" i="34" s="1"/>
  <c r="I208" i="34"/>
  <c r="I207" i="34"/>
  <c r="I206" i="34"/>
  <c r="I205" i="34"/>
  <c r="I204" i="34"/>
  <c r="I203" i="34"/>
  <c r="I202" i="34"/>
  <c r="I201" i="34"/>
  <c r="I200" i="34"/>
  <c r="I199" i="34"/>
  <c r="E198" i="34"/>
  <c r="F198" i="34" s="1"/>
  <c r="I197" i="34"/>
  <c r="I196" i="34"/>
  <c r="S195" i="34"/>
  <c r="I195" i="34"/>
  <c r="D194" i="34"/>
  <c r="I194" i="34" s="1"/>
  <c r="D193" i="34"/>
  <c r="I193" i="34" s="1"/>
  <c r="I192" i="34"/>
  <c r="I191" i="34"/>
  <c r="E191" i="34"/>
  <c r="J191" i="34" s="1"/>
  <c r="K191" i="34" s="1"/>
  <c r="I190" i="34"/>
  <c r="E190" i="34"/>
  <c r="J190" i="34" s="1"/>
  <c r="K190" i="34" s="1"/>
  <c r="I189" i="34"/>
  <c r="E189" i="34"/>
  <c r="F189" i="34" s="1"/>
  <c r="I188" i="34"/>
  <c r="E188" i="34"/>
  <c r="F188" i="34" s="1"/>
  <c r="I187" i="34"/>
  <c r="E187" i="34"/>
  <c r="J187" i="34" s="1"/>
  <c r="K187" i="34" s="1"/>
  <c r="I186" i="34"/>
  <c r="I185" i="34"/>
  <c r="I184" i="34"/>
  <c r="I183" i="34"/>
  <c r="I182" i="34"/>
  <c r="E182" i="34"/>
  <c r="J182" i="34" s="1"/>
  <c r="K182" i="34" s="1"/>
  <c r="I181" i="34"/>
  <c r="I180" i="34"/>
  <c r="I179" i="34"/>
  <c r="I178" i="34"/>
  <c r="E178" i="34"/>
  <c r="F178" i="34" s="1"/>
  <c r="I177" i="34"/>
  <c r="I176" i="34"/>
  <c r="I175" i="34"/>
  <c r="I174" i="34"/>
  <c r="I173" i="34"/>
  <c r="I172" i="34"/>
  <c r="E172" i="34"/>
  <c r="J172" i="34" s="1"/>
  <c r="I171" i="34"/>
  <c r="I170" i="34"/>
  <c r="E169" i="34"/>
  <c r="F169" i="34" s="1"/>
  <c r="I168" i="34"/>
  <c r="E168" i="34"/>
  <c r="I167" i="34"/>
  <c r="I166" i="34"/>
  <c r="E166" i="34"/>
  <c r="J166" i="34" s="1"/>
  <c r="K166" i="34" s="1"/>
  <c r="I165" i="34"/>
  <c r="E165" i="34"/>
  <c r="J165" i="34" s="1"/>
  <c r="K165" i="34" s="1"/>
  <c r="I164" i="34"/>
  <c r="E164" i="34"/>
  <c r="F164" i="34" s="1"/>
  <c r="I163" i="34"/>
  <c r="E163" i="34"/>
  <c r="J163" i="34" s="1"/>
  <c r="K163" i="34" s="1"/>
  <c r="I162" i="34"/>
  <c r="E162" i="34"/>
  <c r="J162" i="34" s="1"/>
  <c r="K162" i="34" s="1"/>
  <c r="I161" i="34"/>
  <c r="E161" i="34"/>
  <c r="J161" i="34" s="1"/>
  <c r="K161" i="34" s="1"/>
  <c r="I160" i="34"/>
  <c r="E160" i="34"/>
  <c r="J160" i="34" s="1"/>
  <c r="I159" i="34"/>
  <c r="E159" i="34"/>
  <c r="J159" i="34" s="1"/>
  <c r="K159" i="34" s="1"/>
  <c r="I158" i="34"/>
  <c r="E158" i="34"/>
  <c r="J158" i="34" s="1"/>
  <c r="K158" i="34" s="1"/>
  <c r="I157" i="34"/>
  <c r="E157" i="34"/>
  <c r="I156" i="34"/>
  <c r="E156" i="34"/>
  <c r="J156" i="34" s="1"/>
  <c r="I155" i="34"/>
  <c r="E155" i="34"/>
  <c r="J155" i="34" s="1"/>
  <c r="I154" i="34"/>
  <c r="E154" i="34"/>
  <c r="J154" i="34" s="1"/>
  <c r="K154" i="34" s="1"/>
  <c r="I153" i="34"/>
  <c r="E153" i="34"/>
  <c r="J153" i="34" s="1"/>
  <c r="K153" i="34" s="1"/>
  <c r="I152" i="34"/>
  <c r="E152" i="34"/>
  <c r="I151" i="34"/>
  <c r="E151" i="34"/>
  <c r="F151" i="34" s="1"/>
  <c r="I150" i="34"/>
  <c r="E150" i="34"/>
  <c r="J150" i="34" s="1"/>
  <c r="I149" i="34"/>
  <c r="E149" i="34"/>
  <c r="J149" i="34" s="1"/>
  <c r="I148" i="34"/>
  <c r="E148" i="34"/>
  <c r="I147" i="34"/>
  <c r="E147" i="34"/>
  <c r="F147" i="34" s="1"/>
  <c r="I146" i="34"/>
  <c r="E146" i="34"/>
  <c r="J146" i="34" s="1"/>
  <c r="K146" i="34" s="1"/>
  <c r="I145" i="34"/>
  <c r="I144" i="34"/>
  <c r="I143" i="34"/>
  <c r="E143" i="34"/>
  <c r="J143" i="34" s="1"/>
  <c r="K143" i="34" s="1"/>
  <c r="I142" i="34"/>
  <c r="E142" i="34"/>
  <c r="J142" i="34" s="1"/>
  <c r="K142" i="34" s="1"/>
  <c r="I141" i="34"/>
  <c r="E141" i="34"/>
  <c r="J141" i="34" s="1"/>
  <c r="K141" i="34" s="1"/>
  <c r="I140" i="34"/>
  <c r="E140" i="34"/>
  <c r="F140" i="34" s="1"/>
  <c r="I139" i="34"/>
  <c r="E139" i="34"/>
  <c r="I138" i="34"/>
  <c r="I137" i="34"/>
  <c r="I136" i="34"/>
  <c r="E136" i="34"/>
  <c r="J136" i="34" s="1"/>
  <c r="I135" i="34"/>
  <c r="E135" i="34"/>
  <c r="I134" i="34"/>
  <c r="E134" i="34"/>
  <c r="J134" i="34" s="1"/>
  <c r="K134" i="34" s="1"/>
  <c r="I131" i="34"/>
  <c r="E131" i="34"/>
  <c r="F131" i="34" s="1"/>
  <c r="I130" i="34"/>
  <c r="E130" i="34"/>
  <c r="J130" i="34" s="1"/>
  <c r="K130" i="34" s="1"/>
  <c r="I129" i="34"/>
  <c r="E129" i="34"/>
  <c r="J129" i="34" s="1"/>
  <c r="I128" i="34"/>
  <c r="E128" i="34"/>
  <c r="J128" i="34" s="1"/>
  <c r="L127" i="34"/>
  <c r="E127" i="34"/>
  <c r="F127" i="34" s="1"/>
  <c r="J126" i="34"/>
  <c r="I126" i="34"/>
  <c r="F126" i="34"/>
  <c r="J125" i="34"/>
  <c r="I125" i="34"/>
  <c r="F125" i="34"/>
  <c r="J124" i="34"/>
  <c r="I124" i="34"/>
  <c r="K124" i="34" s="1"/>
  <c r="F124" i="34"/>
  <c r="J123" i="34"/>
  <c r="I123" i="34"/>
  <c r="L123" i="34" s="1"/>
  <c r="L37" i="34" s="1"/>
  <c r="F123" i="34"/>
  <c r="I122" i="34"/>
  <c r="E122" i="34"/>
  <c r="F122" i="34" s="1"/>
  <c r="I121" i="34"/>
  <c r="E121" i="34"/>
  <c r="F121" i="34" s="1"/>
  <c r="I120" i="34"/>
  <c r="E120" i="34"/>
  <c r="J120" i="34" s="1"/>
  <c r="I119" i="34"/>
  <c r="E119" i="34"/>
  <c r="J119" i="34" s="1"/>
  <c r="I118" i="34"/>
  <c r="E118" i="34"/>
  <c r="J118" i="34" s="1"/>
  <c r="I117" i="34"/>
  <c r="E117" i="34"/>
  <c r="J117" i="34" s="1"/>
  <c r="K117" i="34" s="1"/>
  <c r="I116" i="34"/>
  <c r="E116" i="34"/>
  <c r="I115" i="34"/>
  <c r="E115" i="34"/>
  <c r="F115" i="34" s="1"/>
  <c r="I114" i="34"/>
  <c r="E114" i="34"/>
  <c r="F114" i="34" s="1"/>
  <c r="I113" i="34"/>
  <c r="E113" i="34"/>
  <c r="I112" i="34"/>
  <c r="E112" i="34"/>
  <c r="I111" i="34"/>
  <c r="E111" i="34"/>
  <c r="J111" i="34" s="1"/>
  <c r="I110" i="34"/>
  <c r="E110" i="34"/>
  <c r="J110" i="34" s="1"/>
  <c r="K110" i="34" s="1"/>
  <c r="I109" i="34"/>
  <c r="I108" i="34"/>
  <c r="E108" i="34"/>
  <c r="I107" i="34"/>
  <c r="E107" i="34"/>
  <c r="J107" i="34" s="1"/>
  <c r="K107" i="34" s="1"/>
  <c r="I106" i="34"/>
  <c r="E106" i="34"/>
  <c r="F106" i="34" s="1"/>
  <c r="I105" i="34"/>
  <c r="E105" i="34"/>
  <c r="J105" i="34" s="1"/>
  <c r="K105" i="34" s="1"/>
  <c r="I104" i="34"/>
  <c r="E104" i="34"/>
  <c r="F104" i="34" s="1"/>
  <c r="I103" i="34"/>
  <c r="E103" i="34"/>
  <c r="J103" i="34" s="1"/>
  <c r="K103" i="34" s="1"/>
  <c r="I102" i="34"/>
  <c r="E102" i="34"/>
  <c r="J102" i="34" s="1"/>
  <c r="K102" i="34" s="1"/>
  <c r="I101" i="34"/>
  <c r="E101" i="34"/>
  <c r="J101" i="34" s="1"/>
  <c r="I100" i="34"/>
  <c r="E100" i="34"/>
  <c r="J100" i="34" s="1"/>
  <c r="K100" i="34" s="1"/>
  <c r="I99" i="34"/>
  <c r="E99" i="34"/>
  <c r="J99" i="34" s="1"/>
  <c r="I98" i="34"/>
  <c r="E98" i="34"/>
  <c r="I97" i="34"/>
  <c r="E97" i="34"/>
  <c r="J97" i="34" s="1"/>
  <c r="I96" i="34"/>
  <c r="E96" i="34"/>
  <c r="J96" i="34" s="1"/>
  <c r="I95" i="34"/>
  <c r="E95" i="34"/>
  <c r="J95" i="34" s="1"/>
  <c r="K95" i="34" s="1"/>
  <c r="I94" i="34"/>
  <c r="E94" i="34"/>
  <c r="J94" i="34" s="1"/>
  <c r="K94" i="34" s="1"/>
  <c r="I93" i="34"/>
  <c r="E93" i="34"/>
  <c r="J93" i="34" s="1"/>
  <c r="I92" i="34"/>
  <c r="E92" i="34"/>
  <c r="F92" i="34" s="1"/>
  <c r="I91" i="34"/>
  <c r="E91" i="34"/>
  <c r="I90" i="34"/>
  <c r="E90" i="34"/>
  <c r="J90" i="34" s="1"/>
  <c r="I89" i="34"/>
  <c r="E89" i="34"/>
  <c r="J89" i="34" s="1"/>
  <c r="K89" i="34" s="1"/>
  <c r="I88" i="34"/>
  <c r="E88" i="34"/>
  <c r="F88" i="34" s="1"/>
  <c r="I87" i="34"/>
  <c r="E87" i="34"/>
  <c r="J87" i="34" s="1"/>
  <c r="I86" i="34"/>
  <c r="E86" i="34"/>
  <c r="F86" i="34" s="1"/>
  <c r="I85" i="34"/>
  <c r="E85" i="34"/>
  <c r="J85" i="34" s="1"/>
  <c r="I84" i="34"/>
  <c r="E84" i="34"/>
  <c r="J84" i="34" s="1"/>
  <c r="K84" i="34" s="1"/>
  <c r="I83" i="34"/>
  <c r="E83" i="34"/>
  <c r="F83" i="34" s="1"/>
  <c r="I82" i="34"/>
  <c r="E82" i="34"/>
  <c r="I81" i="34"/>
  <c r="E81" i="34"/>
  <c r="J81" i="34" s="1"/>
  <c r="K81" i="34" s="1"/>
  <c r="I80" i="34"/>
  <c r="E80" i="34"/>
  <c r="F80" i="34" s="1"/>
  <c r="I79" i="34"/>
  <c r="E79" i="34"/>
  <c r="J79" i="34" s="1"/>
  <c r="I78" i="34"/>
  <c r="E78" i="34"/>
  <c r="J78" i="34" s="1"/>
  <c r="K78" i="34" s="1"/>
  <c r="I77" i="34"/>
  <c r="E77" i="34"/>
  <c r="I76" i="34"/>
  <c r="I75" i="34"/>
  <c r="I74" i="34"/>
  <c r="E74" i="34"/>
  <c r="I73" i="34"/>
  <c r="E73" i="34"/>
  <c r="J73" i="34" s="1"/>
  <c r="K73" i="34" s="1"/>
  <c r="I72" i="34"/>
  <c r="E72" i="34"/>
  <c r="J72" i="34" s="1"/>
  <c r="I71" i="34"/>
  <c r="E71" i="34"/>
  <c r="J71" i="34" s="1"/>
  <c r="K71" i="34" s="1"/>
  <c r="I70" i="34"/>
  <c r="E70" i="34"/>
  <c r="J70" i="34" s="1"/>
  <c r="I69" i="34"/>
  <c r="E69" i="34"/>
  <c r="F69" i="34" s="1"/>
  <c r="I68" i="34"/>
  <c r="E68" i="34"/>
  <c r="F68" i="34" s="1"/>
  <c r="I67" i="34"/>
  <c r="E67" i="34"/>
  <c r="F67" i="34" s="1"/>
  <c r="I66" i="34"/>
  <c r="E66" i="34"/>
  <c r="I65" i="34"/>
  <c r="E65" i="34"/>
  <c r="F65" i="34" s="1"/>
  <c r="I64" i="34"/>
  <c r="E64" i="34"/>
  <c r="F64" i="34" s="1"/>
  <c r="I63" i="34"/>
  <c r="E63" i="34"/>
  <c r="J63" i="34" s="1"/>
  <c r="K63" i="34" s="1"/>
  <c r="I62" i="34"/>
  <c r="E62" i="34"/>
  <c r="F62" i="34" s="1"/>
  <c r="I61" i="34"/>
  <c r="E61" i="34"/>
  <c r="F61" i="34" s="1"/>
  <c r="I60" i="34"/>
  <c r="E60" i="34"/>
  <c r="J60" i="34" s="1"/>
  <c r="I59" i="34"/>
  <c r="E59" i="34"/>
  <c r="F59" i="34" s="1"/>
  <c r="I58" i="34"/>
  <c r="E58" i="34"/>
  <c r="J58" i="34" s="1"/>
  <c r="K58" i="34" s="1"/>
  <c r="I57" i="34"/>
  <c r="E57" i="34"/>
  <c r="J57" i="34" s="1"/>
  <c r="I56" i="34"/>
  <c r="E56" i="34"/>
  <c r="F56" i="34" s="1"/>
  <c r="I55" i="34"/>
  <c r="E55" i="34"/>
  <c r="J55" i="34" s="1"/>
  <c r="K55" i="34" s="1"/>
  <c r="I54" i="34"/>
  <c r="E54" i="34"/>
  <c r="I53" i="34"/>
  <c r="E53" i="34"/>
  <c r="J53" i="34" s="1"/>
  <c r="I52" i="34"/>
  <c r="E52" i="34"/>
  <c r="J52" i="34" s="1"/>
  <c r="K52" i="34" s="1"/>
  <c r="I51" i="34"/>
  <c r="I50" i="34"/>
  <c r="E50" i="34"/>
  <c r="I49" i="34"/>
  <c r="E49" i="34"/>
  <c r="J49" i="34" s="1"/>
  <c r="I48" i="34"/>
  <c r="E48" i="34"/>
  <c r="J48" i="34" s="1"/>
  <c r="I47" i="34"/>
  <c r="I46" i="34"/>
  <c r="I45" i="34"/>
  <c r="E45" i="34"/>
  <c r="I44" i="34"/>
  <c r="E44" i="34"/>
  <c r="J44" i="34" s="1"/>
  <c r="I43" i="34"/>
  <c r="E43" i="34"/>
  <c r="I42" i="34"/>
  <c r="E42" i="34"/>
  <c r="F42" i="34" s="1"/>
  <c r="I39" i="34"/>
  <c r="E39" i="34"/>
  <c r="F39" i="34" s="1"/>
  <c r="I38" i="34"/>
  <c r="E38" i="34"/>
  <c r="J38" i="34" s="1"/>
  <c r="E37" i="34"/>
  <c r="F37" i="34" s="1"/>
  <c r="I36" i="34"/>
  <c r="E36" i="34"/>
  <c r="J36" i="34" s="1"/>
  <c r="I35" i="34"/>
  <c r="E35" i="34"/>
  <c r="F35" i="34" s="1"/>
  <c r="I34" i="34"/>
  <c r="E34" i="34"/>
  <c r="J34" i="34" s="1"/>
  <c r="I33" i="34"/>
  <c r="E33" i="34"/>
  <c r="J33" i="34" s="1"/>
  <c r="I32" i="34"/>
  <c r="E32" i="34"/>
  <c r="J32" i="34" s="1"/>
  <c r="I31" i="34"/>
  <c r="E31" i="34"/>
  <c r="J31" i="34" s="1"/>
  <c r="I30" i="34"/>
  <c r="E30" i="34"/>
  <c r="J30" i="34" s="1"/>
  <c r="I29" i="34"/>
  <c r="E29" i="34"/>
  <c r="J29" i="34" s="1"/>
  <c r="I28" i="34"/>
  <c r="E28" i="34"/>
  <c r="J28" i="34" s="1"/>
  <c r="I27" i="34"/>
  <c r="E27" i="34"/>
  <c r="J27" i="34" s="1"/>
  <c r="I26" i="34"/>
  <c r="I25" i="34"/>
  <c r="E25" i="34"/>
  <c r="J25" i="34" s="1"/>
  <c r="I24" i="34"/>
  <c r="E24" i="34"/>
  <c r="J24" i="34" s="1"/>
  <c r="K24" i="34" s="1"/>
  <c r="I23" i="34"/>
  <c r="E23" i="34"/>
  <c r="J23" i="34" s="1"/>
  <c r="I22" i="34"/>
  <c r="E22" i="34"/>
  <c r="J22" i="34" s="1"/>
  <c r="I21" i="34"/>
  <c r="E21" i="34"/>
  <c r="J21" i="34" s="1"/>
  <c r="I20" i="34"/>
  <c r="E20" i="34"/>
  <c r="J20" i="34" s="1"/>
  <c r="K20" i="34" s="1"/>
  <c r="I19" i="34"/>
  <c r="E19" i="34"/>
  <c r="J19" i="34" s="1"/>
  <c r="I18" i="34"/>
  <c r="E18" i="34"/>
  <c r="J18" i="34" s="1"/>
  <c r="I17" i="34"/>
  <c r="E17" i="34"/>
  <c r="J17" i="34" s="1"/>
  <c r="K17" i="34" s="1"/>
  <c r="I16" i="34"/>
  <c r="E16" i="34"/>
  <c r="J16" i="34" s="1"/>
  <c r="I15" i="34"/>
  <c r="I14" i="34"/>
  <c r="E14" i="34"/>
  <c r="J14" i="34" s="1"/>
  <c r="I13" i="34"/>
  <c r="E13" i="34"/>
  <c r="J13" i="34" s="1"/>
  <c r="I12" i="34"/>
  <c r="E12" i="34"/>
  <c r="J12" i="34" s="1"/>
  <c r="P1" i="34"/>
  <c r="O1" i="34"/>
  <c r="I9" i="33"/>
  <c r="I10" i="33"/>
  <c r="I11" i="33"/>
  <c r="I12" i="33"/>
  <c r="I3" i="33"/>
  <c r="I4" i="33"/>
  <c r="I5" i="33"/>
  <c r="I6" i="33"/>
  <c r="I7" i="33"/>
  <c r="I2" i="33"/>
  <c r="F8" i="33"/>
  <c r="I70" i="24"/>
  <c r="N69" i="24"/>
  <c r="M69" i="24"/>
  <c r="I69" i="24"/>
  <c r="M68" i="24"/>
  <c r="N68" i="24" s="1"/>
  <c r="O69" i="24" s="1"/>
  <c r="I68" i="24"/>
  <c r="M67" i="24"/>
  <c r="N67" i="24" s="1"/>
  <c r="O68" i="24" s="1"/>
  <c r="M66" i="24"/>
  <c r="N66" i="24" s="1"/>
  <c r="O67" i="24" s="1"/>
  <c r="I66" i="24"/>
  <c r="F56" i="24" s="1"/>
  <c r="M65" i="24"/>
  <c r="N65" i="24" s="1"/>
  <c r="O66" i="24" s="1"/>
  <c r="I65" i="24"/>
  <c r="F54" i="24" s="1"/>
  <c r="N64" i="24"/>
  <c r="O65" i="24" s="1"/>
  <c r="M64" i="24"/>
  <c r="I64" i="24"/>
  <c r="N63" i="24"/>
  <c r="M63" i="24"/>
  <c r="M62" i="24"/>
  <c r="N62" i="24" s="1"/>
  <c r="F57" i="24"/>
  <c r="B54" i="24"/>
  <c r="F53" i="24"/>
  <c r="B53" i="24"/>
  <c r="M52" i="24"/>
  <c r="B51" i="24"/>
  <c r="B50" i="24"/>
  <c r="B60" i="24" s="1"/>
  <c r="F49" i="24"/>
  <c r="F47" i="24"/>
  <c r="F12" i="33"/>
  <c r="M24" i="33"/>
  <c r="N24" i="33" s="1"/>
  <c r="M23" i="33"/>
  <c r="N23" i="33" s="1"/>
  <c r="O24" i="33" s="1"/>
  <c r="M22" i="33"/>
  <c r="N22" i="33" s="1"/>
  <c r="O23" i="33" s="1"/>
  <c r="M21" i="33"/>
  <c r="N21" i="33" s="1"/>
  <c r="O22" i="33" s="1"/>
  <c r="M20" i="33"/>
  <c r="N20" i="33" s="1"/>
  <c r="O21" i="33" s="1"/>
  <c r="I20" i="33"/>
  <c r="F9" i="33" s="1"/>
  <c r="M19" i="33"/>
  <c r="N19" i="33" s="1"/>
  <c r="N18" i="33"/>
  <c r="M18" i="33"/>
  <c r="M17" i="33"/>
  <c r="N17" i="33" s="1"/>
  <c r="B8" i="33"/>
  <c r="B30" i="33" s="1"/>
  <c r="M7" i="33"/>
  <c r="B5" i="33"/>
  <c r="B15" i="33" s="1"/>
  <c r="F4" i="33"/>
  <c r="J237" i="44" l="1"/>
  <c r="K237" i="44" s="1"/>
  <c r="F237" i="44"/>
  <c r="J237" i="45"/>
  <c r="K237" i="45" s="1"/>
  <c r="F237" i="45"/>
  <c r="I8" i="33"/>
  <c r="I15" i="33" s="1"/>
  <c r="J192" i="39"/>
  <c r="K192" i="39" s="1"/>
  <c r="J295" i="36"/>
  <c r="J59" i="36"/>
  <c r="J332" i="36"/>
  <c r="J49" i="36"/>
  <c r="J153" i="36"/>
  <c r="K181" i="36"/>
  <c r="K287" i="36"/>
  <c r="K406" i="36"/>
  <c r="K430" i="36"/>
  <c r="K69" i="36"/>
  <c r="J81" i="36"/>
  <c r="J100" i="36"/>
  <c r="K100" i="36" s="1"/>
  <c r="F134" i="36"/>
  <c r="K280" i="36"/>
  <c r="J410" i="36"/>
  <c r="K410" i="36" s="1"/>
  <c r="K459" i="36"/>
  <c r="K444" i="39"/>
  <c r="K371" i="39"/>
  <c r="F157" i="39"/>
  <c r="J256" i="39"/>
  <c r="J119" i="39"/>
  <c r="J299" i="39"/>
  <c r="K373" i="39"/>
  <c r="F53" i="39"/>
  <c r="J229" i="39"/>
  <c r="K229" i="39" s="1"/>
  <c r="J289" i="39"/>
  <c r="K289" i="39" s="1"/>
  <c r="J318" i="39"/>
  <c r="K318" i="39" s="1"/>
  <c r="F347" i="39"/>
  <c r="J363" i="39"/>
  <c r="K363" i="39" s="1"/>
  <c r="J221" i="39"/>
  <c r="J279" i="39"/>
  <c r="K279" i="39" s="1"/>
  <c r="J458" i="39"/>
  <c r="J43" i="39"/>
  <c r="F101" i="39"/>
  <c r="J120" i="39"/>
  <c r="K120" i="39" s="1"/>
  <c r="J129" i="39"/>
  <c r="K129" i="39" s="1"/>
  <c r="J179" i="39"/>
  <c r="K179" i="39" s="1"/>
  <c r="F417" i="39"/>
  <c r="L32" i="39"/>
  <c r="F92" i="39"/>
  <c r="J159" i="39"/>
  <c r="K159" i="39" s="1"/>
  <c r="F191" i="39"/>
  <c r="J239" i="39"/>
  <c r="K239" i="39" s="1"/>
  <c r="J290" i="39"/>
  <c r="J319" i="39"/>
  <c r="K319" i="39" s="1"/>
  <c r="F152" i="39"/>
  <c r="K160" i="39"/>
  <c r="K213" i="39"/>
  <c r="K250" i="39"/>
  <c r="F260" i="39"/>
  <c r="J301" i="39"/>
  <c r="K301" i="39" s="1"/>
  <c r="K311" i="39"/>
  <c r="J329" i="39"/>
  <c r="K329" i="39" s="1"/>
  <c r="J396" i="39"/>
  <c r="J459" i="39"/>
  <c r="K459" i="39" s="1"/>
  <c r="F469" i="39"/>
  <c r="J361" i="39"/>
  <c r="K361" i="39" s="1"/>
  <c r="F393" i="39"/>
  <c r="J148" i="39"/>
  <c r="K148" i="39" s="1"/>
  <c r="F220" i="39"/>
  <c r="F267" i="39"/>
  <c r="F308" i="39"/>
  <c r="F346" i="39"/>
  <c r="J465" i="39"/>
  <c r="J39" i="39"/>
  <c r="F99" i="39"/>
  <c r="F278" i="39"/>
  <c r="L20" i="39"/>
  <c r="F61" i="39"/>
  <c r="J79" i="39"/>
  <c r="K79" i="39" s="1"/>
  <c r="J436" i="39"/>
  <c r="J71" i="39"/>
  <c r="J309" i="39"/>
  <c r="J339" i="39"/>
  <c r="K339" i="39" s="1"/>
  <c r="J112" i="39"/>
  <c r="K112" i="39" s="1"/>
  <c r="J142" i="39"/>
  <c r="K142" i="39" s="1"/>
  <c r="J449" i="39"/>
  <c r="K449" i="39" s="1"/>
  <c r="K469" i="39"/>
  <c r="L13" i="39"/>
  <c r="K93" i="39"/>
  <c r="K113" i="39"/>
  <c r="K223" i="39"/>
  <c r="K282" i="39"/>
  <c r="J320" i="39"/>
  <c r="K450" i="39"/>
  <c r="J66" i="39"/>
  <c r="J225" i="39"/>
  <c r="K225" i="39" s="1"/>
  <c r="K275" i="39"/>
  <c r="K285" i="39"/>
  <c r="F351" i="39"/>
  <c r="J118" i="39"/>
  <c r="K118" i="39" s="1"/>
  <c r="J317" i="39"/>
  <c r="K317" i="39" s="1"/>
  <c r="F56" i="39"/>
  <c r="F65" i="39"/>
  <c r="F398" i="39"/>
  <c r="K74" i="39"/>
  <c r="J132" i="39"/>
  <c r="K132" i="39" s="1"/>
  <c r="J153" i="39"/>
  <c r="J272" i="39"/>
  <c r="K272" i="39" s="1"/>
  <c r="J303" i="39"/>
  <c r="K303" i="39" s="1"/>
  <c r="F342" i="39"/>
  <c r="F35" i="39"/>
  <c r="J46" i="39"/>
  <c r="K46" i="39" s="1"/>
  <c r="F85" i="39"/>
  <c r="J144" i="39"/>
  <c r="J224" i="39"/>
  <c r="J233" i="39"/>
  <c r="K233" i="39" s="1"/>
  <c r="F322" i="39"/>
  <c r="F420" i="39"/>
  <c r="J431" i="39"/>
  <c r="K431" i="39" s="1"/>
  <c r="F442" i="39"/>
  <c r="L35" i="39"/>
  <c r="F284" i="39"/>
  <c r="J410" i="39"/>
  <c r="K410" i="39" s="1"/>
  <c r="J154" i="39"/>
  <c r="K154" i="39" s="1"/>
  <c r="J294" i="39"/>
  <c r="K294" i="39" s="1"/>
  <c r="J304" i="39"/>
  <c r="K304" i="39" s="1"/>
  <c r="J368" i="39"/>
  <c r="J234" i="39"/>
  <c r="K234" i="39" s="1"/>
  <c r="F315" i="39"/>
  <c r="K380" i="39"/>
  <c r="F391" i="39"/>
  <c r="K27" i="39"/>
  <c r="J36" i="39"/>
  <c r="K36" i="39" s="1"/>
  <c r="K49" i="39"/>
  <c r="K67" i="39"/>
  <c r="J254" i="39"/>
  <c r="K254" i="39" s="1"/>
  <c r="K265" i="39"/>
  <c r="K296" i="39"/>
  <c r="J334" i="39"/>
  <c r="K334" i="39" s="1"/>
  <c r="K422" i="39"/>
  <c r="J42" i="36"/>
  <c r="K42" i="36" s="1"/>
  <c r="K45" i="36"/>
  <c r="F313" i="36"/>
  <c r="J334" i="36"/>
  <c r="J78" i="36"/>
  <c r="J248" i="36"/>
  <c r="K248" i="36" s="1"/>
  <c r="J269" i="36"/>
  <c r="J156" i="36"/>
  <c r="K156" i="36" s="1"/>
  <c r="J460" i="36"/>
  <c r="K460" i="36" s="1"/>
  <c r="F270" i="36"/>
  <c r="J392" i="36"/>
  <c r="J259" i="36"/>
  <c r="J304" i="36"/>
  <c r="K304" i="36" s="1"/>
  <c r="J358" i="36"/>
  <c r="K358" i="36" s="1"/>
  <c r="F35" i="36"/>
  <c r="K59" i="36"/>
  <c r="J315" i="36"/>
  <c r="K315" i="36" s="1"/>
  <c r="K463" i="36"/>
  <c r="J74" i="36"/>
  <c r="K74" i="36" s="1"/>
  <c r="J298" i="36"/>
  <c r="J341" i="36"/>
  <c r="K341" i="36" s="1"/>
  <c r="J256" i="36"/>
  <c r="K256" i="36" s="1"/>
  <c r="J458" i="36"/>
  <c r="K67" i="36"/>
  <c r="J344" i="36"/>
  <c r="J306" i="36"/>
  <c r="K306" i="36" s="1"/>
  <c r="F252" i="36"/>
  <c r="F408" i="36"/>
  <c r="J361" i="36"/>
  <c r="K361" i="36" s="1"/>
  <c r="F431" i="36"/>
  <c r="J161" i="36"/>
  <c r="F52" i="36"/>
  <c r="J187" i="36"/>
  <c r="K187" i="36" s="1"/>
  <c r="J275" i="36"/>
  <c r="K275" i="36" s="1"/>
  <c r="J420" i="36"/>
  <c r="K266" i="36"/>
  <c r="K353" i="36"/>
  <c r="K388" i="36"/>
  <c r="K468" i="36"/>
  <c r="F425" i="34"/>
  <c r="J262" i="34"/>
  <c r="J449" i="34"/>
  <c r="J418" i="34"/>
  <c r="K418" i="34" s="1"/>
  <c r="J69" i="34"/>
  <c r="K69" i="34" s="1"/>
  <c r="J293" i="34"/>
  <c r="K293" i="34" s="1"/>
  <c r="K433" i="34"/>
  <c r="F428" i="34"/>
  <c r="J42" i="34"/>
  <c r="J406" i="34"/>
  <c r="K406" i="34" s="1"/>
  <c r="J267" i="34"/>
  <c r="J398" i="34"/>
  <c r="K398" i="34" s="1"/>
  <c r="K456" i="34"/>
  <c r="F367" i="34"/>
  <c r="J61" i="34"/>
  <c r="K61" i="34" s="1"/>
  <c r="J252" i="34"/>
  <c r="K252" i="34" s="1"/>
  <c r="J441" i="34"/>
  <c r="K441" i="34" s="1"/>
  <c r="J302" i="34"/>
  <c r="I467" i="34"/>
  <c r="G467" i="34" s="1"/>
  <c r="K78" i="36"/>
  <c r="K334" i="36"/>
  <c r="K337" i="36"/>
  <c r="K416" i="36"/>
  <c r="K428" i="36"/>
  <c r="L25" i="36"/>
  <c r="K81" i="36"/>
  <c r="K141" i="36"/>
  <c r="K265" i="36"/>
  <c r="K387" i="36"/>
  <c r="K456" i="36"/>
  <c r="K378" i="34"/>
  <c r="K87" i="34"/>
  <c r="K264" i="34"/>
  <c r="K276" i="34"/>
  <c r="K450" i="34"/>
  <c r="K440" i="34"/>
  <c r="K436" i="39"/>
  <c r="K465" i="39"/>
  <c r="K377" i="39"/>
  <c r="K378" i="39"/>
  <c r="L21" i="39"/>
  <c r="K61" i="39"/>
  <c r="K71" i="39"/>
  <c r="K127" i="39"/>
  <c r="K342" i="39"/>
  <c r="K379" i="39"/>
  <c r="K43" i="39"/>
  <c r="K53" i="39"/>
  <c r="K235" i="39"/>
  <c r="K368" i="39"/>
  <c r="K409" i="39"/>
  <c r="K14" i="39"/>
  <c r="L23" i="39"/>
  <c r="K33" i="39"/>
  <c r="K73" i="39"/>
  <c r="K111" i="39"/>
  <c r="K140" i="39"/>
  <c r="K157" i="39"/>
  <c r="K276" i="39"/>
  <c r="K306" i="39"/>
  <c r="K360" i="39"/>
  <c r="K399" i="39"/>
  <c r="K441" i="39"/>
  <c r="K102" i="39"/>
  <c r="K257" i="39"/>
  <c r="K288" i="39"/>
  <c r="K391" i="39"/>
  <c r="K401" i="39"/>
  <c r="K421" i="39"/>
  <c r="K432" i="39"/>
  <c r="K461" i="39"/>
  <c r="I468" i="39"/>
  <c r="G468" i="39" s="1"/>
  <c r="K376" i="39"/>
  <c r="I199" i="39"/>
  <c r="G199" i="39" s="1"/>
  <c r="I348" i="39"/>
  <c r="G348" i="39" s="1"/>
  <c r="K349" i="39"/>
  <c r="I11" i="39"/>
  <c r="L25" i="39"/>
  <c r="K56" i="39"/>
  <c r="K221" i="39"/>
  <c r="K267" i="39"/>
  <c r="K412" i="39"/>
  <c r="K224" i="39"/>
  <c r="K320" i="39"/>
  <c r="L30" i="39"/>
  <c r="K164" i="39"/>
  <c r="K344" i="39"/>
  <c r="K16" i="39"/>
  <c r="K35" i="39"/>
  <c r="K57" i="39"/>
  <c r="K122" i="39"/>
  <c r="K143" i="39"/>
  <c r="K299" i="39"/>
  <c r="K308" i="39"/>
  <c r="K413" i="39"/>
  <c r="K341" i="39"/>
  <c r="K351" i="39"/>
  <c r="K256" i="39"/>
  <c r="K17" i="39"/>
  <c r="K104" i="39"/>
  <c r="K114" i="39"/>
  <c r="K123" i="39"/>
  <c r="K191" i="39"/>
  <c r="K259" i="39"/>
  <c r="K300" i="39"/>
  <c r="K338" i="39"/>
  <c r="K403" i="39"/>
  <c r="K423" i="39"/>
  <c r="K434" i="39"/>
  <c r="K453" i="39"/>
  <c r="K463" i="39"/>
  <c r="K87" i="39"/>
  <c r="I428" i="39"/>
  <c r="G428" i="39" s="1"/>
  <c r="K39" i="39"/>
  <c r="K107" i="39"/>
  <c r="K324" i="39"/>
  <c r="K66" i="39"/>
  <c r="K309" i="39"/>
  <c r="K435" i="39"/>
  <c r="K117" i="39"/>
  <c r="K396" i="39"/>
  <c r="K447" i="39"/>
  <c r="K322" i="39"/>
  <c r="K45" i="39"/>
  <c r="K101" i="39"/>
  <c r="K144" i="39"/>
  <c r="K231" i="39"/>
  <c r="K290" i="39"/>
  <c r="K125" i="39"/>
  <c r="K97" i="39"/>
  <c r="K366" i="39"/>
  <c r="K137" i="39"/>
  <c r="K284" i="39"/>
  <c r="K370" i="39"/>
  <c r="K19" i="39"/>
  <c r="K28" i="39"/>
  <c r="K106" i="39"/>
  <c r="K116" i="39"/>
  <c r="L124" i="39"/>
  <c r="L37" i="39" s="1"/>
  <c r="K162" i="39"/>
  <c r="K183" i="39"/>
  <c r="K232" i="39"/>
  <c r="K291" i="39"/>
  <c r="K347" i="39"/>
  <c r="K394" i="39"/>
  <c r="K405" i="39"/>
  <c r="K65" i="39"/>
  <c r="L17" i="39"/>
  <c r="K359" i="39"/>
  <c r="J86" i="39"/>
  <c r="K86" i="39" s="1"/>
  <c r="F86" i="39"/>
  <c r="F297" i="39"/>
  <c r="L28" i="39"/>
  <c r="K59" i="39"/>
  <c r="K352" i="39"/>
  <c r="K12" i="39"/>
  <c r="K460" i="39"/>
  <c r="L12" i="39"/>
  <c r="J452" i="39"/>
  <c r="K452" i="39" s="1"/>
  <c r="F452" i="39"/>
  <c r="F404" i="39"/>
  <c r="L33" i="39"/>
  <c r="K119" i="39"/>
  <c r="I448" i="39"/>
  <c r="G448" i="39" s="1"/>
  <c r="F255" i="39"/>
  <c r="J255" i="39"/>
  <c r="K255" i="39" s="1"/>
  <c r="F113" i="39"/>
  <c r="K417" i="39"/>
  <c r="K429" i="39"/>
  <c r="F439" i="39"/>
  <c r="K38" i="39"/>
  <c r="I37" i="39"/>
  <c r="F326" i="39"/>
  <c r="J468" i="39"/>
  <c r="K470" i="39"/>
  <c r="K126" i="39"/>
  <c r="K155" i="39"/>
  <c r="K451" i="39"/>
  <c r="K32" i="39"/>
  <c r="J188" i="39"/>
  <c r="K188" i="39" s="1"/>
  <c r="F188" i="39"/>
  <c r="K313" i="39"/>
  <c r="F333" i="39"/>
  <c r="L18" i="39"/>
  <c r="K18" i="39"/>
  <c r="F269" i="39"/>
  <c r="L22" i="39"/>
  <c r="J262" i="39"/>
  <c r="K262" i="39" s="1"/>
  <c r="F262" i="39"/>
  <c r="I358" i="39"/>
  <c r="G358" i="39" s="1"/>
  <c r="J327" i="39"/>
  <c r="K327" i="39" s="1"/>
  <c r="K372" i="39"/>
  <c r="F405" i="39"/>
  <c r="F433" i="39"/>
  <c r="F440" i="39"/>
  <c r="J210" i="39"/>
  <c r="L210" i="39" s="1"/>
  <c r="F223" i="39"/>
  <c r="F470" i="39"/>
  <c r="F34" i="39"/>
  <c r="J81" i="39"/>
  <c r="K81" i="39" s="1"/>
  <c r="F81" i="39"/>
  <c r="J108" i="39"/>
  <c r="K108" i="39" s="1"/>
  <c r="F121" i="39"/>
  <c r="L16" i="39"/>
  <c r="L34" i="39"/>
  <c r="F49" i="39"/>
  <c r="F88" i="39"/>
  <c r="F151" i="39"/>
  <c r="F183" i="39"/>
  <c r="J292" i="39"/>
  <c r="K292" i="39" s="1"/>
  <c r="K374" i="39"/>
  <c r="J427" i="39"/>
  <c r="F96" i="39"/>
  <c r="J96" i="39"/>
  <c r="K96" i="39" s="1"/>
  <c r="J55" i="39"/>
  <c r="K55" i="39" s="1"/>
  <c r="F82" i="39"/>
  <c r="F109" i="39"/>
  <c r="J115" i="39"/>
  <c r="K115" i="39" s="1"/>
  <c r="J286" i="39"/>
  <c r="K286" i="39" s="1"/>
  <c r="J293" i="39"/>
  <c r="K293" i="39" s="1"/>
  <c r="F293" i="39"/>
  <c r="F75" i="39"/>
  <c r="F165" i="39"/>
  <c r="L29" i="39"/>
  <c r="F103" i="39"/>
  <c r="F266" i="39"/>
  <c r="F337" i="39"/>
  <c r="F343" i="39"/>
  <c r="F360" i="39"/>
  <c r="F421" i="39"/>
  <c r="F435" i="39"/>
  <c r="K442" i="39"/>
  <c r="I236" i="39"/>
  <c r="F212" i="39"/>
  <c r="J237" i="39"/>
  <c r="I384" i="39"/>
  <c r="G384" i="39" s="1"/>
  <c r="F400" i="39"/>
  <c r="F44" i="39"/>
  <c r="J50" i="39"/>
  <c r="K50" i="39" s="1"/>
  <c r="J69" i="39"/>
  <c r="K69" i="39" s="1"/>
  <c r="F83" i="39"/>
  <c r="F166" i="39"/>
  <c r="J274" i="39"/>
  <c r="K274" i="39" s="1"/>
  <c r="F302" i="39"/>
  <c r="J386" i="39"/>
  <c r="K386" i="39" s="1"/>
  <c r="J415" i="39"/>
  <c r="K415" i="39" s="1"/>
  <c r="F422" i="39"/>
  <c r="F429" i="39"/>
  <c r="F131" i="39"/>
  <c r="K153" i="39"/>
  <c r="F232" i="39"/>
  <c r="J281" i="39"/>
  <c r="K281" i="39" s="1"/>
  <c r="F466" i="39"/>
  <c r="K161" i="39"/>
  <c r="K381" i="39"/>
  <c r="F38" i="39"/>
  <c r="F72" i="39"/>
  <c r="J72" i="39"/>
  <c r="K72" i="39" s="1"/>
  <c r="F93" i="39"/>
  <c r="F291" i="39"/>
  <c r="F364" i="39"/>
  <c r="F389" i="39"/>
  <c r="F411" i="39"/>
  <c r="F453" i="39"/>
  <c r="F143" i="39"/>
  <c r="F162" i="39"/>
  <c r="J305" i="39"/>
  <c r="K305" i="39" s="1"/>
  <c r="F305" i="39"/>
  <c r="J418" i="39"/>
  <c r="K418" i="39" s="1"/>
  <c r="F418" i="39"/>
  <c r="L27" i="39"/>
  <c r="F54" i="39"/>
  <c r="F60" i="39"/>
  <c r="F150" i="39"/>
  <c r="F216" i="39"/>
  <c r="F285" i="39"/>
  <c r="F298" i="39"/>
  <c r="J298" i="39"/>
  <c r="K298" i="39" s="1"/>
  <c r="F313" i="39"/>
  <c r="K21" i="39"/>
  <c r="F80" i="39"/>
  <c r="F114" i="39"/>
  <c r="J156" i="39"/>
  <c r="K156" i="39" s="1"/>
  <c r="J94" i="39"/>
  <c r="K94" i="39" s="1"/>
  <c r="F94" i="39"/>
  <c r="F263" i="39"/>
  <c r="F352" i="39"/>
  <c r="F365" i="39"/>
  <c r="K454" i="39"/>
  <c r="F102" i="39"/>
  <c r="F257" i="39"/>
  <c r="F307" i="39"/>
  <c r="F321" i="39"/>
  <c r="F328" i="39"/>
  <c r="F359" i="39"/>
  <c r="F434" i="39"/>
  <c r="F441" i="39"/>
  <c r="I128" i="39"/>
  <c r="G128" i="39" s="1"/>
  <c r="F190" i="39"/>
  <c r="F250" i="39"/>
  <c r="F211" i="39"/>
  <c r="J217" i="39"/>
  <c r="K217" i="39" s="1"/>
  <c r="F280" i="39"/>
  <c r="F399" i="39"/>
  <c r="F406" i="39"/>
  <c r="F273" i="39"/>
  <c r="I314" i="39"/>
  <c r="G314" i="39" s="1"/>
  <c r="K385" i="39"/>
  <c r="K464" i="39"/>
  <c r="J130" i="39"/>
  <c r="K130" i="39" s="1"/>
  <c r="F287" i="39"/>
  <c r="K315" i="39"/>
  <c r="F457" i="39"/>
  <c r="J316" i="39"/>
  <c r="K316" i="39" s="1"/>
  <c r="F316" i="39"/>
  <c r="L24" i="39"/>
  <c r="F64" i="39"/>
  <c r="F91" i="39"/>
  <c r="F98" i="39"/>
  <c r="F104" i="39"/>
  <c r="F140" i="39"/>
  <c r="F160" i="39"/>
  <c r="F338" i="39"/>
  <c r="K458" i="39"/>
  <c r="F70" i="39"/>
  <c r="K220" i="39"/>
  <c r="F275" i="39"/>
  <c r="F296" i="39"/>
  <c r="F332" i="39"/>
  <c r="F394" i="39"/>
  <c r="F416" i="39"/>
  <c r="F451" i="39"/>
  <c r="K31" i="39"/>
  <c r="F167" i="39"/>
  <c r="F310" i="39"/>
  <c r="J430" i="39"/>
  <c r="K430" i="39" s="1"/>
  <c r="F430" i="39"/>
  <c r="L19" i="39"/>
  <c r="F268" i="39"/>
  <c r="J325" i="39"/>
  <c r="K325" i="39" s="1"/>
  <c r="F325" i="39"/>
  <c r="F423" i="39"/>
  <c r="K99" i="39"/>
  <c r="F345" i="39"/>
  <c r="F445" i="39"/>
  <c r="F350" i="39"/>
  <c r="J355" i="39"/>
  <c r="K355" i="39" s="1"/>
  <c r="F355" i="39"/>
  <c r="L14" i="39"/>
  <c r="F57" i="39"/>
  <c r="F62" i="39"/>
  <c r="F67" i="39"/>
  <c r="F116" i="39"/>
  <c r="F133" i="39"/>
  <c r="F173" i="39"/>
  <c r="F218" i="39"/>
  <c r="F258" i="39"/>
  <c r="F270" i="39"/>
  <c r="F340" i="39"/>
  <c r="F367" i="39"/>
  <c r="F461" i="39"/>
  <c r="F472" i="39"/>
  <c r="F78" i="39"/>
  <c r="F89" i="39"/>
  <c r="F241" i="39"/>
  <c r="F264" i="39"/>
  <c r="F276" i="39"/>
  <c r="F282" i="39"/>
  <c r="F300" i="39"/>
  <c r="K350" i="39"/>
  <c r="F395" i="39"/>
  <c r="F467" i="39"/>
  <c r="F40" i="39"/>
  <c r="F100" i="39"/>
  <c r="F111" i="39"/>
  <c r="F311" i="39"/>
  <c r="F356" i="39"/>
  <c r="F401" i="39"/>
  <c r="F419" i="39"/>
  <c r="F437" i="39"/>
  <c r="F443" i="39"/>
  <c r="J455" i="39"/>
  <c r="K455" i="39" s="1"/>
  <c r="K30" i="39"/>
  <c r="F73" i="39"/>
  <c r="F84" i="39"/>
  <c r="J105" i="39"/>
  <c r="K105" i="39" s="1"/>
  <c r="F141" i="39"/>
  <c r="F163" i="39"/>
  <c r="F213" i="39"/>
  <c r="F253" i="39"/>
  <c r="F335" i="39"/>
  <c r="F390" i="39"/>
  <c r="F413" i="39"/>
  <c r="K25" i="39"/>
  <c r="F58" i="39"/>
  <c r="F63" i="39"/>
  <c r="F95" i="39"/>
  <c r="F123" i="39"/>
  <c r="F259" i="39"/>
  <c r="F265" i="39"/>
  <c r="F295" i="39"/>
  <c r="F306" i="39"/>
  <c r="F323" i="39"/>
  <c r="F362" i="39"/>
  <c r="J407" i="39"/>
  <c r="K407" i="39" s="1"/>
  <c r="F68" i="39"/>
  <c r="F106" i="39"/>
  <c r="F134" i="39"/>
  <c r="J147" i="39"/>
  <c r="K147" i="39" s="1"/>
  <c r="F158" i="39"/>
  <c r="F271" i="39"/>
  <c r="J277" i="39"/>
  <c r="K277" i="39" s="1"/>
  <c r="F277" i="39"/>
  <c r="F385" i="39"/>
  <c r="F426" i="39"/>
  <c r="F432" i="39"/>
  <c r="F456" i="39"/>
  <c r="F462" i="39"/>
  <c r="F90" i="39"/>
  <c r="K312" i="39"/>
  <c r="K330" i="39"/>
  <c r="K357" i="39"/>
  <c r="J408" i="39"/>
  <c r="K408" i="39" s="1"/>
  <c r="F408" i="39"/>
  <c r="F450" i="39"/>
  <c r="I219" i="39"/>
  <c r="G219" i="39" s="1"/>
  <c r="F231" i="39"/>
  <c r="K278" i="39"/>
  <c r="F312" i="39"/>
  <c r="F330" i="39"/>
  <c r="F357" i="39"/>
  <c r="F402" i="39"/>
  <c r="F438" i="39"/>
  <c r="F149" i="39"/>
  <c r="F169" i="39"/>
  <c r="F189" i="39"/>
  <c r="F261" i="39"/>
  <c r="F387" i="39"/>
  <c r="F392" i="39"/>
  <c r="F397" i="39"/>
  <c r="F414" i="39"/>
  <c r="F425" i="39"/>
  <c r="F463" i="39"/>
  <c r="K283" i="39"/>
  <c r="F288" i="39"/>
  <c r="F403" i="39"/>
  <c r="J51" i="39"/>
  <c r="K51" i="39" s="1"/>
  <c r="F283" i="39"/>
  <c r="F331" i="39"/>
  <c r="J336" i="39"/>
  <c r="K336" i="39" s="1"/>
  <c r="I170" i="39"/>
  <c r="G170" i="39" s="1"/>
  <c r="K383" i="39"/>
  <c r="K375" i="39"/>
  <c r="J475" i="39"/>
  <c r="F475" i="39"/>
  <c r="L32" i="36"/>
  <c r="F385" i="36"/>
  <c r="J385" i="36"/>
  <c r="K385" i="36" s="1"/>
  <c r="K52" i="36"/>
  <c r="J335" i="36"/>
  <c r="K335" i="36" s="1"/>
  <c r="F129" i="36"/>
  <c r="J129" i="36"/>
  <c r="K129" i="36" s="1"/>
  <c r="F110" i="36"/>
  <c r="F177" i="36"/>
  <c r="J188" i="36"/>
  <c r="K188" i="36" s="1"/>
  <c r="F188" i="36"/>
  <c r="F317" i="36"/>
  <c r="F394" i="36"/>
  <c r="J394" i="36"/>
  <c r="K394" i="36" s="1"/>
  <c r="F308" i="36"/>
  <c r="J308" i="36"/>
  <c r="K308" i="36" s="1"/>
  <c r="J223" i="36"/>
  <c r="K223" i="36" s="1"/>
  <c r="F101" i="36"/>
  <c r="J101" i="36"/>
  <c r="K101" i="36" s="1"/>
  <c r="F441" i="36"/>
  <c r="F453" i="36"/>
  <c r="J453" i="36"/>
  <c r="K453" i="36" s="1"/>
  <c r="J91" i="36"/>
  <c r="K91" i="36" s="1"/>
  <c r="J289" i="36"/>
  <c r="K289" i="36" s="1"/>
  <c r="F442" i="36"/>
  <c r="J442" i="36"/>
  <c r="K442" i="36" s="1"/>
  <c r="J215" i="36"/>
  <c r="K215" i="36" s="1"/>
  <c r="J363" i="36"/>
  <c r="K363" i="36" s="1"/>
  <c r="F363" i="36"/>
  <c r="K431" i="36"/>
  <c r="J216" i="36"/>
  <c r="K216" i="36" s="1"/>
  <c r="F216" i="36"/>
  <c r="F353" i="36"/>
  <c r="K420" i="36"/>
  <c r="J82" i="36"/>
  <c r="K82" i="36" s="1"/>
  <c r="F148" i="36"/>
  <c r="J148" i="36"/>
  <c r="K148" i="36" s="1"/>
  <c r="F83" i="36"/>
  <c r="K137" i="36"/>
  <c r="J119" i="36"/>
  <c r="K119" i="36" s="1"/>
  <c r="K251" i="36"/>
  <c r="J326" i="36"/>
  <c r="K326" i="36" s="1"/>
  <c r="F403" i="36"/>
  <c r="J158" i="36"/>
  <c r="K158" i="36" s="1"/>
  <c r="J318" i="36"/>
  <c r="K318" i="36" s="1"/>
  <c r="F151" i="36"/>
  <c r="J282" i="36"/>
  <c r="K282" i="36" s="1"/>
  <c r="F348" i="36"/>
  <c r="F415" i="36"/>
  <c r="K311" i="36"/>
  <c r="F320" i="36"/>
  <c r="J339" i="36"/>
  <c r="K339" i="36" s="1"/>
  <c r="K377" i="36"/>
  <c r="K445" i="36"/>
  <c r="F104" i="36"/>
  <c r="J132" i="36"/>
  <c r="K132" i="36" s="1"/>
  <c r="F255" i="36"/>
  <c r="F303" i="36"/>
  <c r="J366" i="36"/>
  <c r="K366" i="36" s="1"/>
  <c r="F389" i="36"/>
  <c r="J397" i="36"/>
  <c r="K397" i="36" s="1"/>
  <c r="J86" i="36"/>
  <c r="K86" i="36" s="1"/>
  <c r="J340" i="36"/>
  <c r="K340" i="36" s="1"/>
  <c r="F349" i="36"/>
  <c r="J436" i="36"/>
  <c r="K436" i="36" s="1"/>
  <c r="K25" i="36"/>
  <c r="F208" i="36"/>
  <c r="J355" i="36"/>
  <c r="K355" i="36" s="1"/>
  <c r="F159" i="36"/>
  <c r="J272" i="36"/>
  <c r="K272" i="36" s="1"/>
  <c r="J434" i="36"/>
  <c r="L17" i="36"/>
  <c r="F85" i="36"/>
  <c r="J122" i="36"/>
  <c r="K122" i="36" s="1"/>
  <c r="J190" i="36"/>
  <c r="K190" i="36" s="1"/>
  <c r="J405" i="36"/>
  <c r="K405" i="36" s="1"/>
  <c r="J113" i="36"/>
  <c r="K113" i="36" s="1"/>
  <c r="J218" i="36"/>
  <c r="K218" i="36" s="1"/>
  <c r="J57" i="36"/>
  <c r="K57" i="36" s="1"/>
  <c r="J95" i="36"/>
  <c r="K95" i="36" s="1"/>
  <c r="J348" i="36"/>
  <c r="K348" i="36" s="1"/>
  <c r="J48" i="36"/>
  <c r="K48" i="36" s="1"/>
  <c r="F219" i="36"/>
  <c r="K19" i="36"/>
  <c r="K29" i="36"/>
  <c r="J96" i="36"/>
  <c r="K96" i="36" s="1"/>
  <c r="J210" i="36"/>
  <c r="K210" i="36" s="1"/>
  <c r="J349" i="36"/>
  <c r="K349" i="36" s="1"/>
  <c r="K417" i="36"/>
  <c r="K437" i="36"/>
  <c r="J386" i="36"/>
  <c r="K386" i="36" s="1"/>
  <c r="J145" i="36"/>
  <c r="K145" i="36" s="1"/>
  <c r="J117" i="36"/>
  <c r="K117" i="36" s="1"/>
  <c r="J221" i="36"/>
  <c r="K221" i="36" s="1"/>
  <c r="K370" i="36"/>
  <c r="J391" i="36"/>
  <c r="K391" i="36" s="1"/>
  <c r="F463" i="36"/>
  <c r="F102" i="36"/>
  <c r="J139" i="36"/>
  <c r="K139" i="36" s="1"/>
  <c r="J327" i="36"/>
  <c r="K327" i="36" s="1"/>
  <c r="L35" i="36"/>
  <c r="J93" i="36"/>
  <c r="K93" i="36" s="1"/>
  <c r="J261" i="36"/>
  <c r="K261" i="36" s="1"/>
  <c r="J309" i="36"/>
  <c r="K309" i="36" s="1"/>
  <c r="J253" i="36"/>
  <c r="K253" i="36" s="1"/>
  <c r="J301" i="36"/>
  <c r="K301" i="36" s="1"/>
  <c r="F347" i="36"/>
  <c r="J454" i="36"/>
  <c r="K454" i="36" s="1"/>
  <c r="K153" i="36"/>
  <c r="K161" i="36"/>
  <c r="L30" i="36"/>
  <c r="J71" i="36"/>
  <c r="K71" i="36" s="1"/>
  <c r="J106" i="36"/>
  <c r="K106" i="36" s="1"/>
  <c r="J399" i="36"/>
  <c r="K399" i="36" s="1"/>
  <c r="J429" i="36"/>
  <c r="K429" i="36" s="1"/>
  <c r="J88" i="36"/>
  <c r="K88" i="36" s="1"/>
  <c r="J296" i="36"/>
  <c r="K296" i="36" s="1"/>
  <c r="K381" i="36"/>
  <c r="F72" i="36"/>
  <c r="F258" i="36"/>
  <c r="J323" i="36"/>
  <c r="K323" i="36" s="1"/>
  <c r="F360" i="36"/>
  <c r="F419" i="36"/>
  <c r="J449" i="36"/>
  <c r="K449" i="36" s="1"/>
  <c r="K22" i="36"/>
  <c r="K164" i="36"/>
  <c r="K186" i="36"/>
  <c r="J277" i="36"/>
  <c r="K277" i="36" s="1"/>
  <c r="K288" i="36"/>
  <c r="K35" i="36"/>
  <c r="K415" i="36"/>
  <c r="K369" i="36"/>
  <c r="K380" i="36"/>
  <c r="K104" i="36"/>
  <c r="K269" i="36"/>
  <c r="I312" i="36"/>
  <c r="G312" i="36" s="1"/>
  <c r="K434" i="36"/>
  <c r="K28" i="36"/>
  <c r="K102" i="36"/>
  <c r="K258" i="36"/>
  <c r="L21" i="36"/>
  <c r="K30" i="36"/>
  <c r="K49" i="36"/>
  <c r="K151" i="36"/>
  <c r="K159" i="36"/>
  <c r="K259" i="36"/>
  <c r="K299" i="36"/>
  <c r="K307" i="36"/>
  <c r="K316" i="36"/>
  <c r="K458" i="36"/>
  <c r="K320" i="36"/>
  <c r="K378" i="36"/>
  <c r="K379" i="36"/>
  <c r="K115" i="36"/>
  <c r="K270" i="36"/>
  <c r="K300" i="36"/>
  <c r="K317" i="36"/>
  <c r="K344" i="36"/>
  <c r="K371" i="36"/>
  <c r="I466" i="36"/>
  <c r="G466" i="36" s="1"/>
  <c r="K389" i="36"/>
  <c r="L23" i="36"/>
  <c r="K61" i="36"/>
  <c r="K116" i="36"/>
  <c r="K124" i="36"/>
  <c r="K372" i="36"/>
  <c r="K384" i="36"/>
  <c r="K392" i="36"/>
  <c r="K450" i="36"/>
  <c r="L19" i="36"/>
  <c r="K24" i="36"/>
  <c r="K62" i="36"/>
  <c r="K89" i="36"/>
  <c r="K134" i="36"/>
  <c r="L208" i="36"/>
  <c r="K373" i="36"/>
  <c r="K451" i="36"/>
  <c r="K295" i="36"/>
  <c r="K332" i="36"/>
  <c r="K33" i="36"/>
  <c r="K99" i="36"/>
  <c r="K254" i="36"/>
  <c r="K293" i="36"/>
  <c r="K302" i="36"/>
  <c r="K328" i="36"/>
  <c r="K412" i="36"/>
  <c r="K27" i="36"/>
  <c r="K368" i="36"/>
  <c r="K108" i="36"/>
  <c r="K162" i="36"/>
  <c r="K263" i="36"/>
  <c r="K310" i="36"/>
  <c r="K319" i="36"/>
  <c r="K452" i="36"/>
  <c r="K461" i="36"/>
  <c r="K110" i="36"/>
  <c r="K18" i="36"/>
  <c r="K367" i="36"/>
  <c r="K219" i="36"/>
  <c r="I426" i="36"/>
  <c r="G426" i="36" s="1"/>
  <c r="K16" i="36"/>
  <c r="L34" i="36"/>
  <c r="K64" i="36"/>
  <c r="K118" i="36"/>
  <c r="K126" i="36"/>
  <c r="K283" i="36"/>
  <c r="K375" i="36"/>
  <c r="K395" i="36"/>
  <c r="K462" i="36"/>
  <c r="L33" i="36"/>
  <c r="K83" i="36"/>
  <c r="K125" i="36"/>
  <c r="F300" i="36"/>
  <c r="K17" i="36"/>
  <c r="J68" i="36"/>
  <c r="K68" i="36" s="1"/>
  <c r="F186" i="36"/>
  <c r="F209" i="36"/>
  <c r="J209" i="36"/>
  <c r="K209" i="36" s="1"/>
  <c r="F283" i="36"/>
  <c r="J333" i="36"/>
  <c r="K333" i="36" s="1"/>
  <c r="F333" i="36"/>
  <c r="J364" i="36"/>
  <c r="K364" i="36" s="1"/>
  <c r="J152" i="36"/>
  <c r="K152" i="36" s="1"/>
  <c r="F152" i="36"/>
  <c r="J267" i="36"/>
  <c r="K267" i="36" s="1"/>
  <c r="F267" i="36"/>
  <c r="J60" i="36"/>
  <c r="K60" i="36" s="1"/>
  <c r="F60" i="36"/>
  <c r="F77" i="36"/>
  <c r="F118" i="36"/>
  <c r="F350" i="36"/>
  <c r="J411" i="36"/>
  <c r="K411" i="36" s="1"/>
  <c r="F411" i="36"/>
  <c r="F438" i="36"/>
  <c r="K235" i="36"/>
  <c r="J350" i="36"/>
  <c r="K350" i="36" s="1"/>
  <c r="F294" i="36"/>
  <c r="F61" i="36"/>
  <c r="K128" i="36"/>
  <c r="I197" i="36"/>
  <c r="G197" i="36" s="1"/>
  <c r="J227" i="36"/>
  <c r="K227" i="36" s="1"/>
  <c r="F227" i="36"/>
  <c r="F421" i="36"/>
  <c r="J457" i="36"/>
  <c r="K457" i="36" s="1"/>
  <c r="L20" i="36"/>
  <c r="J170" i="36"/>
  <c r="K170" i="36" s="1"/>
  <c r="J260" i="36"/>
  <c r="K260" i="36" s="1"/>
  <c r="F260" i="36"/>
  <c r="F286" i="36"/>
  <c r="F450" i="36"/>
  <c r="L31" i="36"/>
  <c r="J322" i="36"/>
  <c r="K322" i="36" s="1"/>
  <c r="F322" i="36"/>
  <c r="K427" i="36"/>
  <c r="J112" i="36"/>
  <c r="K112" i="36" s="1"/>
  <c r="F112" i="36"/>
  <c r="F162" i="36"/>
  <c r="J130" i="36"/>
  <c r="K130" i="36" s="1"/>
  <c r="F130" i="36"/>
  <c r="F345" i="36"/>
  <c r="I37" i="36"/>
  <c r="F288" i="36"/>
  <c r="J338" i="36"/>
  <c r="K338" i="36" s="1"/>
  <c r="F338" i="36"/>
  <c r="J38" i="36"/>
  <c r="F89" i="36"/>
  <c r="J140" i="36"/>
  <c r="K140" i="36" s="1"/>
  <c r="J321" i="36"/>
  <c r="K321" i="36" s="1"/>
  <c r="F66" i="36"/>
  <c r="J66" i="36"/>
  <c r="K66" i="36" s="1"/>
  <c r="K32" i="36"/>
  <c r="F90" i="36"/>
  <c r="J90" i="36"/>
  <c r="K90" i="36" s="1"/>
  <c r="F107" i="36"/>
  <c r="F141" i="36"/>
  <c r="J264" i="36"/>
  <c r="K264" i="36" s="1"/>
  <c r="K298" i="36"/>
  <c r="K408" i="36"/>
  <c r="F427" i="36"/>
  <c r="F62" i="36"/>
  <c r="F79" i="36"/>
  <c r="J79" i="36"/>
  <c r="K79" i="36" s="1"/>
  <c r="F54" i="36"/>
  <c r="J278" i="36"/>
  <c r="K278" i="36" s="1"/>
  <c r="F311" i="36"/>
  <c r="J432" i="36"/>
  <c r="K432" i="36" s="1"/>
  <c r="F432" i="36"/>
  <c r="K21" i="36"/>
  <c r="F147" i="36"/>
  <c r="F163" i="36"/>
  <c r="J163" i="36"/>
  <c r="K163" i="36" s="1"/>
  <c r="J73" i="36"/>
  <c r="K73" i="36" s="1"/>
  <c r="F73" i="36"/>
  <c r="F105" i="36"/>
  <c r="J271" i="36"/>
  <c r="K271" i="36" s="1"/>
  <c r="F271" i="36"/>
  <c r="J329" i="36"/>
  <c r="K329" i="36" s="1"/>
  <c r="F329" i="36"/>
  <c r="I346" i="36"/>
  <c r="G346" i="36" s="1"/>
  <c r="F354" i="36"/>
  <c r="F416" i="36"/>
  <c r="J443" i="36"/>
  <c r="K443" i="36" s="1"/>
  <c r="F443" i="36"/>
  <c r="F232" i="36"/>
  <c r="F214" i="36"/>
  <c r="J214" i="36"/>
  <c r="K214" i="36" s="1"/>
  <c r="J230" i="36"/>
  <c r="K230" i="36" s="1"/>
  <c r="F230" i="36"/>
  <c r="J330" i="36"/>
  <c r="K330" i="36" s="1"/>
  <c r="F330" i="36"/>
  <c r="J414" i="36"/>
  <c r="K414" i="36" s="1"/>
  <c r="F414" i="36"/>
  <c r="J467" i="36"/>
  <c r="F467" i="36"/>
  <c r="K12" i="36"/>
  <c r="F157" i="36"/>
  <c r="F164" i="36"/>
  <c r="F265" i="36"/>
  <c r="J273" i="36"/>
  <c r="K273" i="36" s="1"/>
  <c r="F273" i="36"/>
  <c r="F281" i="36"/>
  <c r="L12" i="36"/>
  <c r="J63" i="36"/>
  <c r="K63" i="36" s="1"/>
  <c r="F63" i="36"/>
  <c r="F128" i="36"/>
  <c r="F237" i="36"/>
  <c r="F316" i="36"/>
  <c r="F359" i="36"/>
  <c r="K374" i="36"/>
  <c r="F398" i="36"/>
  <c r="F84" i="36"/>
  <c r="I127" i="36"/>
  <c r="G127" i="36" s="1"/>
  <c r="F181" i="36"/>
  <c r="F231" i="36"/>
  <c r="F437" i="36"/>
  <c r="L27" i="36"/>
  <c r="F99" i="36"/>
  <c r="F310" i="36"/>
  <c r="J365" i="36"/>
  <c r="K365" i="36" s="1"/>
  <c r="F468" i="36"/>
  <c r="K56" i="36"/>
  <c r="I382" i="36"/>
  <c r="G382" i="36" s="1"/>
  <c r="L14" i="36"/>
  <c r="I11" i="36"/>
  <c r="F56" i="36"/>
  <c r="K252" i="36"/>
  <c r="J324" i="36"/>
  <c r="K324" i="36" s="1"/>
  <c r="F324" i="36"/>
  <c r="F276" i="36"/>
  <c r="J276" i="36"/>
  <c r="K276" i="36" s="1"/>
  <c r="F292" i="36"/>
  <c r="J292" i="36"/>
  <c r="K292" i="36" s="1"/>
  <c r="J439" i="36"/>
  <c r="K439" i="36" s="1"/>
  <c r="F439" i="36"/>
  <c r="F305" i="36"/>
  <c r="F393" i="36"/>
  <c r="F94" i="36"/>
  <c r="J131" i="36"/>
  <c r="K131" i="36" s="1"/>
  <c r="F131" i="36"/>
  <c r="I217" i="36"/>
  <c r="G217" i="36" s="1"/>
  <c r="F254" i="36"/>
  <c r="F299" i="36"/>
  <c r="F387" i="36"/>
  <c r="L16" i="36"/>
  <c r="F67" i="36"/>
  <c r="L123" i="36"/>
  <c r="L37" i="36" s="1"/>
  <c r="F146" i="36"/>
  <c r="F293" i="36"/>
  <c r="F455" i="36"/>
  <c r="F462" i="36"/>
  <c r="J154" i="36"/>
  <c r="K154" i="36" s="1"/>
  <c r="F154" i="36"/>
  <c r="L22" i="36"/>
  <c r="K34" i="36"/>
  <c r="K433" i="36"/>
  <c r="F34" i="36"/>
  <c r="K255" i="36"/>
  <c r="F388" i="36"/>
  <c r="J400" i="36"/>
  <c r="K400" i="36" s="1"/>
  <c r="F400" i="36"/>
  <c r="F433" i="36"/>
  <c r="F160" i="36"/>
  <c r="F459" i="36"/>
  <c r="L18" i="36"/>
  <c r="F36" i="36"/>
  <c r="J41" i="36"/>
  <c r="K41" i="36" s="1"/>
  <c r="F115" i="36"/>
  <c r="F150" i="36"/>
  <c r="J155" i="36"/>
  <c r="K155" i="36" s="1"/>
  <c r="J166" i="36"/>
  <c r="K166" i="36" s="1"/>
  <c r="J274" i="36"/>
  <c r="K274" i="36" s="1"/>
  <c r="F280" i="36"/>
  <c r="J291" i="36"/>
  <c r="K291" i="36" s="1"/>
  <c r="F291" i="36"/>
  <c r="F297" i="36"/>
  <c r="J297" i="36"/>
  <c r="K297" i="36" s="1"/>
  <c r="F314" i="36"/>
  <c r="J331" i="36"/>
  <c r="K331" i="36" s="1"/>
  <c r="F337" i="36"/>
  <c r="J347" i="36"/>
  <c r="F357" i="36"/>
  <c r="J396" i="36"/>
  <c r="K396" i="36" s="1"/>
  <c r="F402" i="36"/>
  <c r="J407" i="36"/>
  <c r="K407" i="36" s="1"/>
  <c r="F413" i="36"/>
  <c r="J418" i="36"/>
  <c r="K418" i="36" s="1"/>
  <c r="J424" i="36"/>
  <c r="K424" i="36" s="1"/>
  <c r="F424" i="36"/>
  <c r="F406" i="36"/>
  <c r="F417" i="36"/>
  <c r="F452" i="36"/>
  <c r="F40" i="36"/>
  <c r="J80" i="36"/>
  <c r="K80" i="36" s="1"/>
  <c r="F80" i="36"/>
  <c r="F97" i="36"/>
  <c r="F108" i="36"/>
  <c r="L29" i="36"/>
  <c r="F69" i="36"/>
  <c r="F279" i="36"/>
  <c r="F401" i="36"/>
  <c r="F412" i="36"/>
  <c r="F58" i="36"/>
  <c r="J233" i="36"/>
  <c r="K233" i="36" s="1"/>
  <c r="F239" i="36"/>
  <c r="F262" i="36"/>
  <c r="J284" i="36"/>
  <c r="K284" i="36" s="1"/>
  <c r="F290" i="36"/>
  <c r="F319" i="36"/>
  <c r="K376" i="36"/>
  <c r="J464" i="36"/>
  <c r="K464" i="36" s="1"/>
  <c r="F103" i="36"/>
  <c r="J114" i="36"/>
  <c r="K114" i="36" s="1"/>
  <c r="F302" i="36"/>
  <c r="J336" i="36"/>
  <c r="K336" i="36" s="1"/>
  <c r="J92" i="36"/>
  <c r="K92" i="36" s="1"/>
  <c r="J222" i="36"/>
  <c r="K222" i="36" s="1"/>
  <c r="J268" i="36"/>
  <c r="K268" i="36" s="1"/>
  <c r="J423" i="36"/>
  <c r="F435" i="36"/>
  <c r="J435" i="36"/>
  <c r="K435" i="36" s="1"/>
  <c r="L24" i="36"/>
  <c r="F70" i="36"/>
  <c r="J70" i="36"/>
  <c r="K70" i="36" s="1"/>
  <c r="J120" i="36"/>
  <c r="K120" i="36" s="1"/>
  <c r="J144" i="36"/>
  <c r="K144" i="36" s="1"/>
  <c r="F263" i="36"/>
  <c r="F285" i="36"/>
  <c r="J342" i="36"/>
  <c r="K342" i="36" s="1"/>
  <c r="J447" i="36"/>
  <c r="K13" i="36"/>
  <c r="L36" i="36"/>
  <c r="J53" i="36"/>
  <c r="K53" i="36" s="1"/>
  <c r="J87" i="36"/>
  <c r="K87" i="36" s="1"/>
  <c r="J98" i="36"/>
  <c r="K98" i="36" s="1"/>
  <c r="J121" i="36"/>
  <c r="K121" i="36" s="1"/>
  <c r="F121" i="36"/>
  <c r="F133" i="36"/>
  <c r="J448" i="36"/>
  <c r="K448" i="36" s="1"/>
  <c r="F448" i="36"/>
  <c r="J465" i="36"/>
  <c r="K465" i="36" s="1"/>
  <c r="F189" i="36"/>
  <c r="F307" i="36"/>
  <c r="J383" i="36"/>
  <c r="F383" i="36"/>
  <c r="F428" i="36"/>
  <c r="F440" i="36"/>
  <c r="J440" i="36"/>
  <c r="K440" i="36" s="1"/>
  <c r="F149" i="36"/>
  <c r="F211" i="36"/>
  <c r="F395" i="36"/>
  <c r="F325" i="36"/>
  <c r="F470" i="36"/>
  <c r="F384" i="36"/>
  <c r="F64" i="36"/>
  <c r="F138" i="36"/>
  <c r="K313" i="36"/>
  <c r="F362" i="36"/>
  <c r="I446" i="36"/>
  <c r="G446" i="36" s="1"/>
  <c r="F257" i="36"/>
  <c r="K357" i="36"/>
  <c r="F390" i="36"/>
  <c r="F65" i="36"/>
  <c r="J65" i="36"/>
  <c r="K65" i="36" s="1"/>
  <c r="J229" i="36"/>
  <c r="K229" i="36" s="1"/>
  <c r="F229" i="36"/>
  <c r="F343" i="36"/>
  <c r="F461" i="36"/>
  <c r="F116" i="36"/>
  <c r="F137" i="36"/>
  <c r="I167" i="36"/>
  <c r="G167" i="36" s="1"/>
  <c r="F266" i="36"/>
  <c r="F287" i="36"/>
  <c r="F328" i="36"/>
  <c r="F404" i="36"/>
  <c r="F409" i="36"/>
  <c r="F425" i="36"/>
  <c r="F430" i="36"/>
  <c r="F451" i="36"/>
  <c r="F456" i="36"/>
  <c r="F45" i="36"/>
  <c r="F55" i="36"/>
  <c r="I234" i="36"/>
  <c r="I356" i="36"/>
  <c r="G356" i="36" s="1"/>
  <c r="F39" i="36"/>
  <c r="F50" i="36"/>
  <c r="F111" i="36"/>
  <c r="F235" i="36"/>
  <c r="F473" i="36"/>
  <c r="F57" i="34"/>
  <c r="F128" i="34"/>
  <c r="F263" i="34"/>
  <c r="J263" i="34"/>
  <c r="K263" i="34" s="1"/>
  <c r="L23" i="34"/>
  <c r="J303" i="34"/>
  <c r="K303" i="34" s="1"/>
  <c r="F314" i="34"/>
  <c r="F324" i="34"/>
  <c r="F400" i="34"/>
  <c r="F99" i="34"/>
  <c r="F120" i="34"/>
  <c r="F409" i="34"/>
  <c r="F420" i="34"/>
  <c r="J420" i="34"/>
  <c r="K420" i="34" s="1"/>
  <c r="F459" i="34"/>
  <c r="F468" i="34"/>
  <c r="L24" i="34"/>
  <c r="F48" i="34"/>
  <c r="F295" i="34"/>
  <c r="J35" i="34"/>
  <c r="K379" i="34"/>
  <c r="F90" i="34"/>
  <c r="J285" i="34"/>
  <c r="F401" i="34"/>
  <c r="F296" i="34"/>
  <c r="F306" i="34"/>
  <c r="J306" i="34"/>
  <c r="K306" i="34" s="1"/>
  <c r="F442" i="34"/>
  <c r="J236" i="34"/>
  <c r="K236" i="34" s="1"/>
  <c r="K369" i="34"/>
  <c r="F402" i="34"/>
  <c r="J402" i="34"/>
  <c r="K402" i="34" s="1"/>
  <c r="F72" i="34"/>
  <c r="J92" i="34"/>
  <c r="K92" i="34" s="1"/>
  <c r="F268" i="34"/>
  <c r="J394" i="34"/>
  <c r="K394" i="34" s="1"/>
  <c r="F394" i="34"/>
  <c r="F462" i="34"/>
  <c r="J462" i="34"/>
  <c r="K462" i="34" s="1"/>
  <c r="J62" i="34"/>
  <c r="F156" i="34"/>
  <c r="J360" i="34"/>
  <c r="K360" i="34" s="1"/>
  <c r="J83" i="34"/>
  <c r="K83" i="34" s="1"/>
  <c r="F146" i="34"/>
  <c r="J147" i="34"/>
  <c r="K147" i="34" s="1"/>
  <c r="J209" i="34"/>
  <c r="L209" i="34" s="1"/>
  <c r="J416" i="34"/>
  <c r="K416" i="34" s="1"/>
  <c r="J436" i="34"/>
  <c r="K436" i="34" s="1"/>
  <c r="K126" i="34"/>
  <c r="J311" i="34"/>
  <c r="K311" i="34" s="1"/>
  <c r="L32" i="34"/>
  <c r="J65" i="34"/>
  <c r="K65" i="34" s="1"/>
  <c r="K97" i="34"/>
  <c r="F139" i="34"/>
  <c r="J139" i="34"/>
  <c r="K139" i="34" s="1"/>
  <c r="F271" i="34"/>
  <c r="J271" i="34"/>
  <c r="K271" i="34" s="1"/>
  <c r="L13" i="34"/>
  <c r="F182" i="34"/>
  <c r="J234" i="34"/>
  <c r="K234" i="34" s="1"/>
  <c r="J408" i="34"/>
  <c r="K408" i="34" s="1"/>
  <c r="J429" i="34"/>
  <c r="K429" i="34" s="1"/>
  <c r="F429" i="34"/>
  <c r="J88" i="34"/>
  <c r="F36" i="34"/>
  <c r="J80" i="34"/>
  <c r="K80" i="34" s="1"/>
  <c r="J275" i="34"/>
  <c r="K275" i="34" s="1"/>
  <c r="J305" i="34"/>
  <c r="K305" i="34" s="1"/>
  <c r="K368" i="34"/>
  <c r="F392" i="34"/>
  <c r="F460" i="34"/>
  <c r="F101" i="34"/>
  <c r="F359" i="34"/>
  <c r="F166" i="34"/>
  <c r="F217" i="34"/>
  <c r="J287" i="34"/>
  <c r="F452" i="34"/>
  <c r="F443" i="34"/>
  <c r="F136" i="34"/>
  <c r="J434" i="34"/>
  <c r="K434" i="34" s="1"/>
  <c r="J278" i="34"/>
  <c r="K278" i="34" s="1"/>
  <c r="F330" i="34"/>
  <c r="F341" i="34"/>
  <c r="F84" i="34"/>
  <c r="F157" i="34"/>
  <c r="J157" i="34"/>
  <c r="K157" i="34" s="1"/>
  <c r="F269" i="34"/>
  <c r="F279" i="34"/>
  <c r="K351" i="34"/>
  <c r="F444" i="34"/>
  <c r="F74" i="34"/>
  <c r="J74" i="34"/>
  <c r="K74" i="34" s="1"/>
  <c r="J115" i="34"/>
  <c r="K115" i="34" s="1"/>
  <c r="K125" i="34"/>
  <c r="J260" i="34"/>
  <c r="K260" i="34" s="1"/>
  <c r="J320" i="34"/>
  <c r="F426" i="34"/>
  <c r="J64" i="34"/>
  <c r="K64" i="34" s="1"/>
  <c r="J56" i="34"/>
  <c r="F97" i="34"/>
  <c r="K118" i="34"/>
  <c r="F211" i="34"/>
  <c r="J211" i="34"/>
  <c r="K211" i="34" s="1"/>
  <c r="J322" i="34"/>
  <c r="K322" i="34" s="1"/>
  <c r="K333" i="34"/>
  <c r="J407" i="34"/>
  <c r="K407" i="34" s="1"/>
  <c r="F149" i="34"/>
  <c r="F222" i="34"/>
  <c r="F238" i="34"/>
  <c r="F255" i="34"/>
  <c r="J362" i="34"/>
  <c r="K362" i="34" s="1"/>
  <c r="J411" i="34"/>
  <c r="K411" i="34" s="1"/>
  <c r="F111" i="34"/>
  <c r="F85" i="34"/>
  <c r="F94" i="34"/>
  <c r="J230" i="34"/>
  <c r="K230" i="34" s="1"/>
  <c r="F299" i="34"/>
  <c r="F317" i="34"/>
  <c r="F38" i="34"/>
  <c r="J67" i="34"/>
  <c r="J121" i="34"/>
  <c r="K121" i="34" s="1"/>
  <c r="F130" i="34"/>
  <c r="J345" i="34"/>
  <c r="K345" i="34" s="1"/>
  <c r="K446" i="34"/>
  <c r="F273" i="34"/>
  <c r="F103" i="34"/>
  <c r="F160" i="34"/>
  <c r="J223" i="34"/>
  <c r="K223" i="34" s="1"/>
  <c r="F292" i="34"/>
  <c r="K326" i="34"/>
  <c r="J439" i="34"/>
  <c r="K439" i="34" s="1"/>
  <c r="J122" i="34"/>
  <c r="K122" i="34" s="1"/>
  <c r="J178" i="34"/>
  <c r="K178" i="34" s="1"/>
  <c r="J300" i="34"/>
  <c r="K300" i="34" s="1"/>
  <c r="J355" i="34"/>
  <c r="K355" i="34" s="1"/>
  <c r="F388" i="34"/>
  <c r="F405" i="34"/>
  <c r="F424" i="34"/>
  <c r="J86" i="34"/>
  <c r="K86" i="34" s="1"/>
  <c r="F224" i="34"/>
  <c r="J309" i="34"/>
  <c r="K309" i="34" s="1"/>
  <c r="J318" i="34"/>
  <c r="K318" i="34" s="1"/>
  <c r="J337" i="34"/>
  <c r="K337" i="34" s="1"/>
  <c r="I423" i="34"/>
  <c r="G423" i="34" s="1"/>
  <c r="J431" i="34"/>
  <c r="K431" i="34" s="1"/>
  <c r="K96" i="34"/>
  <c r="J151" i="34"/>
  <c r="K151" i="34" s="1"/>
  <c r="J283" i="34"/>
  <c r="K283" i="34" s="1"/>
  <c r="K432" i="34"/>
  <c r="J448" i="34"/>
  <c r="K448" i="34" s="1"/>
  <c r="K458" i="34"/>
  <c r="K372" i="34"/>
  <c r="K48" i="34"/>
  <c r="J344" i="34"/>
  <c r="K344" i="34" s="1"/>
  <c r="F272" i="34"/>
  <c r="J290" i="34"/>
  <c r="K290" i="34" s="1"/>
  <c r="F354" i="34"/>
  <c r="F438" i="34"/>
  <c r="J454" i="34"/>
  <c r="K454" i="34" s="1"/>
  <c r="L28" i="34"/>
  <c r="F49" i="34"/>
  <c r="F102" i="34"/>
  <c r="J325" i="34"/>
  <c r="K325" i="34" s="1"/>
  <c r="K374" i="34"/>
  <c r="F412" i="34"/>
  <c r="F308" i="34"/>
  <c r="J59" i="34"/>
  <c r="F150" i="34"/>
  <c r="K256" i="34"/>
  <c r="F326" i="34"/>
  <c r="J336" i="34"/>
  <c r="K336" i="34" s="1"/>
  <c r="K375" i="34"/>
  <c r="J396" i="34"/>
  <c r="K396" i="34" s="1"/>
  <c r="F266" i="34"/>
  <c r="F60" i="34"/>
  <c r="J68" i="34"/>
  <c r="K68" i="34" s="1"/>
  <c r="F397" i="34"/>
  <c r="J465" i="34"/>
  <c r="K465" i="34" s="1"/>
  <c r="L30" i="34"/>
  <c r="J39" i="34"/>
  <c r="K39" i="34" s="1"/>
  <c r="F96" i="34"/>
  <c r="J257" i="34"/>
  <c r="L31" i="34"/>
  <c r="K79" i="34"/>
  <c r="J104" i="34"/>
  <c r="K104" i="34" s="1"/>
  <c r="K216" i="34"/>
  <c r="J233" i="34"/>
  <c r="K233" i="34" s="1"/>
  <c r="K249" i="34"/>
  <c r="J274" i="34"/>
  <c r="K274" i="34" s="1"/>
  <c r="K284" i="34"/>
  <c r="J356" i="34"/>
  <c r="K356" i="34" s="1"/>
  <c r="K389" i="34"/>
  <c r="F432" i="34"/>
  <c r="F458" i="34"/>
  <c r="K59" i="34"/>
  <c r="K49" i="34"/>
  <c r="L25" i="34"/>
  <c r="K25" i="34"/>
  <c r="K224" i="34"/>
  <c r="K341" i="34"/>
  <c r="L22" i="34"/>
  <c r="K101" i="34"/>
  <c r="I169" i="34"/>
  <c r="G169" i="34" s="1"/>
  <c r="K257" i="34"/>
  <c r="K85" i="34"/>
  <c r="K120" i="34"/>
  <c r="K324" i="34"/>
  <c r="K60" i="34"/>
  <c r="K370" i="34"/>
  <c r="L14" i="34"/>
  <c r="K111" i="34"/>
  <c r="K217" i="34"/>
  <c r="K267" i="34"/>
  <c r="K32" i="34"/>
  <c r="K42" i="34"/>
  <c r="K371" i="34"/>
  <c r="K317" i="34"/>
  <c r="K149" i="34"/>
  <c r="K382" i="34"/>
  <c r="K34" i="34"/>
  <c r="K44" i="34"/>
  <c r="K53" i="34"/>
  <c r="K70" i="34"/>
  <c r="K210" i="34"/>
  <c r="K220" i="34"/>
  <c r="L16" i="34"/>
  <c r="I357" i="34"/>
  <c r="G357" i="34" s="1"/>
  <c r="K262" i="34"/>
  <c r="K56" i="34"/>
  <c r="K72" i="34"/>
  <c r="K312" i="34"/>
  <c r="I347" i="34"/>
  <c r="G347" i="34" s="1"/>
  <c r="K19" i="34"/>
  <c r="K57" i="34"/>
  <c r="K99" i="34"/>
  <c r="K376" i="34"/>
  <c r="K452" i="34"/>
  <c r="K444" i="34"/>
  <c r="K29" i="34"/>
  <c r="K240" i="34"/>
  <c r="K255" i="34"/>
  <c r="K279" i="34"/>
  <c r="K331" i="34"/>
  <c r="K367" i="34"/>
  <c r="K438" i="34"/>
  <c r="K88" i="34"/>
  <c r="K285" i="34"/>
  <c r="K302" i="34"/>
  <c r="K449" i="34"/>
  <c r="K62" i="34"/>
  <c r="K320" i="34"/>
  <c r="K18" i="34"/>
  <c r="K460" i="34"/>
  <c r="K28" i="34"/>
  <c r="K136" i="34"/>
  <c r="K330" i="34"/>
  <c r="K21" i="34"/>
  <c r="K93" i="34"/>
  <c r="K119" i="34"/>
  <c r="K155" i="34"/>
  <c r="K359" i="34"/>
  <c r="K397" i="34"/>
  <c r="K412" i="34"/>
  <c r="K172" i="34"/>
  <c r="F172" i="34"/>
  <c r="K442" i="34"/>
  <c r="F232" i="34"/>
  <c r="F304" i="34"/>
  <c r="J54" i="34"/>
  <c r="K54" i="34" s="1"/>
  <c r="F54" i="34"/>
  <c r="F297" i="34"/>
  <c r="K150" i="34"/>
  <c r="F158" i="34"/>
  <c r="L36" i="34"/>
  <c r="K36" i="34"/>
  <c r="K67" i="34"/>
  <c r="J112" i="34"/>
  <c r="K112" i="34" s="1"/>
  <c r="F112" i="34"/>
  <c r="F291" i="34"/>
  <c r="J291" i="34"/>
  <c r="K291" i="34" s="1"/>
  <c r="K90" i="34"/>
  <c r="F282" i="34"/>
  <c r="J282" i="34"/>
  <c r="K282" i="34" s="1"/>
  <c r="K219" i="34"/>
  <c r="F210" i="34"/>
  <c r="J334" i="34"/>
  <c r="K334" i="34" s="1"/>
  <c r="F334" i="34"/>
  <c r="F390" i="34"/>
  <c r="K380" i="34"/>
  <c r="K22" i="34"/>
  <c r="K30" i="34"/>
  <c r="F119" i="34"/>
  <c r="K381" i="34"/>
  <c r="F219" i="34"/>
  <c r="F254" i="34"/>
  <c r="J254" i="34"/>
  <c r="K254" i="34" s="1"/>
  <c r="F77" i="34"/>
  <c r="J77" i="34"/>
  <c r="K77" i="34" s="1"/>
  <c r="J113" i="34"/>
  <c r="K113" i="34" s="1"/>
  <c r="F113" i="34"/>
  <c r="F284" i="34"/>
  <c r="K31" i="34"/>
  <c r="J335" i="34"/>
  <c r="K335" i="34" s="1"/>
  <c r="F161" i="34"/>
  <c r="F321" i="34"/>
  <c r="L17" i="34"/>
  <c r="J461" i="34"/>
  <c r="K461" i="34" s="1"/>
  <c r="F461" i="34"/>
  <c r="J270" i="34"/>
  <c r="K270" i="34" s="1"/>
  <c r="F393" i="34"/>
  <c r="J393" i="34"/>
  <c r="K393" i="34" s="1"/>
  <c r="F71" i="34"/>
  <c r="F155" i="34"/>
  <c r="L33" i="34"/>
  <c r="K33" i="34"/>
  <c r="I198" i="34"/>
  <c r="G198" i="34" s="1"/>
  <c r="F249" i="34"/>
  <c r="I11" i="34"/>
  <c r="F58" i="34"/>
  <c r="F346" i="34"/>
  <c r="J346" i="34"/>
  <c r="K346" i="34" s="1"/>
  <c r="F440" i="34"/>
  <c r="K287" i="34"/>
  <c r="F316" i="34"/>
  <c r="J316" i="34"/>
  <c r="K316" i="34" s="1"/>
  <c r="F417" i="34"/>
  <c r="F471" i="34"/>
  <c r="J471" i="34"/>
  <c r="K12" i="34"/>
  <c r="K27" i="34"/>
  <c r="L27" i="34"/>
  <c r="F117" i="34"/>
  <c r="J164" i="34"/>
  <c r="K164" i="34" s="1"/>
  <c r="J259" i="34"/>
  <c r="K259" i="34" s="1"/>
  <c r="F259" i="34"/>
  <c r="F331" i="34"/>
  <c r="L20" i="34"/>
  <c r="F216" i="34"/>
  <c r="F457" i="34"/>
  <c r="F110" i="34"/>
  <c r="F134" i="34"/>
  <c r="F361" i="34"/>
  <c r="F403" i="34"/>
  <c r="K23" i="34"/>
  <c r="I37" i="34"/>
  <c r="J152" i="34"/>
  <c r="K152" i="34" s="1"/>
  <c r="F152" i="34"/>
  <c r="F240" i="34"/>
  <c r="J421" i="34"/>
  <c r="K421" i="34" s="1"/>
  <c r="F421" i="34"/>
  <c r="K16" i="34"/>
  <c r="J189" i="34"/>
  <c r="K189" i="34" s="1"/>
  <c r="I127" i="34"/>
  <c r="G127" i="34" s="1"/>
  <c r="J168" i="34"/>
  <c r="K168" i="34" s="1"/>
  <c r="F168" i="34"/>
  <c r="J365" i="34"/>
  <c r="K365" i="34" s="1"/>
  <c r="F365" i="34"/>
  <c r="K128" i="34"/>
  <c r="F78" i="34"/>
  <c r="F100" i="34"/>
  <c r="K129" i="34"/>
  <c r="F190" i="34"/>
  <c r="F220" i="34"/>
  <c r="F351" i="34"/>
  <c r="F358" i="34"/>
  <c r="J358" i="34"/>
  <c r="J385" i="34"/>
  <c r="K385" i="34" s="1"/>
  <c r="F385" i="34"/>
  <c r="K392" i="34"/>
  <c r="F129" i="34"/>
  <c r="I313" i="34"/>
  <c r="G313" i="34" s="1"/>
  <c r="J286" i="34"/>
  <c r="K286" i="34" s="1"/>
  <c r="F286" i="34"/>
  <c r="K314" i="34"/>
  <c r="J386" i="34"/>
  <c r="K386" i="34" s="1"/>
  <c r="F386" i="34"/>
  <c r="K424" i="34"/>
  <c r="J423" i="34"/>
  <c r="J323" i="34"/>
  <c r="K323" i="34" s="1"/>
  <c r="F323" i="34"/>
  <c r="F95" i="34"/>
  <c r="F338" i="34"/>
  <c r="F81" i="34"/>
  <c r="F464" i="34"/>
  <c r="K13" i="34"/>
  <c r="F44" i="34"/>
  <c r="F66" i="34"/>
  <c r="J66" i="34"/>
  <c r="K66" i="34" s="1"/>
  <c r="F73" i="34"/>
  <c r="J280" i="34"/>
  <c r="K280" i="34" s="1"/>
  <c r="F280" i="34"/>
  <c r="J98" i="34"/>
  <c r="K98" i="34" s="1"/>
  <c r="F98" i="34"/>
  <c r="F91" i="34"/>
  <c r="J91" i="34"/>
  <c r="K91" i="34" s="1"/>
  <c r="F364" i="34"/>
  <c r="I218" i="34"/>
  <c r="G218" i="34" s="1"/>
  <c r="J298" i="34"/>
  <c r="K298" i="34" s="1"/>
  <c r="J342" i="34"/>
  <c r="K342" i="34" s="1"/>
  <c r="F342" i="34"/>
  <c r="J106" i="34"/>
  <c r="K106" i="34" s="1"/>
  <c r="K160" i="34"/>
  <c r="F414" i="34"/>
  <c r="F276" i="34"/>
  <c r="F328" i="34"/>
  <c r="K400" i="34"/>
  <c r="F107" i="34"/>
  <c r="J467" i="34"/>
  <c r="K469" i="34"/>
  <c r="K467" i="34" s="1"/>
  <c r="F264" i="34"/>
  <c r="F63" i="34"/>
  <c r="F307" i="34"/>
  <c r="F116" i="34"/>
  <c r="J116" i="34"/>
  <c r="K116" i="34" s="1"/>
  <c r="F301" i="34"/>
  <c r="I235" i="34"/>
  <c r="J387" i="34"/>
  <c r="K387" i="34" s="1"/>
  <c r="F387" i="34"/>
  <c r="F43" i="34"/>
  <c r="J43" i="34"/>
  <c r="K43" i="34" s="1"/>
  <c r="F87" i="34"/>
  <c r="J140" i="34"/>
  <c r="K140" i="34" s="1"/>
  <c r="K222" i="34"/>
  <c r="F310" i="34"/>
  <c r="J310" i="34"/>
  <c r="K310" i="34" s="1"/>
  <c r="F231" i="34"/>
  <c r="F258" i="34"/>
  <c r="J258" i="34"/>
  <c r="K258" i="34" s="1"/>
  <c r="F265" i="34"/>
  <c r="F340" i="34"/>
  <c r="F384" i="34"/>
  <c r="F455" i="34"/>
  <c r="J455" i="34"/>
  <c r="K455" i="34" s="1"/>
  <c r="F469" i="34"/>
  <c r="F52" i="34"/>
  <c r="F79" i="34"/>
  <c r="F118" i="34"/>
  <c r="K292" i="34"/>
  <c r="F312" i="34"/>
  <c r="K319" i="34"/>
  <c r="F93" i="34"/>
  <c r="K266" i="34"/>
  <c r="F319" i="34"/>
  <c r="K384" i="34"/>
  <c r="I447" i="34"/>
  <c r="G447" i="34" s="1"/>
  <c r="F463" i="34"/>
  <c r="J463" i="34"/>
  <c r="K463" i="34" s="1"/>
  <c r="F148" i="34"/>
  <c r="J148" i="34"/>
  <c r="K148" i="34" s="1"/>
  <c r="F142" i="34"/>
  <c r="F187" i="34"/>
  <c r="F281" i="34"/>
  <c r="K295" i="34"/>
  <c r="J395" i="34"/>
  <c r="K395" i="34" s="1"/>
  <c r="F395" i="34"/>
  <c r="K443" i="34"/>
  <c r="K14" i="34"/>
  <c r="F55" i="34"/>
  <c r="F89" i="34"/>
  <c r="J108" i="34"/>
  <c r="K108" i="34" s="1"/>
  <c r="F108" i="34"/>
  <c r="F162" i="34"/>
  <c r="K268" i="34"/>
  <c r="F329" i="34"/>
  <c r="F343" i="34"/>
  <c r="K349" i="34"/>
  <c r="K430" i="34"/>
  <c r="F437" i="34"/>
  <c r="F466" i="34"/>
  <c r="L21" i="34"/>
  <c r="F228" i="34"/>
  <c r="J228" i="34"/>
  <c r="K228" i="34" s="1"/>
  <c r="K409" i="34"/>
  <c r="F430" i="34"/>
  <c r="J82" i="34"/>
  <c r="K82" i="34" s="1"/>
  <c r="F82" i="34"/>
  <c r="J288" i="34"/>
  <c r="K288" i="34" s="1"/>
  <c r="F288" i="34"/>
  <c r="F415" i="34"/>
  <c r="J415" i="34"/>
  <c r="K415" i="34" s="1"/>
  <c r="J135" i="34"/>
  <c r="K135" i="34" s="1"/>
  <c r="F135" i="34"/>
  <c r="J350" i="34"/>
  <c r="F350" i="34"/>
  <c r="F363" i="34"/>
  <c r="J363" i="34"/>
  <c r="K363" i="34" s="1"/>
  <c r="K425" i="34"/>
  <c r="F50" i="34"/>
  <c r="J50" i="34"/>
  <c r="K50" i="34" s="1"/>
  <c r="K156" i="34"/>
  <c r="K401" i="34"/>
  <c r="F413" i="34"/>
  <c r="F419" i="34"/>
  <c r="J451" i="34"/>
  <c r="K451" i="34" s="1"/>
  <c r="J131" i="34"/>
  <c r="K131" i="34" s="1"/>
  <c r="F215" i="34"/>
  <c r="K348" i="34"/>
  <c r="F389" i="34"/>
  <c r="K38" i="34"/>
  <c r="F45" i="34"/>
  <c r="J45" i="34"/>
  <c r="K45" i="34" s="1"/>
  <c r="F163" i="34"/>
  <c r="F348" i="34"/>
  <c r="I427" i="34"/>
  <c r="G427" i="34" s="1"/>
  <c r="J253" i="34"/>
  <c r="K253" i="34" s="1"/>
  <c r="F253" i="34"/>
  <c r="F391" i="34"/>
  <c r="J391" i="34"/>
  <c r="K391" i="34" s="1"/>
  <c r="L12" i="34"/>
  <c r="F70" i="34"/>
  <c r="F105" i="34"/>
  <c r="F141" i="34"/>
  <c r="F153" i="34"/>
  <c r="F159" i="34"/>
  <c r="F332" i="34"/>
  <c r="K377" i="34"/>
  <c r="K428" i="34"/>
  <c r="F435" i="34"/>
  <c r="L18" i="34"/>
  <c r="L29" i="34"/>
  <c r="F53" i="34"/>
  <c r="J188" i="34"/>
  <c r="K188" i="34" s="1"/>
  <c r="J277" i="34"/>
  <c r="K277" i="34" s="1"/>
  <c r="F277" i="34"/>
  <c r="K296" i="34"/>
  <c r="F404" i="34"/>
  <c r="F34" i="34"/>
  <c r="F143" i="34"/>
  <c r="F154" i="34"/>
  <c r="F294" i="34"/>
  <c r="K373" i="34"/>
  <c r="F433" i="34"/>
  <c r="F450" i="34"/>
  <c r="L34" i="34"/>
  <c r="F191" i="34"/>
  <c r="J261" i="34"/>
  <c r="K261" i="34" s="1"/>
  <c r="K289" i="34"/>
  <c r="J327" i="34"/>
  <c r="K327" i="34" s="1"/>
  <c r="F333" i="34"/>
  <c r="J399" i="34"/>
  <c r="K399" i="34" s="1"/>
  <c r="K422" i="34"/>
  <c r="F456" i="34"/>
  <c r="F349" i="34"/>
  <c r="J410" i="34"/>
  <c r="K410" i="34" s="1"/>
  <c r="F410" i="34"/>
  <c r="F165" i="34"/>
  <c r="F366" i="34"/>
  <c r="J212" i="34"/>
  <c r="K212" i="34" s="1"/>
  <c r="L19" i="34"/>
  <c r="J114" i="34"/>
  <c r="K114" i="34" s="1"/>
  <c r="F256" i="34"/>
  <c r="F289" i="34"/>
  <c r="F422" i="34"/>
  <c r="J474" i="34"/>
  <c r="F474" i="34"/>
  <c r="I383" i="34"/>
  <c r="G383" i="34" s="1"/>
  <c r="K272" i="34"/>
  <c r="F339" i="34"/>
  <c r="K405" i="34"/>
  <c r="K453" i="34"/>
  <c r="F315" i="34"/>
  <c r="F453" i="34"/>
  <c r="O63" i="24"/>
  <c r="O62" i="24"/>
  <c r="O64" i="24"/>
  <c r="O17" i="33"/>
  <c r="O18" i="33"/>
  <c r="O20" i="33"/>
  <c r="O19" i="33"/>
  <c r="K468" i="39" l="1"/>
  <c r="L36" i="39"/>
  <c r="J358" i="39"/>
  <c r="L35" i="34"/>
  <c r="K35" i="34"/>
  <c r="K448" i="39"/>
  <c r="J314" i="39"/>
  <c r="K384" i="39"/>
  <c r="J448" i="39"/>
  <c r="J384" i="39"/>
  <c r="K237" i="39"/>
  <c r="J424" i="39"/>
  <c r="K427" i="39"/>
  <c r="K424" i="39" s="1"/>
  <c r="K358" i="39"/>
  <c r="I10" i="39"/>
  <c r="K314" i="39"/>
  <c r="K356" i="36"/>
  <c r="J356" i="36"/>
  <c r="K347" i="36"/>
  <c r="K423" i="36"/>
  <c r="K422" i="36" s="1"/>
  <c r="J422" i="36"/>
  <c r="J466" i="36"/>
  <c r="K467" i="36"/>
  <c r="K466" i="36" s="1"/>
  <c r="K383" i="36"/>
  <c r="K382" i="36" s="1"/>
  <c r="J382" i="36"/>
  <c r="K312" i="36"/>
  <c r="J312" i="36"/>
  <c r="I10" i="36"/>
  <c r="K38" i="36"/>
  <c r="J446" i="36"/>
  <c r="K447" i="36"/>
  <c r="K446" i="36" s="1"/>
  <c r="J383" i="34"/>
  <c r="K383" i="34"/>
  <c r="K350" i="34"/>
  <c r="K358" i="34"/>
  <c r="K357" i="34" s="1"/>
  <c r="J357" i="34"/>
  <c r="J313" i="34"/>
  <c r="J447" i="34"/>
  <c r="K423" i="34"/>
  <c r="K447" i="34"/>
  <c r="K313" i="34"/>
  <c r="I10" i="34"/>
  <c r="O70" i="24"/>
  <c r="I67" i="24" s="1"/>
  <c r="F55" i="24" s="1"/>
  <c r="F60" i="24" s="1"/>
  <c r="F61" i="24" s="1"/>
  <c r="M53" i="24" s="1"/>
  <c r="O25" i="33"/>
  <c r="I22" i="33" s="1"/>
  <c r="F10" i="33" s="1"/>
  <c r="F15" i="33" s="1"/>
  <c r="F16" i="33" s="1"/>
  <c r="M8" i="33" s="1"/>
  <c r="M10" i="33" s="1"/>
  <c r="G10" i="39" l="1"/>
  <c r="I9" i="39"/>
  <c r="G9" i="39" s="1"/>
  <c r="G10" i="36"/>
  <c r="I9" i="36"/>
  <c r="G9" i="36" s="1"/>
  <c r="G10" i="34"/>
  <c r="I9" i="34"/>
  <c r="G9" i="34" s="1"/>
  <c r="M55" i="24"/>
  <c r="M54" i="24"/>
  <c r="M9" i="33"/>
  <c r="M30" i="33" l="1"/>
  <c r="H97" i="25"/>
  <c r="H92" i="25"/>
  <c r="M40" i="24" l="1"/>
  <c r="B39" i="24"/>
  <c r="J39" i="24" s="1"/>
  <c r="B38" i="24"/>
  <c r="J38" i="24" s="1"/>
  <c r="F37" i="24"/>
  <c r="J37" i="24" s="1"/>
  <c r="J36" i="24"/>
  <c r="M27" i="24"/>
  <c r="B26" i="24"/>
  <c r="J26" i="24" s="1"/>
  <c r="B25" i="24"/>
  <c r="F24" i="24"/>
  <c r="F28" i="24" s="1"/>
  <c r="J23" i="24"/>
  <c r="F41" i="24" l="1"/>
  <c r="J24" i="24"/>
  <c r="J25" i="24"/>
  <c r="G353" i="25" l="1"/>
  <c r="H277" i="25" l="1"/>
  <c r="F470" i="31" l="1"/>
  <c r="G467" i="31"/>
  <c r="G41" i="30" l="1"/>
  <c r="G42" i="30"/>
  <c r="I466" i="31"/>
  <c r="I465" i="31"/>
  <c r="I464" i="31" s="1"/>
  <c r="G464" i="31" s="1"/>
  <c r="I446" i="31"/>
  <c r="I447" i="31"/>
  <c r="I448" i="31"/>
  <c r="I449" i="31"/>
  <c r="I450" i="31"/>
  <c r="I451" i="31"/>
  <c r="I452" i="31"/>
  <c r="I453" i="31"/>
  <c r="I454" i="31"/>
  <c r="I455" i="31"/>
  <c r="I456" i="31"/>
  <c r="I457" i="31"/>
  <c r="I458" i="31"/>
  <c r="I459" i="31"/>
  <c r="I460" i="31"/>
  <c r="I461" i="31"/>
  <c r="I462" i="31"/>
  <c r="I463" i="31"/>
  <c r="I445" i="31"/>
  <c r="I426" i="31"/>
  <c r="I427" i="31"/>
  <c r="I428" i="31"/>
  <c r="I429" i="31"/>
  <c r="I430" i="31"/>
  <c r="I431" i="31"/>
  <c r="I432" i="31"/>
  <c r="I433" i="31"/>
  <c r="I434" i="31"/>
  <c r="I435" i="31"/>
  <c r="I436" i="31"/>
  <c r="I437" i="31"/>
  <c r="I438" i="31"/>
  <c r="I439" i="31"/>
  <c r="I440" i="31"/>
  <c r="I441" i="31"/>
  <c r="I442" i="31"/>
  <c r="I443" i="31"/>
  <c r="J443" i="31"/>
  <c r="K443" i="31" s="1"/>
  <c r="I425" i="31"/>
  <c r="I422" i="31"/>
  <c r="I420" i="31" s="1"/>
  <c r="G420" i="31" s="1"/>
  <c r="I423" i="31"/>
  <c r="I421" i="31"/>
  <c r="I382" i="31"/>
  <c r="I383" i="31"/>
  <c r="I384" i="31"/>
  <c r="I385" i="31"/>
  <c r="I386" i="31"/>
  <c r="I387" i="31"/>
  <c r="I388" i="31"/>
  <c r="I389" i="31"/>
  <c r="I390" i="31"/>
  <c r="I391" i="31"/>
  <c r="I392" i="31"/>
  <c r="I393" i="31"/>
  <c r="I394" i="31"/>
  <c r="I395" i="31"/>
  <c r="I396" i="31"/>
  <c r="I397" i="31"/>
  <c r="I398" i="31"/>
  <c r="I399" i="31"/>
  <c r="I400" i="31"/>
  <c r="I401" i="31"/>
  <c r="I402" i="31"/>
  <c r="I403" i="31"/>
  <c r="I404" i="31"/>
  <c r="I405" i="31"/>
  <c r="I406" i="31"/>
  <c r="I407" i="31"/>
  <c r="I408" i="31"/>
  <c r="I409" i="31"/>
  <c r="I410" i="31"/>
  <c r="I411" i="31"/>
  <c r="I412" i="31"/>
  <c r="I413" i="31"/>
  <c r="I414" i="31"/>
  <c r="I415" i="31"/>
  <c r="I416" i="31"/>
  <c r="I417" i="31"/>
  <c r="I418" i="31"/>
  <c r="I419" i="31"/>
  <c r="I381" i="31"/>
  <c r="I356" i="31"/>
  <c r="I357" i="31"/>
  <c r="I358" i="31"/>
  <c r="I359" i="31"/>
  <c r="I360" i="31"/>
  <c r="I361" i="31"/>
  <c r="I362" i="31"/>
  <c r="I363" i="31"/>
  <c r="I364" i="31"/>
  <c r="I365" i="31"/>
  <c r="J365" i="31"/>
  <c r="I366" i="31"/>
  <c r="J366" i="31"/>
  <c r="I367" i="31"/>
  <c r="J367" i="31"/>
  <c r="K367" i="31" s="1"/>
  <c r="I368" i="31"/>
  <c r="J368" i="31"/>
  <c r="K368" i="31" s="1"/>
  <c r="I369" i="31"/>
  <c r="J369" i="31"/>
  <c r="I370" i="31"/>
  <c r="J370" i="31"/>
  <c r="K370" i="31" s="1"/>
  <c r="I371" i="31"/>
  <c r="J371" i="31"/>
  <c r="K371" i="31" s="1"/>
  <c r="I372" i="31"/>
  <c r="J372" i="31"/>
  <c r="K372" i="31" s="1"/>
  <c r="I373" i="31"/>
  <c r="J373" i="31"/>
  <c r="K373" i="31" s="1"/>
  <c r="I374" i="31"/>
  <c r="J374" i="31"/>
  <c r="K374" i="31" s="1"/>
  <c r="I375" i="31"/>
  <c r="J375" i="31"/>
  <c r="I376" i="31"/>
  <c r="J376" i="31"/>
  <c r="K376" i="31" s="1"/>
  <c r="I377" i="31"/>
  <c r="J377" i="31"/>
  <c r="I378" i="31"/>
  <c r="J378" i="31"/>
  <c r="K378" i="31" s="1"/>
  <c r="I379" i="31"/>
  <c r="J379" i="31"/>
  <c r="K379" i="31" s="1"/>
  <c r="I355" i="31"/>
  <c r="I351" i="31"/>
  <c r="I352" i="31"/>
  <c r="I353" i="31"/>
  <c r="I312" i="31"/>
  <c r="I313" i="31"/>
  <c r="I314" i="31"/>
  <c r="I315" i="31"/>
  <c r="I316" i="31"/>
  <c r="I317" i="31"/>
  <c r="I318" i="31"/>
  <c r="I319" i="31"/>
  <c r="I320" i="31"/>
  <c r="I321" i="31"/>
  <c r="I322" i="31"/>
  <c r="I323" i="31"/>
  <c r="I324" i="31"/>
  <c r="I325" i="31"/>
  <c r="I326" i="31"/>
  <c r="I327" i="31"/>
  <c r="I328" i="31"/>
  <c r="I329" i="31"/>
  <c r="I330" i="31"/>
  <c r="I331" i="31"/>
  <c r="I332" i="31"/>
  <c r="I333" i="31"/>
  <c r="I334" i="31"/>
  <c r="I335" i="31"/>
  <c r="I336" i="31"/>
  <c r="I337" i="31"/>
  <c r="I338" i="31"/>
  <c r="I339" i="31"/>
  <c r="I340" i="31"/>
  <c r="I341" i="31"/>
  <c r="I342" i="31"/>
  <c r="I343" i="31"/>
  <c r="I311" i="31"/>
  <c r="I234" i="31"/>
  <c r="I235" i="31"/>
  <c r="I236" i="31"/>
  <c r="I237" i="31"/>
  <c r="I238" i="31"/>
  <c r="I239" i="31"/>
  <c r="I240" i="31"/>
  <c r="I241" i="31"/>
  <c r="I242" i="31"/>
  <c r="I243" i="31"/>
  <c r="I244" i="31"/>
  <c r="I245" i="31"/>
  <c r="I246" i="31"/>
  <c r="I247" i="31"/>
  <c r="I248" i="31"/>
  <c r="I249" i="31"/>
  <c r="I250" i="31"/>
  <c r="I251" i="31"/>
  <c r="I252" i="31"/>
  <c r="I253" i="31"/>
  <c r="I254" i="31"/>
  <c r="I255" i="31"/>
  <c r="I256" i="31"/>
  <c r="I257" i="31"/>
  <c r="I258" i="31"/>
  <c r="I259" i="31"/>
  <c r="I260" i="31"/>
  <c r="I261" i="31"/>
  <c r="I262" i="31"/>
  <c r="I263" i="31"/>
  <c r="I264" i="31"/>
  <c r="I265" i="31"/>
  <c r="I266" i="31"/>
  <c r="I267" i="31"/>
  <c r="I268" i="31"/>
  <c r="I269" i="31"/>
  <c r="I270" i="31"/>
  <c r="I271" i="31"/>
  <c r="I272" i="31"/>
  <c r="I273" i="31"/>
  <c r="I274" i="31"/>
  <c r="I275" i="31"/>
  <c r="I276" i="31"/>
  <c r="I277" i="31"/>
  <c r="I278" i="31"/>
  <c r="I279" i="31"/>
  <c r="I280" i="31"/>
  <c r="I281" i="31"/>
  <c r="I282" i="31"/>
  <c r="I283" i="31"/>
  <c r="I284" i="31"/>
  <c r="I285" i="31"/>
  <c r="I286" i="31"/>
  <c r="I287" i="31"/>
  <c r="I288" i="31"/>
  <c r="I289" i="31"/>
  <c r="I290" i="31"/>
  <c r="I291" i="31"/>
  <c r="I292" i="31"/>
  <c r="I293" i="31"/>
  <c r="I294" i="31"/>
  <c r="I295" i="31"/>
  <c r="I296" i="31"/>
  <c r="I297" i="31"/>
  <c r="I298" i="31"/>
  <c r="I299" i="31"/>
  <c r="I300" i="31"/>
  <c r="I301" i="31"/>
  <c r="I302" i="31"/>
  <c r="I303" i="31"/>
  <c r="I304" i="31"/>
  <c r="I305" i="31"/>
  <c r="I306" i="31"/>
  <c r="I307" i="31"/>
  <c r="I308" i="31"/>
  <c r="I233" i="31"/>
  <c r="F224" i="30"/>
  <c r="I217" i="31"/>
  <c r="I218" i="31"/>
  <c r="I219" i="31"/>
  <c r="I220" i="31"/>
  <c r="I221" i="31"/>
  <c r="I222" i="31"/>
  <c r="I223" i="31"/>
  <c r="I224" i="31"/>
  <c r="I225" i="31"/>
  <c r="I226" i="31"/>
  <c r="I227" i="31"/>
  <c r="I228" i="31"/>
  <c r="I229" i="31"/>
  <c r="I230" i="31"/>
  <c r="I231" i="31"/>
  <c r="I216" i="31"/>
  <c r="F173" i="30"/>
  <c r="I197" i="31"/>
  <c r="I198" i="31"/>
  <c r="I199" i="31"/>
  <c r="I200" i="31"/>
  <c r="I201" i="31"/>
  <c r="I202" i="31"/>
  <c r="I203" i="31"/>
  <c r="I204" i="31"/>
  <c r="I205" i="31"/>
  <c r="I206" i="31"/>
  <c r="I207" i="31"/>
  <c r="I208" i="31"/>
  <c r="I209" i="31"/>
  <c r="I210" i="31"/>
  <c r="I211" i="31"/>
  <c r="I212" i="31"/>
  <c r="I213" i="31"/>
  <c r="I214" i="31"/>
  <c r="I196" i="31"/>
  <c r="I168" i="31"/>
  <c r="I169" i="31"/>
  <c r="I170" i="31"/>
  <c r="I171" i="31"/>
  <c r="I172" i="31"/>
  <c r="I173" i="31"/>
  <c r="I174" i="31"/>
  <c r="I175" i="31"/>
  <c r="I176" i="31"/>
  <c r="I177" i="31"/>
  <c r="I178" i="31"/>
  <c r="I179" i="31"/>
  <c r="I180" i="31"/>
  <c r="I181" i="31"/>
  <c r="I182" i="31"/>
  <c r="I183" i="31"/>
  <c r="I184" i="31"/>
  <c r="I185" i="31"/>
  <c r="I186" i="31"/>
  <c r="I187" i="31"/>
  <c r="I188" i="31"/>
  <c r="I189" i="31"/>
  <c r="I192" i="31"/>
  <c r="I193" i="31"/>
  <c r="I194" i="31"/>
  <c r="I167" i="31"/>
  <c r="I128" i="31"/>
  <c r="I129" i="31"/>
  <c r="I130" i="31"/>
  <c r="I131" i="31"/>
  <c r="I132" i="31"/>
  <c r="I133" i="31"/>
  <c r="I134" i="31"/>
  <c r="I135" i="31"/>
  <c r="I136" i="31"/>
  <c r="I137" i="31"/>
  <c r="I138" i="31"/>
  <c r="I139" i="31"/>
  <c r="I140" i="31"/>
  <c r="I141" i="31"/>
  <c r="I142" i="31"/>
  <c r="I143" i="31"/>
  <c r="I144" i="31"/>
  <c r="I145" i="31"/>
  <c r="I146" i="31"/>
  <c r="I147" i="31"/>
  <c r="I148" i="31"/>
  <c r="I149" i="31"/>
  <c r="I150" i="31"/>
  <c r="I151" i="31"/>
  <c r="I152" i="31"/>
  <c r="I153" i="31"/>
  <c r="I154" i="31"/>
  <c r="I155" i="31"/>
  <c r="I156" i="31"/>
  <c r="I157" i="31"/>
  <c r="I158" i="31"/>
  <c r="I159" i="31"/>
  <c r="I160" i="31"/>
  <c r="I161" i="31"/>
  <c r="I162" i="31"/>
  <c r="I163" i="31"/>
  <c r="I164" i="31"/>
  <c r="I165" i="31"/>
  <c r="I127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I77" i="31"/>
  <c r="I78" i="31"/>
  <c r="I79" i="31"/>
  <c r="I80" i="31"/>
  <c r="I81" i="31"/>
  <c r="I82" i="31"/>
  <c r="I83" i="31"/>
  <c r="I84" i="31"/>
  <c r="I85" i="31"/>
  <c r="I86" i="31"/>
  <c r="I87" i="31"/>
  <c r="I88" i="31"/>
  <c r="I89" i="31"/>
  <c r="I90" i="31"/>
  <c r="I91" i="31"/>
  <c r="I92" i="31"/>
  <c r="I93" i="31"/>
  <c r="I94" i="31"/>
  <c r="I95" i="31"/>
  <c r="I96" i="31"/>
  <c r="I97" i="31"/>
  <c r="I98" i="31"/>
  <c r="I99" i="31"/>
  <c r="I100" i="31"/>
  <c r="I101" i="31"/>
  <c r="I102" i="31"/>
  <c r="I103" i="31"/>
  <c r="I104" i="31"/>
  <c r="I105" i="31"/>
  <c r="I106" i="31"/>
  <c r="I107" i="31"/>
  <c r="I108" i="31"/>
  <c r="I109" i="31"/>
  <c r="I110" i="31"/>
  <c r="I111" i="31"/>
  <c r="I112" i="31"/>
  <c r="I113" i="31"/>
  <c r="I114" i="31"/>
  <c r="I115" i="31"/>
  <c r="I116" i="31"/>
  <c r="I117" i="31"/>
  <c r="I118" i="31"/>
  <c r="I119" i="31"/>
  <c r="I120" i="31"/>
  <c r="I121" i="31"/>
  <c r="I122" i="31"/>
  <c r="I123" i="31"/>
  <c r="I124" i="31"/>
  <c r="I125" i="31"/>
  <c r="I38" i="31"/>
  <c r="I13" i="31"/>
  <c r="I14" i="31"/>
  <c r="I15" i="31"/>
  <c r="I16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12" i="31"/>
  <c r="J106" i="25" l="1"/>
  <c r="J100" i="25"/>
  <c r="H42" i="30"/>
  <c r="H41" i="30"/>
  <c r="K366" i="31"/>
  <c r="E47" i="39"/>
  <c r="E46" i="36"/>
  <c r="E46" i="34"/>
  <c r="E47" i="36"/>
  <c r="E47" i="34"/>
  <c r="E48" i="39"/>
  <c r="K369" i="31"/>
  <c r="K375" i="31"/>
  <c r="I195" i="31"/>
  <c r="G195" i="31" s="1"/>
  <c r="K377" i="31"/>
  <c r="K365" i="31"/>
  <c r="I354" i="31"/>
  <c r="G354" i="31" s="1"/>
  <c r="I424" i="31"/>
  <c r="G424" i="31" s="1"/>
  <c r="I215" i="31"/>
  <c r="I11" i="31"/>
  <c r="I310" i="31"/>
  <c r="G310" i="31" s="1"/>
  <c r="I380" i="31"/>
  <c r="G380" i="31" s="1"/>
  <c r="G215" i="31"/>
  <c r="I444" i="31"/>
  <c r="G444" i="31" s="1"/>
  <c r="I126" i="31"/>
  <c r="G126" i="31" s="1"/>
  <c r="I37" i="31"/>
  <c r="J47" i="34" l="1"/>
  <c r="K47" i="34" s="1"/>
  <c r="F47" i="34"/>
  <c r="F47" i="36"/>
  <c r="J47" i="36"/>
  <c r="K47" i="36" s="1"/>
  <c r="J46" i="36"/>
  <c r="F46" i="36"/>
  <c r="F48" i="39"/>
  <c r="J48" i="39"/>
  <c r="K48" i="39" s="1"/>
  <c r="J46" i="34"/>
  <c r="F46" i="34"/>
  <c r="J47" i="39"/>
  <c r="F47" i="39"/>
  <c r="J124" i="31"/>
  <c r="K124" i="31" s="1"/>
  <c r="J125" i="31"/>
  <c r="K125" i="31" s="1"/>
  <c r="J123" i="31"/>
  <c r="K123" i="31" s="1"/>
  <c r="J122" i="31"/>
  <c r="J470" i="31"/>
  <c r="F122" i="31"/>
  <c r="F123" i="31"/>
  <c r="F124" i="31"/>
  <c r="F125" i="31"/>
  <c r="H570" i="25"/>
  <c r="H571" i="25"/>
  <c r="H569" i="25"/>
  <c r="H568" i="25"/>
  <c r="H567" i="25"/>
  <c r="H566" i="25"/>
  <c r="H565" i="25"/>
  <c r="K46" i="36" l="1"/>
  <c r="K47" i="39"/>
  <c r="K46" i="34"/>
  <c r="L122" i="31"/>
  <c r="L37" i="31" s="1"/>
  <c r="I565" i="25" l="1"/>
  <c r="H564" i="25"/>
  <c r="I564" i="25" s="1"/>
  <c r="H563" i="25"/>
  <c r="I563" i="25" s="1"/>
  <c r="H562" i="25"/>
  <c r="I562" i="25" s="1"/>
  <c r="I566" i="25"/>
  <c r="I567" i="25"/>
  <c r="I568" i="25"/>
  <c r="I569" i="25"/>
  <c r="I570" i="25"/>
  <c r="I571" i="25"/>
  <c r="H561" i="25"/>
  <c r="I561" i="25" s="1"/>
  <c r="H560" i="25"/>
  <c r="I560" i="25" s="1"/>
  <c r="H559" i="25"/>
  <c r="I559" i="25" s="1"/>
  <c r="H558" i="25"/>
  <c r="I558" i="25" s="1"/>
  <c r="H557" i="25"/>
  <c r="I557" i="25" s="1"/>
  <c r="H541" i="25"/>
  <c r="H540" i="25"/>
  <c r="H539" i="25"/>
  <c r="I538" i="25" l="1"/>
  <c r="J538" i="25" l="1"/>
  <c r="F342" i="30"/>
  <c r="E349" i="45" l="1"/>
  <c r="E349" i="44"/>
  <c r="E353" i="39"/>
  <c r="E352" i="34"/>
  <c r="E351" i="36"/>
  <c r="M81" i="25"/>
  <c r="J349" i="44" l="1"/>
  <c r="F349" i="44"/>
  <c r="F349" i="45"/>
  <c r="J349" i="45"/>
  <c r="J352" i="34"/>
  <c r="F352" i="34"/>
  <c r="J351" i="36"/>
  <c r="F351" i="36"/>
  <c r="J353" i="39"/>
  <c r="F353" i="39"/>
  <c r="K81" i="25"/>
  <c r="K349" i="45" l="1"/>
  <c r="K349" i="44"/>
  <c r="K353" i="39"/>
  <c r="K351" i="36"/>
  <c r="K352" i="34"/>
  <c r="G30" i="15"/>
  <c r="G31" i="15"/>
  <c r="G32" i="15"/>
  <c r="G33" i="15"/>
  <c r="G34" i="15"/>
  <c r="G35" i="15"/>
  <c r="G29" i="15"/>
  <c r="G36" i="15" s="1"/>
  <c r="G28" i="15"/>
  <c r="F30" i="15"/>
  <c r="F31" i="15"/>
  <c r="F32" i="15"/>
  <c r="F33" i="15"/>
  <c r="F34" i="15"/>
  <c r="F35" i="15"/>
  <c r="F29" i="15"/>
  <c r="E35" i="15"/>
  <c r="E34" i="15"/>
  <c r="E33" i="15"/>
  <c r="E32" i="15"/>
  <c r="E31" i="15"/>
  <c r="E30" i="15"/>
  <c r="E29" i="15"/>
  <c r="D29" i="15"/>
  <c r="D30" i="15"/>
  <c r="D31" i="15"/>
  <c r="D32" i="15"/>
  <c r="D33" i="15"/>
  <c r="D34" i="15"/>
  <c r="D35" i="15"/>
  <c r="D28" i="15"/>
  <c r="C23" i="15"/>
  <c r="D23" i="15"/>
  <c r="E23" i="15"/>
  <c r="F23" i="15"/>
  <c r="G23" i="15"/>
  <c r="H23" i="15"/>
  <c r="I23" i="15"/>
  <c r="B23" i="15"/>
  <c r="H317" i="25" l="1"/>
  <c r="H316" i="25" l="1"/>
  <c r="I315" i="25" s="1"/>
  <c r="H96" i="25" l="1"/>
  <c r="L452" i="32" l="1"/>
  <c r="L451" i="32"/>
  <c r="L450" i="32"/>
  <c r="L449" i="32"/>
  <c r="L447" i="32"/>
  <c r="L446" i="32"/>
  <c r="O445" i="32"/>
  <c r="L445" i="32"/>
  <c r="G445" i="32"/>
  <c r="L444" i="32"/>
  <c r="L443" i="32"/>
  <c r="L442" i="32"/>
  <c r="L441" i="32"/>
  <c r="L440" i="32"/>
  <c r="L439" i="32"/>
  <c r="L438" i="32"/>
  <c r="L437" i="32"/>
  <c r="L436" i="32"/>
  <c r="L435" i="32"/>
  <c r="L434" i="32"/>
  <c r="L433" i="32"/>
  <c r="M432" i="32"/>
  <c r="L432" i="32"/>
  <c r="G432" i="32"/>
  <c r="F432" i="32"/>
  <c r="L431" i="32"/>
  <c r="L430" i="32"/>
  <c r="L429" i="32"/>
  <c r="L428" i="32"/>
  <c r="L427" i="32"/>
  <c r="L426" i="32"/>
  <c r="G425" i="32"/>
  <c r="L424" i="32"/>
  <c r="L423" i="32"/>
  <c r="L422" i="32"/>
  <c r="L421" i="32"/>
  <c r="L420" i="32"/>
  <c r="L419" i="32"/>
  <c r="L418" i="32"/>
  <c r="L417" i="32"/>
  <c r="L416" i="32"/>
  <c r="L415" i="32"/>
  <c r="L414" i="32"/>
  <c r="F414" i="32"/>
  <c r="M414" i="32" s="1"/>
  <c r="L413" i="32"/>
  <c r="L412" i="32"/>
  <c r="L411" i="32"/>
  <c r="L410" i="32"/>
  <c r="L409" i="32"/>
  <c r="L408" i="32"/>
  <c r="L407" i="32"/>
  <c r="O406" i="32"/>
  <c r="G406" i="32"/>
  <c r="L405" i="32"/>
  <c r="K405" i="32"/>
  <c r="L404" i="32"/>
  <c r="K404" i="32"/>
  <c r="L403" i="32"/>
  <c r="G402" i="32"/>
  <c r="L401" i="32"/>
  <c r="L400" i="32"/>
  <c r="L399" i="32"/>
  <c r="L398" i="32"/>
  <c r="L397" i="32"/>
  <c r="L396" i="32"/>
  <c r="L395" i="32"/>
  <c r="L394" i="32"/>
  <c r="L393" i="32"/>
  <c r="L392" i="32"/>
  <c r="L391" i="32"/>
  <c r="L390" i="32"/>
  <c r="L389" i="32"/>
  <c r="L388" i="32"/>
  <c r="L387" i="32"/>
  <c r="L386" i="32"/>
  <c r="L385" i="32"/>
  <c r="L384" i="32"/>
  <c r="L383" i="32"/>
  <c r="L382" i="32"/>
  <c r="L381" i="32"/>
  <c r="L380" i="32"/>
  <c r="L379" i="32"/>
  <c r="L378" i="32"/>
  <c r="L377" i="32"/>
  <c r="L376" i="32"/>
  <c r="L375" i="32"/>
  <c r="L374" i="32"/>
  <c r="L373" i="32"/>
  <c r="L372" i="32"/>
  <c r="L371" i="32"/>
  <c r="L370" i="32"/>
  <c r="L369" i="32"/>
  <c r="L368" i="32"/>
  <c r="L367" i="32"/>
  <c r="L366" i="32"/>
  <c r="L365" i="32"/>
  <c r="L364" i="32"/>
  <c r="L363" i="32"/>
  <c r="O362" i="32"/>
  <c r="F362" i="32"/>
  <c r="G362" i="32" s="1"/>
  <c r="L361" i="32"/>
  <c r="K361" i="32"/>
  <c r="L360" i="32"/>
  <c r="L359" i="32"/>
  <c r="L358" i="32"/>
  <c r="L357" i="32"/>
  <c r="L356" i="32"/>
  <c r="L355" i="32"/>
  <c r="L354" i="32"/>
  <c r="L353" i="32"/>
  <c r="L352" i="32"/>
  <c r="O351" i="32"/>
  <c r="F351" i="32"/>
  <c r="G351" i="32" s="1"/>
  <c r="L350" i="32"/>
  <c r="L349" i="32"/>
  <c r="L348" i="32"/>
  <c r="E347" i="32"/>
  <c r="L347" i="32" s="1"/>
  <c r="E346" i="32"/>
  <c r="L346" i="32" s="1"/>
  <c r="E345" i="32"/>
  <c r="L345" i="32" s="1"/>
  <c r="E344" i="32"/>
  <c r="L344" i="32" s="1"/>
  <c r="E343" i="32"/>
  <c r="L343" i="32" s="1"/>
  <c r="E342" i="32"/>
  <c r="L342" i="32" s="1"/>
  <c r="O341" i="32"/>
  <c r="G341" i="32"/>
  <c r="L340" i="32"/>
  <c r="L339" i="32"/>
  <c r="L338" i="32"/>
  <c r="L337" i="32"/>
  <c r="L336" i="32"/>
  <c r="L335" i="32"/>
  <c r="L334" i="32"/>
  <c r="L333" i="32"/>
  <c r="L332" i="32"/>
  <c r="L331" i="32"/>
  <c r="L330" i="32"/>
  <c r="L329" i="32"/>
  <c r="L328" i="32"/>
  <c r="L327" i="32"/>
  <c r="L326" i="32"/>
  <c r="L325" i="32"/>
  <c r="L324" i="32"/>
  <c r="L323" i="32"/>
  <c r="L322" i="32"/>
  <c r="L321" i="32"/>
  <c r="L320" i="32"/>
  <c r="L319" i="32"/>
  <c r="L318" i="32"/>
  <c r="L317" i="32"/>
  <c r="L316" i="32"/>
  <c r="L315" i="32"/>
  <c r="L314" i="32"/>
  <c r="L313" i="32"/>
  <c r="L312" i="32"/>
  <c r="L311" i="32"/>
  <c r="L310" i="32"/>
  <c r="L309" i="32"/>
  <c r="L308" i="32"/>
  <c r="O307" i="32"/>
  <c r="K306" i="32"/>
  <c r="E306" i="32"/>
  <c r="L306" i="32" s="1"/>
  <c r="L305" i="32"/>
  <c r="L304" i="32"/>
  <c r="L303" i="32"/>
  <c r="L302" i="32"/>
  <c r="L301" i="32"/>
  <c r="L300" i="32"/>
  <c r="L299" i="32"/>
  <c r="L298" i="32"/>
  <c r="L297" i="32"/>
  <c r="L296" i="32"/>
  <c r="L295" i="32"/>
  <c r="L294" i="32"/>
  <c r="L293" i="32"/>
  <c r="L292" i="32"/>
  <c r="L291" i="32"/>
  <c r="L290" i="32"/>
  <c r="L289" i="32"/>
  <c r="L288" i="32"/>
  <c r="L287" i="32"/>
  <c r="L286" i="32"/>
  <c r="L285" i="32"/>
  <c r="L284" i="32"/>
  <c r="L283" i="32"/>
  <c r="L282" i="32"/>
  <c r="L281" i="32"/>
  <c r="L280" i="32"/>
  <c r="L279" i="32"/>
  <c r="L278" i="32"/>
  <c r="L277" i="32"/>
  <c r="L276" i="32"/>
  <c r="L275" i="32"/>
  <c r="L274" i="32"/>
  <c r="L273" i="32"/>
  <c r="L272" i="32"/>
  <c r="L271" i="32"/>
  <c r="L270" i="32"/>
  <c r="L269" i="32"/>
  <c r="L268" i="32"/>
  <c r="L267" i="32"/>
  <c r="L266" i="32"/>
  <c r="L265" i="32"/>
  <c r="L264" i="32"/>
  <c r="L263" i="32"/>
  <c r="L262" i="32"/>
  <c r="L261" i="32"/>
  <c r="L260" i="32"/>
  <c r="L259" i="32"/>
  <c r="L258" i="32"/>
  <c r="L257" i="32"/>
  <c r="L256" i="32"/>
  <c r="L255" i="32"/>
  <c r="L254" i="32"/>
  <c r="L253" i="32"/>
  <c r="L252" i="32"/>
  <c r="L251" i="32"/>
  <c r="L250" i="32"/>
  <c r="L249" i="32"/>
  <c r="L248" i="32"/>
  <c r="L247" i="32"/>
  <c r="L246" i="32"/>
  <c r="L245" i="32"/>
  <c r="L244" i="32"/>
  <c r="L243" i="32"/>
  <c r="F243" i="32"/>
  <c r="G243" i="32" s="1"/>
  <c r="L242" i="32"/>
  <c r="L241" i="32"/>
  <c r="L240" i="32"/>
  <c r="L239" i="32"/>
  <c r="L238" i="32"/>
  <c r="L237" i="32"/>
  <c r="L236" i="32"/>
  <c r="L235" i="32"/>
  <c r="L234" i="32"/>
  <c r="L233" i="32"/>
  <c r="L232" i="32"/>
  <c r="L231" i="32"/>
  <c r="L230" i="32"/>
  <c r="F230" i="32"/>
  <c r="M230" i="32" s="1"/>
  <c r="V229" i="32"/>
  <c r="U229" i="32"/>
  <c r="O229" i="32"/>
  <c r="G229" i="32"/>
  <c r="L228" i="32"/>
  <c r="K228" i="32"/>
  <c r="L227" i="32"/>
  <c r="K227" i="32"/>
  <c r="L226" i="32"/>
  <c r="L225" i="32"/>
  <c r="L224" i="32"/>
  <c r="L223" i="32"/>
  <c r="L222" i="32"/>
  <c r="L221" i="32"/>
  <c r="L220" i="32"/>
  <c r="L219" i="32"/>
  <c r="L218" i="32"/>
  <c r="L217" i="32"/>
  <c r="L216" i="32"/>
  <c r="L215" i="32"/>
  <c r="L214" i="32"/>
  <c r="L212" i="32" s="1"/>
  <c r="L213" i="32"/>
  <c r="O212" i="32"/>
  <c r="L211" i="32"/>
  <c r="L210" i="32"/>
  <c r="L209" i="32"/>
  <c r="L208" i="32"/>
  <c r="L207" i="32"/>
  <c r="L206" i="32"/>
  <c r="L205" i="32"/>
  <c r="L204" i="32"/>
  <c r="L203" i="32"/>
  <c r="L202" i="32"/>
  <c r="L201" i="32"/>
  <c r="L200" i="32"/>
  <c r="L199" i="32"/>
  <c r="L198" i="32"/>
  <c r="L197" i="32"/>
  <c r="L196" i="32"/>
  <c r="L195" i="32"/>
  <c r="L194" i="32"/>
  <c r="L193" i="32"/>
  <c r="F192" i="32"/>
  <c r="G192" i="32" s="1"/>
  <c r="L191" i="32"/>
  <c r="K191" i="32"/>
  <c r="L190" i="32"/>
  <c r="K190" i="32"/>
  <c r="V189" i="32"/>
  <c r="L189" i="32"/>
  <c r="K189" i="32"/>
  <c r="E188" i="32"/>
  <c r="L188" i="32" s="1"/>
  <c r="E187" i="32"/>
  <c r="L187" i="32" s="1"/>
  <c r="L186" i="32"/>
  <c r="K186" i="32"/>
  <c r="L185" i="32"/>
  <c r="L184" i="32"/>
  <c r="L183" i="32"/>
  <c r="L182" i="32"/>
  <c r="L181" i="32"/>
  <c r="L180" i="32"/>
  <c r="L179" i="32"/>
  <c r="L178" i="32"/>
  <c r="L177" i="32"/>
  <c r="L176" i="32"/>
  <c r="L175" i="32"/>
  <c r="L174" i="32"/>
  <c r="L173" i="32"/>
  <c r="L172" i="32"/>
  <c r="L171" i="32"/>
  <c r="L170" i="32"/>
  <c r="L169" i="32"/>
  <c r="L168" i="32"/>
  <c r="L167" i="32"/>
  <c r="L166" i="32"/>
  <c r="K166" i="32"/>
  <c r="L165" i="32"/>
  <c r="L164" i="32"/>
  <c r="F163" i="32"/>
  <c r="G163" i="32" s="1"/>
  <c r="L162" i="32"/>
  <c r="K162" i="32"/>
  <c r="L161" i="32"/>
  <c r="K161" i="32"/>
  <c r="L160" i="32"/>
  <c r="L159" i="32"/>
  <c r="L158" i="32"/>
  <c r="L157" i="32"/>
  <c r="L156" i="32"/>
  <c r="L155" i="32"/>
  <c r="L154" i="32"/>
  <c r="L153" i="32"/>
  <c r="L152" i="32"/>
  <c r="L151" i="32"/>
  <c r="L150" i="32"/>
  <c r="L149" i="32"/>
  <c r="L148" i="32"/>
  <c r="L147" i="32"/>
  <c r="L146" i="32"/>
  <c r="L145" i="32"/>
  <c r="L144" i="32"/>
  <c r="L143" i="32"/>
  <c r="L142" i="32"/>
  <c r="L141" i="32"/>
  <c r="L140" i="32"/>
  <c r="L139" i="32"/>
  <c r="L138" i="32"/>
  <c r="L137" i="32"/>
  <c r="L136" i="32"/>
  <c r="L135" i="32"/>
  <c r="L134" i="32"/>
  <c r="L133" i="32"/>
  <c r="L132" i="32"/>
  <c r="L131" i="32"/>
  <c r="L130" i="32"/>
  <c r="L129" i="32"/>
  <c r="L128" i="32"/>
  <c r="L127" i="32"/>
  <c r="L126" i="32"/>
  <c r="L125" i="32"/>
  <c r="L124" i="32"/>
  <c r="O123" i="32"/>
  <c r="F123" i="32"/>
  <c r="G123" i="32" s="1"/>
  <c r="L122" i="32"/>
  <c r="F122" i="32"/>
  <c r="M122" i="32" s="1"/>
  <c r="N122" i="32" s="1"/>
  <c r="L121" i="32"/>
  <c r="L120" i="32"/>
  <c r="L119" i="32"/>
  <c r="L118" i="32"/>
  <c r="L117" i="32"/>
  <c r="L116" i="32"/>
  <c r="L115" i="32"/>
  <c r="L114" i="32"/>
  <c r="L113" i="32"/>
  <c r="L112" i="32"/>
  <c r="L111" i="32"/>
  <c r="L110" i="32"/>
  <c r="L109" i="32"/>
  <c r="L108" i="32"/>
  <c r="L107" i="32"/>
  <c r="L106" i="32"/>
  <c r="L105" i="32"/>
  <c r="L104" i="32"/>
  <c r="L103" i="32"/>
  <c r="L102" i="32"/>
  <c r="L101" i="32"/>
  <c r="L100" i="32"/>
  <c r="L99" i="32"/>
  <c r="L98" i="32"/>
  <c r="L97" i="32"/>
  <c r="L96" i="32"/>
  <c r="L95" i="32"/>
  <c r="L94" i="32"/>
  <c r="L93" i="32"/>
  <c r="L92" i="32"/>
  <c r="L91" i="32"/>
  <c r="L90" i="32"/>
  <c r="L89" i="32"/>
  <c r="L88" i="32"/>
  <c r="L87" i="32"/>
  <c r="L86" i="32"/>
  <c r="L85" i="32"/>
  <c r="L84" i="32"/>
  <c r="L83" i="32"/>
  <c r="L82" i="32"/>
  <c r="L81" i="32"/>
  <c r="L80" i="32"/>
  <c r="L79" i="32"/>
  <c r="L78" i="32"/>
  <c r="L77" i="32"/>
  <c r="L76" i="32"/>
  <c r="L75" i="32"/>
  <c r="L74" i="32"/>
  <c r="L73" i="32"/>
  <c r="L72" i="32"/>
  <c r="L71" i="32"/>
  <c r="L70" i="32"/>
  <c r="L69" i="32"/>
  <c r="L68" i="32"/>
  <c r="L67" i="32"/>
  <c r="L66" i="32"/>
  <c r="L65" i="32"/>
  <c r="L64" i="32"/>
  <c r="L63" i="32"/>
  <c r="L62" i="32"/>
  <c r="L61" i="32"/>
  <c r="L60" i="32"/>
  <c r="L59" i="32"/>
  <c r="L58" i="32"/>
  <c r="L57" i="32"/>
  <c r="L56" i="32"/>
  <c r="L55" i="32"/>
  <c r="L54" i="32"/>
  <c r="L53" i="32"/>
  <c r="L52" i="32"/>
  <c r="L51" i="32"/>
  <c r="L50" i="32"/>
  <c r="L49" i="32"/>
  <c r="L48" i="32"/>
  <c r="L47" i="32"/>
  <c r="L46" i="32"/>
  <c r="L45" i="32"/>
  <c r="L44" i="32"/>
  <c r="L43" i="32"/>
  <c r="L42" i="32"/>
  <c r="L41" i="32"/>
  <c r="L40" i="32"/>
  <c r="L39" i="32"/>
  <c r="L38" i="32"/>
  <c r="O37" i="32"/>
  <c r="F37" i="32"/>
  <c r="G37" i="32" s="1"/>
  <c r="L36" i="32"/>
  <c r="F36" i="32"/>
  <c r="M36" i="32" s="1"/>
  <c r="L35" i="32"/>
  <c r="F35" i="32"/>
  <c r="M35" i="32" s="1"/>
  <c r="L34" i="32"/>
  <c r="F34" i="32"/>
  <c r="M34" i="32" s="1"/>
  <c r="L33" i="32"/>
  <c r="F33" i="32"/>
  <c r="M33" i="32" s="1"/>
  <c r="L32" i="32"/>
  <c r="F32" i="32"/>
  <c r="M32" i="32" s="1"/>
  <c r="N32" i="32" s="1"/>
  <c r="L31" i="32"/>
  <c r="F31" i="32"/>
  <c r="M31" i="32" s="1"/>
  <c r="L30" i="32"/>
  <c r="F30" i="32"/>
  <c r="M30" i="32" s="1"/>
  <c r="L29" i="32"/>
  <c r="F29" i="32"/>
  <c r="M29" i="32" s="1"/>
  <c r="L28" i="32"/>
  <c r="F28" i="32"/>
  <c r="M28" i="32" s="1"/>
  <c r="L27" i="32"/>
  <c r="F27" i="32"/>
  <c r="M27" i="32" s="1"/>
  <c r="N27" i="32" s="1"/>
  <c r="L26" i="32"/>
  <c r="L25" i="32"/>
  <c r="F25" i="32"/>
  <c r="M25" i="32" s="1"/>
  <c r="L24" i="32"/>
  <c r="F24" i="32"/>
  <c r="M24" i="32" s="1"/>
  <c r="L23" i="32"/>
  <c r="F23" i="32"/>
  <c r="M23" i="32" s="1"/>
  <c r="L22" i="32"/>
  <c r="F22" i="32"/>
  <c r="M22" i="32" s="1"/>
  <c r="L21" i="32"/>
  <c r="F21" i="32"/>
  <c r="M21" i="32" s="1"/>
  <c r="L20" i="32"/>
  <c r="F20" i="32"/>
  <c r="M20" i="32" s="1"/>
  <c r="N20" i="32" s="1"/>
  <c r="L19" i="32"/>
  <c r="F19" i="32"/>
  <c r="M19" i="32" s="1"/>
  <c r="L18" i="32"/>
  <c r="F18" i="32"/>
  <c r="M18" i="32" s="1"/>
  <c r="L17" i="32"/>
  <c r="F17" i="32"/>
  <c r="M17" i="32" s="1"/>
  <c r="L16" i="32"/>
  <c r="F16" i="32"/>
  <c r="M16" i="32" s="1"/>
  <c r="L15" i="32"/>
  <c r="L14" i="32"/>
  <c r="F14" i="32"/>
  <c r="M14" i="32" s="1"/>
  <c r="L13" i="32"/>
  <c r="F13" i="32"/>
  <c r="M13" i="32" s="1"/>
  <c r="L12" i="32"/>
  <c r="F12" i="32"/>
  <c r="M12" i="32" s="1"/>
  <c r="N12" i="32" s="1"/>
  <c r="O11" i="32"/>
  <c r="N23" i="32" l="1"/>
  <c r="G35" i="32"/>
  <c r="N35" i="32"/>
  <c r="M243" i="32"/>
  <c r="N243" i="32" s="1"/>
  <c r="G414" i="32"/>
  <c r="N414" i="32"/>
  <c r="N31" i="32"/>
  <c r="N29" i="32"/>
  <c r="N432" i="32"/>
  <c r="N14" i="32"/>
  <c r="N33" i="32"/>
  <c r="N230" i="32"/>
  <c r="L192" i="32"/>
  <c r="L307" i="32"/>
  <c r="N28" i="32"/>
  <c r="L425" i="32"/>
  <c r="N21" i="32"/>
  <c r="L341" i="32"/>
  <c r="O432" i="32"/>
  <c r="O425" i="32" s="1"/>
  <c r="N13" i="32"/>
  <c r="G36" i="32"/>
  <c r="L123" i="32"/>
  <c r="N36" i="32"/>
  <c r="N22" i="32"/>
  <c r="N30" i="32"/>
  <c r="K163" i="32"/>
  <c r="L37" i="32"/>
  <c r="L362" i="32"/>
  <c r="N24" i="32"/>
  <c r="N16" i="32"/>
  <c r="L402" i="32"/>
  <c r="N17" i="32"/>
  <c r="N18" i="32"/>
  <c r="L163" i="32"/>
  <c r="N19" i="32"/>
  <c r="G34" i="32"/>
  <c r="N34" i="32"/>
  <c r="G230" i="32"/>
  <c r="L229" i="32"/>
  <c r="L11" i="32"/>
  <c r="L351" i="32"/>
  <c r="G122" i="32"/>
  <c r="N25" i="32"/>
  <c r="L406" i="32"/>
  <c r="L10" i="32" l="1"/>
  <c r="L448" i="32" l="1"/>
  <c r="R448" i="32"/>
  <c r="L9" i="32" l="1"/>
  <c r="E428" i="30" l="1"/>
  <c r="E429" i="30"/>
  <c r="E430" i="30"/>
  <c r="E431" i="30"/>
  <c r="E432" i="30"/>
  <c r="E424" i="30"/>
  <c r="E425" i="30"/>
  <c r="E426" i="30"/>
  <c r="E427" i="30"/>
  <c r="E419" i="30"/>
  <c r="E420" i="30"/>
  <c r="E421" i="30"/>
  <c r="E422" i="30"/>
  <c r="E423" i="30"/>
  <c r="E418" i="30"/>
  <c r="F184" i="30"/>
  <c r="F183" i="30"/>
  <c r="F300" i="30"/>
  <c r="F304" i="32" s="1"/>
  <c r="F297" i="30"/>
  <c r="F301" i="32" s="1"/>
  <c r="F298" i="30"/>
  <c r="F302" i="32" s="1"/>
  <c r="F299" i="30"/>
  <c r="F303" i="32" s="1"/>
  <c r="F252" i="30"/>
  <c r="F256" i="32" s="1"/>
  <c r="F253" i="30"/>
  <c r="F257" i="32" s="1"/>
  <c r="F254" i="30"/>
  <c r="F258" i="32" s="1"/>
  <c r="F255" i="30"/>
  <c r="F259" i="32" s="1"/>
  <c r="F256" i="30"/>
  <c r="F260" i="32" s="1"/>
  <c r="F257" i="30"/>
  <c r="F261" i="32" s="1"/>
  <c r="F258" i="30"/>
  <c r="F262" i="32" s="1"/>
  <c r="F259" i="30"/>
  <c r="F263" i="32" s="1"/>
  <c r="F260" i="30"/>
  <c r="F264" i="32" s="1"/>
  <c r="F261" i="30"/>
  <c r="F265" i="32" s="1"/>
  <c r="F262" i="30"/>
  <c r="F266" i="32" s="1"/>
  <c r="F263" i="30"/>
  <c r="F267" i="32" s="1"/>
  <c r="F264" i="30"/>
  <c r="F268" i="32" s="1"/>
  <c r="F265" i="30"/>
  <c r="F269" i="32" s="1"/>
  <c r="F266" i="30"/>
  <c r="F270" i="32" s="1"/>
  <c r="F267" i="30"/>
  <c r="F271" i="32" s="1"/>
  <c r="F268" i="30"/>
  <c r="F272" i="32" s="1"/>
  <c r="F269" i="30"/>
  <c r="F273" i="32" s="1"/>
  <c r="F270" i="30"/>
  <c r="F274" i="32" s="1"/>
  <c r="F271" i="30"/>
  <c r="F275" i="32" s="1"/>
  <c r="F272" i="30"/>
  <c r="F276" i="32" s="1"/>
  <c r="F273" i="30"/>
  <c r="F277" i="32" s="1"/>
  <c r="F274" i="30"/>
  <c r="F278" i="32" s="1"/>
  <c r="F275" i="30"/>
  <c r="F279" i="32" s="1"/>
  <c r="F276" i="30"/>
  <c r="F280" i="32" s="1"/>
  <c r="F277" i="30"/>
  <c r="F281" i="32" s="1"/>
  <c r="F278" i="30"/>
  <c r="F282" i="32" s="1"/>
  <c r="F279" i="30"/>
  <c r="F283" i="32" s="1"/>
  <c r="F280" i="30"/>
  <c r="F284" i="32" s="1"/>
  <c r="F281" i="30"/>
  <c r="F285" i="32" s="1"/>
  <c r="F282" i="30"/>
  <c r="F286" i="32" s="1"/>
  <c r="F283" i="30"/>
  <c r="F287" i="32" s="1"/>
  <c r="F284" i="30"/>
  <c r="F288" i="32" s="1"/>
  <c r="F285" i="30"/>
  <c r="F289" i="32" s="1"/>
  <c r="F286" i="30"/>
  <c r="F290" i="32" s="1"/>
  <c r="F287" i="30"/>
  <c r="F291" i="32" s="1"/>
  <c r="F288" i="30"/>
  <c r="F292" i="32" s="1"/>
  <c r="F289" i="30"/>
  <c r="F293" i="32" s="1"/>
  <c r="F290" i="30"/>
  <c r="F294" i="32" s="1"/>
  <c r="F291" i="30"/>
  <c r="F295" i="32" s="1"/>
  <c r="F292" i="30"/>
  <c r="F296" i="32" s="1"/>
  <c r="F293" i="30"/>
  <c r="F297" i="32" s="1"/>
  <c r="F294" i="30"/>
  <c r="F298" i="32" s="1"/>
  <c r="F295" i="30"/>
  <c r="F299" i="32" s="1"/>
  <c r="F296" i="30"/>
  <c r="F300" i="32" s="1"/>
  <c r="F251" i="30"/>
  <c r="F255" i="32" s="1"/>
  <c r="F406" i="30"/>
  <c r="F395" i="32" s="1"/>
  <c r="H115" i="25"/>
  <c r="J115" i="25" s="1"/>
  <c r="H11" i="15"/>
  <c r="H12" i="15"/>
  <c r="H13" i="15"/>
  <c r="H14" i="15"/>
  <c r="H15" i="15"/>
  <c r="H16" i="15"/>
  <c r="H17" i="15"/>
  <c r="H10" i="15"/>
  <c r="I10" i="15" s="1"/>
  <c r="E17" i="15"/>
  <c r="E16" i="15"/>
  <c r="G17" i="15" s="1"/>
  <c r="E15" i="15"/>
  <c r="G16" i="15" s="1"/>
  <c r="I16" i="15" s="1"/>
  <c r="E14" i="15"/>
  <c r="G15" i="15" s="1"/>
  <c r="I15" i="15" s="1"/>
  <c r="E13" i="15"/>
  <c r="G14" i="15" s="1"/>
  <c r="I14" i="15" s="1"/>
  <c r="E12" i="15"/>
  <c r="G13" i="15" s="1"/>
  <c r="I13" i="15" s="1"/>
  <c r="E11" i="15"/>
  <c r="G12" i="15" s="1"/>
  <c r="I12" i="15" s="1"/>
  <c r="E10" i="15"/>
  <c r="G11" i="15" s="1"/>
  <c r="I11" i="15" s="1"/>
  <c r="C5" i="15"/>
  <c r="D5" i="15"/>
  <c r="E5" i="15"/>
  <c r="F5" i="15"/>
  <c r="G5" i="15"/>
  <c r="H5" i="15"/>
  <c r="I5" i="15"/>
  <c r="B5" i="15"/>
  <c r="C18" i="20"/>
  <c r="E191" i="44" l="1"/>
  <c r="E191" i="45"/>
  <c r="E190" i="45"/>
  <c r="E190" i="44"/>
  <c r="F187" i="32"/>
  <c r="G187" i="32" s="1"/>
  <c r="E192" i="36"/>
  <c r="E193" i="34"/>
  <c r="E194" i="39"/>
  <c r="F188" i="32"/>
  <c r="G188" i="32" s="1"/>
  <c r="E194" i="34"/>
  <c r="E193" i="36"/>
  <c r="E195" i="39"/>
  <c r="E413" i="31"/>
  <c r="J413" i="31" s="1"/>
  <c r="K413" i="31" s="1"/>
  <c r="M279" i="32"/>
  <c r="N279" i="32" s="1"/>
  <c r="G279" i="32"/>
  <c r="M303" i="32"/>
  <c r="N303" i="32" s="1"/>
  <c r="G303" i="32"/>
  <c r="M278" i="32"/>
  <c r="N278" i="32" s="1"/>
  <c r="G278" i="32"/>
  <c r="M304" i="32"/>
  <c r="N304" i="32" s="1"/>
  <c r="G304" i="32"/>
  <c r="G295" i="32"/>
  <c r="M295" i="32"/>
  <c r="N295" i="32" s="1"/>
  <c r="M269" i="32"/>
  <c r="N269" i="32" s="1"/>
  <c r="G269" i="32"/>
  <c r="G267" i="32"/>
  <c r="M267" i="32"/>
  <c r="N267" i="32" s="1"/>
  <c r="M290" i="32"/>
  <c r="N290" i="32" s="1"/>
  <c r="G290" i="32"/>
  <c r="G287" i="32"/>
  <c r="M287" i="32"/>
  <c r="N287" i="32" s="1"/>
  <c r="M286" i="32"/>
  <c r="N286" i="32" s="1"/>
  <c r="G286" i="32"/>
  <c r="M262" i="32"/>
  <c r="N262" i="32" s="1"/>
  <c r="G262" i="32"/>
  <c r="M281" i="32"/>
  <c r="N281" i="32" s="1"/>
  <c r="G281" i="32"/>
  <c r="M280" i="32"/>
  <c r="N280" i="32" s="1"/>
  <c r="G280" i="32"/>
  <c r="M255" i="32"/>
  <c r="N255" i="32" s="1"/>
  <c r="G255" i="32"/>
  <c r="M277" i="32"/>
  <c r="N277" i="32" s="1"/>
  <c r="G277" i="32"/>
  <c r="M301" i="32"/>
  <c r="N301" i="32" s="1"/>
  <c r="G301" i="32"/>
  <c r="M300" i="32"/>
  <c r="N300" i="32" s="1"/>
  <c r="G300" i="32"/>
  <c r="G272" i="32"/>
  <c r="M272" i="32"/>
  <c r="N272" i="32" s="1"/>
  <c r="M293" i="32"/>
  <c r="N293" i="32" s="1"/>
  <c r="G293" i="32"/>
  <c r="M285" i="32"/>
  <c r="N285" i="32" s="1"/>
  <c r="G285" i="32"/>
  <c r="M261" i="32"/>
  <c r="N261" i="32" s="1"/>
  <c r="G261" i="32"/>
  <c r="M257" i="32"/>
  <c r="N257" i="32" s="1"/>
  <c r="G257" i="32"/>
  <c r="G302" i="32"/>
  <c r="M302" i="32"/>
  <c r="N302" i="32" s="1"/>
  <c r="M299" i="32"/>
  <c r="N299" i="32" s="1"/>
  <c r="G299" i="32"/>
  <c r="M275" i="32"/>
  <c r="N275" i="32" s="1"/>
  <c r="G275" i="32"/>
  <c r="M274" i="32"/>
  <c r="N274" i="32" s="1"/>
  <c r="G274" i="32"/>
  <c r="G297" i="32"/>
  <c r="M297" i="32"/>
  <c r="N297" i="32" s="1"/>
  <c r="M271" i="32"/>
  <c r="N271" i="32" s="1"/>
  <c r="G271" i="32"/>
  <c r="G294" i="32"/>
  <c r="M294" i="32"/>
  <c r="N294" i="32" s="1"/>
  <c r="M270" i="32"/>
  <c r="N270" i="32" s="1"/>
  <c r="G270" i="32"/>
  <c r="M266" i="32"/>
  <c r="N266" i="32" s="1"/>
  <c r="G266" i="32"/>
  <c r="M289" i="32"/>
  <c r="N289" i="32" s="1"/>
  <c r="G289" i="32"/>
  <c r="G264" i="32"/>
  <c r="M264" i="32"/>
  <c r="N264" i="32" s="1"/>
  <c r="M284" i="32"/>
  <c r="N284" i="32" s="1"/>
  <c r="G284" i="32"/>
  <c r="M260" i="32"/>
  <c r="N260" i="32" s="1"/>
  <c r="G260" i="32"/>
  <c r="M288" i="32"/>
  <c r="N288" i="32" s="1"/>
  <c r="G288" i="32"/>
  <c r="M263" i="32"/>
  <c r="N263" i="32" s="1"/>
  <c r="G263" i="32"/>
  <c r="M259" i="32"/>
  <c r="N259" i="32" s="1"/>
  <c r="G259" i="32"/>
  <c r="G256" i="32"/>
  <c r="M256" i="32"/>
  <c r="N256" i="32" s="1"/>
  <c r="M395" i="32"/>
  <c r="N395" i="32" s="1"/>
  <c r="G395" i="32"/>
  <c r="M276" i="32"/>
  <c r="N276" i="32" s="1"/>
  <c r="G276" i="32"/>
  <c r="M298" i="32"/>
  <c r="N298" i="32" s="1"/>
  <c r="G298" i="32"/>
  <c r="M273" i="32"/>
  <c r="N273" i="32" s="1"/>
  <c r="G273" i="32"/>
  <c r="G296" i="32"/>
  <c r="M296" i="32"/>
  <c r="N296" i="32" s="1"/>
  <c r="G292" i="32"/>
  <c r="M292" i="32"/>
  <c r="N292" i="32" s="1"/>
  <c r="M268" i="32"/>
  <c r="N268" i="32" s="1"/>
  <c r="G268" i="32"/>
  <c r="G291" i="32"/>
  <c r="M291" i="32"/>
  <c r="N291" i="32" s="1"/>
  <c r="M265" i="32"/>
  <c r="N265" i="32" s="1"/>
  <c r="G265" i="32"/>
  <c r="G283" i="32"/>
  <c r="M283" i="32"/>
  <c r="N283" i="32" s="1"/>
  <c r="G282" i="32"/>
  <c r="M282" i="32"/>
  <c r="N282" i="32" s="1"/>
  <c r="M258" i="32"/>
  <c r="N258" i="32" s="1"/>
  <c r="G258" i="32"/>
  <c r="I17" i="15"/>
  <c r="I18" i="15"/>
  <c r="H46" i="30"/>
  <c r="M188" i="32" l="1"/>
  <c r="N188" i="32" s="1"/>
  <c r="J190" i="44"/>
  <c r="K190" i="44" s="1"/>
  <c r="F190" i="44"/>
  <c r="J190" i="45"/>
  <c r="K190" i="45" s="1"/>
  <c r="F190" i="45"/>
  <c r="J191" i="45"/>
  <c r="K191" i="45" s="1"/>
  <c r="F191" i="45"/>
  <c r="J191" i="44"/>
  <c r="K191" i="44" s="1"/>
  <c r="F191" i="44"/>
  <c r="M187" i="32"/>
  <c r="N187" i="32" s="1"/>
  <c r="F50" i="32"/>
  <c r="E51" i="36"/>
  <c r="E51" i="34"/>
  <c r="E52" i="39"/>
  <c r="J194" i="39"/>
  <c r="K194" i="39" s="1"/>
  <c r="F194" i="39"/>
  <c r="J193" i="36"/>
  <c r="K193" i="36" s="1"/>
  <c r="F193" i="36"/>
  <c r="J193" i="34"/>
  <c r="K193" i="34" s="1"/>
  <c r="F193" i="34"/>
  <c r="J194" i="34"/>
  <c r="K194" i="34" s="1"/>
  <c r="F194" i="34"/>
  <c r="J192" i="36"/>
  <c r="K192" i="36" s="1"/>
  <c r="F192" i="36"/>
  <c r="J195" i="39"/>
  <c r="K195" i="39" s="1"/>
  <c r="F195" i="39"/>
  <c r="H326" i="25"/>
  <c r="H325" i="25"/>
  <c r="F228" i="32"/>
  <c r="F218" i="30"/>
  <c r="F222" i="32" s="1"/>
  <c r="F214" i="30"/>
  <c r="F218" i="32" s="1"/>
  <c r="F302" i="30"/>
  <c r="F306" i="32" s="1"/>
  <c r="H197" i="25"/>
  <c r="F51" i="34" l="1"/>
  <c r="J51" i="34"/>
  <c r="F51" i="36"/>
  <c r="J51" i="36"/>
  <c r="J52" i="39"/>
  <c r="F52" i="39"/>
  <c r="G50" i="32"/>
  <c r="M50" i="32"/>
  <c r="N50" i="32" s="1"/>
  <c r="M218" i="32"/>
  <c r="N218" i="32" s="1"/>
  <c r="G218" i="32"/>
  <c r="M306" i="32"/>
  <c r="N306" i="32" s="1"/>
  <c r="G306" i="32"/>
  <c r="M222" i="32"/>
  <c r="N222" i="32" s="1"/>
  <c r="G222" i="32"/>
  <c r="M228" i="32"/>
  <c r="N228" i="32" s="1"/>
  <c r="G228" i="32"/>
  <c r="H196" i="25"/>
  <c r="H195" i="25"/>
  <c r="K52" i="39" l="1"/>
  <c r="K51" i="34"/>
  <c r="K51" i="36"/>
  <c r="H202" i="25"/>
  <c r="I199" i="25" s="1"/>
  <c r="E439" i="30"/>
  <c r="E440" i="30"/>
  <c r="E441" i="30"/>
  <c r="E442" i="30"/>
  <c r="E443" i="30"/>
  <c r="E444" i="30"/>
  <c r="E445" i="30"/>
  <c r="E446" i="30"/>
  <c r="E447" i="30"/>
  <c r="E448" i="30"/>
  <c r="E449" i="30"/>
  <c r="E450" i="30"/>
  <c r="E451" i="30"/>
  <c r="E452" i="30"/>
  <c r="E453" i="30"/>
  <c r="E454" i="30"/>
  <c r="E455" i="30"/>
  <c r="E456" i="30"/>
  <c r="E457" i="30"/>
  <c r="E458" i="30"/>
  <c r="E459" i="30"/>
  <c r="E460" i="30"/>
  <c r="E461" i="30"/>
  <c r="E462" i="30"/>
  <c r="E463" i="30"/>
  <c r="E438" i="30"/>
  <c r="L464" i="31"/>
  <c r="E451" i="31"/>
  <c r="J451" i="31" s="1"/>
  <c r="K451" i="31" s="1"/>
  <c r="E432" i="31"/>
  <c r="J432" i="31" s="1"/>
  <c r="K432" i="31" s="1"/>
  <c r="L354" i="31"/>
  <c r="E380" i="31"/>
  <c r="E354" i="31"/>
  <c r="D346" i="31"/>
  <c r="I346" i="31" s="1"/>
  <c r="D347" i="31"/>
  <c r="I347" i="31" s="1"/>
  <c r="D348" i="31"/>
  <c r="I348" i="31" s="1"/>
  <c r="D349" i="31"/>
  <c r="I349" i="31" s="1"/>
  <c r="D350" i="31"/>
  <c r="I350" i="31" s="1"/>
  <c r="D345" i="31"/>
  <c r="I345" i="31" s="1"/>
  <c r="E309" i="31"/>
  <c r="J309" i="31" s="1"/>
  <c r="H404" i="25"/>
  <c r="F244" i="32" l="1"/>
  <c r="G244" i="32" s="1"/>
  <c r="E251" i="39"/>
  <c r="E249" i="36"/>
  <c r="E250" i="34"/>
  <c r="F245" i="32"/>
  <c r="M245" i="32" s="1"/>
  <c r="N245" i="32" s="1"/>
  <c r="E250" i="36"/>
  <c r="E251" i="34"/>
  <c r="E252" i="39"/>
  <c r="I344" i="31"/>
  <c r="G344" i="31" s="1"/>
  <c r="E246" i="31"/>
  <c r="J246" i="31" s="1"/>
  <c r="K246" i="31" s="1"/>
  <c r="E248" i="31"/>
  <c r="J248" i="31" s="1"/>
  <c r="K248" i="31" s="1"/>
  <c r="E247" i="31"/>
  <c r="J247" i="31" s="1"/>
  <c r="K247" i="31" s="1"/>
  <c r="L444" i="31"/>
  <c r="L344" i="31"/>
  <c r="G245" i="32" l="1"/>
  <c r="M244" i="32"/>
  <c r="N244" i="32" s="1"/>
  <c r="J251" i="34"/>
  <c r="K251" i="34" s="1"/>
  <c r="F251" i="34"/>
  <c r="F250" i="34"/>
  <c r="J250" i="34"/>
  <c r="K250" i="34" s="1"/>
  <c r="F249" i="36"/>
  <c r="J249" i="36"/>
  <c r="K249" i="36" s="1"/>
  <c r="J252" i="39"/>
  <c r="K252" i="39" s="1"/>
  <c r="F252" i="39"/>
  <c r="J250" i="36"/>
  <c r="K250" i="36" s="1"/>
  <c r="F250" i="36"/>
  <c r="F251" i="39"/>
  <c r="J251" i="39"/>
  <c r="K251" i="39" s="1"/>
  <c r="L380" i="31"/>
  <c r="F464" i="30" l="1"/>
  <c r="F439" i="30"/>
  <c r="F440" i="30"/>
  <c r="F441" i="30"/>
  <c r="F442" i="30"/>
  <c r="F443" i="30"/>
  <c r="F445" i="30"/>
  <c r="F446" i="30"/>
  <c r="F447" i="30"/>
  <c r="F448" i="30"/>
  <c r="F449" i="30"/>
  <c r="F450" i="30"/>
  <c r="F451" i="30"/>
  <c r="F452" i="30"/>
  <c r="F453" i="30"/>
  <c r="F454" i="30"/>
  <c r="F455" i="30"/>
  <c r="F456" i="30"/>
  <c r="F457" i="30"/>
  <c r="F458" i="30"/>
  <c r="F459" i="30"/>
  <c r="F460" i="30"/>
  <c r="F461" i="30"/>
  <c r="F438" i="30"/>
  <c r="F434" i="30"/>
  <c r="F433" i="30"/>
  <c r="F419" i="30"/>
  <c r="F420" i="30"/>
  <c r="F421" i="30"/>
  <c r="F422" i="30"/>
  <c r="F423" i="30"/>
  <c r="F424" i="30"/>
  <c r="F426" i="30"/>
  <c r="F427" i="30"/>
  <c r="F428" i="30"/>
  <c r="F429" i="30"/>
  <c r="F430" i="30"/>
  <c r="F431" i="30"/>
  <c r="F432" i="30"/>
  <c r="F418" i="30"/>
  <c r="F416" i="30"/>
  <c r="F415" i="30"/>
  <c r="F414" i="30"/>
  <c r="F409" i="30"/>
  <c r="F410" i="30"/>
  <c r="F411" i="30"/>
  <c r="F412" i="30"/>
  <c r="F408" i="30"/>
  <c r="F375" i="30"/>
  <c r="F376" i="30"/>
  <c r="F377" i="30"/>
  <c r="F378" i="30"/>
  <c r="F379" i="30"/>
  <c r="F380" i="30"/>
  <c r="F381" i="30"/>
  <c r="F382" i="30"/>
  <c r="F383" i="30"/>
  <c r="F384" i="30"/>
  <c r="F385" i="30"/>
  <c r="F386" i="30"/>
  <c r="F387" i="30"/>
  <c r="F388" i="30"/>
  <c r="F389" i="30"/>
  <c r="F390" i="30"/>
  <c r="F391" i="30"/>
  <c r="F392" i="30"/>
  <c r="F393" i="30"/>
  <c r="F394" i="30"/>
  <c r="F395" i="30"/>
  <c r="F396" i="30"/>
  <c r="F397" i="30"/>
  <c r="F398" i="30"/>
  <c r="F399" i="30"/>
  <c r="F400" i="30"/>
  <c r="F401" i="30"/>
  <c r="F402" i="30"/>
  <c r="F403" i="30"/>
  <c r="F404" i="30"/>
  <c r="F405" i="30"/>
  <c r="F407" i="30"/>
  <c r="F374" i="30"/>
  <c r="F357" i="30"/>
  <c r="F356" i="30"/>
  <c r="F354" i="30"/>
  <c r="F355" i="30"/>
  <c r="F353" i="30"/>
  <c r="E17" i="31"/>
  <c r="E19" i="31"/>
  <c r="E20" i="31"/>
  <c r="J20" i="31" s="1"/>
  <c r="E21" i="31"/>
  <c r="J21" i="31" s="1"/>
  <c r="E22" i="31"/>
  <c r="J22" i="31" s="1"/>
  <c r="E23" i="31"/>
  <c r="J23" i="31" s="1"/>
  <c r="E24" i="31"/>
  <c r="J24" i="31" s="1"/>
  <c r="E25" i="31"/>
  <c r="J25" i="31" s="1"/>
  <c r="E27" i="31"/>
  <c r="J27" i="31" s="1"/>
  <c r="E28" i="31"/>
  <c r="J28" i="31" s="1"/>
  <c r="E29" i="31"/>
  <c r="J29" i="31" s="1"/>
  <c r="E30" i="31"/>
  <c r="J30" i="31" s="1"/>
  <c r="E31" i="31"/>
  <c r="J31" i="31" s="1"/>
  <c r="E32" i="31"/>
  <c r="J32" i="31" s="1"/>
  <c r="E33" i="31"/>
  <c r="J33" i="31" s="1"/>
  <c r="E34" i="31"/>
  <c r="E35" i="31"/>
  <c r="E36" i="31"/>
  <c r="E37" i="31"/>
  <c r="F37" i="31" s="1"/>
  <c r="E126" i="31"/>
  <c r="F126" i="31" s="1"/>
  <c r="E166" i="31"/>
  <c r="F166" i="31" s="1"/>
  <c r="E195" i="31"/>
  <c r="F195" i="31" s="1"/>
  <c r="F354" i="31"/>
  <c r="F413" i="31"/>
  <c r="F432" i="31"/>
  <c r="F464" i="31"/>
  <c r="E13" i="31"/>
  <c r="J13" i="31" s="1"/>
  <c r="E14" i="31"/>
  <c r="J14" i="31" s="1"/>
  <c r="E16" i="31"/>
  <c r="J16" i="31" s="1"/>
  <c r="E12" i="31"/>
  <c r="J12" i="31" s="1"/>
  <c r="H352" i="30"/>
  <c r="I352" i="30" s="1"/>
  <c r="F351" i="30"/>
  <c r="F350" i="30"/>
  <c r="F349" i="30"/>
  <c r="F348" i="30"/>
  <c r="F344" i="30"/>
  <c r="F345" i="30"/>
  <c r="F346" i="30"/>
  <c r="F341" i="30"/>
  <c r="F339" i="30"/>
  <c r="F340" i="30"/>
  <c r="F338" i="30"/>
  <c r="F304" i="30"/>
  <c r="F305" i="30"/>
  <c r="F306" i="30"/>
  <c r="F307" i="30"/>
  <c r="F308" i="30"/>
  <c r="F309" i="30"/>
  <c r="F310" i="30"/>
  <c r="F311" i="30"/>
  <c r="F312" i="30"/>
  <c r="F313" i="30"/>
  <c r="F314" i="30"/>
  <c r="F315" i="30"/>
  <c r="F316" i="30"/>
  <c r="F317" i="30"/>
  <c r="F318" i="30"/>
  <c r="F319" i="30"/>
  <c r="F320" i="30"/>
  <c r="F321" i="30"/>
  <c r="F322" i="30"/>
  <c r="F323" i="30"/>
  <c r="F324" i="30"/>
  <c r="F328" i="32" s="1"/>
  <c r="F325" i="30"/>
  <c r="F329" i="32" s="1"/>
  <c r="F326" i="30"/>
  <c r="F330" i="32" s="1"/>
  <c r="F327" i="30"/>
  <c r="F331" i="32" s="1"/>
  <c r="F328" i="30"/>
  <c r="F332" i="32" s="1"/>
  <c r="F329" i="30"/>
  <c r="F330" i="30"/>
  <c r="F331" i="30"/>
  <c r="F332" i="30"/>
  <c r="F333" i="30"/>
  <c r="F334" i="30"/>
  <c r="F335" i="30"/>
  <c r="F336" i="30"/>
  <c r="F303" i="30"/>
  <c r="F301" i="30"/>
  <c r="F250" i="30"/>
  <c r="F249" i="30"/>
  <c r="F248" i="30"/>
  <c r="F247" i="30"/>
  <c r="F246" i="30"/>
  <c r="F245" i="30"/>
  <c r="F244" i="30"/>
  <c r="F243" i="30"/>
  <c r="F242" i="30"/>
  <c r="F246" i="31"/>
  <c r="F247" i="31"/>
  <c r="F237" i="30"/>
  <c r="F227" i="30"/>
  <c r="H422" i="25"/>
  <c r="H421" i="25"/>
  <c r="F223" i="30"/>
  <c r="F221" i="30"/>
  <c r="F222" i="30"/>
  <c r="F220" i="30"/>
  <c r="F213" i="30"/>
  <c r="F212" i="30"/>
  <c r="E234" i="45" l="1"/>
  <c r="E234" i="44"/>
  <c r="E244" i="44"/>
  <c r="E244" i="45"/>
  <c r="E248" i="39"/>
  <c r="E247" i="34"/>
  <c r="E246" i="36"/>
  <c r="J17" i="31"/>
  <c r="K17" i="31" s="1"/>
  <c r="J18" i="31"/>
  <c r="K18" i="31" s="1"/>
  <c r="F18" i="31"/>
  <c r="E236" i="36"/>
  <c r="E237" i="34"/>
  <c r="E238" i="39"/>
  <c r="K24" i="31"/>
  <c r="L24" i="31"/>
  <c r="K12" i="31"/>
  <c r="L12" i="31"/>
  <c r="K14" i="31"/>
  <c r="L14" i="31"/>
  <c r="K33" i="31"/>
  <c r="L33" i="31"/>
  <c r="K22" i="31"/>
  <c r="L22" i="31"/>
  <c r="K32" i="31"/>
  <c r="L32" i="31"/>
  <c r="K16" i="31"/>
  <c r="L16" i="31"/>
  <c r="K31" i="31"/>
  <c r="L31" i="31"/>
  <c r="K13" i="31"/>
  <c r="L13" i="31"/>
  <c r="K30" i="31"/>
  <c r="L30" i="31"/>
  <c r="K23" i="31"/>
  <c r="L23" i="31"/>
  <c r="K29" i="31"/>
  <c r="L29" i="31"/>
  <c r="K21" i="31"/>
  <c r="L21" i="31"/>
  <c r="K28" i="31"/>
  <c r="L28" i="31"/>
  <c r="K25" i="31"/>
  <c r="L25" i="31"/>
  <c r="K20" i="31"/>
  <c r="L20" i="31"/>
  <c r="K27" i="31"/>
  <c r="L27" i="31"/>
  <c r="F35" i="31"/>
  <c r="J35" i="31"/>
  <c r="F34" i="31"/>
  <c r="J34" i="31"/>
  <c r="F36" i="31"/>
  <c r="J36" i="31"/>
  <c r="F253" i="32"/>
  <c r="E256" i="31"/>
  <c r="J256" i="31" s="1"/>
  <c r="K256" i="31" s="1"/>
  <c r="F418" i="32"/>
  <c r="E436" i="31"/>
  <c r="J436" i="31" s="1"/>
  <c r="K436" i="31" s="1"/>
  <c r="F311" i="32"/>
  <c r="E314" i="31"/>
  <c r="J314" i="31" s="1"/>
  <c r="K314" i="31" s="1"/>
  <c r="F361" i="32"/>
  <c r="E364" i="31"/>
  <c r="J364" i="31" s="1"/>
  <c r="K364" i="31" s="1"/>
  <c r="F374" i="32"/>
  <c r="E392" i="31"/>
  <c r="J392" i="31" s="1"/>
  <c r="K392" i="31" s="1"/>
  <c r="F417" i="32"/>
  <c r="E435" i="31"/>
  <c r="J435" i="31" s="1"/>
  <c r="K435" i="31" s="1"/>
  <c r="F439" i="32"/>
  <c r="E458" i="31"/>
  <c r="J458" i="31" s="1"/>
  <c r="K458" i="31" s="1"/>
  <c r="F334" i="32"/>
  <c r="E337" i="31"/>
  <c r="J337" i="31" s="1"/>
  <c r="K337" i="31" s="1"/>
  <c r="F310" i="32"/>
  <c r="E313" i="31"/>
  <c r="J313" i="31" s="1"/>
  <c r="K313" i="31" s="1"/>
  <c r="F380" i="31"/>
  <c r="F363" i="32"/>
  <c r="E381" i="31"/>
  <c r="J381" i="31" s="1"/>
  <c r="K381" i="31" s="1"/>
  <c r="F373" i="32"/>
  <c r="E391" i="31"/>
  <c r="J391" i="31" s="1"/>
  <c r="K391" i="31" s="1"/>
  <c r="F416" i="32"/>
  <c r="E434" i="31"/>
  <c r="J434" i="31" s="1"/>
  <c r="K434" i="31" s="1"/>
  <c r="F438" i="32"/>
  <c r="E457" i="31"/>
  <c r="J457" i="31" s="1"/>
  <c r="K457" i="31" s="1"/>
  <c r="E336" i="31"/>
  <c r="J336" i="31" s="1"/>
  <c r="K336" i="31" s="1"/>
  <c r="F333" i="32"/>
  <c r="F309" i="32"/>
  <c r="E312" i="31"/>
  <c r="J312" i="31" s="1"/>
  <c r="K312" i="31" s="1"/>
  <c r="F396" i="32"/>
  <c r="E414" i="31"/>
  <c r="J414" i="31" s="1"/>
  <c r="K414" i="31" s="1"/>
  <c r="F372" i="32"/>
  <c r="E390" i="31"/>
  <c r="J390" i="31" s="1"/>
  <c r="K390" i="31" s="1"/>
  <c r="F415" i="32"/>
  <c r="E433" i="31"/>
  <c r="J433" i="31" s="1"/>
  <c r="K433" i="31" s="1"/>
  <c r="F437" i="32"/>
  <c r="E456" i="31"/>
  <c r="J456" i="31" s="1"/>
  <c r="K456" i="31" s="1"/>
  <c r="F307" i="32"/>
  <c r="G307" i="32" s="1"/>
  <c r="E310" i="31"/>
  <c r="F316" i="32"/>
  <c r="E319" i="31"/>
  <c r="J319" i="31" s="1"/>
  <c r="K319" i="31" s="1"/>
  <c r="G332" i="32"/>
  <c r="M332" i="32"/>
  <c r="N332" i="32" s="1"/>
  <c r="M331" i="32"/>
  <c r="N331" i="32" s="1"/>
  <c r="G331" i="32"/>
  <c r="F370" i="32"/>
  <c r="E388" i="31"/>
  <c r="J388" i="31" s="1"/>
  <c r="K388" i="31" s="1"/>
  <c r="G329" i="32"/>
  <c r="M329" i="32"/>
  <c r="N329" i="32" s="1"/>
  <c r="F343" i="32"/>
  <c r="M343" i="32" s="1"/>
  <c r="N343" i="32" s="1"/>
  <c r="E346" i="31"/>
  <c r="F391" i="32"/>
  <c r="E409" i="31"/>
  <c r="J409" i="31" s="1"/>
  <c r="K409" i="31" s="1"/>
  <c r="F426" i="31"/>
  <c r="F409" i="32"/>
  <c r="E427" i="31"/>
  <c r="J427" i="31" s="1"/>
  <c r="K427" i="31" s="1"/>
  <c r="F247" i="32"/>
  <c r="E250" i="31"/>
  <c r="J250" i="31" s="1"/>
  <c r="K250" i="31" s="1"/>
  <c r="F326" i="32"/>
  <c r="E329" i="31"/>
  <c r="J329" i="31" s="1"/>
  <c r="K329" i="31" s="1"/>
  <c r="F389" i="32"/>
  <c r="E407" i="31"/>
  <c r="J407" i="31" s="1"/>
  <c r="K407" i="31" s="1"/>
  <c r="F365" i="32"/>
  <c r="E383" i="31"/>
  <c r="J383" i="31" s="1"/>
  <c r="K383" i="31" s="1"/>
  <c r="F408" i="32"/>
  <c r="E426" i="31"/>
  <c r="J426" i="31" s="1"/>
  <c r="K426" i="31" s="1"/>
  <c r="F430" i="32"/>
  <c r="E449" i="31"/>
  <c r="J449" i="31" s="1"/>
  <c r="K449" i="31" s="1"/>
  <c r="F320" i="32"/>
  <c r="E323" i="31"/>
  <c r="J323" i="31" s="1"/>
  <c r="K323" i="31" s="1"/>
  <c r="F381" i="32"/>
  <c r="E399" i="31"/>
  <c r="J399" i="31" s="1"/>
  <c r="K399" i="31" s="1"/>
  <c r="F232" i="32"/>
  <c r="J235" i="31"/>
  <c r="K235" i="31" s="1"/>
  <c r="F405" i="32"/>
  <c r="E423" i="31"/>
  <c r="J423" i="31" s="1"/>
  <c r="K423" i="31" s="1"/>
  <c r="F340" i="32"/>
  <c r="E343" i="31"/>
  <c r="J343" i="31" s="1"/>
  <c r="K343" i="31" s="1"/>
  <c r="F444" i="32"/>
  <c r="E463" i="31"/>
  <c r="J463" i="31" s="1"/>
  <c r="K463" i="31" s="1"/>
  <c r="F315" i="32"/>
  <c r="E318" i="31"/>
  <c r="J318" i="31" s="1"/>
  <c r="K318" i="31" s="1"/>
  <c r="F420" i="32"/>
  <c r="E438" i="31"/>
  <c r="J438" i="31" s="1"/>
  <c r="K438" i="31" s="1"/>
  <c r="F358" i="32"/>
  <c r="E361" i="31"/>
  <c r="J361" i="31" s="1"/>
  <c r="K361" i="31" s="1"/>
  <c r="F440" i="32"/>
  <c r="E459" i="31"/>
  <c r="J459" i="31" s="1"/>
  <c r="K459" i="31" s="1"/>
  <c r="F335" i="32"/>
  <c r="E338" i="31"/>
  <c r="J338" i="31" s="1"/>
  <c r="K338" i="31" s="1"/>
  <c r="F344" i="32"/>
  <c r="E347" i="31"/>
  <c r="J347" i="31" s="1"/>
  <c r="K347" i="31" s="1"/>
  <c r="F368" i="32"/>
  <c r="E386" i="31"/>
  <c r="J386" i="31" s="1"/>
  <c r="K386" i="31" s="1"/>
  <c r="F327" i="32"/>
  <c r="E330" i="31"/>
  <c r="J330" i="31" s="1"/>
  <c r="K330" i="31" s="1"/>
  <c r="F325" i="32"/>
  <c r="E328" i="31"/>
  <c r="J328" i="31" s="1"/>
  <c r="K328" i="31" s="1"/>
  <c r="F388" i="32"/>
  <c r="E406" i="31"/>
  <c r="J406" i="31" s="1"/>
  <c r="K406" i="31" s="1"/>
  <c r="F364" i="32"/>
  <c r="E382" i="31"/>
  <c r="J382" i="31" s="1"/>
  <c r="K382" i="31" s="1"/>
  <c r="F422" i="32"/>
  <c r="E440" i="31"/>
  <c r="J440" i="31" s="1"/>
  <c r="K440" i="31" s="1"/>
  <c r="F429" i="32"/>
  <c r="E448" i="31"/>
  <c r="J448" i="31" s="1"/>
  <c r="K448" i="31" s="1"/>
  <c r="F399" i="32"/>
  <c r="E417" i="31"/>
  <c r="J417" i="31" s="1"/>
  <c r="K417" i="31" s="1"/>
  <c r="F382" i="32"/>
  <c r="E400" i="31"/>
  <c r="J400" i="31" s="1"/>
  <c r="K400" i="31" s="1"/>
  <c r="F379" i="32"/>
  <c r="E397" i="31"/>
  <c r="J397" i="31" s="1"/>
  <c r="K397" i="31" s="1"/>
  <c r="F436" i="31"/>
  <c r="F419" i="32"/>
  <c r="E437" i="31"/>
  <c r="J437" i="31" s="1"/>
  <c r="K437" i="31" s="1"/>
  <c r="F436" i="32"/>
  <c r="E455" i="31"/>
  <c r="J455" i="31" s="1"/>
  <c r="K455" i="31" s="1"/>
  <c r="F394" i="32"/>
  <c r="E412" i="31"/>
  <c r="J412" i="31" s="1"/>
  <c r="K412" i="31" s="1"/>
  <c r="M330" i="32"/>
  <c r="N330" i="32" s="1"/>
  <c r="G330" i="32"/>
  <c r="F434" i="32"/>
  <c r="E453" i="31"/>
  <c r="J453" i="31" s="1"/>
  <c r="K453" i="31" s="1"/>
  <c r="M328" i="32"/>
  <c r="N328" i="32" s="1"/>
  <c r="G328" i="32"/>
  <c r="F345" i="32"/>
  <c r="E348" i="31"/>
  <c r="J348" i="31" s="1"/>
  <c r="K348" i="31" s="1"/>
  <c r="F431" i="32"/>
  <c r="E450" i="31"/>
  <c r="J450" i="31" s="1"/>
  <c r="K450" i="31" s="1"/>
  <c r="F216" i="32"/>
  <c r="E219" i="31"/>
  <c r="J219" i="31" s="1"/>
  <c r="K219" i="31" s="1"/>
  <c r="F217" i="32"/>
  <c r="E220" i="31"/>
  <c r="J220" i="31" s="1"/>
  <c r="K220" i="31" s="1"/>
  <c r="F224" i="32"/>
  <c r="E227" i="31"/>
  <c r="J227" i="31" s="1"/>
  <c r="K227" i="31" s="1"/>
  <c r="F249" i="32"/>
  <c r="E252" i="31"/>
  <c r="J252" i="31" s="1"/>
  <c r="K252" i="31" s="1"/>
  <c r="F324" i="32"/>
  <c r="E327" i="31"/>
  <c r="J327" i="31" s="1"/>
  <c r="K327" i="31" s="1"/>
  <c r="F349" i="32"/>
  <c r="E352" i="31"/>
  <c r="J352" i="31" s="1"/>
  <c r="K352" i="31" s="1"/>
  <c r="F387" i="32"/>
  <c r="E405" i="31"/>
  <c r="J405" i="31" s="1"/>
  <c r="K405" i="31" s="1"/>
  <c r="F397" i="32"/>
  <c r="E415" i="31"/>
  <c r="J415" i="31" s="1"/>
  <c r="K415" i="31" s="1"/>
  <c r="F423" i="32"/>
  <c r="E441" i="31"/>
  <c r="J441" i="31" s="1"/>
  <c r="K441" i="31" s="1"/>
  <c r="F428" i="32"/>
  <c r="E447" i="31"/>
  <c r="J447" i="31" s="1"/>
  <c r="K447" i="31" s="1"/>
  <c r="F227" i="32"/>
  <c r="E230" i="31"/>
  <c r="J230" i="31" s="1"/>
  <c r="K230" i="31" s="1"/>
  <c r="F252" i="32"/>
  <c r="E255" i="31"/>
  <c r="J255" i="31" s="1"/>
  <c r="K255" i="31" s="1"/>
  <c r="F353" i="32"/>
  <c r="E356" i="31"/>
  <c r="J356" i="31" s="1"/>
  <c r="K356" i="31" s="1"/>
  <c r="F384" i="32"/>
  <c r="E402" i="31"/>
  <c r="J402" i="31" s="1"/>
  <c r="K402" i="31" s="1"/>
  <c r="F319" i="32"/>
  <c r="E322" i="31"/>
  <c r="J322" i="31" s="1"/>
  <c r="K322" i="31" s="1"/>
  <c r="F447" i="32"/>
  <c r="E466" i="31"/>
  <c r="J466" i="31" s="1"/>
  <c r="K466" i="31" s="1"/>
  <c r="F231" i="32"/>
  <c r="E234" i="31"/>
  <c r="J234" i="31" s="1"/>
  <c r="K234" i="31" s="1"/>
  <c r="F305" i="32"/>
  <c r="E308" i="31"/>
  <c r="J308" i="31" s="1"/>
  <c r="K308" i="31" s="1"/>
  <c r="F356" i="32"/>
  <c r="E359" i="31"/>
  <c r="J359" i="31" s="1"/>
  <c r="K359" i="31" s="1"/>
  <c r="F404" i="32"/>
  <c r="E422" i="31"/>
  <c r="J422" i="31" s="1"/>
  <c r="K422" i="31" s="1"/>
  <c r="F380" i="32"/>
  <c r="E398" i="31"/>
  <c r="J398" i="31" s="1"/>
  <c r="K398" i="31" s="1"/>
  <c r="F339" i="32"/>
  <c r="E342" i="31"/>
  <c r="J342" i="31" s="1"/>
  <c r="K342" i="31" s="1"/>
  <c r="F443" i="32"/>
  <c r="E462" i="31"/>
  <c r="J462" i="31" s="1"/>
  <c r="K462" i="31" s="1"/>
  <c r="F314" i="32"/>
  <c r="E317" i="31"/>
  <c r="J317" i="31" s="1"/>
  <c r="K317" i="31" s="1"/>
  <c r="F441" i="32"/>
  <c r="E460" i="31"/>
  <c r="J460" i="31" s="1"/>
  <c r="K460" i="31" s="1"/>
  <c r="F336" i="32"/>
  <c r="E339" i="31"/>
  <c r="J339" i="31" s="1"/>
  <c r="K339" i="31" s="1"/>
  <c r="F312" i="32"/>
  <c r="E315" i="31"/>
  <c r="J315" i="31" s="1"/>
  <c r="K315" i="31" s="1"/>
  <c r="F360" i="32"/>
  <c r="E363" i="31"/>
  <c r="J363" i="31" s="1"/>
  <c r="K363" i="31" s="1"/>
  <c r="F241" i="32"/>
  <c r="E244" i="31"/>
  <c r="J244" i="31" s="1"/>
  <c r="K244" i="31" s="1"/>
  <c r="F435" i="32"/>
  <c r="E454" i="31"/>
  <c r="J454" i="31" s="1"/>
  <c r="K454" i="31" s="1"/>
  <c r="F369" i="32"/>
  <c r="E387" i="31"/>
  <c r="J387" i="31" s="1"/>
  <c r="K387" i="31" s="1"/>
  <c r="F451" i="31"/>
  <c r="F433" i="32"/>
  <c r="E452" i="31"/>
  <c r="J452" i="31" s="1"/>
  <c r="K452" i="31" s="1"/>
  <c r="F367" i="32"/>
  <c r="E385" i="31"/>
  <c r="J385" i="31" s="1"/>
  <c r="K385" i="31" s="1"/>
  <c r="F366" i="32"/>
  <c r="E384" i="31"/>
  <c r="J384" i="31" s="1"/>
  <c r="K384" i="31" s="1"/>
  <c r="F248" i="32"/>
  <c r="E251" i="31"/>
  <c r="J251" i="31" s="1"/>
  <c r="K251" i="31" s="1"/>
  <c r="F226" i="32"/>
  <c r="E229" i="31"/>
  <c r="J229" i="31" s="1"/>
  <c r="K229" i="31" s="1"/>
  <c r="F250" i="32"/>
  <c r="E253" i="31"/>
  <c r="J253" i="31" s="1"/>
  <c r="K253" i="31" s="1"/>
  <c r="F323" i="32"/>
  <c r="E326" i="31"/>
  <c r="J326" i="31" s="1"/>
  <c r="K326" i="31" s="1"/>
  <c r="F348" i="32"/>
  <c r="E351" i="31"/>
  <c r="J351" i="31" s="1"/>
  <c r="K351" i="31" s="1"/>
  <c r="F386" i="32"/>
  <c r="E404" i="31"/>
  <c r="J404" i="31" s="1"/>
  <c r="K404" i="31" s="1"/>
  <c r="F401" i="32"/>
  <c r="E419" i="31"/>
  <c r="J419" i="31" s="1"/>
  <c r="K419" i="31" s="1"/>
  <c r="F444" i="31"/>
  <c r="F426" i="32"/>
  <c r="E445" i="31"/>
  <c r="J445" i="31" s="1"/>
  <c r="K445" i="31" s="1"/>
  <c r="F427" i="32"/>
  <c r="E446" i="31"/>
  <c r="J446" i="31" s="1"/>
  <c r="K446" i="31" s="1"/>
  <c r="F321" i="32"/>
  <c r="E324" i="31"/>
  <c r="J324" i="31" s="1"/>
  <c r="K324" i="31" s="1"/>
  <c r="F449" i="32"/>
  <c r="G449" i="32" s="1"/>
  <c r="E468" i="31"/>
  <c r="F354" i="32"/>
  <c r="E357" i="31"/>
  <c r="J357" i="31" s="1"/>
  <c r="K357" i="31" s="1"/>
  <c r="F383" i="32"/>
  <c r="E401" i="31"/>
  <c r="J401" i="31" s="1"/>
  <c r="K401" i="31" s="1"/>
  <c r="F398" i="32"/>
  <c r="E416" i="31"/>
  <c r="J416" i="31" s="1"/>
  <c r="K416" i="31" s="1"/>
  <c r="F448" i="32"/>
  <c r="G448" i="32" s="1"/>
  <c r="E467" i="31"/>
  <c r="F467" i="31" s="1"/>
  <c r="F254" i="32"/>
  <c r="E257" i="31"/>
  <c r="J257" i="31" s="1"/>
  <c r="K257" i="31" s="1"/>
  <c r="F355" i="32"/>
  <c r="E358" i="31"/>
  <c r="J358" i="31" s="1"/>
  <c r="K358" i="31" s="1"/>
  <c r="F420" i="31"/>
  <c r="F403" i="32"/>
  <c r="E421" i="31"/>
  <c r="J421" i="31" s="1"/>
  <c r="K421" i="31" s="1"/>
  <c r="F318" i="32"/>
  <c r="E321" i="31"/>
  <c r="J321" i="31" s="1"/>
  <c r="K321" i="31" s="1"/>
  <c r="F446" i="32"/>
  <c r="E465" i="31"/>
  <c r="J465" i="31" s="1"/>
  <c r="K465" i="31" s="1"/>
  <c r="F319" i="31"/>
  <c r="F317" i="32"/>
  <c r="E320" i="31"/>
  <c r="J320" i="31" s="1"/>
  <c r="K320" i="31" s="1"/>
  <c r="F424" i="31"/>
  <c r="F407" i="32"/>
  <c r="E425" i="31"/>
  <c r="J425" i="31" s="1"/>
  <c r="K425" i="31" s="1"/>
  <c r="F357" i="32"/>
  <c r="E360" i="31"/>
  <c r="J360" i="31" s="1"/>
  <c r="K360" i="31" s="1"/>
  <c r="F378" i="32"/>
  <c r="E396" i="31"/>
  <c r="J396" i="31" s="1"/>
  <c r="K396" i="31" s="1"/>
  <c r="F421" i="32"/>
  <c r="E439" i="31"/>
  <c r="J439" i="31" s="1"/>
  <c r="K439" i="31" s="1"/>
  <c r="F338" i="32"/>
  <c r="E341" i="31"/>
  <c r="J341" i="31" s="1"/>
  <c r="K341" i="31" s="1"/>
  <c r="F359" i="32"/>
  <c r="E362" i="31"/>
  <c r="J362" i="31" s="1"/>
  <c r="K362" i="31" s="1"/>
  <c r="F377" i="32"/>
  <c r="E395" i="31"/>
  <c r="J395" i="31" s="1"/>
  <c r="K395" i="31" s="1"/>
  <c r="F442" i="32"/>
  <c r="E461" i="31"/>
  <c r="J461" i="31" s="1"/>
  <c r="K461" i="31" s="1"/>
  <c r="F337" i="32"/>
  <c r="E340" i="31"/>
  <c r="J340" i="31" s="1"/>
  <c r="K340" i="31" s="1"/>
  <c r="F313" i="32"/>
  <c r="E316" i="31"/>
  <c r="J316" i="31" s="1"/>
  <c r="K316" i="31" s="1"/>
  <c r="F376" i="32"/>
  <c r="E394" i="31"/>
  <c r="J394" i="31" s="1"/>
  <c r="K394" i="31" s="1"/>
  <c r="F234" i="32"/>
  <c r="E237" i="31"/>
  <c r="J237" i="31" s="1"/>
  <c r="K237" i="31" s="1"/>
  <c r="F375" i="32"/>
  <c r="E393" i="31"/>
  <c r="J393" i="31" s="1"/>
  <c r="K393" i="31" s="1"/>
  <c r="F308" i="32"/>
  <c r="E311" i="31"/>
  <c r="J311" i="31" s="1"/>
  <c r="K311" i="31" s="1"/>
  <c r="F371" i="32"/>
  <c r="E389" i="31"/>
  <c r="J389" i="31" s="1"/>
  <c r="K389" i="31" s="1"/>
  <c r="F344" i="31"/>
  <c r="F342" i="32"/>
  <c r="M342" i="32" s="1"/>
  <c r="E345" i="31"/>
  <c r="F413" i="32"/>
  <c r="E431" i="31"/>
  <c r="J431" i="31" s="1"/>
  <c r="K431" i="31" s="1"/>
  <c r="F393" i="32"/>
  <c r="E411" i="31"/>
  <c r="J411" i="31" s="1"/>
  <c r="K411" i="31" s="1"/>
  <c r="F412" i="32"/>
  <c r="E430" i="31"/>
  <c r="J430" i="31" s="1"/>
  <c r="K430" i="31" s="1"/>
  <c r="F392" i="32"/>
  <c r="E410" i="31"/>
  <c r="J410" i="31" s="1"/>
  <c r="K410" i="31" s="1"/>
  <c r="F411" i="32"/>
  <c r="E429" i="31"/>
  <c r="J429" i="31" s="1"/>
  <c r="K429" i="31" s="1"/>
  <c r="F410" i="32"/>
  <c r="E428" i="31"/>
  <c r="J428" i="31" s="1"/>
  <c r="K428" i="31" s="1"/>
  <c r="F248" i="31"/>
  <c r="F246" i="32"/>
  <c r="E249" i="31"/>
  <c r="J249" i="31" s="1"/>
  <c r="K249" i="31" s="1"/>
  <c r="F346" i="32"/>
  <c r="E349" i="31"/>
  <c r="J349" i="31" s="1"/>
  <c r="K349" i="31" s="1"/>
  <c r="F407" i="31"/>
  <c r="F390" i="32"/>
  <c r="E408" i="31"/>
  <c r="J408" i="31" s="1"/>
  <c r="K408" i="31" s="1"/>
  <c r="F350" i="32"/>
  <c r="E353" i="31"/>
  <c r="J353" i="31" s="1"/>
  <c r="K353" i="31" s="1"/>
  <c r="F225" i="32"/>
  <c r="E228" i="31"/>
  <c r="J228" i="31" s="1"/>
  <c r="K228" i="31" s="1"/>
  <c r="F251" i="32"/>
  <c r="E254" i="31"/>
  <c r="J254" i="31" s="1"/>
  <c r="K254" i="31" s="1"/>
  <c r="F322" i="32"/>
  <c r="E325" i="31"/>
  <c r="J325" i="31" s="1"/>
  <c r="K325" i="31" s="1"/>
  <c r="F352" i="32"/>
  <c r="E355" i="31"/>
  <c r="J355" i="31" s="1"/>
  <c r="K355" i="31" s="1"/>
  <c r="F385" i="32"/>
  <c r="E403" i="31"/>
  <c r="J403" i="31" s="1"/>
  <c r="K403" i="31" s="1"/>
  <c r="F400" i="32"/>
  <c r="E418" i="31"/>
  <c r="J418" i="31" s="1"/>
  <c r="K418" i="31" s="1"/>
  <c r="F452" i="32"/>
  <c r="M452" i="32" s="1"/>
  <c r="E471" i="31"/>
  <c r="E331" i="31"/>
  <c r="J331" i="31" s="1"/>
  <c r="K331" i="31" s="1"/>
  <c r="E332" i="31"/>
  <c r="J332" i="31" s="1"/>
  <c r="K332" i="31" s="1"/>
  <c r="E334" i="31"/>
  <c r="J334" i="31" s="1"/>
  <c r="K334" i="31" s="1"/>
  <c r="E335" i="31"/>
  <c r="J335" i="31" s="1"/>
  <c r="K335" i="31" s="1"/>
  <c r="E333" i="31"/>
  <c r="J333" i="31" s="1"/>
  <c r="K333" i="31" s="1"/>
  <c r="F206" i="30"/>
  <c r="F207" i="30"/>
  <c r="F208" i="30"/>
  <c r="F209" i="30"/>
  <c r="F210" i="30"/>
  <c r="F205" i="30"/>
  <c r="F201" i="30"/>
  <c r="F202" i="30"/>
  <c r="F200" i="30"/>
  <c r="F191" i="30"/>
  <c r="F185" i="30"/>
  <c r="F180" i="30"/>
  <c r="F179" i="30"/>
  <c r="F178" i="30"/>
  <c r="F177" i="30"/>
  <c r="F172" i="30"/>
  <c r="F168" i="30"/>
  <c r="F162" i="30"/>
  <c r="F158" i="30"/>
  <c r="F156" i="30"/>
  <c r="F140" i="30"/>
  <c r="F141" i="30"/>
  <c r="F142" i="30"/>
  <c r="F143" i="30"/>
  <c r="F144" i="30"/>
  <c r="F145" i="30"/>
  <c r="F146" i="30"/>
  <c r="F147" i="30"/>
  <c r="F148" i="30"/>
  <c r="F149" i="30"/>
  <c r="F150" i="30"/>
  <c r="F151" i="30"/>
  <c r="F152" i="30"/>
  <c r="F153" i="30"/>
  <c r="F154" i="30"/>
  <c r="F155" i="30"/>
  <c r="F139" i="30"/>
  <c r="F138" i="30"/>
  <c r="F136" i="30"/>
  <c r="F130" i="30"/>
  <c r="F131" i="30"/>
  <c r="F132" i="30"/>
  <c r="F133" i="30"/>
  <c r="F129" i="30"/>
  <c r="F122" i="30"/>
  <c r="F123" i="30"/>
  <c r="F124" i="30"/>
  <c r="F125" i="30"/>
  <c r="F126" i="30"/>
  <c r="F121" i="30"/>
  <c r="F120" i="30"/>
  <c r="F106" i="30"/>
  <c r="F107" i="30"/>
  <c r="F108" i="30"/>
  <c r="F109" i="30"/>
  <c r="F110" i="30"/>
  <c r="F111" i="30"/>
  <c r="F112" i="30"/>
  <c r="F113" i="30"/>
  <c r="F114" i="30"/>
  <c r="F115" i="30"/>
  <c r="F116" i="30"/>
  <c r="F117" i="30"/>
  <c r="F105" i="30"/>
  <c r="F73" i="30"/>
  <c r="F74" i="30"/>
  <c r="F75" i="30"/>
  <c r="F76" i="30"/>
  <c r="F77" i="30"/>
  <c r="F78" i="30"/>
  <c r="F79" i="30"/>
  <c r="F80" i="30"/>
  <c r="F81" i="30"/>
  <c r="F82" i="30"/>
  <c r="F83" i="30"/>
  <c r="F84" i="30"/>
  <c r="F85" i="30"/>
  <c r="F86" i="30"/>
  <c r="F87" i="30"/>
  <c r="F88" i="30"/>
  <c r="F89" i="30"/>
  <c r="F90" i="30"/>
  <c r="F91" i="30"/>
  <c r="F92" i="30"/>
  <c r="F93" i="30"/>
  <c r="F94" i="30"/>
  <c r="F95" i="30"/>
  <c r="F96" i="30"/>
  <c r="F97" i="30"/>
  <c r="F98" i="30"/>
  <c r="F99" i="30"/>
  <c r="F100" i="30"/>
  <c r="F101" i="30"/>
  <c r="F102" i="30"/>
  <c r="F103" i="30"/>
  <c r="F72" i="30"/>
  <c r="F35" i="30"/>
  <c r="F36" i="30"/>
  <c r="F37" i="30"/>
  <c r="F38" i="30"/>
  <c r="F39" i="30"/>
  <c r="F40" i="30"/>
  <c r="F43" i="30"/>
  <c r="F44" i="30"/>
  <c r="F45" i="30"/>
  <c r="E50" i="31"/>
  <c r="J50" i="31" s="1"/>
  <c r="K50" i="31" s="1"/>
  <c r="F47" i="30"/>
  <c r="F48" i="30"/>
  <c r="F49" i="30"/>
  <c r="F50" i="30"/>
  <c r="F51" i="30"/>
  <c r="F52" i="30"/>
  <c r="F53" i="30"/>
  <c r="F54" i="30"/>
  <c r="F55" i="30"/>
  <c r="F56" i="30"/>
  <c r="F57" i="30"/>
  <c r="F58" i="30"/>
  <c r="F59" i="30"/>
  <c r="F60" i="30"/>
  <c r="F61" i="30"/>
  <c r="F62" i="30"/>
  <c r="F63" i="30"/>
  <c r="F64" i="30"/>
  <c r="F65" i="30"/>
  <c r="F66" i="30"/>
  <c r="F67" i="30"/>
  <c r="F68" i="30"/>
  <c r="F69" i="30"/>
  <c r="F34" i="30"/>
  <c r="I448" i="25"/>
  <c r="G252" i="30" s="1"/>
  <c r="I449" i="25"/>
  <c r="G253" i="30" s="1"/>
  <c r="I450" i="25"/>
  <c r="G254" i="30" s="1"/>
  <c r="I451" i="25"/>
  <c r="G255" i="30" s="1"/>
  <c r="I452" i="25"/>
  <c r="G256" i="30" s="1"/>
  <c r="I453" i="25"/>
  <c r="G257" i="30" s="1"/>
  <c r="I454" i="25"/>
  <c r="G258" i="30" s="1"/>
  <c r="I455" i="25"/>
  <c r="G259" i="30" s="1"/>
  <c r="I456" i="25"/>
  <c r="G260" i="30" s="1"/>
  <c r="I457" i="25"/>
  <c r="G261" i="30" s="1"/>
  <c r="I458" i="25"/>
  <c r="G262" i="30" s="1"/>
  <c r="I459" i="25"/>
  <c r="G263" i="30" s="1"/>
  <c r="I460" i="25"/>
  <c r="G264" i="30" s="1"/>
  <c r="I461" i="25"/>
  <c r="G265" i="30" s="1"/>
  <c r="I462" i="25"/>
  <c r="G266" i="30" s="1"/>
  <c r="I463" i="25"/>
  <c r="G267" i="30" s="1"/>
  <c r="I464" i="25"/>
  <c r="G268" i="30" s="1"/>
  <c r="I465" i="25"/>
  <c r="G269" i="30" s="1"/>
  <c r="I466" i="25"/>
  <c r="G270" i="30" s="1"/>
  <c r="I467" i="25"/>
  <c r="G271" i="30" s="1"/>
  <c r="I468" i="25"/>
  <c r="G272" i="30" s="1"/>
  <c r="I469" i="25"/>
  <c r="G273" i="30" s="1"/>
  <c r="I470" i="25"/>
  <c r="G274" i="30" s="1"/>
  <c r="I471" i="25"/>
  <c r="G275" i="30" s="1"/>
  <c r="I472" i="25"/>
  <c r="G276" i="30" s="1"/>
  <c r="I473" i="25"/>
  <c r="G277" i="30" s="1"/>
  <c r="I474" i="25"/>
  <c r="G278" i="30" s="1"/>
  <c r="I475" i="25"/>
  <c r="G279" i="30" s="1"/>
  <c r="I476" i="25"/>
  <c r="G280" i="30" s="1"/>
  <c r="I477" i="25"/>
  <c r="G281" i="30" s="1"/>
  <c r="I478" i="25"/>
  <c r="G282" i="30" s="1"/>
  <c r="I479" i="25"/>
  <c r="G283" i="30" s="1"/>
  <c r="I480" i="25"/>
  <c r="G284" i="30" s="1"/>
  <c r="I481" i="25"/>
  <c r="G285" i="30" s="1"/>
  <c r="I482" i="25"/>
  <c r="G286" i="30" s="1"/>
  <c r="I483" i="25"/>
  <c r="G287" i="30" s="1"/>
  <c r="I484" i="25"/>
  <c r="G288" i="30" s="1"/>
  <c r="I485" i="25"/>
  <c r="G289" i="30" s="1"/>
  <c r="I486" i="25"/>
  <c r="G290" i="30" s="1"/>
  <c r="I487" i="25"/>
  <c r="G291" i="30" s="1"/>
  <c r="I488" i="25"/>
  <c r="G292" i="30" s="1"/>
  <c r="I489" i="25"/>
  <c r="G293" i="30" s="1"/>
  <c r="I490" i="25"/>
  <c r="G294" i="30" s="1"/>
  <c r="I491" i="25"/>
  <c r="G295" i="30" s="1"/>
  <c r="I492" i="25"/>
  <c r="G296" i="30" s="1"/>
  <c r="I493" i="25"/>
  <c r="G297" i="30" s="1"/>
  <c r="I494" i="25"/>
  <c r="G298" i="30" s="1"/>
  <c r="I495" i="25"/>
  <c r="G299" i="30" s="1"/>
  <c r="I496" i="25"/>
  <c r="G300" i="30" s="1"/>
  <c r="I447" i="25"/>
  <c r="G251" i="30" s="1"/>
  <c r="J448" i="25"/>
  <c r="J449" i="25"/>
  <c r="J450" i="25"/>
  <c r="J451" i="25"/>
  <c r="J452" i="25"/>
  <c r="J453" i="25"/>
  <c r="J454" i="25"/>
  <c r="J455" i="25"/>
  <c r="J456" i="25"/>
  <c r="J457" i="25"/>
  <c r="J458" i="25"/>
  <c r="J459" i="25"/>
  <c r="J460" i="25"/>
  <c r="J461" i="25"/>
  <c r="J462" i="25"/>
  <c r="J463" i="25"/>
  <c r="J464" i="25"/>
  <c r="J465" i="25"/>
  <c r="J466" i="25"/>
  <c r="J467" i="25"/>
  <c r="J468" i="25"/>
  <c r="J469" i="25"/>
  <c r="J470" i="25"/>
  <c r="J471" i="25"/>
  <c r="J472" i="25"/>
  <c r="J473" i="25"/>
  <c r="J474" i="25"/>
  <c r="J475" i="25"/>
  <c r="J476" i="25"/>
  <c r="J477" i="25"/>
  <c r="J478" i="25"/>
  <c r="J479" i="25"/>
  <c r="J480" i="25"/>
  <c r="J481" i="25"/>
  <c r="J482" i="25"/>
  <c r="J483" i="25"/>
  <c r="J484" i="25"/>
  <c r="J485" i="25"/>
  <c r="J486" i="25"/>
  <c r="J487" i="25"/>
  <c r="J488" i="25"/>
  <c r="J489" i="25"/>
  <c r="J490" i="25"/>
  <c r="J491" i="25"/>
  <c r="J492" i="25"/>
  <c r="J493" i="25"/>
  <c r="J494" i="25"/>
  <c r="J495" i="25"/>
  <c r="J496" i="25"/>
  <c r="J447" i="25"/>
  <c r="D309" i="31"/>
  <c r="I309" i="31" s="1"/>
  <c r="K309" i="31" s="1"/>
  <c r="S232" i="31"/>
  <c r="R232" i="31"/>
  <c r="S192" i="31"/>
  <c r="D191" i="31"/>
  <c r="I191" i="31" s="1"/>
  <c r="D190" i="31"/>
  <c r="I190" i="31" s="1"/>
  <c r="J199" i="30"/>
  <c r="K199" i="30" s="1"/>
  <c r="H220" i="25"/>
  <c r="H350" i="25"/>
  <c r="I350" i="25" s="1"/>
  <c r="I118" i="30"/>
  <c r="H173" i="25"/>
  <c r="J187" i="25"/>
  <c r="G118" i="30"/>
  <c r="H118" i="30" s="1"/>
  <c r="H234" i="25"/>
  <c r="H207" i="25"/>
  <c r="M124" i="18" s="1"/>
  <c r="N125" i="18" s="1"/>
  <c r="T163" i="30"/>
  <c r="H351" i="52" l="1"/>
  <c r="H344" i="52"/>
  <c r="E198" i="44"/>
  <c r="E198" i="45"/>
  <c r="F244" i="45"/>
  <c r="J244" i="45"/>
  <c r="K244" i="45" s="1"/>
  <c r="J244" i="44"/>
  <c r="K244" i="44" s="1"/>
  <c r="F244" i="44"/>
  <c r="J234" i="44"/>
  <c r="F234" i="44"/>
  <c r="E192" i="45"/>
  <c r="E192" i="44"/>
  <c r="J234" i="45"/>
  <c r="F234" i="45"/>
  <c r="F246" i="36"/>
  <c r="J246" i="36"/>
  <c r="K246" i="36" s="1"/>
  <c r="J247" i="34"/>
  <c r="K247" i="34" s="1"/>
  <c r="F247" i="34"/>
  <c r="J248" i="39"/>
  <c r="K248" i="39" s="1"/>
  <c r="F248" i="39"/>
  <c r="J238" i="39"/>
  <c r="F238" i="39"/>
  <c r="J237" i="34"/>
  <c r="F237" i="34"/>
  <c r="J236" i="36"/>
  <c r="F236" i="36"/>
  <c r="F417" i="31"/>
  <c r="E194" i="36"/>
  <c r="E195" i="34"/>
  <c r="E196" i="39"/>
  <c r="E202" i="39"/>
  <c r="E200" i="36"/>
  <c r="E201" i="34"/>
  <c r="K34" i="31"/>
  <c r="L34" i="31"/>
  <c r="K35" i="31"/>
  <c r="L35" i="31"/>
  <c r="K36" i="31"/>
  <c r="L36" i="31"/>
  <c r="F345" i="31"/>
  <c r="J345" i="31"/>
  <c r="K345" i="31" s="1"/>
  <c r="J354" i="31"/>
  <c r="K354" i="31"/>
  <c r="J444" i="31"/>
  <c r="I232" i="31"/>
  <c r="J420" i="31"/>
  <c r="I166" i="31"/>
  <c r="F471" i="31"/>
  <c r="J471" i="31"/>
  <c r="J464" i="31"/>
  <c r="J310" i="31"/>
  <c r="F468" i="31"/>
  <c r="F346" i="31"/>
  <c r="J346" i="31"/>
  <c r="K346" i="31" s="1"/>
  <c r="J380" i="31"/>
  <c r="F312" i="31"/>
  <c r="F314" i="31"/>
  <c r="F466" i="31"/>
  <c r="F334" i="31"/>
  <c r="F332" i="31"/>
  <c r="F446" i="31"/>
  <c r="F395" i="31"/>
  <c r="F427" i="31"/>
  <c r="F401" i="31"/>
  <c r="F355" i="31"/>
  <c r="F219" i="31"/>
  <c r="F405" i="31"/>
  <c r="F415" i="31"/>
  <c r="F359" i="31"/>
  <c r="F411" i="31"/>
  <c r="F339" i="31"/>
  <c r="F254" i="31"/>
  <c r="F251" i="31"/>
  <c r="F460" i="31"/>
  <c r="F326" i="31"/>
  <c r="F229" i="31"/>
  <c r="F315" i="31"/>
  <c r="F322" i="31"/>
  <c r="F397" i="31"/>
  <c r="F400" i="31"/>
  <c r="F399" i="31"/>
  <c r="F311" i="31"/>
  <c r="F329" i="31"/>
  <c r="F430" i="31"/>
  <c r="F363" i="31"/>
  <c r="F336" i="31"/>
  <c r="F228" i="31"/>
  <c r="F439" i="31"/>
  <c r="F437" i="31"/>
  <c r="F418" i="31"/>
  <c r="F428" i="31"/>
  <c r="F396" i="31"/>
  <c r="F323" i="31"/>
  <c r="F410" i="31"/>
  <c r="F448" i="31"/>
  <c r="F348" i="31"/>
  <c r="F338" i="31"/>
  <c r="F394" i="31"/>
  <c r="F250" i="31"/>
  <c r="F317" i="31"/>
  <c r="F403" i="31"/>
  <c r="F386" i="31"/>
  <c r="F341" i="31"/>
  <c r="F385" i="31"/>
  <c r="F325" i="31"/>
  <c r="F445" i="31"/>
  <c r="F351" i="31"/>
  <c r="E115" i="31"/>
  <c r="F115" i="32"/>
  <c r="M358" i="32"/>
  <c r="N358" i="32" s="1"/>
  <c r="G358" i="32"/>
  <c r="M451" i="32"/>
  <c r="N452" i="32"/>
  <c r="N451" i="32" s="1"/>
  <c r="E157" i="31"/>
  <c r="F154" i="32"/>
  <c r="E67" i="31"/>
  <c r="J67" i="31" s="1"/>
  <c r="K67" i="31" s="1"/>
  <c r="F67" i="32"/>
  <c r="E111" i="31"/>
  <c r="F111" i="32"/>
  <c r="F412" i="31"/>
  <c r="M364" i="32"/>
  <c r="N364" i="32" s="1"/>
  <c r="G364" i="32"/>
  <c r="M372" i="32"/>
  <c r="N372" i="32" s="1"/>
  <c r="G372" i="32"/>
  <c r="E88" i="31"/>
  <c r="J88" i="31" s="1"/>
  <c r="K88" i="31" s="1"/>
  <c r="F88" i="32"/>
  <c r="N342" i="32"/>
  <c r="M407" i="32"/>
  <c r="N407" i="32" s="1"/>
  <c r="G407" i="32"/>
  <c r="M383" i="32"/>
  <c r="N383" i="32" s="1"/>
  <c r="G383" i="32"/>
  <c r="F454" i="31"/>
  <c r="E40" i="31"/>
  <c r="F40" i="32"/>
  <c r="F398" i="31"/>
  <c r="E133" i="31"/>
  <c r="F130" i="32"/>
  <c r="E208" i="31"/>
  <c r="J208" i="31" s="1"/>
  <c r="K208" i="31" s="1"/>
  <c r="F205" i="32"/>
  <c r="F461" i="31"/>
  <c r="M323" i="32"/>
  <c r="N323" i="32" s="1"/>
  <c r="G323" i="32"/>
  <c r="F244" i="31"/>
  <c r="M309" i="32"/>
  <c r="N309" i="32" s="1"/>
  <c r="G309" i="32"/>
  <c r="E84" i="31"/>
  <c r="F84" i="32"/>
  <c r="M246" i="32"/>
  <c r="N246" i="32" s="1"/>
  <c r="G246" i="32"/>
  <c r="M442" i="32"/>
  <c r="N442" i="32" s="1"/>
  <c r="G442" i="32"/>
  <c r="M317" i="32"/>
  <c r="N317" i="32" s="1"/>
  <c r="G317" i="32"/>
  <c r="G325" i="32"/>
  <c r="M325" i="32"/>
  <c r="N325" i="32" s="1"/>
  <c r="M365" i="32"/>
  <c r="N365" i="32" s="1"/>
  <c r="G365" i="32"/>
  <c r="M370" i="32"/>
  <c r="N370" i="32" s="1"/>
  <c r="G370" i="32"/>
  <c r="F435" i="31"/>
  <c r="E61" i="31"/>
  <c r="F61" i="32"/>
  <c r="E107" i="31"/>
  <c r="F107" i="32"/>
  <c r="E83" i="31"/>
  <c r="J83" i="31" s="1"/>
  <c r="K83" i="31" s="1"/>
  <c r="F83" i="32"/>
  <c r="E131" i="31"/>
  <c r="J131" i="31" s="1"/>
  <c r="K131" i="31" s="1"/>
  <c r="F128" i="32"/>
  <c r="E150" i="31"/>
  <c r="F147" i="32"/>
  <c r="F214" i="32"/>
  <c r="E217" i="31"/>
  <c r="J217" i="31" s="1"/>
  <c r="K217" i="31" s="1"/>
  <c r="G385" i="32"/>
  <c r="M385" i="32"/>
  <c r="N385" i="32" s="1"/>
  <c r="F388" i="31"/>
  <c r="M227" i="32"/>
  <c r="N227" i="32" s="1"/>
  <c r="G227" i="32"/>
  <c r="M224" i="32"/>
  <c r="N224" i="32" s="1"/>
  <c r="G224" i="32"/>
  <c r="G419" i="32"/>
  <c r="M419" i="32"/>
  <c r="N419" i="32" s="1"/>
  <c r="F327" i="31"/>
  <c r="F463" i="31"/>
  <c r="F387" i="31"/>
  <c r="M333" i="32"/>
  <c r="N333" i="32" s="1"/>
  <c r="G333" i="32"/>
  <c r="M417" i="32"/>
  <c r="N417" i="32" s="1"/>
  <c r="G417" i="32"/>
  <c r="E60" i="31"/>
  <c r="F60" i="32"/>
  <c r="E106" i="31"/>
  <c r="F106" i="32"/>
  <c r="E82" i="31"/>
  <c r="J82" i="31" s="1"/>
  <c r="K82" i="31" s="1"/>
  <c r="F82" i="32"/>
  <c r="E130" i="31"/>
  <c r="F127" i="32"/>
  <c r="E149" i="31"/>
  <c r="F146" i="32"/>
  <c r="F213" i="32"/>
  <c r="E216" i="31"/>
  <c r="J216" i="31" s="1"/>
  <c r="K216" i="31" s="1"/>
  <c r="F402" i="31"/>
  <c r="M250" i="32"/>
  <c r="N250" i="32" s="1"/>
  <c r="G250" i="32"/>
  <c r="M404" i="32"/>
  <c r="N404" i="32" s="1"/>
  <c r="G404" i="32"/>
  <c r="M444" i="32"/>
  <c r="N444" i="32" s="1"/>
  <c r="G444" i="32"/>
  <c r="M389" i="32"/>
  <c r="N389" i="32" s="1"/>
  <c r="G389" i="32"/>
  <c r="E59" i="31"/>
  <c r="J59" i="31" s="1"/>
  <c r="K59" i="31" s="1"/>
  <c r="F59" i="32"/>
  <c r="E105" i="31"/>
  <c r="F105" i="32"/>
  <c r="E81" i="31"/>
  <c r="F81" i="32"/>
  <c r="E129" i="31"/>
  <c r="F126" i="32"/>
  <c r="E148" i="31"/>
  <c r="F145" i="32"/>
  <c r="M410" i="32"/>
  <c r="N410" i="32" s="1"/>
  <c r="G410" i="32"/>
  <c r="M308" i="32"/>
  <c r="N308" i="32" s="1"/>
  <c r="G308" i="32"/>
  <c r="M377" i="32"/>
  <c r="N377" i="32" s="1"/>
  <c r="G377" i="32"/>
  <c r="G446" i="32"/>
  <c r="M446" i="32"/>
  <c r="G360" i="32"/>
  <c r="M360" i="32"/>
  <c r="N360" i="32" s="1"/>
  <c r="M217" i="32"/>
  <c r="N217" i="32" s="1"/>
  <c r="G217" i="32"/>
  <c r="M327" i="32"/>
  <c r="N327" i="32" s="1"/>
  <c r="G327" i="32"/>
  <c r="F343" i="31"/>
  <c r="F406" i="31"/>
  <c r="G374" i="32"/>
  <c r="M374" i="32"/>
  <c r="N374" i="32" s="1"/>
  <c r="E47" i="31"/>
  <c r="F47" i="32"/>
  <c r="M350" i="32"/>
  <c r="N350" i="32" s="1"/>
  <c r="G350" i="32"/>
  <c r="M320" i="32"/>
  <c r="N320" i="32" s="1"/>
  <c r="G320" i="32"/>
  <c r="F352" i="31"/>
  <c r="M313" i="32"/>
  <c r="N313" i="32" s="1"/>
  <c r="G313" i="32"/>
  <c r="M433" i="32"/>
  <c r="N433" i="32" s="1"/>
  <c r="G433" i="32"/>
  <c r="M349" i="32"/>
  <c r="N349" i="32" s="1"/>
  <c r="G349" i="32"/>
  <c r="M422" i="32"/>
  <c r="N422" i="32" s="1"/>
  <c r="G422" i="32"/>
  <c r="F433" i="31"/>
  <c r="E45" i="31"/>
  <c r="J45" i="31" s="1"/>
  <c r="K45" i="31" s="1"/>
  <c r="F45" i="32"/>
  <c r="E158" i="31"/>
  <c r="F155" i="32"/>
  <c r="M391" i="32"/>
  <c r="N391" i="32" s="1"/>
  <c r="G391" i="32"/>
  <c r="E44" i="31"/>
  <c r="F44" i="32"/>
  <c r="M413" i="32"/>
  <c r="N413" i="32" s="1"/>
  <c r="G413" i="32"/>
  <c r="M443" i="32"/>
  <c r="N443" i="32" s="1"/>
  <c r="G443" i="32"/>
  <c r="M337" i="32"/>
  <c r="N337" i="32" s="1"/>
  <c r="G337" i="32"/>
  <c r="G324" i="32"/>
  <c r="M324" i="32"/>
  <c r="N324" i="32" s="1"/>
  <c r="M334" i="32"/>
  <c r="N334" i="32" s="1"/>
  <c r="G334" i="32"/>
  <c r="E42" i="31"/>
  <c r="F42" i="32"/>
  <c r="E206" i="31"/>
  <c r="F203" i="32"/>
  <c r="M408" i="32"/>
  <c r="N408" i="32" s="1"/>
  <c r="G408" i="32"/>
  <c r="E128" i="31"/>
  <c r="J128" i="31" s="1"/>
  <c r="K128" i="31" s="1"/>
  <c r="F125" i="32"/>
  <c r="M400" i="32"/>
  <c r="N400" i="32" s="1"/>
  <c r="G400" i="32"/>
  <c r="M436" i="32"/>
  <c r="N436" i="32" s="1"/>
  <c r="G436" i="32"/>
  <c r="G371" i="32"/>
  <c r="M371" i="32"/>
  <c r="N371" i="32" s="1"/>
  <c r="E58" i="31"/>
  <c r="F58" i="32"/>
  <c r="E104" i="31"/>
  <c r="F104" i="32"/>
  <c r="E80" i="31"/>
  <c r="F80" i="32"/>
  <c r="G352" i="32"/>
  <c r="M352" i="32"/>
  <c r="M356" i="32"/>
  <c r="N356" i="32" s="1"/>
  <c r="G356" i="32"/>
  <c r="M379" i="32"/>
  <c r="N379" i="32" s="1"/>
  <c r="G379" i="32"/>
  <c r="F364" i="31"/>
  <c r="E103" i="31"/>
  <c r="F103" i="32"/>
  <c r="E56" i="31"/>
  <c r="F56" i="32"/>
  <c r="E78" i="31"/>
  <c r="F78" i="32"/>
  <c r="E138" i="31"/>
  <c r="F135" i="32"/>
  <c r="F450" i="31"/>
  <c r="M405" i="32"/>
  <c r="N405" i="32" s="1"/>
  <c r="G405" i="32"/>
  <c r="G316" i="32"/>
  <c r="M316" i="32"/>
  <c r="M336" i="32"/>
  <c r="N336" i="32" s="1"/>
  <c r="G336" i="32"/>
  <c r="F318" i="31"/>
  <c r="E179" i="31"/>
  <c r="J179" i="31" s="1"/>
  <c r="K179" i="31" s="1"/>
  <c r="F176" i="32"/>
  <c r="M338" i="32"/>
  <c r="N338" i="32" s="1"/>
  <c r="G338" i="32"/>
  <c r="F235" i="31"/>
  <c r="E98" i="31"/>
  <c r="F98" i="32"/>
  <c r="F177" i="32"/>
  <c r="F253" i="31"/>
  <c r="F409" i="31"/>
  <c r="F237" i="31"/>
  <c r="F340" i="31"/>
  <c r="F358" i="31"/>
  <c r="G366" i="32"/>
  <c r="M366" i="32"/>
  <c r="N366" i="32" s="1"/>
  <c r="G447" i="32"/>
  <c r="M447" i="32"/>
  <c r="N447" i="32" s="1"/>
  <c r="M397" i="32"/>
  <c r="N397" i="32" s="1"/>
  <c r="G397" i="32"/>
  <c r="M399" i="32"/>
  <c r="N399" i="32" s="1"/>
  <c r="G399" i="32"/>
  <c r="G232" i="32"/>
  <c r="M232" i="32"/>
  <c r="N232" i="32" s="1"/>
  <c r="F391" i="31"/>
  <c r="E160" i="31"/>
  <c r="J160" i="31" s="1"/>
  <c r="K160" i="31" s="1"/>
  <c r="F157" i="32"/>
  <c r="F452" i="31"/>
  <c r="E70" i="31"/>
  <c r="J70" i="31" s="1"/>
  <c r="K70" i="31" s="1"/>
  <c r="F70" i="32"/>
  <c r="E114" i="31"/>
  <c r="J114" i="31" s="1"/>
  <c r="K114" i="31" s="1"/>
  <c r="F114" i="32"/>
  <c r="E188" i="31"/>
  <c r="F185" i="32"/>
  <c r="E112" i="31"/>
  <c r="J112" i="31" s="1"/>
  <c r="K112" i="31" s="1"/>
  <c r="F112" i="32"/>
  <c r="M420" i="32"/>
  <c r="N420" i="32" s="1"/>
  <c r="G420" i="32"/>
  <c r="E43" i="31"/>
  <c r="F43" i="32"/>
  <c r="G348" i="32"/>
  <c r="M348" i="32"/>
  <c r="N348" i="32" s="1"/>
  <c r="M339" i="32"/>
  <c r="N339" i="32" s="1"/>
  <c r="G339" i="32"/>
  <c r="M394" i="32"/>
  <c r="N394" i="32" s="1"/>
  <c r="G394" i="32"/>
  <c r="E65" i="31"/>
  <c r="F65" i="32"/>
  <c r="E87" i="31"/>
  <c r="J87" i="31" s="1"/>
  <c r="K87" i="31" s="1"/>
  <c r="F87" i="32"/>
  <c r="G346" i="32"/>
  <c r="M346" i="32"/>
  <c r="N346" i="32" s="1"/>
  <c r="M388" i="32"/>
  <c r="N388" i="32" s="1"/>
  <c r="G388" i="32"/>
  <c r="E209" i="31"/>
  <c r="F206" i="32"/>
  <c r="F455" i="31"/>
  <c r="F458" i="31"/>
  <c r="E63" i="31"/>
  <c r="F63" i="32"/>
  <c r="E152" i="31"/>
  <c r="F149" i="32"/>
  <c r="F389" i="31"/>
  <c r="M380" i="32"/>
  <c r="N380" i="32" s="1"/>
  <c r="G380" i="32"/>
  <c r="E214" i="31"/>
  <c r="F211" i="32"/>
  <c r="G428" i="32"/>
  <c r="M428" i="32"/>
  <c r="N428" i="32" s="1"/>
  <c r="M318" i="32"/>
  <c r="N318" i="32" s="1"/>
  <c r="G318" i="32"/>
  <c r="F308" i="31"/>
  <c r="F342" i="31"/>
  <c r="M216" i="32"/>
  <c r="N216" i="32" s="1"/>
  <c r="G216" i="32"/>
  <c r="M368" i="32"/>
  <c r="N368" i="32" s="1"/>
  <c r="G368" i="32"/>
  <c r="F423" i="31"/>
  <c r="F457" i="31"/>
  <c r="E55" i="31"/>
  <c r="F55" i="32"/>
  <c r="F361" i="31"/>
  <c r="G248" i="32"/>
  <c r="M248" i="32"/>
  <c r="N248" i="32" s="1"/>
  <c r="M423" i="32"/>
  <c r="N423" i="32" s="1"/>
  <c r="G423" i="32"/>
  <c r="E109" i="31"/>
  <c r="F109" i="32"/>
  <c r="E175" i="31"/>
  <c r="F172" i="32"/>
  <c r="M431" i="32"/>
  <c r="N431" i="32" s="1"/>
  <c r="G431" i="32"/>
  <c r="M311" i="32"/>
  <c r="N311" i="32" s="1"/>
  <c r="G311" i="32"/>
  <c r="E53" i="31"/>
  <c r="J53" i="31" s="1"/>
  <c r="K53" i="31" s="1"/>
  <c r="F53" i="32"/>
  <c r="E99" i="31"/>
  <c r="F99" i="32"/>
  <c r="E121" i="31"/>
  <c r="J121" i="31" s="1"/>
  <c r="K121" i="31" s="1"/>
  <c r="F121" i="32"/>
  <c r="M344" i="32"/>
  <c r="N344" i="32" s="1"/>
  <c r="G344" i="32"/>
  <c r="F328" i="31"/>
  <c r="E52" i="31"/>
  <c r="F52" i="32"/>
  <c r="M234" i="32"/>
  <c r="N234" i="32" s="1"/>
  <c r="G234" i="32"/>
  <c r="M355" i="32"/>
  <c r="N355" i="32" s="1"/>
  <c r="G355" i="32"/>
  <c r="M426" i="32"/>
  <c r="G426" i="32"/>
  <c r="F383" i="31"/>
  <c r="M441" i="32"/>
  <c r="N441" i="32" s="1"/>
  <c r="G441" i="32"/>
  <c r="F465" i="31"/>
  <c r="F414" i="31"/>
  <c r="M345" i="32"/>
  <c r="N345" i="32" s="1"/>
  <c r="G345" i="32"/>
  <c r="F416" i="31"/>
  <c r="M335" i="32"/>
  <c r="N335" i="32" s="1"/>
  <c r="G335" i="32"/>
  <c r="F234" i="31"/>
  <c r="M247" i="32"/>
  <c r="N247" i="32" s="1"/>
  <c r="G247" i="32"/>
  <c r="M373" i="32"/>
  <c r="N373" i="32" s="1"/>
  <c r="G373" i="32"/>
  <c r="M418" i="32"/>
  <c r="N418" i="32" s="1"/>
  <c r="G418" i="32"/>
  <c r="M393" i="32"/>
  <c r="N393" i="32" s="1"/>
  <c r="G393" i="32"/>
  <c r="F453" i="31"/>
  <c r="M437" i="32"/>
  <c r="N437" i="32" s="1"/>
  <c r="G437" i="32"/>
  <c r="E92" i="31"/>
  <c r="F92" i="32"/>
  <c r="E159" i="31"/>
  <c r="F156" i="32"/>
  <c r="M434" i="32"/>
  <c r="N434" i="32" s="1"/>
  <c r="G434" i="32"/>
  <c r="M310" i="32"/>
  <c r="N310" i="32" s="1"/>
  <c r="G310" i="32"/>
  <c r="E69" i="31"/>
  <c r="F69" i="32"/>
  <c r="E91" i="31"/>
  <c r="F91" i="32"/>
  <c r="E192" i="31"/>
  <c r="J192" i="31" s="1"/>
  <c r="K192" i="31" s="1"/>
  <c r="F189" i="32"/>
  <c r="F431" i="31"/>
  <c r="M386" i="32"/>
  <c r="N386" i="32" s="1"/>
  <c r="G386" i="32"/>
  <c r="F462" i="31"/>
  <c r="E68" i="31"/>
  <c r="J68" i="31" s="1"/>
  <c r="K68" i="31" s="1"/>
  <c r="F68" i="32"/>
  <c r="E90" i="31"/>
  <c r="J90" i="31" s="1"/>
  <c r="K90" i="31" s="1"/>
  <c r="F90" i="32"/>
  <c r="E198" i="31"/>
  <c r="F195" i="32"/>
  <c r="G390" i="32"/>
  <c r="M390" i="32"/>
  <c r="N390" i="32" s="1"/>
  <c r="G398" i="32"/>
  <c r="M398" i="32"/>
  <c r="N398" i="32" s="1"/>
  <c r="F382" i="31"/>
  <c r="F390" i="31"/>
  <c r="E89" i="31"/>
  <c r="F89" i="32"/>
  <c r="G369" i="32"/>
  <c r="M369" i="32"/>
  <c r="N369" i="32" s="1"/>
  <c r="E66" i="31"/>
  <c r="J66" i="31" s="1"/>
  <c r="K66" i="31" s="1"/>
  <c r="F66" i="32"/>
  <c r="E155" i="31"/>
  <c r="F152" i="32"/>
  <c r="E154" i="31"/>
  <c r="F151" i="32"/>
  <c r="M315" i="32"/>
  <c r="N315" i="32" s="1"/>
  <c r="G315" i="32"/>
  <c r="E64" i="31"/>
  <c r="F64" i="32"/>
  <c r="E39" i="31"/>
  <c r="J39" i="31" s="1"/>
  <c r="K39" i="31" s="1"/>
  <c r="F39" i="32"/>
  <c r="F357" i="31"/>
  <c r="M439" i="32"/>
  <c r="N439" i="32" s="1"/>
  <c r="G439" i="32"/>
  <c r="E62" i="31"/>
  <c r="J62" i="31" s="1"/>
  <c r="K62" i="31" s="1"/>
  <c r="F62" i="32"/>
  <c r="E76" i="31"/>
  <c r="J76" i="31" s="1"/>
  <c r="K76" i="31" s="1"/>
  <c r="F76" i="32"/>
  <c r="E132" i="31"/>
  <c r="F129" i="32"/>
  <c r="E151" i="31"/>
  <c r="F148" i="32"/>
  <c r="E212" i="31"/>
  <c r="F209" i="32"/>
  <c r="M354" i="32"/>
  <c r="N354" i="32" s="1"/>
  <c r="G354" i="32"/>
  <c r="E136" i="31"/>
  <c r="F133" i="32"/>
  <c r="E57" i="31"/>
  <c r="F57" i="32"/>
  <c r="E79" i="31"/>
  <c r="F79" i="32"/>
  <c r="E140" i="31"/>
  <c r="J140" i="31" s="1"/>
  <c r="K140" i="31" s="1"/>
  <c r="F137" i="32"/>
  <c r="E163" i="31"/>
  <c r="F160" i="32"/>
  <c r="M321" i="32"/>
  <c r="N321" i="32" s="1"/>
  <c r="G321" i="32"/>
  <c r="M312" i="32"/>
  <c r="N312" i="32" s="1"/>
  <c r="G312" i="32"/>
  <c r="G361" i="32"/>
  <c r="M361" i="32"/>
  <c r="N361" i="32" s="1"/>
  <c r="E102" i="31"/>
  <c r="J102" i="31" s="1"/>
  <c r="K102" i="31" s="1"/>
  <c r="F102" i="32"/>
  <c r="E139" i="31"/>
  <c r="F136" i="32"/>
  <c r="E165" i="31"/>
  <c r="J165" i="31" s="1"/>
  <c r="K165" i="31" s="1"/>
  <c r="F162" i="32"/>
  <c r="G411" i="32"/>
  <c r="M411" i="32"/>
  <c r="N411" i="32" s="1"/>
  <c r="E101" i="31"/>
  <c r="F101" i="32"/>
  <c r="E169" i="31"/>
  <c r="J169" i="31" s="1"/>
  <c r="K169" i="31" s="1"/>
  <c r="F166" i="32"/>
  <c r="M326" i="32"/>
  <c r="N326" i="32" s="1"/>
  <c r="G326" i="32"/>
  <c r="E144" i="31"/>
  <c r="F141" i="32"/>
  <c r="F392" i="31"/>
  <c r="F449" i="31"/>
  <c r="F313" i="31"/>
  <c r="E38" i="31"/>
  <c r="J38" i="31" s="1"/>
  <c r="K38" i="31" s="1"/>
  <c r="F38" i="32"/>
  <c r="E118" i="31"/>
  <c r="J118" i="31" s="1"/>
  <c r="K118" i="31" s="1"/>
  <c r="F118" i="32"/>
  <c r="E184" i="31"/>
  <c r="J184" i="31" s="1"/>
  <c r="K184" i="31" s="1"/>
  <c r="F181" i="32"/>
  <c r="G225" i="32"/>
  <c r="M225" i="32"/>
  <c r="N225" i="32" s="1"/>
  <c r="M412" i="32"/>
  <c r="N412" i="32" s="1"/>
  <c r="G412" i="32"/>
  <c r="M421" i="32"/>
  <c r="N421" i="32" s="1"/>
  <c r="G421" i="32"/>
  <c r="F347" i="31"/>
  <c r="F337" i="31"/>
  <c r="F249" i="31"/>
  <c r="F381" i="31"/>
  <c r="F256" i="31"/>
  <c r="E71" i="31"/>
  <c r="J71" i="31" s="1"/>
  <c r="K71" i="31" s="1"/>
  <c r="F71" i="32"/>
  <c r="E187" i="31"/>
  <c r="F184" i="32"/>
  <c r="M378" i="32"/>
  <c r="N378" i="32" s="1"/>
  <c r="G378" i="32"/>
  <c r="M384" i="32"/>
  <c r="N384" i="32" s="1"/>
  <c r="G384" i="32"/>
  <c r="E113" i="31"/>
  <c r="F113" i="32"/>
  <c r="G357" i="32"/>
  <c r="M357" i="32"/>
  <c r="N357" i="32" s="1"/>
  <c r="F356" i="31"/>
  <c r="M430" i="32"/>
  <c r="N430" i="32" s="1"/>
  <c r="G430" i="32"/>
  <c r="M353" i="32"/>
  <c r="N353" i="32" s="1"/>
  <c r="G353" i="32"/>
  <c r="E110" i="31"/>
  <c r="F110" i="32"/>
  <c r="E41" i="31"/>
  <c r="F41" i="32"/>
  <c r="E207" i="31"/>
  <c r="F204" i="32"/>
  <c r="E153" i="31"/>
  <c r="F150" i="32"/>
  <c r="M435" i="32"/>
  <c r="N435" i="32" s="1"/>
  <c r="G435" i="32"/>
  <c r="M252" i="32"/>
  <c r="N252" i="32" s="1"/>
  <c r="G252" i="32"/>
  <c r="M249" i="32"/>
  <c r="N249" i="32" s="1"/>
  <c r="G249" i="32"/>
  <c r="F425" i="31"/>
  <c r="E85" i="31"/>
  <c r="F85" i="32"/>
  <c r="M241" i="32"/>
  <c r="N241" i="32" s="1"/>
  <c r="G241" i="32"/>
  <c r="E147" i="31"/>
  <c r="F144" i="32"/>
  <c r="M226" i="32"/>
  <c r="N226" i="32" s="1"/>
  <c r="G226" i="32"/>
  <c r="M340" i="32"/>
  <c r="N340" i="32" s="1"/>
  <c r="G340" i="32"/>
  <c r="E213" i="31"/>
  <c r="J213" i="31" s="1"/>
  <c r="K213" i="31" s="1"/>
  <c r="F210" i="32"/>
  <c r="F362" i="31"/>
  <c r="F320" i="31"/>
  <c r="M305" i="32"/>
  <c r="N305" i="32" s="1"/>
  <c r="G305" i="32"/>
  <c r="F349" i="31"/>
  <c r="M382" i="32"/>
  <c r="N382" i="32" s="1"/>
  <c r="G382" i="32"/>
  <c r="E100" i="31"/>
  <c r="F100" i="32"/>
  <c r="M392" i="32"/>
  <c r="N392" i="32" s="1"/>
  <c r="G392" i="32"/>
  <c r="G416" i="32"/>
  <c r="M416" i="32"/>
  <c r="N416" i="32" s="1"/>
  <c r="E120" i="31"/>
  <c r="J120" i="31" s="1"/>
  <c r="K120" i="31" s="1"/>
  <c r="F120" i="32"/>
  <c r="E73" i="31"/>
  <c r="F73" i="32"/>
  <c r="E49" i="31"/>
  <c r="F49" i="32"/>
  <c r="E95" i="31"/>
  <c r="J95" i="31" s="1"/>
  <c r="K95" i="31" s="1"/>
  <c r="F95" i="32"/>
  <c r="E117" i="31"/>
  <c r="J117" i="31" s="1"/>
  <c r="K117" i="31" s="1"/>
  <c r="F117" i="32"/>
  <c r="E185" i="31"/>
  <c r="J185" i="31" s="1"/>
  <c r="K185" i="31" s="1"/>
  <c r="F182" i="32"/>
  <c r="F330" i="31"/>
  <c r="F227" i="31"/>
  <c r="F429" i="31"/>
  <c r="M376" i="32"/>
  <c r="N376" i="32" s="1"/>
  <c r="G376" i="32"/>
  <c r="F438" i="31"/>
  <c r="M254" i="32"/>
  <c r="N254" i="32" s="1"/>
  <c r="G254" i="32"/>
  <c r="F419" i="31"/>
  <c r="M367" i="32"/>
  <c r="N367" i="32" s="1"/>
  <c r="G367" i="32"/>
  <c r="M314" i="32"/>
  <c r="N314" i="32" s="1"/>
  <c r="G314" i="32"/>
  <c r="M319" i="32"/>
  <c r="N319" i="32" s="1"/>
  <c r="G319" i="32"/>
  <c r="M387" i="32"/>
  <c r="N387" i="32" s="1"/>
  <c r="G387" i="32"/>
  <c r="M429" i="32"/>
  <c r="N429" i="32" s="1"/>
  <c r="G429" i="32"/>
  <c r="F459" i="31"/>
  <c r="M381" i="32"/>
  <c r="N381" i="32" s="1"/>
  <c r="G381" i="32"/>
  <c r="M363" i="32"/>
  <c r="G363" i="32"/>
  <c r="M253" i="32"/>
  <c r="N253" i="32" s="1"/>
  <c r="G253" i="32"/>
  <c r="E93" i="31"/>
  <c r="F93" i="32"/>
  <c r="E46" i="31"/>
  <c r="J46" i="31" s="1"/>
  <c r="K46" i="31" s="1"/>
  <c r="F46" i="32"/>
  <c r="F360" i="31"/>
  <c r="M415" i="32"/>
  <c r="N415" i="32" s="1"/>
  <c r="G415" i="32"/>
  <c r="F408" i="31"/>
  <c r="E156" i="31"/>
  <c r="F153" i="32"/>
  <c r="E127" i="31"/>
  <c r="J127" i="31" s="1"/>
  <c r="K127" i="31" s="1"/>
  <c r="F124" i="32"/>
  <c r="F252" i="31"/>
  <c r="G396" i="32"/>
  <c r="M396" i="32"/>
  <c r="N396" i="32" s="1"/>
  <c r="E86" i="31"/>
  <c r="J86" i="31" s="1"/>
  <c r="K86" i="31" s="1"/>
  <c r="F86" i="32"/>
  <c r="M322" i="32"/>
  <c r="N322" i="32" s="1"/>
  <c r="G322" i="32"/>
  <c r="G359" i="32"/>
  <c r="M359" i="32"/>
  <c r="N359" i="32" s="1"/>
  <c r="E77" i="31"/>
  <c r="F77" i="32"/>
  <c r="F324" i="31"/>
  <c r="F421" i="31"/>
  <c r="G438" i="32"/>
  <c r="M438" i="32"/>
  <c r="N438" i="32" s="1"/>
  <c r="E54" i="31"/>
  <c r="F54" i="32"/>
  <c r="E137" i="31"/>
  <c r="F134" i="32"/>
  <c r="M375" i="32"/>
  <c r="N375" i="32" s="1"/>
  <c r="G375" i="32"/>
  <c r="M403" i="32"/>
  <c r="G403" i="32"/>
  <c r="M427" i="32"/>
  <c r="N427" i="32" s="1"/>
  <c r="G427" i="32"/>
  <c r="M231" i="32"/>
  <c r="G231" i="32"/>
  <c r="F440" i="31"/>
  <c r="F422" i="31"/>
  <c r="F434" i="31"/>
  <c r="M251" i="32"/>
  <c r="N251" i="32" s="1"/>
  <c r="G251" i="32"/>
  <c r="E143" i="31"/>
  <c r="J143" i="31" s="1"/>
  <c r="K143" i="31" s="1"/>
  <c r="F140" i="32"/>
  <c r="E51" i="31"/>
  <c r="J51" i="31" s="1"/>
  <c r="K51" i="31" s="1"/>
  <c r="F51" i="32"/>
  <c r="E97" i="31"/>
  <c r="F97" i="32"/>
  <c r="E119" i="31"/>
  <c r="F119" i="32"/>
  <c r="E145" i="31"/>
  <c r="J145" i="31" s="1"/>
  <c r="K145" i="31" s="1"/>
  <c r="F142" i="32"/>
  <c r="E96" i="31"/>
  <c r="F96" i="32"/>
  <c r="E146" i="31"/>
  <c r="F143" i="32"/>
  <c r="E162" i="31"/>
  <c r="F159" i="32"/>
  <c r="E72" i="31"/>
  <c r="F72" i="32"/>
  <c r="E48" i="31"/>
  <c r="J48" i="31" s="1"/>
  <c r="K48" i="31" s="1"/>
  <c r="F48" i="32"/>
  <c r="E94" i="31"/>
  <c r="F94" i="32"/>
  <c r="E116" i="31"/>
  <c r="J116" i="31" s="1"/>
  <c r="K116" i="31" s="1"/>
  <c r="F116" i="32"/>
  <c r="E161" i="31"/>
  <c r="J161" i="31" s="1"/>
  <c r="K161" i="31" s="1"/>
  <c r="F158" i="32"/>
  <c r="E186" i="31"/>
  <c r="F183" i="32"/>
  <c r="F353" i="31"/>
  <c r="F393" i="31"/>
  <c r="M401" i="32"/>
  <c r="N401" i="32" s="1"/>
  <c r="G401" i="32"/>
  <c r="F384" i="31"/>
  <c r="F316" i="31"/>
  <c r="F321" i="31"/>
  <c r="F404" i="31"/>
  <c r="F447" i="31"/>
  <c r="G440" i="32"/>
  <c r="M440" i="32"/>
  <c r="N440" i="32" s="1"/>
  <c r="G409" i="32"/>
  <c r="M409" i="32"/>
  <c r="N409" i="32" s="1"/>
  <c r="F456" i="31"/>
  <c r="F255" i="31"/>
  <c r="F331" i="31"/>
  <c r="F333" i="31"/>
  <c r="F335" i="31"/>
  <c r="H295" i="30"/>
  <c r="I295" i="30" s="1"/>
  <c r="H271" i="30"/>
  <c r="I271" i="30" s="1"/>
  <c r="H290" i="30"/>
  <c r="I290" i="30" s="1"/>
  <c r="H283" i="30"/>
  <c r="I283" i="30" s="1"/>
  <c r="H259" i="30"/>
  <c r="I259" i="30" s="1"/>
  <c r="F83" i="31"/>
  <c r="H287" i="30"/>
  <c r="I287" i="30" s="1"/>
  <c r="H286" i="30"/>
  <c r="I286" i="30" s="1"/>
  <c r="H261" i="30"/>
  <c r="I261" i="30" s="1"/>
  <c r="H279" i="30"/>
  <c r="I279" i="30" s="1"/>
  <c r="H255" i="30"/>
  <c r="I255" i="30" s="1"/>
  <c r="H253" i="30"/>
  <c r="I253" i="30" s="1"/>
  <c r="H264" i="30"/>
  <c r="I264" i="30" s="1"/>
  <c r="H262" i="30"/>
  <c r="I262" i="30" s="1"/>
  <c r="H260" i="30"/>
  <c r="I260" i="30" s="1"/>
  <c r="H251" i="30"/>
  <c r="I251" i="30" s="1"/>
  <c r="H277" i="30"/>
  <c r="I277" i="30" s="1"/>
  <c r="H300" i="30"/>
  <c r="I300" i="30" s="1"/>
  <c r="H276" i="30"/>
  <c r="I276" i="30" s="1"/>
  <c r="H252" i="30"/>
  <c r="I252" i="30" s="1"/>
  <c r="H288" i="30"/>
  <c r="I288" i="30" s="1"/>
  <c r="H263" i="30"/>
  <c r="I263" i="30" s="1"/>
  <c r="H278" i="30"/>
  <c r="I278" i="30" s="1"/>
  <c r="H265" i="30"/>
  <c r="I265" i="30" s="1"/>
  <c r="H285" i="30"/>
  <c r="I285" i="30" s="1"/>
  <c r="H257" i="30"/>
  <c r="I257" i="30" s="1"/>
  <c r="H280" i="30"/>
  <c r="I280" i="30" s="1"/>
  <c r="H256" i="30"/>
  <c r="I256" i="30" s="1"/>
  <c r="H299" i="30"/>
  <c r="I299" i="30" s="1"/>
  <c r="H275" i="30"/>
  <c r="I275" i="30" s="1"/>
  <c r="H282" i="30"/>
  <c r="I282" i="30" s="1"/>
  <c r="H298" i="30"/>
  <c r="I298" i="30" s="1"/>
  <c r="H274" i="30"/>
  <c r="I274" i="30" s="1"/>
  <c r="H258" i="30"/>
  <c r="I258" i="30" s="1"/>
  <c r="H294" i="30"/>
  <c r="I294" i="30" s="1"/>
  <c r="H270" i="30"/>
  <c r="I270" i="30" s="1"/>
  <c r="H266" i="30"/>
  <c r="I266" i="30" s="1"/>
  <c r="H281" i="30"/>
  <c r="I281" i="30" s="1"/>
  <c r="H273" i="30"/>
  <c r="I273" i="30" s="1"/>
  <c r="F143" i="31"/>
  <c r="H293" i="30"/>
  <c r="I293" i="30" s="1"/>
  <c r="H269" i="30"/>
  <c r="I269" i="30" s="1"/>
  <c r="H292" i="30"/>
  <c r="I292" i="30" s="1"/>
  <c r="H268" i="30"/>
  <c r="I268" i="30" s="1"/>
  <c r="H291" i="30"/>
  <c r="I291" i="30" s="1"/>
  <c r="H267" i="30"/>
  <c r="I267" i="30" s="1"/>
  <c r="H289" i="30"/>
  <c r="I289" i="30" s="1"/>
  <c r="H284" i="30"/>
  <c r="I284" i="30" s="1"/>
  <c r="H297" i="30"/>
  <c r="I297" i="30" s="1"/>
  <c r="H254" i="30"/>
  <c r="I254" i="30" s="1"/>
  <c r="H296" i="30"/>
  <c r="I296" i="30" s="1"/>
  <c r="H272" i="30"/>
  <c r="I272" i="30" s="1"/>
  <c r="F50" i="31"/>
  <c r="F309" i="31"/>
  <c r="H298" i="25"/>
  <c r="H305" i="25"/>
  <c r="G104" i="30"/>
  <c r="J173" i="25"/>
  <c r="H233" i="25"/>
  <c r="I233" i="25" s="1"/>
  <c r="F192" i="44" l="1"/>
  <c r="J192" i="44"/>
  <c r="K192" i="44" s="1"/>
  <c r="J192" i="45"/>
  <c r="K192" i="45" s="1"/>
  <c r="F192" i="45"/>
  <c r="K234" i="44"/>
  <c r="K234" i="45"/>
  <c r="F198" i="45"/>
  <c r="J198" i="45"/>
  <c r="K198" i="45" s="1"/>
  <c r="F198" i="44"/>
  <c r="J198" i="44"/>
  <c r="K198" i="44" s="1"/>
  <c r="K236" i="36"/>
  <c r="K237" i="34"/>
  <c r="K238" i="39"/>
  <c r="F131" i="31"/>
  <c r="J200" i="36"/>
  <c r="K200" i="36" s="1"/>
  <c r="F200" i="36"/>
  <c r="J202" i="39"/>
  <c r="K202" i="39" s="1"/>
  <c r="F202" i="39"/>
  <c r="J196" i="39"/>
  <c r="K196" i="39" s="1"/>
  <c r="F196" i="39"/>
  <c r="F201" i="34"/>
  <c r="J201" i="34"/>
  <c r="K201" i="34" s="1"/>
  <c r="J195" i="34"/>
  <c r="K195" i="34" s="1"/>
  <c r="F195" i="34"/>
  <c r="J194" i="36"/>
  <c r="K194" i="36" s="1"/>
  <c r="F194" i="36"/>
  <c r="F95" i="31"/>
  <c r="F155" i="31"/>
  <c r="J155" i="31"/>
  <c r="K155" i="31" s="1"/>
  <c r="F42" i="31"/>
  <c r="J42" i="31"/>
  <c r="K42" i="31" s="1"/>
  <c r="F132" i="31"/>
  <c r="J132" i="31"/>
  <c r="K132" i="31" s="1"/>
  <c r="F119" i="31"/>
  <c r="J119" i="31"/>
  <c r="K119" i="31" s="1"/>
  <c r="F54" i="31"/>
  <c r="J54" i="31"/>
  <c r="K54" i="31" s="1"/>
  <c r="F100" i="31"/>
  <c r="J100" i="31"/>
  <c r="K100" i="31" s="1"/>
  <c r="F149" i="31"/>
  <c r="J149" i="31"/>
  <c r="K149" i="31" s="1"/>
  <c r="F154" i="31"/>
  <c r="J154" i="31"/>
  <c r="K154" i="31" s="1"/>
  <c r="F133" i="31"/>
  <c r="J133" i="31"/>
  <c r="K133" i="31" s="1"/>
  <c r="F157" i="31"/>
  <c r="J157" i="31"/>
  <c r="K157" i="31" s="1"/>
  <c r="F147" i="31"/>
  <c r="J147" i="31"/>
  <c r="K147" i="31" s="1"/>
  <c r="F96" i="31"/>
  <c r="J96" i="31"/>
  <c r="K96" i="31" s="1"/>
  <c r="F40" i="31"/>
  <c r="J40" i="31"/>
  <c r="K40" i="31" s="1"/>
  <c r="F89" i="31"/>
  <c r="J89" i="31"/>
  <c r="K89" i="31" s="1"/>
  <c r="F113" i="31"/>
  <c r="J113" i="31"/>
  <c r="K113" i="31" s="1"/>
  <c r="F115" i="31"/>
  <c r="J115" i="31"/>
  <c r="K115" i="31" s="1"/>
  <c r="F165" i="31"/>
  <c r="F159" i="31"/>
  <c r="J159" i="31"/>
  <c r="K159" i="31" s="1"/>
  <c r="F130" i="31"/>
  <c r="J130" i="31"/>
  <c r="K130" i="31" s="1"/>
  <c r="G166" i="31"/>
  <c r="I10" i="31"/>
  <c r="F103" i="31"/>
  <c r="J103" i="31"/>
  <c r="K103" i="31" s="1"/>
  <c r="F214" i="31"/>
  <c r="J214" i="31"/>
  <c r="K214" i="31" s="1"/>
  <c r="F80" i="31"/>
  <c r="J80" i="31"/>
  <c r="K80" i="31" s="1"/>
  <c r="F148" i="31"/>
  <c r="J148" i="31"/>
  <c r="K148" i="31" s="1"/>
  <c r="F186" i="31"/>
  <c r="J186" i="31"/>
  <c r="K186" i="31" s="1"/>
  <c r="F92" i="31"/>
  <c r="J92" i="31"/>
  <c r="K92" i="31" s="1"/>
  <c r="F175" i="31"/>
  <c r="J175" i="31"/>
  <c r="K175" i="31" s="1"/>
  <c r="F150" i="31"/>
  <c r="J150" i="31"/>
  <c r="K150" i="31" s="1"/>
  <c r="F104" i="31"/>
  <c r="J104" i="31"/>
  <c r="K104" i="31" s="1"/>
  <c r="F129" i="31"/>
  <c r="J129" i="31"/>
  <c r="K129" i="31" s="1"/>
  <c r="F84" i="31"/>
  <c r="J84" i="31"/>
  <c r="K84" i="31" s="1"/>
  <c r="F98" i="31"/>
  <c r="J98" i="31"/>
  <c r="K98" i="31" s="1"/>
  <c r="F106" i="31"/>
  <c r="J106" i="31"/>
  <c r="K106" i="31" s="1"/>
  <c r="F72" i="31"/>
  <c r="J72" i="31"/>
  <c r="K72" i="31" s="1"/>
  <c r="F136" i="31"/>
  <c r="J136" i="31"/>
  <c r="K136" i="31" s="1"/>
  <c r="F212" i="31"/>
  <c r="J212" i="31"/>
  <c r="K212" i="31" s="1"/>
  <c r="F137" i="31"/>
  <c r="J137" i="31"/>
  <c r="K137" i="31" s="1"/>
  <c r="F77" i="31"/>
  <c r="J77" i="31"/>
  <c r="K77" i="31" s="1"/>
  <c r="F198" i="31"/>
  <c r="J198" i="31"/>
  <c r="K198" i="31" s="1"/>
  <c r="F153" i="31"/>
  <c r="J153" i="31"/>
  <c r="K153" i="31" s="1"/>
  <c r="F187" i="31"/>
  <c r="J187" i="31"/>
  <c r="K187" i="31" s="1"/>
  <c r="F144" i="31"/>
  <c r="J144" i="31"/>
  <c r="L144" i="31" s="1"/>
  <c r="L126" i="31" s="1"/>
  <c r="F58" i="31"/>
  <c r="J58" i="31"/>
  <c r="K58" i="31" s="1"/>
  <c r="F47" i="31"/>
  <c r="J47" i="31"/>
  <c r="K47" i="31" s="1"/>
  <c r="F81" i="31"/>
  <c r="J81" i="31"/>
  <c r="K81" i="31" s="1"/>
  <c r="F110" i="31"/>
  <c r="J110" i="31"/>
  <c r="K110" i="31" s="1"/>
  <c r="F97" i="31"/>
  <c r="J97" i="31"/>
  <c r="K97" i="31" s="1"/>
  <c r="F152" i="31"/>
  <c r="J152" i="31"/>
  <c r="K152" i="31" s="1"/>
  <c r="F43" i="31"/>
  <c r="J43" i="31"/>
  <c r="K43" i="31" s="1"/>
  <c r="F60" i="31"/>
  <c r="J60" i="31"/>
  <c r="K60" i="31" s="1"/>
  <c r="F146" i="31"/>
  <c r="J146" i="31"/>
  <c r="K146" i="31" s="1"/>
  <c r="F206" i="31"/>
  <c r="J206" i="31"/>
  <c r="F151" i="31"/>
  <c r="J151" i="31"/>
  <c r="K151" i="31" s="1"/>
  <c r="F93" i="31"/>
  <c r="J93" i="31"/>
  <c r="K93" i="31" s="1"/>
  <c r="F163" i="31"/>
  <c r="J163" i="31"/>
  <c r="K163" i="31" s="1"/>
  <c r="F79" i="31"/>
  <c r="J79" i="31"/>
  <c r="K79" i="31" s="1"/>
  <c r="F138" i="31"/>
  <c r="J138" i="31"/>
  <c r="K138" i="31" s="1"/>
  <c r="F44" i="31"/>
  <c r="J44" i="31"/>
  <c r="K44" i="31" s="1"/>
  <c r="F105" i="31"/>
  <c r="J105" i="31"/>
  <c r="K105" i="31" s="1"/>
  <c r="F188" i="31"/>
  <c r="J188" i="31"/>
  <c r="L188" i="31" s="1"/>
  <c r="F139" i="31"/>
  <c r="J139" i="31"/>
  <c r="K139" i="31" s="1"/>
  <c r="F65" i="31"/>
  <c r="J65" i="31"/>
  <c r="K65" i="31" s="1"/>
  <c r="F94" i="31"/>
  <c r="J94" i="31"/>
  <c r="K94" i="31" s="1"/>
  <c r="F207" i="31"/>
  <c r="J207" i="31"/>
  <c r="K207" i="31" s="1"/>
  <c r="F64" i="31"/>
  <c r="J64" i="31"/>
  <c r="K64" i="31" s="1"/>
  <c r="F63" i="31"/>
  <c r="J63" i="31"/>
  <c r="K63" i="31" s="1"/>
  <c r="F107" i="31"/>
  <c r="J107" i="31"/>
  <c r="K107" i="31" s="1"/>
  <c r="F73" i="31"/>
  <c r="J73" i="31"/>
  <c r="K73" i="31" s="1"/>
  <c r="F156" i="31"/>
  <c r="J156" i="31"/>
  <c r="K156" i="31" s="1"/>
  <c r="F69" i="31"/>
  <c r="J69" i="31"/>
  <c r="K69" i="31" s="1"/>
  <c r="F109" i="31"/>
  <c r="J109" i="31"/>
  <c r="K109" i="31" s="1"/>
  <c r="F57" i="31"/>
  <c r="J57" i="31"/>
  <c r="K57" i="31" s="1"/>
  <c r="F78" i="31"/>
  <c r="J78" i="31"/>
  <c r="K78" i="31" s="1"/>
  <c r="F49" i="31"/>
  <c r="J49" i="31"/>
  <c r="K49" i="31" s="1"/>
  <c r="F209" i="31"/>
  <c r="J209" i="31"/>
  <c r="K209" i="31" s="1"/>
  <c r="F85" i="31"/>
  <c r="J85" i="31"/>
  <c r="K85" i="31" s="1"/>
  <c r="F41" i="31"/>
  <c r="J41" i="31"/>
  <c r="K41" i="31" s="1"/>
  <c r="F61" i="31"/>
  <c r="J61" i="31"/>
  <c r="K61" i="31" s="1"/>
  <c r="F162" i="31"/>
  <c r="J162" i="31"/>
  <c r="K162" i="31" s="1"/>
  <c r="F91" i="31"/>
  <c r="J91" i="31"/>
  <c r="K91" i="31" s="1"/>
  <c r="F99" i="31"/>
  <c r="J99" i="31"/>
  <c r="K99" i="31" s="1"/>
  <c r="F101" i="31"/>
  <c r="J101" i="31"/>
  <c r="K101" i="31" s="1"/>
  <c r="F52" i="31"/>
  <c r="J52" i="31"/>
  <c r="K52" i="31" s="1"/>
  <c r="F55" i="31"/>
  <c r="J55" i="31"/>
  <c r="K55" i="31" s="1"/>
  <c r="F56" i="31"/>
  <c r="J56" i="31"/>
  <c r="K56" i="31" s="1"/>
  <c r="F158" i="31"/>
  <c r="J158" i="31"/>
  <c r="K158" i="31" s="1"/>
  <c r="F111" i="31"/>
  <c r="J111" i="31"/>
  <c r="K111" i="31" s="1"/>
  <c r="K464" i="31"/>
  <c r="F160" i="31"/>
  <c r="F114" i="31"/>
  <c r="F213" i="31"/>
  <c r="F71" i="31"/>
  <c r="F185" i="31"/>
  <c r="F70" i="31"/>
  <c r="F140" i="31"/>
  <c r="F116" i="31"/>
  <c r="F46" i="31"/>
  <c r="F127" i="31"/>
  <c r="F161" i="31"/>
  <c r="F128" i="31"/>
  <c r="F88" i="31"/>
  <c r="F45" i="31"/>
  <c r="F39" i="31"/>
  <c r="F59" i="31"/>
  <c r="F120" i="31"/>
  <c r="F169" i="31"/>
  <c r="F48" i="31"/>
  <c r="F67" i="31"/>
  <c r="F51" i="31"/>
  <c r="F90" i="31"/>
  <c r="F117" i="31"/>
  <c r="F38" i="31"/>
  <c r="F53" i="31"/>
  <c r="F68" i="31"/>
  <c r="F62" i="31"/>
  <c r="F145" i="31"/>
  <c r="G176" i="32"/>
  <c r="M176" i="32"/>
  <c r="N176" i="32" s="1"/>
  <c r="F102" i="31"/>
  <c r="F66" i="31"/>
  <c r="M143" i="32"/>
  <c r="N143" i="32" s="1"/>
  <c r="G143" i="32"/>
  <c r="M182" i="32"/>
  <c r="N182" i="32" s="1"/>
  <c r="G182" i="32"/>
  <c r="M150" i="32"/>
  <c r="N150" i="32" s="1"/>
  <c r="G150" i="32"/>
  <c r="M205" i="32"/>
  <c r="N205" i="32" s="1"/>
  <c r="G205" i="32"/>
  <c r="M124" i="32"/>
  <c r="N124" i="32" s="1"/>
  <c r="G124" i="32"/>
  <c r="M53" i="32"/>
  <c r="N53" i="32" s="1"/>
  <c r="G53" i="32"/>
  <c r="M114" i="32"/>
  <c r="N114" i="32" s="1"/>
  <c r="G114" i="32"/>
  <c r="G104" i="32"/>
  <c r="M104" i="32"/>
  <c r="N104" i="32" s="1"/>
  <c r="F76" i="31"/>
  <c r="F208" i="31"/>
  <c r="M142" i="32"/>
  <c r="N142" i="32" s="1"/>
  <c r="G142" i="32"/>
  <c r="M95" i="32"/>
  <c r="N95" i="32" s="1"/>
  <c r="G95" i="32"/>
  <c r="G204" i="32"/>
  <c r="M204" i="32"/>
  <c r="N204" i="32" s="1"/>
  <c r="M71" i="32"/>
  <c r="N71" i="32" s="1"/>
  <c r="G71" i="32"/>
  <c r="G141" i="32"/>
  <c r="M141" i="32"/>
  <c r="N141" i="32" s="1"/>
  <c r="G137" i="32"/>
  <c r="M137" i="32"/>
  <c r="N137" i="32" s="1"/>
  <c r="M111" i="32"/>
  <c r="N111" i="32" s="1"/>
  <c r="G111" i="32"/>
  <c r="F192" i="31"/>
  <c r="G153" i="32"/>
  <c r="M153" i="32"/>
  <c r="N153" i="32" s="1"/>
  <c r="M210" i="32"/>
  <c r="N210" i="32" s="1"/>
  <c r="G210" i="32"/>
  <c r="G70" i="32"/>
  <c r="M70" i="32"/>
  <c r="N70" i="32" s="1"/>
  <c r="G135" i="32"/>
  <c r="M135" i="32"/>
  <c r="N135" i="32" s="1"/>
  <c r="M58" i="32"/>
  <c r="N58" i="32" s="1"/>
  <c r="G58" i="32"/>
  <c r="G213" i="32"/>
  <c r="M213" i="32"/>
  <c r="N213" i="32" s="1"/>
  <c r="M119" i="32"/>
  <c r="N119" i="32" s="1"/>
  <c r="G119" i="32"/>
  <c r="M134" i="32"/>
  <c r="N134" i="32" s="1"/>
  <c r="G134" i="32"/>
  <c r="M49" i="32"/>
  <c r="N49" i="32" s="1"/>
  <c r="G49" i="32"/>
  <c r="G41" i="32"/>
  <c r="M41" i="32"/>
  <c r="N41" i="32" s="1"/>
  <c r="M79" i="32"/>
  <c r="N79" i="32" s="1"/>
  <c r="G79" i="32"/>
  <c r="M39" i="32"/>
  <c r="N39" i="32" s="1"/>
  <c r="G39" i="32"/>
  <c r="M156" i="32"/>
  <c r="N156" i="32" s="1"/>
  <c r="G156" i="32"/>
  <c r="G146" i="32"/>
  <c r="M146" i="32"/>
  <c r="N146" i="32" s="1"/>
  <c r="M67" i="32"/>
  <c r="N67" i="32" s="1"/>
  <c r="G67" i="32"/>
  <c r="M93" i="32"/>
  <c r="N93" i="32" s="1"/>
  <c r="G93" i="32"/>
  <c r="M55" i="32"/>
  <c r="N55" i="32" s="1"/>
  <c r="G55" i="32"/>
  <c r="M72" i="32"/>
  <c r="N72" i="32" s="1"/>
  <c r="G72" i="32"/>
  <c r="M38" i="32"/>
  <c r="N38" i="32" s="1"/>
  <c r="G38" i="32"/>
  <c r="M185" i="32"/>
  <c r="N185" i="32" s="1"/>
  <c r="G185" i="32"/>
  <c r="G80" i="32"/>
  <c r="M80" i="32"/>
  <c r="N80" i="32" s="1"/>
  <c r="K444" i="31"/>
  <c r="G130" i="32"/>
  <c r="M130" i="32"/>
  <c r="N130" i="32" s="1"/>
  <c r="F121" i="31"/>
  <c r="M87" i="32"/>
  <c r="N87" i="32" s="1"/>
  <c r="G87" i="32"/>
  <c r="M78" i="32"/>
  <c r="N78" i="32" s="1"/>
  <c r="G78" i="32"/>
  <c r="M97" i="32"/>
  <c r="N97" i="32" s="1"/>
  <c r="G97" i="32"/>
  <c r="G44" i="32"/>
  <c r="M44" i="32"/>
  <c r="N44" i="32" s="1"/>
  <c r="F87" i="31"/>
  <c r="F184" i="31"/>
  <c r="M144" i="32"/>
  <c r="N144" i="32" s="1"/>
  <c r="G144" i="32"/>
  <c r="N426" i="32"/>
  <c r="N425" i="32" s="1"/>
  <c r="M425" i="32"/>
  <c r="F216" i="31"/>
  <c r="M106" i="32"/>
  <c r="N106" i="32" s="1"/>
  <c r="G106" i="32"/>
  <c r="K420" i="31"/>
  <c r="M125" i="32"/>
  <c r="N125" i="32" s="1"/>
  <c r="G125" i="32"/>
  <c r="M155" i="32"/>
  <c r="N155" i="32" s="1"/>
  <c r="G155" i="32"/>
  <c r="M105" i="32"/>
  <c r="N105" i="32" s="1"/>
  <c r="G105" i="32"/>
  <c r="M42" i="32"/>
  <c r="N42" i="32" s="1"/>
  <c r="G42" i="32"/>
  <c r="G118" i="32"/>
  <c r="M118" i="32"/>
  <c r="N118" i="32" s="1"/>
  <c r="M159" i="32"/>
  <c r="N159" i="32" s="1"/>
  <c r="G159" i="32"/>
  <c r="N363" i="32"/>
  <c r="N362" i="32" s="1"/>
  <c r="M362" i="32"/>
  <c r="M121" i="32"/>
  <c r="N121" i="32" s="1"/>
  <c r="G121" i="32"/>
  <c r="G69" i="32"/>
  <c r="M69" i="32"/>
  <c r="N69" i="32" s="1"/>
  <c r="M160" i="32"/>
  <c r="N160" i="32" s="1"/>
  <c r="G160" i="32"/>
  <c r="M145" i="32"/>
  <c r="N145" i="32" s="1"/>
  <c r="G145" i="32"/>
  <c r="G47" i="32"/>
  <c r="M47" i="32"/>
  <c r="N47" i="32" s="1"/>
  <c r="M40" i="32"/>
  <c r="N40" i="32" s="1"/>
  <c r="G40" i="32"/>
  <c r="K380" i="31"/>
  <c r="G172" i="32"/>
  <c r="M172" i="32"/>
  <c r="N172" i="32" s="1"/>
  <c r="M157" i="32"/>
  <c r="N157" i="32" s="1"/>
  <c r="G157" i="32"/>
  <c r="M56" i="32"/>
  <c r="N56" i="32" s="1"/>
  <c r="G56" i="32"/>
  <c r="G101" i="32"/>
  <c r="M101" i="32"/>
  <c r="N101" i="32" s="1"/>
  <c r="M81" i="32"/>
  <c r="N81" i="32" s="1"/>
  <c r="G81" i="32"/>
  <c r="M158" i="32"/>
  <c r="N158" i="32" s="1"/>
  <c r="G158" i="32"/>
  <c r="F82" i="31"/>
  <c r="M116" i="32"/>
  <c r="N116" i="32" s="1"/>
  <c r="G116" i="32"/>
  <c r="G46" i="32"/>
  <c r="M46" i="32"/>
  <c r="N46" i="32" s="1"/>
  <c r="G162" i="32"/>
  <c r="M162" i="32"/>
  <c r="N162" i="32" s="1"/>
  <c r="M60" i="32"/>
  <c r="N60" i="32" s="1"/>
  <c r="G60" i="32"/>
  <c r="G128" i="32"/>
  <c r="M128" i="32"/>
  <c r="N128" i="32" s="1"/>
  <c r="M84" i="32"/>
  <c r="N84" i="32" s="1"/>
  <c r="G84" i="32"/>
  <c r="M107" i="32"/>
  <c r="N107" i="32" s="1"/>
  <c r="G107" i="32"/>
  <c r="M129" i="32"/>
  <c r="N129" i="32" s="1"/>
  <c r="G129" i="32"/>
  <c r="M88" i="32"/>
  <c r="N88" i="32" s="1"/>
  <c r="G88" i="32"/>
  <c r="M307" i="32"/>
  <c r="N316" i="32"/>
  <c r="N307" i="32" s="1"/>
  <c r="G117" i="32"/>
  <c r="M117" i="32"/>
  <c r="N117" i="32" s="1"/>
  <c r="F179" i="31"/>
  <c r="M402" i="32"/>
  <c r="N403" i="32"/>
  <c r="N402" i="32" s="1"/>
  <c r="G54" i="32"/>
  <c r="M54" i="32"/>
  <c r="N54" i="32" s="1"/>
  <c r="M73" i="32"/>
  <c r="N73" i="32" s="1"/>
  <c r="G73" i="32"/>
  <c r="M110" i="32"/>
  <c r="N110" i="32" s="1"/>
  <c r="G110" i="32"/>
  <c r="F112" i="31"/>
  <c r="F118" i="31"/>
  <c r="M183" i="32"/>
  <c r="N183" i="32" s="1"/>
  <c r="G183" i="32"/>
  <c r="M120" i="32"/>
  <c r="N120" i="32" s="1"/>
  <c r="G120" i="32"/>
  <c r="M90" i="32"/>
  <c r="N90" i="32" s="1"/>
  <c r="G90" i="32"/>
  <c r="M177" i="32"/>
  <c r="N177" i="32" s="1"/>
  <c r="G177" i="32"/>
  <c r="M82" i="32"/>
  <c r="N82" i="32" s="1"/>
  <c r="G82" i="32"/>
  <c r="G214" i="32"/>
  <c r="M214" i="32"/>
  <c r="N214" i="32" s="1"/>
  <c r="M109" i="32"/>
  <c r="N109" i="32" s="1"/>
  <c r="G109" i="32"/>
  <c r="M140" i="32"/>
  <c r="N140" i="32" s="1"/>
  <c r="G140" i="32"/>
  <c r="M77" i="32"/>
  <c r="N77" i="32" s="1"/>
  <c r="G77" i="32"/>
  <c r="M85" i="32"/>
  <c r="N85" i="32" s="1"/>
  <c r="G85" i="32"/>
  <c r="M103" i="32"/>
  <c r="N103" i="32" s="1"/>
  <c r="G103" i="32"/>
  <c r="M45" i="32"/>
  <c r="N45" i="32" s="1"/>
  <c r="G45" i="32"/>
  <c r="G59" i="32"/>
  <c r="M59" i="32"/>
  <c r="N59" i="32" s="1"/>
  <c r="G48" i="32"/>
  <c r="M48" i="32"/>
  <c r="N48" i="32" s="1"/>
  <c r="M52" i="32"/>
  <c r="N52" i="32" s="1"/>
  <c r="G52" i="32"/>
  <c r="M63" i="32"/>
  <c r="N63" i="32" s="1"/>
  <c r="G63" i="32"/>
  <c r="G86" i="32"/>
  <c r="M86" i="32"/>
  <c r="N86" i="32" s="1"/>
  <c r="M445" i="32"/>
  <c r="N446" i="32"/>
  <c r="N445" i="32" s="1"/>
  <c r="M89" i="32"/>
  <c r="N89" i="32" s="1"/>
  <c r="G89" i="32"/>
  <c r="N231" i="32"/>
  <c r="G96" i="32"/>
  <c r="M96" i="32"/>
  <c r="N96" i="32" s="1"/>
  <c r="M184" i="32"/>
  <c r="N184" i="32" s="1"/>
  <c r="G184" i="32"/>
  <c r="M127" i="32"/>
  <c r="N127" i="32" s="1"/>
  <c r="G127" i="32"/>
  <c r="M126" i="32"/>
  <c r="N126" i="32" s="1"/>
  <c r="G126" i="32"/>
  <c r="F86" i="31"/>
  <c r="G51" i="32"/>
  <c r="M51" i="32"/>
  <c r="N51" i="32" s="1"/>
  <c r="G94" i="32"/>
  <c r="M94" i="32"/>
  <c r="N94" i="32" s="1"/>
  <c r="G100" i="32"/>
  <c r="M100" i="32"/>
  <c r="N100" i="32" s="1"/>
  <c r="M136" i="32"/>
  <c r="N136" i="32" s="1"/>
  <c r="G136" i="32"/>
  <c r="G209" i="32"/>
  <c r="M209" i="32"/>
  <c r="N209" i="32" s="1"/>
  <c r="M152" i="32"/>
  <c r="N152" i="32" s="1"/>
  <c r="G152" i="32"/>
  <c r="M83" i="32"/>
  <c r="N83" i="32" s="1"/>
  <c r="G83" i="32"/>
  <c r="M115" i="32"/>
  <c r="N115" i="32" s="1"/>
  <c r="G115" i="32"/>
  <c r="M102" i="32"/>
  <c r="N102" i="32" s="1"/>
  <c r="G102" i="32"/>
  <c r="M148" i="32"/>
  <c r="N148" i="32" s="1"/>
  <c r="G148" i="32"/>
  <c r="M66" i="32"/>
  <c r="N66" i="32" s="1"/>
  <c r="G66" i="32"/>
  <c r="G181" i="32"/>
  <c r="M181" i="32"/>
  <c r="N181" i="32" s="1"/>
  <c r="G43" i="32"/>
  <c r="M43" i="32"/>
  <c r="N43" i="32" s="1"/>
  <c r="M113" i="32"/>
  <c r="N113" i="32" s="1"/>
  <c r="G113" i="32"/>
  <c r="G189" i="32"/>
  <c r="M189" i="32"/>
  <c r="N189" i="32" s="1"/>
  <c r="M61" i="32"/>
  <c r="N61" i="32" s="1"/>
  <c r="G61" i="32"/>
  <c r="M76" i="32"/>
  <c r="N76" i="32" s="1"/>
  <c r="G76" i="32"/>
  <c r="G91" i="32"/>
  <c r="M91" i="32"/>
  <c r="N91" i="32" s="1"/>
  <c r="G112" i="32"/>
  <c r="M112" i="32"/>
  <c r="N112" i="32" s="1"/>
  <c r="N352" i="32"/>
  <c r="N351" i="32" s="1"/>
  <c r="M351" i="32"/>
  <c r="M62" i="32"/>
  <c r="N62" i="32" s="1"/>
  <c r="G62" i="32"/>
  <c r="G99" i="32"/>
  <c r="M99" i="32"/>
  <c r="N99" i="32" s="1"/>
  <c r="M206" i="32"/>
  <c r="N206" i="32" s="1"/>
  <c r="G206" i="32"/>
  <c r="G166" i="32"/>
  <c r="M166" i="32"/>
  <c r="N166" i="32" s="1"/>
  <c r="M57" i="32"/>
  <c r="N57" i="32" s="1"/>
  <c r="G57" i="32"/>
  <c r="G64" i="32"/>
  <c r="M64" i="32"/>
  <c r="N64" i="32" s="1"/>
  <c r="M195" i="32"/>
  <c r="N195" i="32" s="1"/>
  <c r="G195" i="32"/>
  <c r="G92" i="32"/>
  <c r="M92" i="32"/>
  <c r="N92" i="32" s="1"/>
  <c r="G154" i="32"/>
  <c r="M154" i="32"/>
  <c r="N154" i="32" s="1"/>
  <c r="M65" i="32"/>
  <c r="N65" i="32" s="1"/>
  <c r="G65" i="32"/>
  <c r="M211" i="32"/>
  <c r="N211" i="32" s="1"/>
  <c r="G211" i="32"/>
  <c r="M133" i="32"/>
  <c r="N133" i="32" s="1"/>
  <c r="G133" i="32"/>
  <c r="M151" i="32"/>
  <c r="N151" i="32" s="1"/>
  <c r="G151" i="32"/>
  <c r="M68" i="32"/>
  <c r="N68" i="32" s="1"/>
  <c r="G68" i="32"/>
  <c r="M98" i="32"/>
  <c r="N98" i="32" s="1"/>
  <c r="G98" i="32"/>
  <c r="G147" i="32"/>
  <c r="M147" i="32"/>
  <c r="N147" i="32" s="1"/>
  <c r="M149" i="32"/>
  <c r="N149" i="32" s="1"/>
  <c r="G149" i="32"/>
  <c r="M203" i="32"/>
  <c r="G203" i="32"/>
  <c r="E275" i="31"/>
  <c r="J275" i="31" s="1"/>
  <c r="K275" i="31" s="1"/>
  <c r="E265" i="31"/>
  <c r="J265" i="31" s="1"/>
  <c r="K265" i="31" s="1"/>
  <c r="E263" i="31"/>
  <c r="J263" i="31" s="1"/>
  <c r="K263" i="31" s="1"/>
  <c r="E287" i="31"/>
  <c r="J287" i="31" s="1"/>
  <c r="K287" i="31" s="1"/>
  <c r="E272" i="31"/>
  <c r="J272" i="31" s="1"/>
  <c r="K272" i="31" s="1"/>
  <c r="E267" i="31"/>
  <c r="J267" i="31" s="1"/>
  <c r="K267" i="31" s="1"/>
  <c r="E303" i="31"/>
  <c r="J303" i="31" s="1"/>
  <c r="K303" i="31" s="1"/>
  <c r="E289" i="31"/>
  <c r="J289" i="31" s="1"/>
  <c r="K289" i="31" s="1"/>
  <c r="E259" i="31"/>
  <c r="J259" i="31" s="1"/>
  <c r="K259" i="31" s="1"/>
  <c r="E300" i="31"/>
  <c r="J300" i="31" s="1"/>
  <c r="K300" i="31" s="1"/>
  <c r="E288" i="31"/>
  <c r="J288" i="31" s="1"/>
  <c r="K288" i="31" s="1"/>
  <c r="E301" i="31"/>
  <c r="J301" i="31" s="1"/>
  <c r="K301" i="31" s="1"/>
  <c r="E283" i="31"/>
  <c r="J283" i="31" s="1"/>
  <c r="K283" i="31" s="1"/>
  <c r="E307" i="31"/>
  <c r="J307" i="31" s="1"/>
  <c r="K307" i="31" s="1"/>
  <c r="E296" i="31"/>
  <c r="J296" i="31" s="1"/>
  <c r="K296" i="31" s="1"/>
  <c r="E268" i="31"/>
  <c r="J268" i="31" s="1"/>
  <c r="K268" i="31" s="1"/>
  <c r="E297" i="31"/>
  <c r="J297" i="31" s="1"/>
  <c r="K297" i="31" s="1"/>
  <c r="E284" i="31"/>
  <c r="J284" i="31" s="1"/>
  <c r="K284" i="31" s="1"/>
  <c r="E274" i="31"/>
  <c r="J274" i="31" s="1"/>
  <c r="K274" i="31" s="1"/>
  <c r="E285" i="31"/>
  <c r="J285" i="31" s="1"/>
  <c r="K285" i="31" s="1"/>
  <c r="E262" i="31"/>
  <c r="J262" i="31" s="1"/>
  <c r="K262" i="31" s="1"/>
  <c r="E293" i="31"/>
  <c r="J293" i="31" s="1"/>
  <c r="K293" i="31" s="1"/>
  <c r="E298" i="31"/>
  <c r="J298" i="31" s="1"/>
  <c r="K298" i="31" s="1"/>
  <c r="E273" i="31"/>
  <c r="J273" i="31" s="1"/>
  <c r="K273" i="31" s="1"/>
  <c r="E290" i="31"/>
  <c r="J290" i="31" s="1"/>
  <c r="K290" i="31" s="1"/>
  <c r="E299" i="31"/>
  <c r="J299" i="31" s="1"/>
  <c r="K299" i="31" s="1"/>
  <c r="E280" i="31"/>
  <c r="J280" i="31" s="1"/>
  <c r="K280" i="31" s="1"/>
  <c r="E281" i="31"/>
  <c r="J281" i="31" s="1"/>
  <c r="K281" i="31" s="1"/>
  <c r="E278" i="31"/>
  <c r="J278" i="31" s="1"/>
  <c r="K278" i="31" s="1"/>
  <c r="E305" i="31"/>
  <c r="J305" i="31" s="1"/>
  <c r="K305" i="31" s="1"/>
  <c r="E279" i="31"/>
  <c r="J279" i="31" s="1"/>
  <c r="K279" i="31" s="1"/>
  <c r="E302" i="31"/>
  <c r="J302" i="31" s="1"/>
  <c r="K302" i="31" s="1"/>
  <c r="E291" i="31"/>
  <c r="J291" i="31" s="1"/>
  <c r="K291" i="31" s="1"/>
  <c r="E276" i="31"/>
  <c r="J276" i="31" s="1"/>
  <c r="K276" i="31" s="1"/>
  <c r="E277" i="31"/>
  <c r="J277" i="31" s="1"/>
  <c r="K277" i="31" s="1"/>
  <c r="E270" i="31"/>
  <c r="J270" i="31" s="1"/>
  <c r="K270" i="31" s="1"/>
  <c r="E282" i="31"/>
  <c r="J282" i="31" s="1"/>
  <c r="K282" i="31" s="1"/>
  <c r="E264" i="31"/>
  <c r="J264" i="31" s="1"/>
  <c r="K264" i="31" s="1"/>
  <c r="E269" i="31"/>
  <c r="J269" i="31" s="1"/>
  <c r="K269" i="31" s="1"/>
  <c r="E261" i="31"/>
  <c r="J261" i="31" s="1"/>
  <c r="K261" i="31" s="1"/>
  <c r="E306" i="31"/>
  <c r="J306" i="31" s="1"/>
  <c r="K306" i="31" s="1"/>
  <c r="E304" i="31"/>
  <c r="J304" i="31" s="1"/>
  <c r="K304" i="31" s="1"/>
  <c r="E295" i="31"/>
  <c r="J295" i="31" s="1"/>
  <c r="K295" i="31" s="1"/>
  <c r="E260" i="31"/>
  <c r="J260" i="31" s="1"/>
  <c r="K260" i="31" s="1"/>
  <c r="E271" i="31"/>
  <c r="J271" i="31" s="1"/>
  <c r="K271" i="31" s="1"/>
  <c r="F257" i="31"/>
  <c r="E258" i="31"/>
  <c r="J258" i="31" s="1"/>
  <c r="K258" i="31" s="1"/>
  <c r="E286" i="31"/>
  <c r="J286" i="31" s="1"/>
  <c r="K286" i="31" s="1"/>
  <c r="E266" i="31"/>
  <c r="J266" i="31" s="1"/>
  <c r="K266" i="31" s="1"/>
  <c r="E294" i="31"/>
  <c r="J294" i="31" s="1"/>
  <c r="K294" i="31" s="1"/>
  <c r="E292" i="31"/>
  <c r="J292" i="31" s="1"/>
  <c r="K292" i="31" s="1"/>
  <c r="K310" i="31"/>
  <c r="L310" i="31"/>
  <c r="F104" i="30"/>
  <c r="E108" i="44" l="1"/>
  <c r="E108" i="45"/>
  <c r="F108" i="32"/>
  <c r="M108" i="32" s="1"/>
  <c r="N108" i="32" s="1"/>
  <c r="E109" i="36"/>
  <c r="E110" i="39"/>
  <c r="E109" i="34"/>
  <c r="I9" i="31"/>
  <c r="G9" i="31" s="1"/>
  <c r="G10" i="31"/>
  <c r="F296" i="31"/>
  <c r="F278" i="31"/>
  <c r="F287" i="31"/>
  <c r="F280" i="31"/>
  <c r="F290" i="31"/>
  <c r="O203" i="32"/>
  <c r="N203" i="32"/>
  <c r="F276" i="31"/>
  <c r="G108" i="32"/>
  <c r="F300" i="31"/>
  <c r="F301" i="31"/>
  <c r="F270" i="31"/>
  <c r="F283" i="31"/>
  <c r="F275" i="31"/>
  <c r="E108" i="31"/>
  <c r="F285" i="31"/>
  <c r="F272" i="31"/>
  <c r="F299" i="31"/>
  <c r="F297" i="31"/>
  <c r="F292" i="31"/>
  <c r="F266" i="31"/>
  <c r="F284" i="31"/>
  <c r="F294" i="31"/>
  <c r="F261" i="31"/>
  <c r="F273" i="31"/>
  <c r="F288" i="31"/>
  <c r="F303" i="31"/>
  <c r="F305" i="31"/>
  <c r="F267" i="31"/>
  <c r="F279" i="31"/>
  <c r="F295" i="31"/>
  <c r="F307" i="31"/>
  <c r="F258" i="31"/>
  <c r="F259" i="31"/>
  <c r="F302" i="31"/>
  <c r="F304" i="31"/>
  <c r="F277" i="31"/>
  <c r="F271" i="31"/>
  <c r="F260" i="31"/>
  <c r="F268" i="31"/>
  <c r="F286" i="31"/>
  <c r="F291" i="31"/>
  <c r="F263" i="31"/>
  <c r="F262" i="31"/>
  <c r="F298" i="31"/>
  <c r="F306" i="31"/>
  <c r="F293" i="31"/>
  <c r="F281" i="31"/>
  <c r="F264" i="31"/>
  <c r="F289" i="31"/>
  <c r="F282" i="31"/>
  <c r="F265" i="31"/>
  <c r="F269" i="31"/>
  <c r="F274" i="31"/>
  <c r="H104" i="30"/>
  <c r="I104" i="30" s="1"/>
  <c r="J108" i="45" l="1"/>
  <c r="K108" i="45" s="1"/>
  <c r="F108" i="45"/>
  <c r="F108" i="44"/>
  <c r="J108" i="44"/>
  <c r="K108" i="44" s="1"/>
  <c r="F110" i="39"/>
  <c r="J110" i="39"/>
  <c r="K110" i="39" s="1"/>
  <c r="J109" i="36"/>
  <c r="K109" i="36" s="1"/>
  <c r="F109" i="36"/>
  <c r="J109" i="34"/>
  <c r="K109" i="34" s="1"/>
  <c r="F109" i="34"/>
  <c r="F108" i="31"/>
  <c r="J108" i="31"/>
  <c r="K108" i="31" s="1"/>
  <c r="H399" i="25" l="1"/>
  <c r="M417" i="25" s="1"/>
  <c r="H391" i="25"/>
  <c r="M391" i="25"/>
  <c r="H390" i="25"/>
  <c r="I388" i="25"/>
  <c r="J388" i="25" s="1"/>
  <c r="I634" i="25"/>
  <c r="G435" i="30" l="1"/>
  <c r="J634" i="25"/>
  <c r="H417" i="25"/>
  <c r="H435" i="30" l="1"/>
  <c r="I435" i="30" s="1"/>
  <c r="F435" i="30"/>
  <c r="E442" i="44" l="1"/>
  <c r="E442" i="45"/>
  <c r="F424" i="32"/>
  <c r="E446" i="39"/>
  <c r="E445" i="34"/>
  <c r="E444" i="36"/>
  <c r="G424" i="32"/>
  <c r="M424" i="32"/>
  <c r="F230" i="31"/>
  <c r="F441" i="31"/>
  <c r="E442" i="31"/>
  <c r="J442" i="31" s="1"/>
  <c r="K442" i="31" s="1"/>
  <c r="H410" i="25"/>
  <c r="H408" i="25"/>
  <c r="I404" i="25"/>
  <c r="F442" i="45" l="1"/>
  <c r="J442" i="45"/>
  <c r="F442" i="44"/>
  <c r="J442" i="44"/>
  <c r="J444" i="36"/>
  <c r="F444" i="36"/>
  <c r="F445" i="34"/>
  <c r="J445" i="34"/>
  <c r="J446" i="39"/>
  <c r="F446" i="39"/>
  <c r="K424" i="31"/>
  <c r="J424" i="31"/>
  <c r="H409" i="25"/>
  <c r="J408" i="25" s="1"/>
  <c r="N424" i="32"/>
  <c r="N406" i="32" s="1"/>
  <c r="M406" i="32"/>
  <c r="F442" i="31"/>
  <c r="K442" i="44" l="1"/>
  <c r="K424" i="44" s="1"/>
  <c r="O424" i="44" s="1"/>
  <c r="J424" i="44"/>
  <c r="K442" i="45"/>
  <c r="K424" i="45" s="1"/>
  <c r="J424" i="45"/>
  <c r="K446" i="39"/>
  <c r="K428" i="39" s="1"/>
  <c r="J428" i="39"/>
  <c r="K445" i="34"/>
  <c r="K427" i="34" s="1"/>
  <c r="J427" i="34"/>
  <c r="K444" i="36"/>
  <c r="K426" i="36" s="1"/>
  <c r="J426" i="36"/>
  <c r="H411" i="25"/>
  <c r="L424" i="31"/>
  <c r="G217" i="30"/>
  <c r="G218" i="30" l="1"/>
  <c r="J410" i="25"/>
  <c r="F220" i="31"/>
  <c r="E221" i="31"/>
  <c r="J221" i="31" s="1"/>
  <c r="K221" i="31" s="1"/>
  <c r="H217" i="30"/>
  <c r="I217" i="30" s="1"/>
  <c r="F217" i="30"/>
  <c r="E224" i="45" l="1"/>
  <c r="E224" i="44"/>
  <c r="F221" i="32"/>
  <c r="M221" i="32" s="1"/>
  <c r="N221" i="32" s="1"/>
  <c r="E226" i="36"/>
  <c r="E228" i="39"/>
  <c r="E227" i="34"/>
  <c r="F221" i="31"/>
  <c r="E224" i="31"/>
  <c r="J224" i="31" s="1"/>
  <c r="K224" i="31" s="1"/>
  <c r="E225" i="31"/>
  <c r="K161" i="18"/>
  <c r="L161" i="18" s="1"/>
  <c r="K156" i="18"/>
  <c r="K157" i="18"/>
  <c r="H379" i="25"/>
  <c r="F224" i="44" l="1"/>
  <c r="J224" i="44"/>
  <c r="K224" i="44" s="1"/>
  <c r="J224" i="45"/>
  <c r="K224" i="45" s="1"/>
  <c r="F224" i="45"/>
  <c r="G221" i="32"/>
  <c r="J226" i="36"/>
  <c r="K226" i="36" s="1"/>
  <c r="F226" i="36"/>
  <c r="F227" i="34"/>
  <c r="J227" i="34"/>
  <c r="K227" i="34" s="1"/>
  <c r="J228" i="39"/>
  <c r="K228" i="39" s="1"/>
  <c r="F228" i="39"/>
  <c r="F225" i="31"/>
  <c r="J225" i="31"/>
  <c r="K225" i="31" s="1"/>
  <c r="F224" i="31"/>
  <c r="H308" i="25"/>
  <c r="N4" i="18"/>
  <c r="O4" i="18" s="1"/>
  <c r="L5" i="18"/>
  <c r="L17" i="18" s="1"/>
  <c r="E6" i="18"/>
  <c r="E14" i="18" s="1"/>
  <c r="N6" i="18"/>
  <c r="O6" i="18" s="1"/>
  <c r="N7" i="18"/>
  <c r="O7" i="18"/>
  <c r="N8" i="18"/>
  <c r="O8" i="18" s="1"/>
  <c r="K9" i="18"/>
  <c r="K14" i="18" s="1"/>
  <c r="L9" i="18"/>
  <c r="N10" i="18"/>
  <c r="H27" i="18" s="1"/>
  <c r="M11" i="18"/>
  <c r="M14" i="18" s="1"/>
  <c r="N11" i="18"/>
  <c r="O12" i="18"/>
  <c r="C14" i="18"/>
  <c r="F14" i="18"/>
  <c r="G14" i="18"/>
  <c r="H14" i="18"/>
  <c r="I14" i="18"/>
  <c r="J14" i="18"/>
  <c r="E16" i="18"/>
  <c r="F16" i="18"/>
  <c r="G16" i="18"/>
  <c r="H16" i="18"/>
  <c r="I16" i="18"/>
  <c r="J16" i="18"/>
  <c r="F17" i="18"/>
  <c r="G17" i="18"/>
  <c r="H17" i="18"/>
  <c r="I17" i="18"/>
  <c r="J17" i="18"/>
  <c r="K17" i="18"/>
  <c r="M17" i="18"/>
  <c r="C20" i="18"/>
  <c r="E20" i="18"/>
  <c r="C21" i="18"/>
  <c r="C22" i="18" s="1"/>
  <c r="E21" i="18"/>
  <c r="F25" i="18"/>
  <c r="G25" i="18"/>
  <c r="E26" i="18"/>
  <c r="F26" i="18"/>
  <c r="F27" i="18"/>
  <c r="G28" i="18" s="1"/>
  <c r="F28" i="18"/>
  <c r="E29" i="18"/>
  <c r="G29" i="18" s="1"/>
  <c r="E30" i="18"/>
  <c r="G30" i="18" s="1"/>
  <c r="E31" i="18"/>
  <c r="G31" i="18" s="1"/>
  <c r="H375" i="25"/>
  <c r="H369" i="25"/>
  <c r="H331" i="25"/>
  <c r="J331" i="25" s="1"/>
  <c r="H330" i="25"/>
  <c r="J330" i="25" s="1"/>
  <c r="N9" i="18" l="1"/>
  <c r="O9" i="18" s="1"/>
  <c r="N5" i="18"/>
  <c r="O5" i="18" s="1"/>
  <c r="G26" i="18"/>
  <c r="E17" i="18"/>
  <c r="L14" i="18"/>
  <c r="I27" i="18"/>
  <c r="E27" i="18"/>
  <c r="G27" i="18" s="1"/>
  <c r="O10" i="18"/>
  <c r="L16" i="18"/>
  <c r="K16" i="18"/>
  <c r="O11" i="18"/>
  <c r="M16" i="18"/>
  <c r="M23" i="18"/>
  <c r="H339" i="25"/>
  <c r="N17" i="18" l="1"/>
  <c r="O17" i="18" s="1"/>
  <c r="M22" i="18"/>
  <c r="N14" i="18"/>
  <c r="N16" i="18"/>
  <c r="O16" i="18" s="1"/>
  <c r="H26" i="18"/>
  <c r="I26" i="18"/>
  <c r="H338" i="25"/>
  <c r="I338" i="25" s="1"/>
  <c r="N20" i="18" l="1"/>
  <c r="G215" i="30"/>
  <c r="H407" i="25"/>
  <c r="J338" i="25"/>
  <c r="G182" i="30"/>
  <c r="H215" i="30"/>
  <c r="I215" i="30" s="1"/>
  <c r="F215" i="30"/>
  <c r="E222" i="44" l="1"/>
  <c r="E222" i="45"/>
  <c r="I407" i="25"/>
  <c r="J407" i="25"/>
  <c r="F219" i="32"/>
  <c r="G219" i="32" s="1"/>
  <c r="E226" i="39"/>
  <c r="E224" i="36"/>
  <c r="E225" i="34"/>
  <c r="G216" i="30"/>
  <c r="H216" i="30" s="1"/>
  <c r="I216" i="30" s="1"/>
  <c r="E222" i="31"/>
  <c r="J222" i="31" s="1"/>
  <c r="K222" i="31" s="1"/>
  <c r="F182" i="30"/>
  <c r="H182" i="30"/>
  <c r="I182" i="30" s="1"/>
  <c r="H312" i="25"/>
  <c r="E189" i="45" l="1"/>
  <c r="E189" i="44"/>
  <c r="F216" i="30"/>
  <c r="E227" i="39" s="1"/>
  <c r="J222" i="45"/>
  <c r="K222" i="45" s="1"/>
  <c r="F222" i="45"/>
  <c r="J222" i="44"/>
  <c r="K222" i="44" s="1"/>
  <c r="F222" i="44"/>
  <c r="M219" i="32"/>
  <c r="N219" i="32" s="1"/>
  <c r="F186" i="32"/>
  <c r="G186" i="32" s="1"/>
  <c r="E193" i="39"/>
  <c r="E191" i="36"/>
  <c r="E192" i="34"/>
  <c r="F225" i="34"/>
  <c r="J225" i="34"/>
  <c r="K225" i="34" s="1"/>
  <c r="F220" i="32"/>
  <c r="G220" i="32" s="1"/>
  <c r="J224" i="36"/>
  <c r="K224" i="36" s="1"/>
  <c r="F224" i="36"/>
  <c r="J226" i="39"/>
  <c r="K226" i="39" s="1"/>
  <c r="I481" i="39"/>
  <c r="F226" i="39"/>
  <c r="E189" i="31"/>
  <c r="J189" i="31" s="1"/>
  <c r="K189" i="31" s="1"/>
  <c r="F222" i="31"/>
  <c r="E226" i="34" l="1"/>
  <c r="E225" i="36"/>
  <c r="F225" i="36" s="1"/>
  <c r="E223" i="45"/>
  <c r="E223" i="44"/>
  <c r="J189" i="44"/>
  <c r="K189" i="44" s="1"/>
  <c r="F189" i="44"/>
  <c r="E223" i="31"/>
  <c r="J223" i="31" s="1"/>
  <c r="K223" i="31" s="1"/>
  <c r="F189" i="45"/>
  <c r="J189" i="45"/>
  <c r="K189" i="45" s="1"/>
  <c r="M186" i="32"/>
  <c r="N186" i="32" s="1"/>
  <c r="M220" i="32"/>
  <c r="N220" i="32" s="1"/>
  <c r="J225" i="36"/>
  <c r="K225" i="36" s="1"/>
  <c r="J193" i="39"/>
  <c r="K193" i="39" s="1"/>
  <c r="F193" i="39"/>
  <c r="J226" i="34"/>
  <c r="K226" i="34" s="1"/>
  <c r="F226" i="34"/>
  <c r="F227" i="39"/>
  <c r="J227" i="39"/>
  <c r="J192" i="34"/>
  <c r="K192" i="34" s="1"/>
  <c r="F192" i="34"/>
  <c r="J191" i="36"/>
  <c r="K191" i="36" s="1"/>
  <c r="F191" i="36"/>
  <c r="F189" i="31"/>
  <c r="J223" i="44" l="1"/>
  <c r="K223" i="44" s="1"/>
  <c r="F223" i="44"/>
  <c r="J223" i="45"/>
  <c r="K223" i="45" s="1"/>
  <c r="F223" i="45"/>
  <c r="F223" i="31"/>
  <c r="K227" i="39"/>
  <c r="H413" i="25"/>
  <c r="H412" i="25" l="1"/>
  <c r="J412" i="25" s="1"/>
  <c r="H418" i="25"/>
  <c r="I418" i="25" s="1"/>
  <c r="H363" i="25"/>
  <c r="L154" i="18"/>
  <c r="L152" i="18"/>
  <c r="L151" i="18"/>
  <c r="L149" i="18"/>
  <c r="L150" i="18"/>
  <c r="L153" i="18"/>
  <c r="L155" i="18"/>
  <c r="L156" i="18"/>
  <c r="L157" i="18"/>
  <c r="L158" i="18"/>
  <c r="L159" i="18"/>
  <c r="L160" i="18"/>
  <c r="L148" i="18"/>
  <c r="L162" i="18" l="1"/>
  <c r="H377" i="25" s="1"/>
  <c r="G219" i="30"/>
  <c r="L163" i="18"/>
  <c r="H381" i="25" s="1"/>
  <c r="H219" i="30" l="1"/>
  <c r="I219" i="30" s="1"/>
  <c r="F219" i="30"/>
  <c r="E226" i="44" l="1"/>
  <c r="E226" i="45"/>
  <c r="E228" i="36"/>
  <c r="E230" i="39"/>
  <c r="E229" i="34"/>
  <c r="E226" i="31"/>
  <c r="J226" i="31" s="1"/>
  <c r="K226" i="31" s="1"/>
  <c r="F223" i="32"/>
  <c r="E231" i="31"/>
  <c r="J231" i="31" s="1"/>
  <c r="K231" i="31" s="1"/>
  <c r="L142" i="18"/>
  <c r="L140" i="18"/>
  <c r="L138" i="18"/>
  <c r="L137" i="18"/>
  <c r="L134" i="18"/>
  <c r="L133" i="18"/>
  <c r="L131" i="18"/>
  <c r="L130" i="18"/>
  <c r="J226" i="45" l="1"/>
  <c r="K226" i="45" s="1"/>
  <c r="F226" i="45"/>
  <c r="J226" i="44"/>
  <c r="K226" i="44" s="1"/>
  <c r="F226" i="44"/>
  <c r="F226" i="31"/>
  <c r="F230" i="39"/>
  <c r="J230" i="39"/>
  <c r="K230" i="39" s="1"/>
  <c r="F229" i="34"/>
  <c r="J229" i="34"/>
  <c r="K229" i="34" s="1"/>
  <c r="F228" i="36"/>
  <c r="J228" i="36"/>
  <c r="K228" i="36" s="1"/>
  <c r="M223" i="32"/>
  <c r="N223" i="32" s="1"/>
  <c r="G223" i="32"/>
  <c r="F231" i="31"/>
  <c r="L141" i="18"/>
  <c r="L139" i="18"/>
  <c r="L136" i="18"/>
  <c r="L135" i="18"/>
  <c r="L132" i="18"/>
  <c r="L129" i="18"/>
  <c r="L143" i="18" s="1"/>
  <c r="E155" i="18" l="1"/>
  <c r="E153" i="18"/>
  <c r="E154" i="18"/>
  <c r="E152" i="18"/>
  <c r="E151" i="18"/>
  <c r="E150" i="18"/>
  <c r="E149" i="18"/>
  <c r="E148" i="18"/>
  <c r="E147" i="18"/>
  <c r="E141" i="18" l="1"/>
  <c r="E142" i="18"/>
  <c r="E145" i="18"/>
  <c r="E146" i="18"/>
  <c r="E144" i="18"/>
  <c r="E140" i="18"/>
  <c r="E143" i="18"/>
  <c r="E139" i="18"/>
  <c r="E137" i="18"/>
  <c r="E138" i="18"/>
  <c r="D136" i="18"/>
  <c r="E136" i="18" s="1"/>
  <c r="D135" i="18"/>
  <c r="E135" i="18" s="1"/>
  <c r="D134" i="18"/>
  <c r="E134" i="18" s="1"/>
  <c r="D133" i="18"/>
  <c r="E133" i="18" s="1"/>
  <c r="D132" i="18"/>
  <c r="E132" i="18" s="1"/>
  <c r="D131" i="18"/>
  <c r="E131" i="18" s="1"/>
  <c r="D130" i="18"/>
  <c r="E130" i="18" s="1"/>
  <c r="D129" i="18"/>
  <c r="E129" i="18" s="1"/>
  <c r="E157" i="18" l="1"/>
  <c r="H382" i="25" s="1"/>
  <c r="E156" i="18"/>
  <c r="H302" i="25" l="1"/>
  <c r="H294" i="25"/>
  <c r="H87" i="25"/>
  <c r="I87" i="25" s="1"/>
  <c r="H275" i="25"/>
  <c r="H95" i="25"/>
  <c r="I95" i="25" s="1"/>
  <c r="H139" i="25"/>
  <c r="H89" i="25"/>
  <c r="I89" i="25" s="1"/>
  <c r="H260" i="10"/>
  <c r="H261" i="10"/>
  <c r="I139" i="25" l="1"/>
  <c r="F70" i="30"/>
  <c r="J139" i="25"/>
  <c r="G70" i="30"/>
  <c r="H91" i="25"/>
  <c r="I91" i="25" s="1"/>
  <c r="E74" i="44" l="1"/>
  <c r="E74" i="45"/>
  <c r="F74" i="32"/>
  <c r="G74" i="32" s="1"/>
  <c r="E75" i="34"/>
  <c r="E76" i="39"/>
  <c r="E75" i="36"/>
  <c r="M74" i="32"/>
  <c r="E74" i="31"/>
  <c r="H70" i="30"/>
  <c r="I70" i="30" s="1"/>
  <c r="H81" i="25"/>
  <c r="F74" i="45" l="1"/>
  <c r="J74" i="45"/>
  <c r="F74" i="44"/>
  <c r="J74" i="44"/>
  <c r="J75" i="36"/>
  <c r="F75" i="36"/>
  <c r="J75" i="34"/>
  <c r="F75" i="34"/>
  <c r="J76" i="39"/>
  <c r="F76" i="39"/>
  <c r="F74" i="31"/>
  <c r="J74" i="31"/>
  <c r="K74" i="31" s="1"/>
  <c r="N74" i="32"/>
  <c r="H78" i="25"/>
  <c r="K74" i="44" l="1"/>
  <c r="K74" i="45"/>
  <c r="K76" i="39"/>
  <c r="K75" i="34"/>
  <c r="K75" i="36"/>
  <c r="H68" i="25"/>
  <c r="P57" i="27" l="1"/>
  <c r="S57" i="27" s="1"/>
  <c r="N18" i="27" s="1"/>
  <c r="P56" i="27"/>
  <c r="S56" i="27" s="1"/>
  <c r="N17" i="27" s="1"/>
  <c r="D56" i="27"/>
  <c r="G56" i="27" s="1"/>
  <c r="K17" i="27" s="1"/>
  <c r="L18" i="27" s="1"/>
  <c r="P55" i="27"/>
  <c r="S55" i="27" s="1"/>
  <c r="N16" i="27" s="1"/>
  <c r="D55" i="27"/>
  <c r="G55" i="27" s="1"/>
  <c r="K16" i="27" s="1"/>
  <c r="P54" i="27"/>
  <c r="S54" i="27" s="1"/>
  <c r="N15" i="27" s="1"/>
  <c r="D54" i="27"/>
  <c r="G54" i="27" s="1"/>
  <c r="K15" i="27" s="1"/>
  <c r="P53" i="27"/>
  <c r="S53" i="27" s="1"/>
  <c r="N14" i="27" s="1"/>
  <c r="D53" i="27"/>
  <c r="G53" i="27" s="1"/>
  <c r="K14" i="27" s="1"/>
  <c r="P52" i="27"/>
  <c r="S52" i="27" s="1"/>
  <c r="N13" i="27" s="1"/>
  <c r="D52" i="27"/>
  <c r="G52" i="27" s="1"/>
  <c r="K13" i="27" s="1"/>
  <c r="P51" i="27"/>
  <c r="S51" i="27" s="1"/>
  <c r="N12" i="27" s="1"/>
  <c r="D51" i="27"/>
  <c r="G51" i="27" s="1"/>
  <c r="K12" i="27" s="1"/>
  <c r="P50" i="27"/>
  <c r="S50" i="27" s="1"/>
  <c r="N11" i="27" s="1"/>
  <c r="D50" i="27"/>
  <c r="G50" i="27" s="1"/>
  <c r="K11" i="27" s="1"/>
  <c r="P49" i="27"/>
  <c r="S49" i="27" s="1"/>
  <c r="N10" i="27" s="1"/>
  <c r="D49" i="27"/>
  <c r="G49" i="27" s="1"/>
  <c r="K10" i="27" s="1"/>
  <c r="P48" i="27"/>
  <c r="S48" i="27" s="1"/>
  <c r="N9" i="27" s="1"/>
  <c r="D48" i="27"/>
  <c r="G48" i="27" s="1"/>
  <c r="K9" i="27" s="1"/>
  <c r="P47" i="27"/>
  <c r="S47" i="27" s="1"/>
  <c r="N8" i="27" s="1"/>
  <c r="D47" i="27"/>
  <c r="G47" i="27" s="1"/>
  <c r="K8" i="27" s="1"/>
  <c r="P46" i="27"/>
  <c r="S46" i="27" s="1"/>
  <c r="N7" i="27" s="1"/>
  <c r="D46" i="27"/>
  <c r="G46" i="27" s="1"/>
  <c r="K7" i="27" s="1"/>
  <c r="P45" i="27"/>
  <c r="S45" i="27" s="1"/>
  <c r="N6" i="27" s="1"/>
  <c r="D45" i="27"/>
  <c r="G45" i="27" s="1"/>
  <c r="K6" i="27" s="1"/>
  <c r="P44" i="27"/>
  <c r="S44" i="27" s="1"/>
  <c r="N5" i="27" s="1"/>
  <c r="D44" i="27"/>
  <c r="G44" i="27" s="1"/>
  <c r="K5" i="27" s="1"/>
  <c r="P43" i="27"/>
  <c r="S43" i="27" s="1"/>
  <c r="N4" i="27" s="1"/>
  <c r="D43" i="27"/>
  <c r="G43" i="27" s="1"/>
  <c r="K4" i="27" s="1"/>
  <c r="P42" i="27"/>
  <c r="S42" i="27" s="1"/>
  <c r="N3" i="27" s="1"/>
  <c r="D42" i="27"/>
  <c r="G42" i="27" s="1"/>
  <c r="K3" i="27" s="1"/>
  <c r="V19" i="27"/>
  <c r="R19" i="27"/>
  <c r="G19" i="27"/>
  <c r="C19" i="27"/>
  <c r="M18" i="27"/>
  <c r="F18" i="27"/>
  <c r="M17" i="27"/>
  <c r="J17" i="27"/>
  <c r="D17" i="27"/>
  <c r="M16" i="27"/>
  <c r="J16" i="27"/>
  <c r="D16" i="27"/>
  <c r="E16" i="27" s="1"/>
  <c r="M15" i="27"/>
  <c r="J15" i="27"/>
  <c r="D15" i="27"/>
  <c r="M14" i="27"/>
  <c r="J14" i="27"/>
  <c r="D14" i="27"/>
  <c r="M13" i="27"/>
  <c r="J13" i="27"/>
  <c r="D13" i="27"/>
  <c r="E13" i="27" s="1"/>
  <c r="M12" i="27"/>
  <c r="J12" i="27"/>
  <c r="D12" i="27"/>
  <c r="R11" i="27"/>
  <c r="M11" i="27"/>
  <c r="J11" i="27"/>
  <c r="D11" i="27"/>
  <c r="R10" i="27"/>
  <c r="M10" i="27"/>
  <c r="J10" i="27"/>
  <c r="D10" i="27"/>
  <c r="E10" i="27" s="1"/>
  <c r="Y9" i="27"/>
  <c r="R9" i="27"/>
  <c r="M9" i="27"/>
  <c r="J9" i="27"/>
  <c r="D9" i="27"/>
  <c r="F10" i="27" s="1"/>
  <c r="S8" i="27"/>
  <c r="T8" i="27" s="1"/>
  <c r="M8" i="27"/>
  <c r="J8" i="27"/>
  <c r="D8" i="27"/>
  <c r="E8" i="27" s="1"/>
  <c r="M7" i="27"/>
  <c r="J7" i="27"/>
  <c r="D7" i="27"/>
  <c r="W6" i="27"/>
  <c r="X6" i="27" s="1"/>
  <c r="S6" i="27"/>
  <c r="S11" i="27" s="1"/>
  <c r="J6" i="27"/>
  <c r="H6" i="27"/>
  <c r="D6" i="27"/>
  <c r="F6" i="27" s="1"/>
  <c r="W5" i="27"/>
  <c r="X5" i="27" s="1"/>
  <c r="S5" i="27"/>
  <c r="T5" i="27" s="1"/>
  <c r="J5" i="27"/>
  <c r="H5" i="27"/>
  <c r="F5" i="27"/>
  <c r="E5" i="27"/>
  <c r="W4" i="27"/>
  <c r="X4" i="27" s="1"/>
  <c r="S4" i="27"/>
  <c r="T4" i="27" s="1"/>
  <c r="J4" i="27"/>
  <c r="H4" i="27"/>
  <c r="F4" i="27"/>
  <c r="E4" i="27"/>
  <c r="T3" i="27"/>
  <c r="H3" i="27"/>
  <c r="E3" i="27"/>
  <c r="S10" i="27" l="1"/>
  <c r="L6" i="27"/>
  <c r="L12" i="27"/>
  <c r="F12" i="27"/>
  <c r="L10" i="27"/>
  <c r="L9" i="27"/>
  <c r="L11" i="27"/>
  <c r="F15" i="27"/>
  <c r="F17" i="27"/>
  <c r="T10" i="27"/>
  <c r="L14" i="27"/>
  <c r="I6" i="27"/>
  <c r="F8" i="27"/>
  <c r="S9" i="27"/>
  <c r="T9" i="27" s="1"/>
  <c r="F13" i="27"/>
  <c r="F16" i="27"/>
  <c r="L15" i="27"/>
  <c r="I4" i="27"/>
  <c r="L16" i="27"/>
  <c r="O16" i="27"/>
  <c r="O6" i="27"/>
  <c r="O7" i="27"/>
  <c r="O12" i="27"/>
  <c r="L8" i="27"/>
  <c r="O18" i="27"/>
  <c r="L7" i="27"/>
  <c r="L5" i="27"/>
  <c r="O14" i="27"/>
  <c r="J19" i="27"/>
  <c r="O5" i="27"/>
  <c r="M19" i="27"/>
  <c r="O15" i="27"/>
  <c r="O11" i="27"/>
  <c r="L17" i="27"/>
  <c r="O17" i="27"/>
  <c r="Y4" i="27"/>
  <c r="Z4" i="27" s="1"/>
  <c r="AA4" i="27" s="1"/>
  <c r="O10" i="27"/>
  <c r="X19" i="27"/>
  <c r="T11" i="27"/>
  <c r="L13" i="27"/>
  <c r="E11" i="27"/>
  <c r="E9" i="27"/>
  <c r="F11" i="27"/>
  <c r="O13" i="27"/>
  <c r="T6" i="27"/>
  <c r="F9" i="27"/>
  <c r="E14" i="27"/>
  <c r="F14" i="27"/>
  <c r="E17" i="27"/>
  <c r="I5" i="27"/>
  <c r="E7" i="27"/>
  <c r="F7" i="27"/>
  <c r="E12" i="27"/>
  <c r="E15" i="27"/>
  <c r="E6" i="27"/>
  <c r="Y18" i="27" l="1"/>
  <c r="AA18" i="27" s="1"/>
  <c r="F19" i="27"/>
  <c r="T19" i="27"/>
  <c r="I19" i="27"/>
  <c r="L19" i="27"/>
  <c r="Z18" i="27" l="1"/>
  <c r="O8" i="27"/>
  <c r="O9" i="27"/>
  <c r="O19" i="27" l="1"/>
  <c r="H420" i="25"/>
  <c r="I420" i="25" s="1"/>
  <c r="H314" i="25"/>
  <c r="J38" i="26"/>
  <c r="G226" i="30" l="1"/>
  <c r="F20" i="27"/>
  <c r="Y19" i="27"/>
  <c r="H226" i="30" l="1"/>
  <c r="I226" i="30" s="1"/>
  <c r="Y21" i="27"/>
  <c r="Y22" i="27" s="1"/>
  <c r="Z19" i="27"/>
  <c r="Z21" i="27" s="1"/>
  <c r="Z22" i="27" s="1"/>
  <c r="F232" i="31" l="1"/>
  <c r="E233" i="31"/>
  <c r="J233" i="31" s="1"/>
  <c r="K233" i="31" s="1"/>
  <c r="H551" i="25"/>
  <c r="H549" i="25"/>
  <c r="G548" i="25"/>
  <c r="F233" i="31" l="1"/>
  <c r="H24" i="20"/>
  <c r="H25" i="20"/>
  <c r="H26" i="20"/>
  <c r="H23" i="20"/>
  <c r="H11" i="20"/>
  <c r="H12" i="20"/>
  <c r="H13" i="20"/>
  <c r="H14" i="20"/>
  <c r="H15" i="20"/>
  <c r="H17" i="20"/>
  <c r="H19" i="20"/>
  <c r="H20" i="20"/>
  <c r="H21" i="20"/>
  <c r="H22" i="20"/>
  <c r="H10" i="20"/>
  <c r="L232" i="31" l="1"/>
  <c r="G5" i="22"/>
  <c r="G6" i="22"/>
  <c r="G7" i="22"/>
  <c r="G8" i="22"/>
  <c r="G9" i="22"/>
  <c r="G10" i="22"/>
  <c r="G11" i="22"/>
  <c r="G12" i="22"/>
  <c r="G13" i="22"/>
  <c r="G14" i="22"/>
  <c r="G15" i="22"/>
  <c r="G16" i="22"/>
  <c r="G4" i="22"/>
  <c r="G3" i="22"/>
  <c r="H293" i="25"/>
  <c r="H303" i="25"/>
  <c r="H19" i="22"/>
  <c r="H16" i="22"/>
  <c r="H15" i="22"/>
  <c r="H14" i="22"/>
  <c r="H10" i="22"/>
  <c r="H11" i="22"/>
  <c r="H12" i="22"/>
  <c r="H13" i="22"/>
  <c r="H9" i="22"/>
  <c r="H8" i="22"/>
  <c r="H5" i="22"/>
  <c r="H6" i="22"/>
  <c r="H7" i="22"/>
  <c r="H4" i="22"/>
  <c r="F7" i="22"/>
  <c r="F8" i="22"/>
  <c r="F9" i="22"/>
  <c r="F10" i="22"/>
  <c r="F11" i="22"/>
  <c r="F12" i="22"/>
  <c r="F13" i="22"/>
  <c r="F3" i="22"/>
  <c r="D19" i="22"/>
  <c r="C5" i="22"/>
  <c r="C6" i="22"/>
  <c r="F6" i="22" s="1"/>
  <c r="C7" i="22"/>
  <c r="C8" i="22"/>
  <c r="C9" i="22"/>
  <c r="C10" i="22"/>
  <c r="C11" i="22"/>
  <c r="C12" i="22"/>
  <c r="C13" i="22"/>
  <c r="C14" i="22"/>
  <c r="F14" i="22" s="1"/>
  <c r="C15" i="22"/>
  <c r="F15" i="22" s="1"/>
  <c r="C16" i="22"/>
  <c r="F16" i="22" s="1"/>
  <c r="C4" i="22"/>
  <c r="H498" i="25"/>
  <c r="F5" i="22" l="1"/>
  <c r="C19" i="22"/>
  <c r="G19" i="22"/>
  <c r="F4" i="22"/>
  <c r="F19" i="22" l="1"/>
  <c r="J315" i="25" l="1"/>
  <c r="G171" i="30"/>
  <c r="H300" i="25"/>
  <c r="H171" i="30" l="1"/>
  <c r="I171" i="30" s="1"/>
  <c r="H210" i="25"/>
  <c r="H221" i="25" s="1"/>
  <c r="H209" i="25"/>
  <c r="Q64" i="18"/>
  <c r="K70" i="18"/>
  <c r="K65" i="18"/>
  <c r="K64" i="18"/>
  <c r="E65" i="18"/>
  <c r="E64" i="18"/>
  <c r="K44" i="18"/>
  <c r="K41" i="18"/>
  <c r="E47" i="18"/>
  <c r="E44" i="18"/>
  <c r="E41" i="18"/>
  <c r="I73" i="18"/>
  <c r="K73" i="18" s="1"/>
  <c r="I72" i="18"/>
  <c r="K72" i="18" s="1"/>
  <c r="I71" i="18"/>
  <c r="K71" i="18" s="1"/>
  <c r="C71" i="18"/>
  <c r="E71" i="18" s="1"/>
  <c r="C70" i="18"/>
  <c r="E70" i="18" s="1"/>
  <c r="I69" i="18"/>
  <c r="K69" i="18" s="1"/>
  <c r="C69" i="18"/>
  <c r="E69" i="18" s="1"/>
  <c r="I68" i="18"/>
  <c r="K68" i="18" s="1"/>
  <c r="C68" i="18"/>
  <c r="E68" i="18" s="1"/>
  <c r="I67" i="18"/>
  <c r="K67" i="18" s="1"/>
  <c r="C67" i="18"/>
  <c r="E67" i="18" s="1"/>
  <c r="I66" i="18"/>
  <c r="K66" i="18" s="1"/>
  <c r="C66" i="18"/>
  <c r="E66" i="18" s="1"/>
  <c r="O63" i="18"/>
  <c r="Q63" i="18" s="1"/>
  <c r="I63" i="18"/>
  <c r="K63" i="18" s="1"/>
  <c r="C63" i="18"/>
  <c r="E63" i="18" s="1"/>
  <c r="O62" i="18"/>
  <c r="Q62" i="18" s="1"/>
  <c r="I62" i="18"/>
  <c r="K62" i="18" s="1"/>
  <c r="C62" i="18"/>
  <c r="E62" i="18" s="1"/>
  <c r="O61" i="18"/>
  <c r="Q61" i="18" s="1"/>
  <c r="I61" i="18"/>
  <c r="K61" i="18" s="1"/>
  <c r="C61" i="18"/>
  <c r="E61" i="18" s="1"/>
  <c r="P60" i="18"/>
  <c r="O60" i="18"/>
  <c r="I60" i="18"/>
  <c r="K60" i="18" s="1"/>
  <c r="C60" i="18"/>
  <c r="E60" i="18" s="1"/>
  <c r="I53" i="18"/>
  <c r="K53" i="18" s="1"/>
  <c r="C53" i="18"/>
  <c r="E53" i="18" s="1"/>
  <c r="I52" i="18"/>
  <c r="K52" i="18" s="1"/>
  <c r="C52" i="18"/>
  <c r="E52" i="18" s="1"/>
  <c r="I51" i="18"/>
  <c r="K51" i="18" s="1"/>
  <c r="C51" i="18"/>
  <c r="E51" i="18" s="1"/>
  <c r="I50" i="18"/>
  <c r="K50" i="18" s="1"/>
  <c r="C50" i="18"/>
  <c r="E50" i="18" s="1"/>
  <c r="I49" i="18"/>
  <c r="K49" i="18" s="1"/>
  <c r="C49" i="18"/>
  <c r="E49" i="18" s="1"/>
  <c r="I48" i="18"/>
  <c r="K48" i="18" s="1"/>
  <c r="C48" i="18"/>
  <c r="E48" i="18" s="1"/>
  <c r="I47" i="18"/>
  <c r="K47" i="18" s="1"/>
  <c r="C47" i="18"/>
  <c r="I46" i="18"/>
  <c r="K46" i="18" s="1"/>
  <c r="C46" i="18"/>
  <c r="E46" i="18" s="1"/>
  <c r="P45" i="18"/>
  <c r="O45" i="18"/>
  <c r="Q45" i="18" s="1"/>
  <c r="I45" i="18"/>
  <c r="K45" i="18" s="1"/>
  <c r="C45" i="18"/>
  <c r="E45" i="18" s="1"/>
  <c r="P44" i="18"/>
  <c r="O44" i="18"/>
  <c r="P43" i="18"/>
  <c r="Q43" i="18" s="1"/>
  <c r="I43" i="18"/>
  <c r="K43" i="18" s="1"/>
  <c r="C43" i="18"/>
  <c r="E43" i="18" s="1"/>
  <c r="P42" i="18"/>
  <c r="Q42" i="18" s="1"/>
  <c r="I42" i="18"/>
  <c r="K42" i="18" s="1"/>
  <c r="C42" i="18"/>
  <c r="E42" i="18" s="1"/>
  <c r="P41" i="18"/>
  <c r="O41" i="18"/>
  <c r="Q41" i="18" s="1"/>
  <c r="P40" i="18"/>
  <c r="O40" i="18"/>
  <c r="I40" i="18"/>
  <c r="K40" i="18" s="1"/>
  <c r="C40" i="18"/>
  <c r="E40" i="18" s="1"/>
  <c r="P39" i="18"/>
  <c r="O39" i="18"/>
  <c r="I39" i="18"/>
  <c r="K39" i="18" s="1"/>
  <c r="C39" i="18"/>
  <c r="E39" i="18" s="1"/>
  <c r="P38" i="18"/>
  <c r="O38" i="18"/>
  <c r="Q38" i="18" s="1"/>
  <c r="I38" i="18"/>
  <c r="K38" i="18" s="1"/>
  <c r="C38" i="18"/>
  <c r="E38" i="18" s="1"/>
  <c r="P37" i="18"/>
  <c r="O37" i="18"/>
  <c r="I37" i="18"/>
  <c r="K37" i="18" s="1"/>
  <c r="C37" i="18"/>
  <c r="E37" i="18" s="1"/>
  <c r="Q39" i="18" l="1"/>
  <c r="Q44" i="18"/>
  <c r="Q60" i="18"/>
  <c r="Q66" i="18" s="1"/>
  <c r="Q37" i="18"/>
  <c r="Q40" i="18"/>
  <c r="F175" i="32"/>
  <c r="M175" i="32" s="1"/>
  <c r="N175" i="32" s="1"/>
  <c r="E181" i="34"/>
  <c r="E182" i="39"/>
  <c r="E180" i="36"/>
  <c r="E178" i="31"/>
  <c r="J178" i="31" s="1"/>
  <c r="K178" i="31" s="1"/>
  <c r="E54" i="18"/>
  <c r="K54" i="18"/>
  <c r="E74" i="18"/>
  <c r="K74" i="18"/>
  <c r="Q46" i="18" l="1"/>
  <c r="G175" i="32"/>
  <c r="J181" i="34"/>
  <c r="K181" i="34" s="1"/>
  <c r="F181" i="34"/>
  <c r="F180" i="36"/>
  <c r="J180" i="36"/>
  <c r="K180" i="36" s="1"/>
  <c r="J182" i="39"/>
  <c r="K182" i="39" s="1"/>
  <c r="F182" i="39"/>
  <c r="F178" i="31"/>
  <c r="M75" i="18"/>
  <c r="K55" i="18"/>
  <c r="H222" i="25" l="1"/>
  <c r="H140" i="25" l="1"/>
  <c r="I140" i="25" l="1"/>
  <c r="F71" i="30"/>
  <c r="J140" i="25"/>
  <c r="G71" i="30"/>
  <c r="H371" i="25"/>
  <c r="I668" i="25"/>
  <c r="H661" i="25"/>
  <c r="I661" i="25" s="1"/>
  <c r="I658" i="25"/>
  <c r="I657" i="25"/>
  <c r="I655" i="25"/>
  <c r="I654" i="25"/>
  <c r="I653" i="25"/>
  <c r="I652" i="25"/>
  <c r="I651" i="25"/>
  <c r="I650" i="25"/>
  <c r="I649" i="25"/>
  <c r="I648" i="25"/>
  <c r="I647" i="25"/>
  <c r="I646" i="25"/>
  <c r="I645" i="25"/>
  <c r="I644" i="25"/>
  <c r="I643" i="25"/>
  <c r="I642" i="25"/>
  <c r="I641" i="25"/>
  <c r="I640" i="25"/>
  <c r="I639" i="25"/>
  <c r="I638" i="25"/>
  <c r="I637" i="25"/>
  <c r="H633" i="25"/>
  <c r="I633" i="25" s="1"/>
  <c r="H632" i="25"/>
  <c r="I632" i="25" s="1"/>
  <c r="I631" i="25"/>
  <c r="H630" i="25"/>
  <c r="I630" i="25" s="1"/>
  <c r="H629" i="25"/>
  <c r="I629" i="25" s="1"/>
  <c r="H628" i="25"/>
  <c r="I628" i="25" s="1"/>
  <c r="I627" i="25"/>
  <c r="I626" i="25"/>
  <c r="I625" i="25"/>
  <c r="I624" i="25"/>
  <c r="I623" i="25"/>
  <c r="I622" i="25"/>
  <c r="I621" i="25"/>
  <c r="I620" i="25"/>
  <c r="I619" i="25"/>
  <c r="H618" i="25"/>
  <c r="I618" i="25" s="1"/>
  <c r="H617" i="25"/>
  <c r="I617" i="25" s="1"/>
  <c r="I615" i="25"/>
  <c r="I614" i="25"/>
  <c r="I613" i="25"/>
  <c r="I611" i="25"/>
  <c r="I610" i="25"/>
  <c r="I609" i="25"/>
  <c r="I608" i="25"/>
  <c r="I607" i="25"/>
  <c r="I606" i="25"/>
  <c r="I605" i="25"/>
  <c r="I604" i="25"/>
  <c r="I603" i="25"/>
  <c r="I602" i="25"/>
  <c r="I601" i="25"/>
  <c r="I600" i="25"/>
  <c r="I599" i="25"/>
  <c r="I598" i="25"/>
  <c r="I597" i="25"/>
  <c r="I596" i="25"/>
  <c r="I595" i="25"/>
  <c r="I594" i="25"/>
  <c r="I593" i="25"/>
  <c r="I592" i="25"/>
  <c r="I591" i="25"/>
  <c r="I590" i="25"/>
  <c r="I589" i="25"/>
  <c r="I588" i="25"/>
  <c r="I587" i="25"/>
  <c r="I586" i="25"/>
  <c r="I585" i="25"/>
  <c r="I584" i="25"/>
  <c r="I583" i="25"/>
  <c r="I582" i="25"/>
  <c r="I581" i="25"/>
  <c r="I580" i="25"/>
  <c r="I579" i="25"/>
  <c r="I578" i="25"/>
  <c r="I577" i="25"/>
  <c r="I576" i="25"/>
  <c r="I575" i="25"/>
  <c r="I574" i="25"/>
  <c r="I573" i="25"/>
  <c r="I556" i="25"/>
  <c r="H555" i="25"/>
  <c r="I555" i="25" s="1"/>
  <c r="I554" i="25"/>
  <c r="I553" i="25"/>
  <c r="I552" i="25"/>
  <c r="I550" i="25"/>
  <c r="I549" i="25"/>
  <c r="I545" i="25"/>
  <c r="I544" i="25"/>
  <c r="I543" i="25"/>
  <c r="I542" i="25"/>
  <c r="H536" i="25"/>
  <c r="I536" i="25" s="1"/>
  <c r="H534" i="25"/>
  <c r="I534" i="25" s="1"/>
  <c r="I498" i="25"/>
  <c r="H497" i="25"/>
  <c r="I497" i="25" s="1"/>
  <c r="I445" i="25"/>
  <c r="I444" i="25"/>
  <c r="I443" i="25"/>
  <c r="I442" i="25"/>
  <c r="I441" i="25"/>
  <c r="I440" i="25"/>
  <c r="I439" i="25"/>
  <c r="I438" i="25"/>
  <c r="I434" i="25"/>
  <c r="I432" i="25"/>
  <c r="F236" i="30" s="1"/>
  <c r="I431" i="25"/>
  <c r="F235" i="30" s="1"/>
  <c r="I430" i="25"/>
  <c r="F234" i="30" s="1"/>
  <c r="I429" i="25"/>
  <c r="F233" i="30" s="1"/>
  <c r="I428" i="25"/>
  <c r="F232" i="30" s="1"/>
  <c r="I427" i="25"/>
  <c r="F231" i="30" s="1"/>
  <c r="I425" i="25"/>
  <c r="F229" i="30" s="1"/>
  <c r="H402" i="25"/>
  <c r="I402" i="25" s="1"/>
  <c r="H400" i="25"/>
  <c r="I400" i="25" s="1"/>
  <c r="H397" i="25"/>
  <c r="I397" i="25" s="1"/>
  <c r="H395" i="25"/>
  <c r="I395" i="25" s="1"/>
  <c r="I391" i="25"/>
  <c r="H389" i="25"/>
  <c r="I376" i="25"/>
  <c r="H374" i="25"/>
  <c r="H373" i="25"/>
  <c r="I371" i="25"/>
  <c r="G195" i="30" s="1"/>
  <c r="H370" i="25"/>
  <c r="I370" i="25" s="1"/>
  <c r="G194" i="30" s="1"/>
  <c r="H368" i="25"/>
  <c r="H367" i="25"/>
  <c r="H362" i="25"/>
  <c r="H361" i="25"/>
  <c r="H360" i="25"/>
  <c r="E158" i="18"/>
  <c r="F156" i="18" s="1"/>
  <c r="L164" i="18"/>
  <c r="M162" i="18" s="1"/>
  <c r="L144" i="18"/>
  <c r="L145" i="18" s="1"/>
  <c r="I354" i="25"/>
  <c r="G187" i="30"/>
  <c r="E102" i="18"/>
  <c r="F103" i="18" s="1"/>
  <c r="M93" i="18"/>
  <c r="N93" i="18" s="1"/>
  <c r="E86" i="18"/>
  <c r="E87" i="18" s="1"/>
  <c r="H342" i="52" s="1"/>
  <c r="H342" i="25"/>
  <c r="I342" i="25" s="1"/>
  <c r="H341" i="25"/>
  <c r="I341" i="25" s="1"/>
  <c r="G184" i="30" s="1"/>
  <c r="H340" i="25"/>
  <c r="I340" i="25" s="1"/>
  <c r="G183" i="30" s="1"/>
  <c r="I336" i="25"/>
  <c r="I335" i="25"/>
  <c r="H334" i="25"/>
  <c r="I334" i="25" s="1"/>
  <c r="I333" i="25"/>
  <c r="G176" i="30"/>
  <c r="G174" i="30"/>
  <c r="H324" i="25"/>
  <c r="I324" i="25" s="1"/>
  <c r="J324" i="25" s="1"/>
  <c r="I314" i="25"/>
  <c r="G170" i="30" s="1"/>
  <c r="I313" i="25"/>
  <c r="G169" i="30" s="1"/>
  <c r="I312" i="25"/>
  <c r="H309" i="25"/>
  <c r="I308" i="25" s="1"/>
  <c r="H299" i="25"/>
  <c r="H297" i="25"/>
  <c r="H291" i="25"/>
  <c r="H290" i="25"/>
  <c r="H289" i="25"/>
  <c r="H288" i="25"/>
  <c r="H286" i="25"/>
  <c r="H285" i="25"/>
  <c r="H284" i="25"/>
  <c r="H283" i="25"/>
  <c r="H282" i="25"/>
  <c r="H276" i="25"/>
  <c r="I275" i="25" s="1"/>
  <c r="H272" i="25"/>
  <c r="I270" i="25"/>
  <c r="I268" i="25"/>
  <c r="I267" i="25"/>
  <c r="I266" i="25"/>
  <c r="I265" i="25"/>
  <c r="I264" i="25"/>
  <c r="H251" i="25"/>
  <c r="I251" i="25" s="1"/>
  <c r="H247" i="25"/>
  <c r="I247" i="25" s="1"/>
  <c r="J247" i="25" s="1"/>
  <c r="G128" i="30"/>
  <c r="H230" i="25"/>
  <c r="H229" i="25"/>
  <c r="H228" i="25"/>
  <c r="I212" i="25"/>
  <c r="H208" i="25"/>
  <c r="H219" i="25" s="1"/>
  <c r="H206" i="25"/>
  <c r="M76" i="18"/>
  <c r="M77" i="18" s="1"/>
  <c r="H204" i="25"/>
  <c r="H194" i="25"/>
  <c r="H193" i="25"/>
  <c r="H192" i="25"/>
  <c r="H190" i="25"/>
  <c r="H189" i="25"/>
  <c r="H74" i="25"/>
  <c r="H70" i="25"/>
  <c r="H64" i="25"/>
  <c r="H62" i="25"/>
  <c r="H44" i="25"/>
  <c r="H40" i="25"/>
  <c r="H37" i="25"/>
  <c r="H36" i="25"/>
  <c r="H32" i="25"/>
  <c r="H31" i="25"/>
  <c r="H30" i="25"/>
  <c r="H29" i="25"/>
  <c r="H28" i="25"/>
  <c r="H27" i="25"/>
  <c r="H26" i="25"/>
  <c r="H25" i="25"/>
  <c r="H24" i="25"/>
  <c r="H23" i="25"/>
  <c r="H22" i="25"/>
  <c r="H21" i="25"/>
  <c r="H20" i="25"/>
  <c r="H19" i="25"/>
  <c r="H18" i="25"/>
  <c r="H17" i="25"/>
  <c r="H16" i="25"/>
  <c r="H13" i="25"/>
  <c r="H11" i="25"/>
  <c r="H10" i="25"/>
  <c r="H9" i="25"/>
  <c r="I9" i="25" s="1"/>
  <c r="H217" i="25" l="1"/>
  <c r="H259" i="52"/>
  <c r="E239" i="44"/>
  <c r="E239" i="45"/>
  <c r="E242" i="44"/>
  <c r="E242" i="45"/>
  <c r="E238" i="44"/>
  <c r="E238" i="45"/>
  <c r="E243" i="45"/>
  <c r="E243" i="44"/>
  <c r="E236" i="45"/>
  <c r="E236" i="44"/>
  <c r="E240" i="44"/>
  <c r="E240" i="45"/>
  <c r="E241" i="45"/>
  <c r="E241" i="44"/>
  <c r="E75" i="45"/>
  <c r="E75" i="44"/>
  <c r="F11" i="30"/>
  <c r="E15" i="31" s="1"/>
  <c r="J39" i="25"/>
  <c r="I16" i="25"/>
  <c r="J661" i="25"/>
  <c r="F462" i="30"/>
  <c r="E240" i="36"/>
  <c r="E242" i="39"/>
  <c r="E241" i="34"/>
  <c r="F235" i="32"/>
  <c r="E238" i="31"/>
  <c r="E241" i="36"/>
  <c r="E242" i="34"/>
  <c r="E243" i="39"/>
  <c r="F236" i="32"/>
  <c r="E239" i="31"/>
  <c r="E245" i="39"/>
  <c r="E243" i="36"/>
  <c r="E244" i="34"/>
  <c r="F238" i="32"/>
  <c r="E241" i="31"/>
  <c r="E244" i="36"/>
  <c r="E245" i="34"/>
  <c r="E246" i="39"/>
  <c r="F239" i="32"/>
  <c r="E242" i="31"/>
  <c r="E245" i="36"/>
  <c r="E246" i="34"/>
  <c r="E247" i="39"/>
  <c r="E243" i="31"/>
  <c r="F240" i="32"/>
  <c r="F238" i="30"/>
  <c r="J434" i="25"/>
  <c r="E243" i="34"/>
  <c r="E242" i="36"/>
  <c r="E244" i="39"/>
  <c r="E240" i="31"/>
  <c r="F237" i="32"/>
  <c r="E238" i="36"/>
  <c r="E239" i="34"/>
  <c r="E240" i="39"/>
  <c r="E236" i="31"/>
  <c r="F233" i="32"/>
  <c r="J55" i="18"/>
  <c r="K56" i="18" s="1"/>
  <c r="K71" i="25"/>
  <c r="I70" i="25"/>
  <c r="J70" i="25" s="1"/>
  <c r="F75" i="32"/>
  <c r="M75" i="32" s="1"/>
  <c r="E77" i="39"/>
  <c r="E76" i="34"/>
  <c r="E76" i="36"/>
  <c r="F164" i="32"/>
  <c r="M164" i="32" s="1"/>
  <c r="E171" i="39"/>
  <c r="E168" i="36"/>
  <c r="E170" i="34"/>
  <c r="F176" i="30"/>
  <c r="H176" i="30"/>
  <c r="I176" i="30" s="1"/>
  <c r="J542" i="25"/>
  <c r="F343" i="30"/>
  <c r="G173" i="30"/>
  <c r="G135" i="30"/>
  <c r="K245" i="25"/>
  <c r="I192" i="25"/>
  <c r="G164" i="32"/>
  <c r="E167" i="31"/>
  <c r="E75" i="31"/>
  <c r="J75" i="31" s="1"/>
  <c r="K75" i="31" s="1"/>
  <c r="H296" i="25"/>
  <c r="G175" i="30"/>
  <c r="J390" i="25"/>
  <c r="G204" i="30"/>
  <c r="H170" i="30"/>
  <c r="I170" i="30" s="1"/>
  <c r="F170" i="30"/>
  <c r="H174" i="30"/>
  <c r="I174" i="30" s="1"/>
  <c r="F174" i="30"/>
  <c r="H218" i="25"/>
  <c r="Q67" i="18"/>
  <c r="Q68" i="18" s="1"/>
  <c r="H187" i="30"/>
  <c r="I187" i="30" s="1"/>
  <c r="F187" i="30"/>
  <c r="H195" i="30"/>
  <c r="I195" i="30" s="1"/>
  <c r="F195" i="30"/>
  <c r="J354" i="25"/>
  <c r="G189" i="30"/>
  <c r="H169" i="30"/>
  <c r="I169" i="30" s="1"/>
  <c r="F169" i="30"/>
  <c r="H183" i="30"/>
  <c r="I183" i="30" s="1"/>
  <c r="J399" i="25"/>
  <c r="G211" i="30"/>
  <c r="H184" i="30"/>
  <c r="I184" i="30" s="1"/>
  <c r="F128" i="30"/>
  <c r="H128" i="30"/>
  <c r="I128" i="30" s="1"/>
  <c r="H194" i="30"/>
  <c r="I194" i="30" s="1"/>
  <c r="F194" i="30"/>
  <c r="J376" i="25"/>
  <c r="G197" i="30"/>
  <c r="J389" i="25"/>
  <c r="G203" i="30"/>
  <c r="G134" i="30"/>
  <c r="H71" i="30"/>
  <c r="I71" i="30" s="1"/>
  <c r="J275" i="25"/>
  <c r="G161" i="30"/>
  <c r="I288" i="25"/>
  <c r="J332" i="25"/>
  <c r="J336" i="25"/>
  <c r="J340" i="25"/>
  <c r="J350" i="25"/>
  <c r="J370" i="25"/>
  <c r="J371" i="25"/>
  <c r="J334" i="25"/>
  <c r="J341" i="25"/>
  <c r="J342" i="25"/>
  <c r="J313" i="25"/>
  <c r="J314" i="25"/>
  <c r="I367" i="25"/>
  <c r="G193" i="30" s="1"/>
  <c r="J233" i="25"/>
  <c r="I36" i="25"/>
  <c r="I44" i="25"/>
  <c r="I282" i="25"/>
  <c r="I373" i="25"/>
  <c r="G196" i="30" s="1"/>
  <c r="I204" i="25"/>
  <c r="H535" i="25"/>
  <c r="I535" i="25" s="1"/>
  <c r="I381" i="25"/>
  <c r="I228" i="25"/>
  <c r="G127" i="30" s="1"/>
  <c r="H304" i="25" l="1"/>
  <c r="H350" i="52"/>
  <c r="I342" i="52" s="1"/>
  <c r="H216" i="25"/>
  <c r="H258" i="52"/>
  <c r="I258" i="52" s="1"/>
  <c r="E258" i="52" s="1"/>
  <c r="E15" i="36"/>
  <c r="J15" i="36" s="1"/>
  <c r="L15" i="36" s="1"/>
  <c r="L11" i="36" s="1"/>
  <c r="E15" i="34"/>
  <c r="J15" i="34" s="1"/>
  <c r="E15" i="39"/>
  <c r="J15" i="39" s="1"/>
  <c r="K15" i="39" s="1"/>
  <c r="J240" i="44"/>
  <c r="K240" i="44" s="1"/>
  <c r="F240" i="44"/>
  <c r="E177" i="45"/>
  <c r="E177" i="44"/>
  <c r="F243" i="45"/>
  <c r="J243" i="45"/>
  <c r="K243" i="45" s="1"/>
  <c r="E15" i="44"/>
  <c r="J15" i="44" s="1"/>
  <c r="E15" i="45"/>
  <c r="J15" i="45" s="1"/>
  <c r="F238" i="44"/>
  <c r="J238" i="44"/>
  <c r="K238" i="44" s="1"/>
  <c r="J236" i="44"/>
  <c r="F236" i="44"/>
  <c r="E181" i="45"/>
  <c r="E181" i="44"/>
  <c r="J236" i="45"/>
  <c r="F236" i="45"/>
  <c r="E176" i="45"/>
  <c r="E176" i="44"/>
  <c r="E245" i="44"/>
  <c r="E245" i="45"/>
  <c r="J75" i="44"/>
  <c r="F75" i="44"/>
  <c r="J242" i="45"/>
  <c r="K242" i="45" s="1"/>
  <c r="F242" i="45"/>
  <c r="J240" i="45"/>
  <c r="K240" i="45" s="1"/>
  <c r="F240" i="45"/>
  <c r="E469" i="44"/>
  <c r="F469" i="44" s="1"/>
  <c r="E469" i="45"/>
  <c r="F243" i="44"/>
  <c r="J243" i="44"/>
  <c r="K243" i="44" s="1"/>
  <c r="E180" i="44"/>
  <c r="E180" i="45"/>
  <c r="E350" i="45"/>
  <c r="E350" i="44"/>
  <c r="E202" i="44"/>
  <c r="E202" i="45"/>
  <c r="E183" i="44"/>
  <c r="E183" i="45"/>
  <c r="J75" i="45"/>
  <c r="F75" i="45"/>
  <c r="J242" i="44"/>
  <c r="K242" i="44" s="1"/>
  <c r="F242" i="44"/>
  <c r="J239" i="45"/>
  <c r="K239" i="45" s="1"/>
  <c r="F239" i="45"/>
  <c r="F238" i="45"/>
  <c r="J238" i="45"/>
  <c r="K238" i="45" s="1"/>
  <c r="E201" i="44"/>
  <c r="E201" i="45"/>
  <c r="J241" i="44"/>
  <c r="K241" i="44" s="1"/>
  <c r="F241" i="44"/>
  <c r="E194" i="45"/>
  <c r="E194" i="44"/>
  <c r="F15" i="32"/>
  <c r="M15" i="32" s="1"/>
  <c r="N15" i="32" s="1"/>
  <c r="F241" i="45"/>
  <c r="J241" i="45"/>
  <c r="K241" i="45" s="1"/>
  <c r="J239" i="44"/>
  <c r="K239" i="44" s="1"/>
  <c r="F239" i="44"/>
  <c r="E135" i="45"/>
  <c r="E135" i="44"/>
  <c r="E471" i="36"/>
  <c r="E472" i="34"/>
  <c r="E473" i="39"/>
  <c r="F450" i="32"/>
  <c r="M450" i="32" s="1"/>
  <c r="E469" i="31"/>
  <c r="E183" i="31"/>
  <c r="F183" i="31" s="1"/>
  <c r="J15" i="31"/>
  <c r="K15" i="36"/>
  <c r="K15" i="34"/>
  <c r="L15" i="34"/>
  <c r="L11" i="34" s="1"/>
  <c r="J242" i="31"/>
  <c r="K242" i="31" s="1"/>
  <c r="F242" i="31"/>
  <c r="G238" i="32"/>
  <c r="M238" i="32"/>
  <c r="N238" i="32" s="1"/>
  <c r="M233" i="32"/>
  <c r="G233" i="32"/>
  <c r="J244" i="34"/>
  <c r="K244" i="34" s="1"/>
  <c r="F244" i="34"/>
  <c r="F242" i="34"/>
  <c r="J242" i="34"/>
  <c r="K242" i="34" s="1"/>
  <c r="J247" i="39"/>
  <c r="K247" i="39" s="1"/>
  <c r="F247" i="39"/>
  <c r="J241" i="31"/>
  <c r="K241" i="31" s="1"/>
  <c r="F241" i="31"/>
  <c r="J244" i="39"/>
  <c r="K244" i="39" s="1"/>
  <c r="F244" i="39"/>
  <c r="F241" i="36"/>
  <c r="J241" i="36"/>
  <c r="K241" i="36" s="1"/>
  <c r="J246" i="39"/>
  <c r="K246" i="39" s="1"/>
  <c r="F246" i="39"/>
  <c r="J244" i="36"/>
  <c r="K244" i="36" s="1"/>
  <c r="F244" i="36"/>
  <c r="G22" i="30"/>
  <c r="J243" i="39"/>
  <c r="K243" i="39" s="1"/>
  <c r="F243" i="39"/>
  <c r="J240" i="31"/>
  <c r="K240" i="31" s="1"/>
  <c r="F240" i="31"/>
  <c r="J242" i="36"/>
  <c r="K242" i="36" s="1"/>
  <c r="F242" i="36"/>
  <c r="J238" i="31"/>
  <c r="K238" i="31" s="1"/>
  <c r="F238" i="31"/>
  <c r="J245" i="39"/>
  <c r="K245" i="39" s="1"/>
  <c r="F245" i="39"/>
  <c r="J239" i="31"/>
  <c r="K239" i="31" s="1"/>
  <c r="F239" i="31"/>
  <c r="F243" i="34"/>
  <c r="J243" i="34"/>
  <c r="K243" i="34" s="1"/>
  <c r="M235" i="32"/>
  <c r="N235" i="32" s="1"/>
  <c r="G235" i="32"/>
  <c r="F246" i="34"/>
  <c r="J246" i="34"/>
  <c r="K246" i="34" s="1"/>
  <c r="J245" i="36"/>
  <c r="K245" i="36" s="1"/>
  <c r="F245" i="36"/>
  <c r="G75" i="32"/>
  <c r="J236" i="31"/>
  <c r="F236" i="31"/>
  <c r="J243" i="36"/>
  <c r="K243" i="36" s="1"/>
  <c r="F243" i="36"/>
  <c r="J238" i="36"/>
  <c r="F238" i="36"/>
  <c r="M237" i="32"/>
  <c r="N237" i="32" s="1"/>
  <c r="G237" i="32"/>
  <c r="I216" i="25"/>
  <c r="K216" i="25" s="1"/>
  <c r="F241" i="34"/>
  <c r="J241" i="34"/>
  <c r="K241" i="34" s="1"/>
  <c r="J243" i="31"/>
  <c r="K243" i="31" s="1"/>
  <c r="F243" i="31"/>
  <c r="F240" i="39"/>
  <c r="J240" i="39"/>
  <c r="E248" i="34"/>
  <c r="E245" i="31"/>
  <c r="E247" i="36"/>
  <c r="F242" i="32"/>
  <c r="E249" i="39"/>
  <c r="F242" i="39"/>
  <c r="J242" i="39"/>
  <c r="K242" i="39" s="1"/>
  <c r="M239" i="32"/>
  <c r="N239" i="32" s="1"/>
  <c r="G239" i="32"/>
  <c r="J245" i="34"/>
  <c r="K245" i="34" s="1"/>
  <c r="F245" i="34"/>
  <c r="F239" i="34"/>
  <c r="J239" i="34"/>
  <c r="G236" i="32"/>
  <c r="M236" i="32"/>
  <c r="N236" i="32" s="1"/>
  <c r="G240" i="32"/>
  <c r="M240" i="32"/>
  <c r="N240" i="32" s="1"/>
  <c r="J240" i="36"/>
  <c r="K240" i="36" s="1"/>
  <c r="F240" i="36"/>
  <c r="F180" i="32"/>
  <c r="G180" i="32" s="1"/>
  <c r="G190" i="30"/>
  <c r="H190" i="30" s="1"/>
  <c r="I190" i="30" s="1"/>
  <c r="I366" i="25"/>
  <c r="E186" i="34"/>
  <c r="E187" i="39"/>
  <c r="E185" i="36"/>
  <c r="E183" i="34"/>
  <c r="E182" i="36"/>
  <c r="E184" i="39"/>
  <c r="F174" i="32"/>
  <c r="G174" i="32" s="1"/>
  <c r="E181" i="39"/>
  <c r="E179" i="36"/>
  <c r="E180" i="34"/>
  <c r="F199" i="32"/>
  <c r="G199" i="32" s="1"/>
  <c r="E205" i="34"/>
  <c r="E204" i="36"/>
  <c r="E206" i="39"/>
  <c r="F191" i="32"/>
  <c r="G191" i="32" s="1"/>
  <c r="E196" i="36"/>
  <c r="E197" i="34"/>
  <c r="E198" i="39"/>
  <c r="E353" i="34"/>
  <c r="E354" i="39"/>
  <c r="E352" i="36"/>
  <c r="F132" i="32"/>
  <c r="G132" i="32" s="1"/>
  <c r="E136" i="36"/>
  <c r="E139" i="39"/>
  <c r="E138" i="34"/>
  <c r="F76" i="34"/>
  <c r="J76" i="34"/>
  <c r="F178" i="32"/>
  <c r="M178" i="32" s="1"/>
  <c r="N178" i="32" s="1"/>
  <c r="E184" i="34"/>
  <c r="E185" i="39"/>
  <c r="E183" i="36"/>
  <c r="F198" i="32"/>
  <c r="G198" i="32" s="1"/>
  <c r="E203" i="36"/>
  <c r="E204" i="34"/>
  <c r="E205" i="39"/>
  <c r="J77" i="39"/>
  <c r="F77" i="39"/>
  <c r="F173" i="32"/>
  <c r="M173" i="32" s="1"/>
  <c r="N173" i="32" s="1"/>
  <c r="E178" i="36"/>
  <c r="E180" i="39"/>
  <c r="E179" i="34"/>
  <c r="E169" i="36"/>
  <c r="E171" i="34"/>
  <c r="E172" i="39"/>
  <c r="F76" i="36"/>
  <c r="J76" i="36"/>
  <c r="J170" i="34"/>
  <c r="F170" i="34"/>
  <c r="J168" i="36"/>
  <c r="F168" i="36"/>
  <c r="F171" i="39"/>
  <c r="J171" i="39"/>
  <c r="F347" i="32"/>
  <c r="E350" i="31"/>
  <c r="J173" i="30"/>
  <c r="K173" i="30" s="1"/>
  <c r="E180" i="31"/>
  <c r="F180" i="31" s="1"/>
  <c r="F167" i="31"/>
  <c r="J167" i="31"/>
  <c r="K167" i="31" s="1"/>
  <c r="K37" i="31"/>
  <c r="J37" i="31"/>
  <c r="F75" i="31"/>
  <c r="H135" i="30"/>
  <c r="I135" i="30" s="1"/>
  <c r="F135" i="30"/>
  <c r="N75" i="32"/>
  <c r="N37" i="32" s="1"/>
  <c r="M37" i="32"/>
  <c r="E168" i="31"/>
  <c r="J168" i="31" s="1"/>
  <c r="F165" i="32"/>
  <c r="N164" i="32"/>
  <c r="I296" i="25"/>
  <c r="J296" i="25" s="1"/>
  <c r="E190" i="31"/>
  <c r="E181" i="31"/>
  <c r="J181" i="31" s="1"/>
  <c r="K181" i="31" s="1"/>
  <c r="E176" i="31"/>
  <c r="E194" i="31"/>
  <c r="J194" i="31" s="1"/>
  <c r="K194" i="31" s="1"/>
  <c r="E177" i="31"/>
  <c r="E135" i="31"/>
  <c r="J135" i="31" s="1"/>
  <c r="K135" i="31" s="1"/>
  <c r="E191" i="31"/>
  <c r="J191" i="31" s="1"/>
  <c r="K191" i="31" s="1"/>
  <c r="E201" i="31"/>
  <c r="E202" i="31"/>
  <c r="H197" i="30"/>
  <c r="I197" i="30" s="1"/>
  <c r="F197" i="30"/>
  <c r="J204" i="30"/>
  <c r="K204" i="30" s="1"/>
  <c r="F204" i="30"/>
  <c r="J203" i="30"/>
  <c r="K203" i="30" s="1"/>
  <c r="F203" i="30"/>
  <c r="J189" i="30"/>
  <c r="K189" i="30" s="1"/>
  <c r="F189" i="30"/>
  <c r="J308" i="25"/>
  <c r="G167" i="30"/>
  <c r="F127" i="30"/>
  <c r="H127" i="30"/>
  <c r="I127" i="30" s="1"/>
  <c r="H281" i="25"/>
  <c r="I281" i="25" s="1"/>
  <c r="G186" i="30"/>
  <c r="H175" i="30"/>
  <c r="I175" i="30" s="1"/>
  <c r="F175" i="30"/>
  <c r="H211" i="30"/>
  <c r="I211" i="30" s="1"/>
  <c r="F211" i="30"/>
  <c r="F193" i="30"/>
  <c r="H193" i="30"/>
  <c r="I193" i="30" s="1"/>
  <c r="F134" i="30"/>
  <c r="H134" i="30"/>
  <c r="I134" i="30" s="1"/>
  <c r="H196" i="30"/>
  <c r="I196" i="30" s="1"/>
  <c r="F196" i="30"/>
  <c r="J282" i="25"/>
  <c r="G164" i="30"/>
  <c r="J288" i="25"/>
  <c r="G165" i="30"/>
  <c r="J381" i="25"/>
  <c r="G198" i="30"/>
  <c r="J269" i="25"/>
  <c r="G157" i="30"/>
  <c r="F157" i="30" s="1"/>
  <c r="J373" i="25"/>
  <c r="J367" i="25"/>
  <c r="H366" i="25"/>
  <c r="J228" i="25"/>
  <c r="J36" i="25"/>
  <c r="H47" i="10"/>
  <c r="G19" i="24"/>
  <c r="E19" i="24"/>
  <c r="C19" i="24"/>
  <c r="H18" i="24"/>
  <c r="F18" i="24"/>
  <c r="D18" i="24"/>
  <c r="H17" i="24"/>
  <c r="F17" i="24"/>
  <c r="D17" i="24"/>
  <c r="H16" i="24"/>
  <c r="F16" i="24"/>
  <c r="D16" i="24"/>
  <c r="H15" i="24"/>
  <c r="F15" i="24"/>
  <c r="D15" i="24"/>
  <c r="H14" i="24"/>
  <c r="F14" i="24"/>
  <c r="D14" i="24"/>
  <c r="H13" i="24"/>
  <c r="F13" i="24"/>
  <c r="D13" i="24"/>
  <c r="H12" i="24"/>
  <c r="F12" i="24"/>
  <c r="D12" i="24"/>
  <c r="H11" i="24"/>
  <c r="F11" i="24"/>
  <c r="D11" i="24"/>
  <c r="H10" i="24"/>
  <c r="F10" i="24"/>
  <c r="D10" i="24"/>
  <c r="H9" i="24"/>
  <c r="F9" i="24"/>
  <c r="D9" i="24"/>
  <c r="H8" i="24"/>
  <c r="F8" i="24"/>
  <c r="D8" i="24"/>
  <c r="H7" i="24"/>
  <c r="F7" i="24"/>
  <c r="D7" i="24"/>
  <c r="H6" i="24"/>
  <c r="F6" i="24"/>
  <c r="D6" i="24"/>
  <c r="H5" i="24"/>
  <c r="F5" i="24"/>
  <c r="D5" i="24"/>
  <c r="H4" i="24"/>
  <c r="F4" i="24"/>
  <c r="D4" i="24"/>
  <c r="J258" i="52" l="1"/>
  <c r="E145" i="51"/>
  <c r="L15" i="39"/>
  <c r="L11" i="39" s="1"/>
  <c r="J469" i="44"/>
  <c r="F202" i="45"/>
  <c r="J202" i="45"/>
  <c r="K202" i="45" s="1"/>
  <c r="K75" i="44"/>
  <c r="K37" i="44" s="1"/>
  <c r="O37" i="44" s="1"/>
  <c r="J37" i="44"/>
  <c r="F176" i="44"/>
  <c r="J176" i="44"/>
  <c r="K176" i="44" s="1"/>
  <c r="E203" i="45"/>
  <c r="E203" i="44"/>
  <c r="J176" i="45"/>
  <c r="K176" i="45" s="1"/>
  <c r="F176" i="45"/>
  <c r="E200" i="44"/>
  <c r="E200" i="45"/>
  <c r="E210" i="44"/>
  <c r="E210" i="45"/>
  <c r="E182" i="45"/>
  <c r="E182" i="44"/>
  <c r="J245" i="45"/>
  <c r="K245" i="45" s="1"/>
  <c r="F245" i="45"/>
  <c r="E204" i="44"/>
  <c r="E204" i="45"/>
  <c r="J180" i="44"/>
  <c r="F180" i="44"/>
  <c r="E134" i="44"/>
  <c r="E134" i="45"/>
  <c r="J194" i="44"/>
  <c r="K194" i="44" s="1"/>
  <c r="F194" i="44"/>
  <c r="J469" i="45"/>
  <c r="F469" i="45"/>
  <c r="J177" i="44"/>
  <c r="K177" i="44" s="1"/>
  <c r="F177" i="44"/>
  <c r="J201" i="45"/>
  <c r="K201" i="45" s="1"/>
  <c r="F201" i="45"/>
  <c r="J350" i="44"/>
  <c r="F350" i="44"/>
  <c r="J245" i="44"/>
  <c r="K245" i="44" s="1"/>
  <c r="F245" i="44"/>
  <c r="J194" i="45"/>
  <c r="K194" i="45" s="1"/>
  <c r="F194" i="45"/>
  <c r="K75" i="45"/>
  <c r="K37" i="45" s="1"/>
  <c r="J37" i="45"/>
  <c r="K236" i="45"/>
  <c r="J177" i="45"/>
  <c r="K177" i="45" s="1"/>
  <c r="F177" i="45"/>
  <c r="F202" i="44"/>
  <c r="J202" i="44"/>
  <c r="K202" i="44" s="1"/>
  <c r="E211" i="44"/>
  <c r="E211" i="45"/>
  <c r="F350" i="45"/>
  <c r="J350" i="45"/>
  <c r="E142" i="44"/>
  <c r="E142" i="45"/>
  <c r="F183" i="45"/>
  <c r="J183" i="45"/>
  <c r="K183" i="45" s="1"/>
  <c r="J181" i="44"/>
  <c r="K181" i="44" s="1"/>
  <c r="F181" i="44"/>
  <c r="E218" i="45"/>
  <c r="E218" i="44"/>
  <c r="J201" i="44"/>
  <c r="K201" i="44" s="1"/>
  <c r="F201" i="44"/>
  <c r="K236" i="44"/>
  <c r="F180" i="45"/>
  <c r="J180" i="45"/>
  <c r="E141" i="45"/>
  <c r="E141" i="44"/>
  <c r="E164" i="45"/>
  <c r="E164" i="44"/>
  <c r="E196" i="45"/>
  <c r="E196" i="44"/>
  <c r="J183" i="44"/>
  <c r="K183" i="44" s="1"/>
  <c r="F183" i="44"/>
  <c r="J181" i="45"/>
  <c r="K181" i="45" s="1"/>
  <c r="F181" i="45"/>
  <c r="J135" i="44"/>
  <c r="F135" i="44"/>
  <c r="J135" i="45"/>
  <c r="F135" i="45"/>
  <c r="J468" i="44"/>
  <c r="K469" i="44"/>
  <c r="J183" i="31"/>
  <c r="K183" i="31" s="1"/>
  <c r="F469" i="31"/>
  <c r="J469" i="31"/>
  <c r="M449" i="32"/>
  <c r="N450" i="32"/>
  <c r="N449" i="32" s="1"/>
  <c r="J473" i="39"/>
  <c r="F473" i="39"/>
  <c r="J472" i="34"/>
  <c r="F472" i="34"/>
  <c r="J471" i="36"/>
  <c r="F471" i="36"/>
  <c r="M180" i="32"/>
  <c r="N180" i="32" s="1"/>
  <c r="M191" i="32"/>
  <c r="N191" i="32" s="1"/>
  <c r="F190" i="30"/>
  <c r="F22" i="30"/>
  <c r="H22" i="30"/>
  <c r="I22" i="30" s="1"/>
  <c r="K236" i="31"/>
  <c r="M242" i="32"/>
  <c r="N242" i="32" s="1"/>
  <c r="G242" i="32"/>
  <c r="J247" i="36"/>
  <c r="K247" i="36" s="1"/>
  <c r="F247" i="36"/>
  <c r="M174" i="32"/>
  <c r="N174" i="32" s="1"/>
  <c r="J245" i="31"/>
  <c r="K245" i="31" s="1"/>
  <c r="F245" i="31"/>
  <c r="M199" i="32"/>
  <c r="N199" i="32" s="1"/>
  <c r="J248" i="34"/>
  <c r="K248" i="34" s="1"/>
  <c r="F248" i="34"/>
  <c r="K240" i="39"/>
  <c r="K239" i="34"/>
  <c r="N233" i="32"/>
  <c r="N229" i="32" s="1"/>
  <c r="J249" i="39"/>
  <c r="K249" i="39" s="1"/>
  <c r="F249" i="39"/>
  <c r="F192" i="30"/>
  <c r="K238" i="36"/>
  <c r="J180" i="39"/>
  <c r="K180" i="39" s="1"/>
  <c r="F180" i="39"/>
  <c r="J204" i="36"/>
  <c r="K204" i="36" s="1"/>
  <c r="F204" i="36"/>
  <c r="J203" i="36"/>
  <c r="K203" i="36" s="1"/>
  <c r="F203" i="36"/>
  <c r="F476" i="36" s="1"/>
  <c r="J353" i="34"/>
  <c r="F353" i="34"/>
  <c r="K77" i="39"/>
  <c r="K37" i="39" s="1"/>
  <c r="J37" i="39"/>
  <c r="J205" i="39"/>
  <c r="K205" i="39" s="1"/>
  <c r="F205" i="39"/>
  <c r="F208" i="32"/>
  <c r="G208" i="32" s="1"/>
  <c r="E215" i="39"/>
  <c r="E213" i="36"/>
  <c r="E214" i="34"/>
  <c r="F183" i="36"/>
  <c r="J183" i="36"/>
  <c r="K183" i="36" s="1"/>
  <c r="F215" i="32"/>
  <c r="G215" i="32" s="1"/>
  <c r="E221" i="34"/>
  <c r="E220" i="36"/>
  <c r="E222" i="39"/>
  <c r="G178" i="32"/>
  <c r="K76" i="34"/>
  <c r="K37" i="34" s="1"/>
  <c r="J37" i="34"/>
  <c r="J182" i="36"/>
  <c r="L182" i="36" s="1"/>
  <c r="F182" i="36"/>
  <c r="J354" i="39"/>
  <c r="F354" i="39"/>
  <c r="J197" i="34"/>
  <c r="K197" i="34" s="1"/>
  <c r="F197" i="34"/>
  <c r="J184" i="39"/>
  <c r="L184" i="39" s="1"/>
  <c r="F184" i="39"/>
  <c r="F179" i="32"/>
  <c r="G179" i="32" s="1"/>
  <c r="E185" i="34"/>
  <c r="E186" i="39"/>
  <c r="E184" i="36"/>
  <c r="K76" i="36"/>
  <c r="K37" i="36" s="1"/>
  <c r="J37" i="36"/>
  <c r="J183" i="34"/>
  <c r="L183" i="34" s="1"/>
  <c r="F183" i="34"/>
  <c r="F161" i="32"/>
  <c r="G161" i="32" s="1"/>
  <c r="E165" i="36"/>
  <c r="E168" i="39"/>
  <c r="E167" i="34"/>
  <c r="F193" i="32"/>
  <c r="M193" i="32" s="1"/>
  <c r="E199" i="34"/>
  <c r="E200" i="39"/>
  <c r="E198" i="36"/>
  <c r="J198" i="39"/>
  <c r="K198" i="39" s="1"/>
  <c r="F198" i="39"/>
  <c r="F196" i="36"/>
  <c r="J196" i="36"/>
  <c r="K196" i="36" s="1"/>
  <c r="G173" i="32"/>
  <c r="J205" i="34"/>
  <c r="K205" i="34" s="1"/>
  <c r="F205" i="34"/>
  <c r="F138" i="32"/>
  <c r="G138" i="32" s="1"/>
  <c r="E142" i="36"/>
  <c r="E145" i="39"/>
  <c r="E144" i="34"/>
  <c r="J180" i="34"/>
  <c r="K180" i="34" s="1"/>
  <c r="F180" i="34"/>
  <c r="F197" i="32"/>
  <c r="M197" i="32" s="1"/>
  <c r="N197" i="32" s="1"/>
  <c r="E204" i="39"/>
  <c r="E202" i="36"/>
  <c r="E203" i="34"/>
  <c r="M198" i="32"/>
  <c r="N198" i="32" s="1"/>
  <c r="E143" i="36"/>
  <c r="E145" i="34"/>
  <c r="E146" i="39"/>
  <c r="F138" i="34"/>
  <c r="J138" i="34"/>
  <c r="K138" i="34" s="1"/>
  <c r="F185" i="36"/>
  <c r="J185" i="36"/>
  <c r="K185" i="36" s="1"/>
  <c r="J206" i="39"/>
  <c r="K206" i="39" s="1"/>
  <c r="F206" i="39"/>
  <c r="M132" i="32"/>
  <c r="N132" i="32" s="1"/>
  <c r="J185" i="39"/>
  <c r="K185" i="39" s="1"/>
  <c r="F185" i="39"/>
  <c r="J184" i="34"/>
  <c r="K184" i="34" s="1"/>
  <c r="F184" i="34"/>
  <c r="J179" i="36"/>
  <c r="K179" i="36" s="1"/>
  <c r="F179" i="36"/>
  <c r="F181" i="39"/>
  <c r="J181" i="39"/>
  <c r="K181" i="39" s="1"/>
  <c r="J172" i="39"/>
  <c r="F172" i="39"/>
  <c r="F139" i="39"/>
  <c r="J139" i="39"/>
  <c r="K139" i="39" s="1"/>
  <c r="J187" i="39"/>
  <c r="K187" i="39" s="1"/>
  <c r="F187" i="39"/>
  <c r="F169" i="36"/>
  <c r="J169" i="36"/>
  <c r="L169" i="36" s="1"/>
  <c r="F131" i="32"/>
  <c r="M131" i="32" s="1"/>
  <c r="E137" i="34"/>
  <c r="E135" i="36"/>
  <c r="E138" i="39"/>
  <c r="J352" i="36"/>
  <c r="F352" i="36"/>
  <c r="J179" i="34"/>
  <c r="K179" i="34" s="1"/>
  <c r="F179" i="34"/>
  <c r="J178" i="36"/>
  <c r="K178" i="36" s="1"/>
  <c r="F178" i="36"/>
  <c r="F207" i="32"/>
  <c r="M207" i="32" s="1"/>
  <c r="E214" i="39"/>
  <c r="E212" i="36"/>
  <c r="E213" i="34"/>
  <c r="F204" i="34"/>
  <c r="J204" i="34"/>
  <c r="K204" i="34" s="1"/>
  <c r="F200" i="32"/>
  <c r="M200" i="32" s="1"/>
  <c r="N200" i="32" s="1"/>
  <c r="E205" i="36"/>
  <c r="E206" i="34"/>
  <c r="E207" i="39"/>
  <c r="F201" i="32"/>
  <c r="G201" i="32" s="1"/>
  <c r="E206" i="36"/>
  <c r="E207" i="34"/>
  <c r="E208" i="39"/>
  <c r="F171" i="34"/>
  <c r="J171" i="34"/>
  <c r="L171" i="34" s="1"/>
  <c r="F136" i="36"/>
  <c r="J136" i="36"/>
  <c r="K136" i="36" s="1"/>
  <c r="J186" i="34"/>
  <c r="K186" i="34" s="1"/>
  <c r="F186" i="34"/>
  <c r="K171" i="39"/>
  <c r="K168" i="36"/>
  <c r="K170" i="34"/>
  <c r="H19" i="24"/>
  <c r="D19" i="24"/>
  <c r="F19" i="24"/>
  <c r="J350" i="31"/>
  <c r="F350" i="31"/>
  <c r="F191" i="31"/>
  <c r="F194" i="31"/>
  <c r="M347" i="32"/>
  <c r="G347" i="32"/>
  <c r="J180" i="31"/>
  <c r="F201" i="31"/>
  <c r="J201" i="31"/>
  <c r="K201" i="31" s="1"/>
  <c r="F176" i="31"/>
  <c r="J176" i="31"/>
  <c r="K176" i="31" s="1"/>
  <c r="F202" i="31"/>
  <c r="J202" i="31"/>
  <c r="K202" i="31" s="1"/>
  <c r="F177" i="31"/>
  <c r="J177" i="31"/>
  <c r="K177" i="31" s="1"/>
  <c r="F190" i="31"/>
  <c r="J190" i="31"/>
  <c r="K190" i="31" s="1"/>
  <c r="F181" i="31"/>
  <c r="F139" i="32"/>
  <c r="E142" i="31"/>
  <c r="J142" i="31" s="1"/>
  <c r="K142" i="31" s="1"/>
  <c r="G165" i="32"/>
  <c r="M165" i="32"/>
  <c r="G166" i="30"/>
  <c r="F166" i="30" s="1"/>
  <c r="F168" i="31"/>
  <c r="F135" i="31"/>
  <c r="E200" i="31"/>
  <c r="E182" i="31"/>
  <c r="J182" i="31" s="1"/>
  <c r="K182" i="31" s="1"/>
  <c r="E196" i="31"/>
  <c r="J196" i="31" s="1"/>
  <c r="E164" i="31"/>
  <c r="E210" i="31"/>
  <c r="F210" i="31" s="1"/>
  <c r="E211" i="31"/>
  <c r="F211" i="31" s="1"/>
  <c r="E134" i="31"/>
  <c r="E203" i="31"/>
  <c r="E204" i="31"/>
  <c r="E141" i="31"/>
  <c r="F217" i="31"/>
  <c r="E218" i="31"/>
  <c r="J218" i="31" s="1"/>
  <c r="K218" i="31" s="1"/>
  <c r="L11" i="31"/>
  <c r="K472" i="30"/>
  <c r="H198" i="30"/>
  <c r="I198" i="30" s="1"/>
  <c r="F198" i="30"/>
  <c r="J281" i="25"/>
  <c r="G163" i="30"/>
  <c r="H165" i="30"/>
  <c r="I165" i="30" s="1"/>
  <c r="F165" i="30"/>
  <c r="H164" i="30"/>
  <c r="I164" i="30" s="1"/>
  <c r="F164" i="30"/>
  <c r="H167" i="30"/>
  <c r="I167" i="30" s="1"/>
  <c r="F167" i="30"/>
  <c r="H186" i="30"/>
  <c r="I186" i="30" s="1"/>
  <c r="F186" i="30"/>
  <c r="H157" i="30"/>
  <c r="I157" i="30" s="1"/>
  <c r="D3" i="21"/>
  <c r="E3" i="21" s="1"/>
  <c r="K145" i="51" l="1"/>
  <c r="F145" i="51"/>
  <c r="J232" i="45"/>
  <c r="J232" i="44"/>
  <c r="K232" i="44"/>
  <c r="O232" i="44" s="1"/>
  <c r="E205" i="44"/>
  <c r="E205" i="45"/>
  <c r="K468" i="44"/>
  <c r="O468" i="44" s="1"/>
  <c r="O469" i="44"/>
  <c r="J164" i="44"/>
  <c r="K164" i="44" s="1"/>
  <c r="F164" i="44"/>
  <c r="J203" i="44"/>
  <c r="K203" i="44" s="1"/>
  <c r="F203" i="44"/>
  <c r="E193" i="45"/>
  <c r="E193" i="44"/>
  <c r="J141" i="44"/>
  <c r="K141" i="44" s="1"/>
  <c r="F141" i="44"/>
  <c r="J141" i="45"/>
  <c r="K141" i="45" s="1"/>
  <c r="F141" i="45"/>
  <c r="E171" i="45"/>
  <c r="E171" i="44"/>
  <c r="E173" i="45"/>
  <c r="E173" i="44"/>
  <c r="M229" i="32"/>
  <c r="J142" i="44"/>
  <c r="K142" i="44" s="1"/>
  <c r="F142" i="44"/>
  <c r="K469" i="45"/>
  <c r="K468" i="45" s="1"/>
  <c r="J468" i="45"/>
  <c r="J182" i="45"/>
  <c r="K182" i="45" s="1"/>
  <c r="F182" i="45"/>
  <c r="E199" i="36"/>
  <c r="F199" i="36" s="1"/>
  <c r="E197" i="44"/>
  <c r="E197" i="45"/>
  <c r="F218" i="45"/>
  <c r="J218" i="45"/>
  <c r="J204" i="45"/>
  <c r="K204" i="45" s="1"/>
  <c r="F204" i="45"/>
  <c r="J164" i="45"/>
  <c r="K164" i="45" s="1"/>
  <c r="F164" i="45"/>
  <c r="F203" i="45"/>
  <c r="J203" i="45"/>
  <c r="K203" i="45" s="1"/>
  <c r="F142" i="45"/>
  <c r="J142" i="45"/>
  <c r="K142" i="45" s="1"/>
  <c r="K350" i="45"/>
  <c r="K344" i="45" s="1"/>
  <c r="J344" i="45"/>
  <c r="F210" i="45"/>
  <c r="J210" i="45"/>
  <c r="E174" i="44"/>
  <c r="E174" i="45"/>
  <c r="F210" i="44"/>
  <c r="J210" i="44"/>
  <c r="J182" i="44"/>
  <c r="K182" i="44" s="1"/>
  <c r="F182" i="44"/>
  <c r="J211" i="45"/>
  <c r="F211" i="45"/>
  <c r="J134" i="45"/>
  <c r="K134" i="45" s="1"/>
  <c r="F134" i="45"/>
  <c r="J200" i="45"/>
  <c r="K200" i="45" s="1"/>
  <c r="F200" i="45"/>
  <c r="J196" i="44"/>
  <c r="F196" i="44"/>
  <c r="F218" i="44"/>
  <c r="J218" i="44"/>
  <c r="J196" i="45"/>
  <c r="F196" i="45"/>
  <c r="K350" i="44"/>
  <c r="K344" i="44" s="1"/>
  <c r="O344" i="44" s="1"/>
  <c r="J344" i="44"/>
  <c r="F204" i="44"/>
  <c r="J204" i="44"/>
  <c r="K204" i="44" s="1"/>
  <c r="E199" i="45"/>
  <c r="E199" i="44"/>
  <c r="K232" i="45"/>
  <c r="E172" i="45"/>
  <c r="E172" i="44"/>
  <c r="E26" i="45"/>
  <c r="E26" i="44"/>
  <c r="J211" i="44"/>
  <c r="F211" i="44"/>
  <c r="J134" i="44"/>
  <c r="K134" i="44" s="1"/>
  <c r="F134" i="44"/>
  <c r="J200" i="44"/>
  <c r="K200" i="44" s="1"/>
  <c r="F200" i="44"/>
  <c r="K135" i="45"/>
  <c r="K135" i="44"/>
  <c r="K236" i="39"/>
  <c r="E197" i="31"/>
  <c r="F197" i="31" s="1"/>
  <c r="J235" i="34"/>
  <c r="E200" i="34"/>
  <c r="F200" i="34" s="1"/>
  <c r="F194" i="32"/>
  <c r="M194" i="32" s="1"/>
  <c r="N194" i="32" s="1"/>
  <c r="G193" i="32"/>
  <c r="G131" i="32"/>
  <c r="K469" i="31"/>
  <c r="K468" i="31" s="1"/>
  <c r="J468" i="31"/>
  <c r="E203" i="39"/>
  <c r="J203" i="39" s="1"/>
  <c r="L203" i="39" s="1"/>
  <c r="E201" i="39"/>
  <c r="F201" i="39" s="1"/>
  <c r="F477" i="39" s="1"/>
  <c r="G200" i="32"/>
  <c r="M215" i="32"/>
  <c r="N215" i="32" s="1"/>
  <c r="N212" i="32" s="1"/>
  <c r="E202" i="34"/>
  <c r="J202" i="34" s="1"/>
  <c r="L202" i="34" s="1"/>
  <c r="E201" i="36"/>
  <c r="J201" i="36" s="1"/>
  <c r="L201" i="36" s="1"/>
  <c r="E199" i="31"/>
  <c r="F199" i="31" s="1"/>
  <c r="K235" i="34"/>
  <c r="K234" i="36"/>
  <c r="F196" i="32"/>
  <c r="G196" i="32" s="1"/>
  <c r="J236" i="39"/>
  <c r="J232" i="31"/>
  <c r="M138" i="32"/>
  <c r="N138" i="32" s="1"/>
  <c r="K232" i="31"/>
  <c r="G207" i="32"/>
  <c r="J234" i="36"/>
  <c r="E26" i="31"/>
  <c r="E26" i="39"/>
  <c r="F26" i="32"/>
  <c r="E26" i="34"/>
  <c r="E26" i="36"/>
  <c r="L167" i="36"/>
  <c r="F214" i="39"/>
  <c r="J214" i="39"/>
  <c r="L214" i="39" s="1"/>
  <c r="J215" i="39"/>
  <c r="L215" i="39" s="1"/>
  <c r="F215" i="39"/>
  <c r="J144" i="34"/>
  <c r="K144" i="34" s="1"/>
  <c r="F144" i="34"/>
  <c r="F186" i="39"/>
  <c r="J186" i="39"/>
  <c r="K186" i="39" s="1"/>
  <c r="K352" i="36"/>
  <c r="K346" i="36" s="1"/>
  <c r="J346" i="36"/>
  <c r="M161" i="32"/>
  <c r="N161" i="32" s="1"/>
  <c r="L169" i="34"/>
  <c r="J138" i="39"/>
  <c r="F138" i="39"/>
  <c r="F213" i="34"/>
  <c r="J213" i="34"/>
  <c r="L213" i="34" s="1"/>
  <c r="J145" i="39"/>
  <c r="K145" i="39" s="1"/>
  <c r="F145" i="39"/>
  <c r="F142" i="36"/>
  <c r="J142" i="36"/>
  <c r="K142" i="36" s="1"/>
  <c r="M179" i="32"/>
  <c r="N179" i="32" s="1"/>
  <c r="J137" i="34"/>
  <c r="F137" i="34"/>
  <c r="F168" i="32"/>
  <c r="M168" i="32" s="1"/>
  <c r="N168" i="32" s="1"/>
  <c r="E174" i="34"/>
  <c r="E175" i="39"/>
  <c r="E172" i="36"/>
  <c r="F200" i="39"/>
  <c r="F476" i="39" s="1"/>
  <c r="J200" i="39"/>
  <c r="F169" i="32"/>
  <c r="G169" i="32" s="1"/>
  <c r="E176" i="39"/>
  <c r="E175" i="34"/>
  <c r="M208" i="32"/>
  <c r="O208" i="32" s="1"/>
  <c r="M201" i="32"/>
  <c r="N201" i="32" s="1"/>
  <c r="J207" i="39"/>
  <c r="K207" i="39" s="1"/>
  <c r="F207" i="39"/>
  <c r="F145" i="34"/>
  <c r="J145" i="34"/>
  <c r="K145" i="34" s="1"/>
  <c r="J199" i="34"/>
  <c r="F199" i="34"/>
  <c r="F203" i="34"/>
  <c r="J203" i="34"/>
  <c r="K203" i="34" s="1"/>
  <c r="K354" i="39"/>
  <c r="K348" i="39" s="1"/>
  <c r="J348" i="39"/>
  <c r="G197" i="32"/>
  <c r="F206" i="34"/>
  <c r="J206" i="34"/>
  <c r="K206" i="34" s="1"/>
  <c r="F143" i="36"/>
  <c r="J143" i="36"/>
  <c r="K143" i="36" s="1"/>
  <c r="J222" i="39"/>
  <c r="F222" i="39"/>
  <c r="F477" i="36"/>
  <c r="J202" i="36"/>
  <c r="K202" i="36" s="1"/>
  <c r="F202" i="36"/>
  <c r="J212" i="36"/>
  <c r="L212" i="36" s="1"/>
  <c r="F212" i="36"/>
  <c r="F214" i="34"/>
  <c r="J214" i="34"/>
  <c r="L214" i="34" s="1"/>
  <c r="F190" i="32"/>
  <c r="G190" i="32" s="1"/>
  <c r="E196" i="34"/>
  <c r="E197" i="39"/>
  <c r="E195" i="36"/>
  <c r="F171" i="32"/>
  <c r="M171" i="32" s="1"/>
  <c r="N171" i="32" s="1"/>
  <c r="E178" i="39"/>
  <c r="E176" i="36"/>
  <c r="E177" i="34"/>
  <c r="K353" i="34"/>
  <c r="K347" i="34" s="1"/>
  <c r="J347" i="34"/>
  <c r="F207" i="34"/>
  <c r="J207" i="34"/>
  <c r="K207" i="34" s="1"/>
  <c r="F205" i="36"/>
  <c r="F478" i="36" s="1"/>
  <c r="J205" i="36"/>
  <c r="K205" i="36" s="1"/>
  <c r="F167" i="34"/>
  <c r="J167" i="34"/>
  <c r="K167" i="34" s="1"/>
  <c r="J220" i="36"/>
  <c r="F220" i="36"/>
  <c r="J204" i="39"/>
  <c r="K204" i="39" s="1"/>
  <c r="F204" i="39"/>
  <c r="F170" i="32"/>
  <c r="M170" i="32" s="1"/>
  <c r="N170" i="32" s="1"/>
  <c r="E177" i="39"/>
  <c r="E175" i="36"/>
  <c r="E176" i="34"/>
  <c r="J146" i="39"/>
  <c r="K146" i="39" s="1"/>
  <c r="F146" i="39"/>
  <c r="J168" i="39"/>
  <c r="K168" i="39" s="1"/>
  <c r="F168" i="39"/>
  <c r="F221" i="34"/>
  <c r="J221" i="34"/>
  <c r="J213" i="36"/>
  <c r="L213" i="36" s="1"/>
  <c r="F213" i="36"/>
  <c r="J184" i="36"/>
  <c r="K184" i="36" s="1"/>
  <c r="F184" i="36"/>
  <c r="J185" i="34"/>
  <c r="K185" i="34" s="1"/>
  <c r="F185" i="34"/>
  <c r="J135" i="36"/>
  <c r="F135" i="36"/>
  <c r="J208" i="39"/>
  <c r="K208" i="39" s="1"/>
  <c r="F208" i="39"/>
  <c r="F206" i="36"/>
  <c r="J206" i="36"/>
  <c r="K206" i="36" s="1"/>
  <c r="F198" i="36"/>
  <c r="J198" i="36"/>
  <c r="F202" i="32"/>
  <c r="M202" i="32" s="1"/>
  <c r="N202" i="32" s="1"/>
  <c r="E208" i="34"/>
  <c r="E209" i="39"/>
  <c r="E207" i="36"/>
  <c r="L170" i="39"/>
  <c r="J165" i="36"/>
  <c r="K165" i="36" s="1"/>
  <c r="F165" i="36"/>
  <c r="B35" i="24"/>
  <c r="B22" i="24"/>
  <c r="N347" i="32"/>
  <c r="N341" i="32" s="1"/>
  <c r="M341" i="32"/>
  <c r="K350" i="31"/>
  <c r="K344" i="31" s="1"/>
  <c r="J344" i="31"/>
  <c r="F200" i="31"/>
  <c r="J200" i="31"/>
  <c r="K200" i="31" s="1"/>
  <c r="J215" i="31"/>
  <c r="F204" i="31"/>
  <c r="J204" i="31"/>
  <c r="K204" i="31" s="1"/>
  <c r="F141" i="31"/>
  <c r="J141" i="31"/>
  <c r="K141" i="31" s="1"/>
  <c r="F203" i="31"/>
  <c r="J203" i="31"/>
  <c r="K203" i="31" s="1"/>
  <c r="F134" i="31"/>
  <c r="J134" i="31"/>
  <c r="K134" i="31" s="1"/>
  <c r="J211" i="31"/>
  <c r="J210" i="31"/>
  <c r="L196" i="31"/>
  <c r="F164" i="31"/>
  <c r="J164" i="31"/>
  <c r="K164" i="31" s="1"/>
  <c r="E173" i="31"/>
  <c r="J173" i="31" s="1"/>
  <c r="K173" i="31" s="1"/>
  <c r="F182" i="31"/>
  <c r="F142" i="31"/>
  <c r="M139" i="32"/>
  <c r="N139" i="32" s="1"/>
  <c r="G139" i="32"/>
  <c r="N131" i="32"/>
  <c r="O165" i="32"/>
  <c r="O163" i="32" s="1"/>
  <c r="N165" i="32"/>
  <c r="O193" i="32"/>
  <c r="N193" i="32"/>
  <c r="F196" i="31"/>
  <c r="H166" i="30"/>
  <c r="I166" i="30" s="1"/>
  <c r="O207" i="32"/>
  <c r="N207" i="32"/>
  <c r="E174" i="31"/>
  <c r="E171" i="31"/>
  <c r="E205" i="31"/>
  <c r="J205" i="31" s="1"/>
  <c r="K205" i="31" s="1"/>
  <c r="E193" i="31"/>
  <c r="J193" i="31" s="1"/>
  <c r="K193" i="31" s="1"/>
  <c r="E172" i="31"/>
  <c r="J172" i="31" s="1"/>
  <c r="K172" i="31" s="1"/>
  <c r="F218" i="31"/>
  <c r="H163" i="30"/>
  <c r="I163" i="30" s="1"/>
  <c r="F163" i="30"/>
  <c r="C9" i="21"/>
  <c r="E13" i="21" s="1"/>
  <c r="E14" i="21" s="1"/>
  <c r="E9" i="21"/>
  <c r="M145" i="51" l="1"/>
  <c r="M139" i="51" s="1"/>
  <c r="K139" i="51"/>
  <c r="J200" i="34"/>
  <c r="K200" i="34" s="1"/>
  <c r="G194" i="32"/>
  <c r="J199" i="36"/>
  <c r="K199" i="36" s="1"/>
  <c r="K126" i="44"/>
  <c r="O126" i="44" s="1"/>
  <c r="J126" i="45"/>
  <c r="L196" i="44"/>
  <c r="K126" i="45"/>
  <c r="F199" i="44"/>
  <c r="J199" i="44"/>
  <c r="L199" i="44" s="1"/>
  <c r="K218" i="45"/>
  <c r="K215" i="45" s="1"/>
  <c r="J215" i="45"/>
  <c r="F173" i="44"/>
  <c r="J173" i="44"/>
  <c r="K173" i="44" s="1"/>
  <c r="J197" i="31"/>
  <c r="K197" i="31" s="1"/>
  <c r="K195" i="31" s="1"/>
  <c r="J199" i="45"/>
  <c r="L199" i="45" s="1"/>
  <c r="F199" i="45"/>
  <c r="F173" i="45"/>
  <c r="J173" i="45"/>
  <c r="K173" i="45" s="1"/>
  <c r="J26" i="44"/>
  <c r="F26" i="44"/>
  <c r="J193" i="44"/>
  <c r="K193" i="44" s="1"/>
  <c r="F193" i="44"/>
  <c r="J174" i="45"/>
  <c r="K174" i="45" s="1"/>
  <c r="F174" i="45"/>
  <c r="F197" i="45"/>
  <c r="J197" i="45"/>
  <c r="K197" i="45" s="1"/>
  <c r="J171" i="44"/>
  <c r="K171" i="44" s="1"/>
  <c r="F171" i="44"/>
  <c r="J172" i="44"/>
  <c r="K172" i="44" s="1"/>
  <c r="F172" i="44"/>
  <c r="E170" i="44"/>
  <c r="E170" i="45"/>
  <c r="J172" i="45"/>
  <c r="K172" i="45" s="1"/>
  <c r="F172" i="45"/>
  <c r="F197" i="44"/>
  <c r="J197" i="44"/>
  <c r="K197" i="44" s="1"/>
  <c r="F171" i="45"/>
  <c r="J171" i="45"/>
  <c r="K171" i="45" s="1"/>
  <c r="L196" i="45"/>
  <c r="J126" i="44"/>
  <c r="J205" i="45"/>
  <c r="K205" i="45" s="1"/>
  <c r="F205" i="45"/>
  <c r="F26" i="45"/>
  <c r="J26" i="45"/>
  <c r="K218" i="44"/>
  <c r="K215" i="44" s="1"/>
  <c r="O215" i="44" s="1"/>
  <c r="J215" i="44"/>
  <c r="J193" i="45"/>
  <c r="K193" i="45" s="1"/>
  <c r="F193" i="45"/>
  <c r="F174" i="44"/>
  <c r="J174" i="44"/>
  <c r="K174" i="44" s="1"/>
  <c r="J205" i="44"/>
  <c r="K205" i="44" s="1"/>
  <c r="F205" i="44"/>
  <c r="M212" i="32"/>
  <c r="F203" i="39"/>
  <c r="M169" i="32"/>
  <c r="N169" i="32" s="1"/>
  <c r="J199" i="31"/>
  <c r="L199" i="31" s="1"/>
  <c r="F201" i="36"/>
  <c r="G481" i="39"/>
  <c r="F202" i="34"/>
  <c r="J201" i="39"/>
  <c r="K201" i="39" s="1"/>
  <c r="N208" i="32"/>
  <c r="M196" i="32"/>
  <c r="N196" i="32" s="1"/>
  <c r="G171" i="32"/>
  <c r="G168" i="32"/>
  <c r="G202" i="32"/>
  <c r="F26" i="36"/>
  <c r="J26" i="36"/>
  <c r="J26" i="34"/>
  <c r="F26" i="34"/>
  <c r="M26" i="32"/>
  <c r="G26" i="32"/>
  <c r="F26" i="39"/>
  <c r="J26" i="39"/>
  <c r="J26" i="31"/>
  <c r="F26" i="31"/>
  <c r="F175" i="36"/>
  <c r="J175" i="36"/>
  <c r="K175" i="36" s="1"/>
  <c r="L199" i="34"/>
  <c r="L198" i="34" s="1"/>
  <c r="L10" i="34" s="1"/>
  <c r="L9" i="34" s="1"/>
  <c r="M190" i="32"/>
  <c r="N190" i="32" s="1"/>
  <c r="K220" i="36"/>
  <c r="K217" i="36" s="1"/>
  <c r="J217" i="36"/>
  <c r="F175" i="34"/>
  <c r="J175" i="34"/>
  <c r="K175" i="34" s="1"/>
  <c r="K138" i="39"/>
  <c r="K128" i="39" s="1"/>
  <c r="J128" i="39"/>
  <c r="F176" i="39"/>
  <c r="J176" i="39"/>
  <c r="K176" i="39" s="1"/>
  <c r="K222" i="39"/>
  <c r="K219" i="39" s="1"/>
  <c r="J219" i="39"/>
  <c r="J177" i="39"/>
  <c r="K177" i="39" s="1"/>
  <c r="F177" i="39"/>
  <c r="K221" i="34"/>
  <c r="K218" i="34" s="1"/>
  <c r="J218" i="34"/>
  <c r="J207" i="36"/>
  <c r="K207" i="36" s="1"/>
  <c r="K197" i="36" s="1"/>
  <c r="F207" i="36"/>
  <c r="J177" i="34"/>
  <c r="K177" i="34" s="1"/>
  <c r="F177" i="34"/>
  <c r="F197" i="39"/>
  <c r="F479" i="39" s="1"/>
  <c r="J197" i="39"/>
  <c r="K197" i="39" s="1"/>
  <c r="E481" i="39"/>
  <c r="G170" i="32"/>
  <c r="J209" i="39"/>
  <c r="K209" i="39" s="1"/>
  <c r="F209" i="39"/>
  <c r="J176" i="36"/>
  <c r="K176" i="36" s="1"/>
  <c r="F176" i="36"/>
  <c r="K137" i="34"/>
  <c r="K127" i="34" s="1"/>
  <c r="J127" i="34"/>
  <c r="F172" i="36"/>
  <c r="F474" i="36" s="1"/>
  <c r="J172" i="36"/>
  <c r="K172" i="36" s="1"/>
  <c r="J175" i="39"/>
  <c r="K175" i="39" s="1"/>
  <c r="F175" i="39"/>
  <c r="J208" i="34"/>
  <c r="K208" i="34" s="1"/>
  <c r="K198" i="34" s="1"/>
  <c r="F208" i="34"/>
  <c r="J178" i="39"/>
  <c r="K178" i="39" s="1"/>
  <c r="F178" i="39"/>
  <c r="J176" i="34"/>
  <c r="K176" i="34" s="1"/>
  <c r="K475" i="34" s="1"/>
  <c r="F176" i="34"/>
  <c r="F174" i="34"/>
  <c r="J174" i="34"/>
  <c r="K174" i="34" s="1"/>
  <c r="F196" i="34"/>
  <c r="J196" i="34"/>
  <c r="K196" i="34" s="1"/>
  <c r="K135" i="36"/>
  <c r="K127" i="36" s="1"/>
  <c r="J127" i="36"/>
  <c r="L200" i="39"/>
  <c r="L199" i="39" s="1"/>
  <c r="L10" i="39" s="1"/>
  <c r="L9" i="39" s="1"/>
  <c r="F167" i="32"/>
  <c r="M167" i="32" s="1"/>
  <c r="E173" i="34"/>
  <c r="E174" i="39"/>
  <c r="E171" i="36"/>
  <c r="L198" i="36"/>
  <c r="L197" i="36" s="1"/>
  <c r="L10" i="36" s="1"/>
  <c r="L9" i="36" s="1"/>
  <c r="F195" i="36"/>
  <c r="J195" i="36"/>
  <c r="K195" i="36" s="1"/>
  <c r="J22" i="24"/>
  <c r="J28" i="24" s="1"/>
  <c r="M28" i="24" s="1"/>
  <c r="B28" i="24"/>
  <c r="B41" i="24"/>
  <c r="J35" i="24"/>
  <c r="J41" i="24" s="1"/>
  <c r="M41" i="24" s="1"/>
  <c r="F174" i="31"/>
  <c r="J174" i="31"/>
  <c r="K174" i="31" s="1"/>
  <c r="F171" i="31"/>
  <c r="J171" i="31"/>
  <c r="K171" i="31" s="1"/>
  <c r="F173" i="31"/>
  <c r="J126" i="31"/>
  <c r="M123" i="32"/>
  <c r="N123" i="32"/>
  <c r="I472" i="30"/>
  <c r="Q472" i="30" s="1"/>
  <c r="I475" i="30" s="1"/>
  <c r="J475" i="30" s="1"/>
  <c r="F172" i="31"/>
  <c r="O192" i="32"/>
  <c r="O10" i="32" s="1"/>
  <c r="O9" i="32" s="1"/>
  <c r="F193" i="31"/>
  <c r="F205" i="31"/>
  <c r="E170" i="31"/>
  <c r="K126" i="31"/>
  <c r="K215" i="31"/>
  <c r="L215" i="31"/>
  <c r="E3" i="20"/>
  <c r="C29" i="20"/>
  <c r="C28" i="20"/>
  <c r="C27" i="20"/>
  <c r="C8" i="20"/>
  <c r="C7" i="20"/>
  <c r="C6" i="20"/>
  <c r="C5" i="20"/>
  <c r="C4" i="20"/>
  <c r="C3" i="20"/>
  <c r="B18" i="20"/>
  <c r="H18" i="20" s="1"/>
  <c r="B16" i="20"/>
  <c r="H16" i="20" s="1"/>
  <c r="K195" i="45" l="1"/>
  <c r="L195" i="45"/>
  <c r="L10" i="45" s="1"/>
  <c r="L9" i="45" s="1"/>
  <c r="M192" i="32"/>
  <c r="L195" i="44"/>
  <c r="L10" i="44" s="1"/>
  <c r="L9" i="44" s="1"/>
  <c r="K195" i="44"/>
  <c r="O195" i="44" s="1"/>
  <c r="J195" i="31"/>
  <c r="K26" i="45"/>
  <c r="K11" i="45" s="1"/>
  <c r="J11" i="45"/>
  <c r="F170" i="45"/>
  <c r="J170" i="45"/>
  <c r="F170" i="44"/>
  <c r="J170" i="44"/>
  <c r="K26" i="44"/>
  <c r="K11" i="44" s="1"/>
  <c r="J11" i="44"/>
  <c r="J195" i="44"/>
  <c r="J195" i="45"/>
  <c r="N192" i="32"/>
  <c r="K199" i="39"/>
  <c r="M11" i="32"/>
  <c r="N26" i="32"/>
  <c r="N11" i="32" s="1"/>
  <c r="J11" i="34"/>
  <c r="K26" i="34"/>
  <c r="K11" i="34" s="1"/>
  <c r="K26" i="31"/>
  <c r="K11" i="31" s="1"/>
  <c r="J11" i="31"/>
  <c r="K26" i="36"/>
  <c r="K11" i="36" s="1"/>
  <c r="J11" i="36"/>
  <c r="K26" i="39"/>
  <c r="K11" i="39" s="1"/>
  <c r="J11" i="39"/>
  <c r="F173" i="34"/>
  <c r="J173" i="34"/>
  <c r="G167" i="32"/>
  <c r="J199" i="39"/>
  <c r="J198" i="34"/>
  <c r="F174" i="39"/>
  <c r="J174" i="39"/>
  <c r="F475" i="36"/>
  <c r="F475" i="34"/>
  <c r="F477" i="34"/>
  <c r="F476" i="34"/>
  <c r="J197" i="36"/>
  <c r="J171" i="36"/>
  <c r="F171" i="36"/>
  <c r="F478" i="34"/>
  <c r="M42" i="24"/>
  <c r="R35" i="24"/>
  <c r="R22" i="24"/>
  <c r="M29" i="24"/>
  <c r="L195" i="31"/>
  <c r="F170" i="31"/>
  <c r="J170" i="31"/>
  <c r="K170" i="31" s="1"/>
  <c r="N167" i="32"/>
  <c r="N163" i="32" s="1"/>
  <c r="M163" i="32"/>
  <c r="I474" i="30"/>
  <c r="L166" i="31"/>
  <c r="I582" i="10"/>
  <c r="N582" i="10" s="1"/>
  <c r="H580" i="10"/>
  <c r="I580" i="10" s="1"/>
  <c r="N580" i="10" s="1"/>
  <c r="I577" i="10"/>
  <c r="N577" i="10" s="1"/>
  <c r="I576" i="10"/>
  <c r="N576" i="10" s="1"/>
  <c r="I574" i="10"/>
  <c r="N574" i="10" s="1"/>
  <c r="I573" i="10"/>
  <c r="N573" i="10" s="1"/>
  <c r="I572" i="10"/>
  <c r="N572" i="10" s="1"/>
  <c r="I571" i="10"/>
  <c r="N571" i="10" s="1"/>
  <c r="I570" i="10"/>
  <c r="N570" i="10" s="1"/>
  <c r="I569" i="10"/>
  <c r="N569" i="10" s="1"/>
  <c r="I568" i="10"/>
  <c r="N568" i="10" s="1"/>
  <c r="N567" i="10"/>
  <c r="I567" i="10"/>
  <c r="I566" i="10"/>
  <c r="N566" i="10" s="1"/>
  <c r="I565" i="10"/>
  <c r="N565" i="10" s="1"/>
  <c r="I564" i="10"/>
  <c r="N564" i="10" s="1"/>
  <c r="I563" i="10"/>
  <c r="N563" i="10" s="1"/>
  <c r="I562" i="10"/>
  <c r="N562" i="10" s="1"/>
  <c r="I561" i="10"/>
  <c r="N561" i="10" s="1"/>
  <c r="I560" i="10"/>
  <c r="N560" i="10" s="1"/>
  <c r="I559" i="10"/>
  <c r="N559" i="10" s="1"/>
  <c r="I558" i="10"/>
  <c r="N558" i="10" s="1"/>
  <c r="I557" i="10"/>
  <c r="N557" i="10" s="1"/>
  <c r="I556" i="10"/>
  <c r="N556" i="10" s="1"/>
  <c r="H554" i="10"/>
  <c r="H553" i="10"/>
  <c r="I553" i="10" s="1"/>
  <c r="N553" i="10" s="1"/>
  <c r="H552" i="10"/>
  <c r="I552" i="10" s="1"/>
  <c r="N552" i="10" s="1"/>
  <c r="H551" i="10"/>
  <c r="I551" i="10" s="1"/>
  <c r="N551" i="10" s="1"/>
  <c r="I550" i="10"/>
  <c r="N550" i="10" s="1"/>
  <c r="H549" i="10"/>
  <c r="I549" i="10" s="1"/>
  <c r="N549" i="10" s="1"/>
  <c r="H548" i="10"/>
  <c r="I548" i="10" s="1"/>
  <c r="N548" i="10" s="1"/>
  <c r="H547" i="10"/>
  <c r="I547" i="10" s="1"/>
  <c r="N547" i="10" s="1"/>
  <c r="I546" i="10"/>
  <c r="N546" i="10" s="1"/>
  <c r="I545" i="10"/>
  <c r="N545" i="10" s="1"/>
  <c r="I544" i="10"/>
  <c r="N544" i="10" s="1"/>
  <c r="I543" i="10"/>
  <c r="N543" i="10" s="1"/>
  <c r="I542" i="10"/>
  <c r="N542" i="10" s="1"/>
  <c r="I541" i="10"/>
  <c r="N541" i="10" s="1"/>
  <c r="I540" i="10"/>
  <c r="N540" i="10" s="1"/>
  <c r="I539" i="10"/>
  <c r="N539" i="10" s="1"/>
  <c r="I538" i="10"/>
  <c r="N538" i="10" s="1"/>
  <c r="I537" i="10"/>
  <c r="N537" i="10" s="1"/>
  <c r="H537" i="10"/>
  <c r="H536" i="10"/>
  <c r="I536" i="10" s="1"/>
  <c r="N536" i="10" s="1"/>
  <c r="I534" i="10"/>
  <c r="N534" i="10" s="1"/>
  <c r="I533" i="10"/>
  <c r="N533" i="10" s="1"/>
  <c r="I532" i="10"/>
  <c r="N532" i="10" s="1"/>
  <c r="I530" i="10"/>
  <c r="N530" i="10" s="1"/>
  <c r="I529" i="10"/>
  <c r="N529" i="10" s="1"/>
  <c r="I528" i="10"/>
  <c r="N528" i="10" s="1"/>
  <c r="I527" i="10"/>
  <c r="N527" i="10" s="1"/>
  <c r="I526" i="10"/>
  <c r="N526" i="10" s="1"/>
  <c r="I525" i="10"/>
  <c r="N525" i="10" s="1"/>
  <c r="I524" i="10"/>
  <c r="N524" i="10" s="1"/>
  <c r="I523" i="10"/>
  <c r="N523" i="10" s="1"/>
  <c r="I522" i="10"/>
  <c r="N522" i="10" s="1"/>
  <c r="I521" i="10"/>
  <c r="N521" i="10" s="1"/>
  <c r="I520" i="10"/>
  <c r="N520" i="10" s="1"/>
  <c r="I519" i="10"/>
  <c r="N519" i="10" s="1"/>
  <c r="I518" i="10"/>
  <c r="N518" i="10" s="1"/>
  <c r="I517" i="10"/>
  <c r="N517" i="10" s="1"/>
  <c r="I516" i="10"/>
  <c r="N516" i="10" s="1"/>
  <c r="I515" i="10"/>
  <c r="N515" i="10" s="1"/>
  <c r="I514" i="10"/>
  <c r="N514" i="10" s="1"/>
  <c r="I513" i="10"/>
  <c r="N513" i="10" s="1"/>
  <c r="I512" i="10"/>
  <c r="N512" i="10" s="1"/>
  <c r="I511" i="10"/>
  <c r="N511" i="10" s="1"/>
  <c r="I510" i="10"/>
  <c r="N510" i="10" s="1"/>
  <c r="I509" i="10"/>
  <c r="N509" i="10" s="1"/>
  <c r="I508" i="10"/>
  <c r="N508" i="10" s="1"/>
  <c r="I507" i="10"/>
  <c r="N507" i="10" s="1"/>
  <c r="I506" i="10"/>
  <c r="N506" i="10" s="1"/>
  <c r="I505" i="10"/>
  <c r="N505" i="10" s="1"/>
  <c r="I504" i="10"/>
  <c r="N504" i="10" s="1"/>
  <c r="I503" i="10"/>
  <c r="N503" i="10" s="1"/>
  <c r="I502" i="10"/>
  <c r="N502" i="10" s="1"/>
  <c r="I501" i="10"/>
  <c r="N501" i="10" s="1"/>
  <c r="I500" i="10"/>
  <c r="N500" i="10" s="1"/>
  <c r="I499" i="10"/>
  <c r="N499" i="10" s="1"/>
  <c r="I498" i="10"/>
  <c r="N498" i="10" s="1"/>
  <c r="I497" i="10"/>
  <c r="N497" i="10" s="1"/>
  <c r="I496" i="10"/>
  <c r="N496" i="10" s="1"/>
  <c r="I495" i="10"/>
  <c r="N495" i="10" s="1"/>
  <c r="I494" i="10"/>
  <c r="N494" i="10" s="1"/>
  <c r="I493" i="10"/>
  <c r="N493" i="10" s="1"/>
  <c r="I492" i="10"/>
  <c r="N492" i="10" s="1"/>
  <c r="I490" i="10"/>
  <c r="N490" i="10" s="1"/>
  <c r="H489" i="10"/>
  <c r="I489" i="10" s="1"/>
  <c r="N489" i="10" s="1"/>
  <c r="I488" i="10"/>
  <c r="N488" i="10" s="1"/>
  <c r="I487" i="10"/>
  <c r="N487" i="10" s="1"/>
  <c r="I486" i="10"/>
  <c r="N486" i="10" s="1"/>
  <c r="I485" i="10"/>
  <c r="N485" i="10" s="1"/>
  <c r="I484" i="10"/>
  <c r="N484" i="10" s="1"/>
  <c r="H483" i="10"/>
  <c r="I483" i="10" s="1"/>
  <c r="N483" i="10" s="1"/>
  <c r="I479" i="10"/>
  <c r="N479" i="10" s="1"/>
  <c r="I478" i="10"/>
  <c r="N478" i="10" s="1"/>
  <c r="I477" i="10"/>
  <c r="N477" i="10" s="1"/>
  <c r="H476" i="10"/>
  <c r="I476" i="10" s="1"/>
  <c r="N476" i="10" s="1"/>
  <c r="N475" i="10"/>
  <c r="I475" i="10"/>
  <c r="I474" i="10"/>
  <c r="N474" i="10" s="1"/>
  <c r="H473" i="10"/>
  <c r="I473" i="10" s="1"/>
  <c r="N473" i="10" s="1"/>
  <c r="H471" i="10"/>
  <c r="H472" i="10" s="1"/>
  <c r="I472" i="10" s="1"/>
  <c r="N472" i="10" s="1"/>
  <c r="H435" i="10"/>
  <c r="I435" i="10" s="1"/>
  <c r="N435" i="10" s="1"/>
  <c r="H434" i="10"/>
  <c r="I434" i="10" s="1"/>
  <c r="N434" i="10" s="1"/>
  <c r="I382" i="10"/>
  <c r="N382" i="10" s="1"/>
  <c r="I381" i="10"/>
  <c r="N381" i="10" s="1"/>
  <c r="I380" i="10"/>
  <c r="N380" i="10" s="1"/>
  <c r="I379" i="10"/>
  <c r="N379" i="10" s="1"/>
  <c r="N378" i="10"/>
  <c r="I378" i="10"/>
  <c r="N377" i="10"/>
  <c r="I377" i="10"/>
  <c r="I376" i="10"/>
  <c r="N376" i="10" s="1"/>
  <c r="I375" i="10"/>
  <c r="N375" i="10" s="1"/>
  <c r="I374" i="10"/>
  <c r="N374" i="10" s="1"/>
  <c r="I373" i="10"/>
  <c r="N373" i="10" s="1"/>
  <c r="I372" i="10"/>
  <c r="N372" i="10" s="1"/>
  <c r="I371" i="10"/>
  <c r="N371" i="10" s="1"/>
  <c r="I370" i="10"/>
  <c r="N370" i="10" s="1"/>
  <c r="I369" i="10"/>
  <c r="N369" i="10" s="1"/>
  <c r="I368" i="10"/>
  <c r="N368" i="10" s="1"/>
  <c r="I367" i="10"/>
  <c r="N367" i="10" s="1"/>
  <c r="I366" i="10"/>
  <c r="N366" i="10" s="1"/>
  <c r="I365" i="10"/>
  <c r="N365" i="10" s="1"/>
  <c r="I364" i="10"/>
  <c r="N364" i="10" s="1"/>
  <c r="N363" i="10"/>
  <c r="I363" i="10"/>
  <c r="I362" i="10"/>
  <c r="N362" i="10" s="1"/>
  <c r="I361" i="10"/>
  <c r="N361" i="10" s="1"/>
  <c r="H345" i="10"/>
  <c r="I345" i="10" s="1"/>
  <c r="N345" i="10" s="1"/>
  <c r="H343" i="10"/>
  <c r="I343" i="10" s="1"/>
  <c r="N343" i="10" s="1"/>
  <c r="I342" i="10"/>
  <c r="N342" i="10" s="1"/>
  <c r="H340" i="10"/>
  <c r="I340" i="10" s="1"/>
  <c r="N340" i="10" s="1"/>
  <c r="H338" i="10"/>
  <c r="I338" i="10" s="1"/>
  <c r="N338" i="10" s="1"/>
  <c r="H334" i="10"/>
  <c r="I334" i="10" s="1"/>
  <c r="N334" i="10" s="1"/>
  <c r="H333" i="10"/>
  <c r="I333" i="10" s="1"/>
  <c r="N333" i="10" s="1"/>
  <c r="I332" i="10"/>
  <c r="N332" i="10" s="1"/>
  <c r="H332" i="10"/>
  <c r="H325" i="10"/>
  <c r="H324" i="10"/>
  <c r="H322" i="10"/>
  <c r="H321" i="10"/>
  <c r="H320" i="10"/>
  <c r="H318" i="10"/>
  <c r="H317" i="10"/>
  <c r="I317" i="10" s="1"/>
  <c r="N317" i="10" s="1"/>
  <c r="H315" i="10"/>
  <c r="I315" i="10" s="1"/>
  <c r="N315" i="10" s="1"/>
  <c r="H314" i="10"/>
  <c r="I314" i="10" s="1"/>
  <c r="N314" i="10" s="1"/>
  <c r="H312" i="10"/>
  <c r="H311" i="10"/>
  <c r="I311" i="10" s="1"/>
  <c r="N311" i="10" s="1"/>
  <c r="H308" i="10"/>
  <c r="H307" i="10"/>
  <c r="H306" i="10"/>
  <c r="I306" i="10" s="1"/>
  <c r="N306" i="10" s="1"/>
  <c r="H304" i="10"/>
  <c r="H303" i="10"/>
  <c r="H302" i="10"/>
  <c r="I302" i="10" s="1"/>
  <c r="N302" i="10" s="1"/>
  <c r="H301" i="10"/>
  <c r="I301" i="10" s="1"/>
  <c r="H297" i="10"/>
  <c r="I297" i="10" s="1"/>
  <c r="N297" i="10" s="1"/>
  <c r="H294" i="10"/>
  <c r="H293" i="10"/>
  <c r="H292" i="10"/>
  <c r="H291" i="10"/>
  <c r="H290" i="10"/>
  <c r="I290" i="10" s="1"/>
  <c r="H289" i="10"/>
  <c r="I289" i="10" s="1"/>
  <c r="N289" i="10" s="1"/>
  <c r="H288" i="10"/>
  <c r="I288" i="10" s="1"/>
  <c r="N288" i="10" s="1"/>
  <c r="H287" i="10"/>
  <c r="I287" i="10" s="1"/>
  <c r="N287" i="10" s="1"/>
  <c r="H286" i="10"/>
  <c r="I286" i="10" s="1"/>
  <c r="N286" i="10" s="1"/>
  <c r="N285" i="10"/>
  <c r="I284" i="10"/>
  <c r="N284" i="10" s="1"/>
  <c r="I283" i="10"/>
  <c r="N283" i="10" s="1"/>
  <c r="H282" i="10"/>
  <c r="I282" i="10" s="1"/>
  <c r="N282" i="10" s="1"/>
  <c r="I281" i="10"/>
  <c r="N281" i="10" s="1"/>
  <c r="H280" i="10"/>
  <c r="I280" i="10" s="1"/>
  <c r="N280" i="10" s="1"/>
  <c r="H279" i="10"/>
  <c r="I279" i="10" s="1"/>
  <c r="N279" i="10" s="1"/>
  <c r="G279" i="10"/>
  <c r="H278" i="10"/>
  <c r="I278" i="10" s="1"/>
  <c r="N278" i="10" s="1"/>
  <c r="H277" i="10"/>
  <c r="I277" i="10" s="1"/>
  <c r="N277" i="10" s="1"/>
  <c r="H276" i="10"/>
  <c r="I276" i="10" s="1"/>
  <c r="N276" i="10" s="1"/>
  <c r="I275" i="10"/>
  <c r="N275" i="10" s="1"/>
  <c r="H274" i="10"/>
  <c r="I274" i="10" s="1"/>
  <c r="N274" i="10" s="1"/>
  <c r="I273" i="10"/>
  <c r="N273" i="10" s="1"/>
  <c r="H272" i="10"/>
  <c r="I272" i="10" s="1"/>
  <c r="N272" i="10" s="1"/>
  <c r="H270" i="10"/>
  <c r="H269" i="10"/>
  <c r="I269" i="10" s="1"/>
  <c r="N269" i="10" s="1"/>
  <c r="H267" i="10"/>
  <c r="H266" i="10"/>
  <c r="H264" i="10"/>
  <c r="H263" i="10"/>
  <c r="H259" i="10"/>
  <c r="H258" i="10"/>
  <c r="H257" i="10"/>
  <c r="I257" i="10" s="1"/>
  <c r="N257" i="10" s="1"/>
  <c r="H255" i="10"/>
  <c r="H254" i="10"/>
  <c r="H253" i="10"/>
  <c r="H252" i="10"/>
  <c r="H251" i="10"/>
  <c r="H250" i="10"/>
  <c r="I250" i="10" s="1"/>
  <c r="N250" i="10" s="1"/>
  <c r="N248" i="10"/>
  <c r="H245" i="10"/>
  <c r="H244" i="10"/>
  <c r="H243" i="10"/>
  <c r="I243" i="10" s="1"/>
  <c r="N243" i="10" s="1"/>
  <c r="H241" i="10"/>
  <c r="H240" i="10"/>
  <c r="I240" i="10" s="1"/>
  <c r="N240" i="10" s="1"/>
  <c r="I238" i="10"/>
  <c r="N238" i="10" s="1"/>
  <c r="H237" i="10"/>
  <c r="I237" i="10" s="1"/>
  <c r="N237" i="10" s="1"/>
  <c r="I236" i="10"/>
  <c r="N236" i="10" s="1"/>
  <c r="N235" i="10"/>
  <c r="I235" i="10"/>
  <c r="I234" i="10"/>
  <c r="N234" i="10" s="1"/>
  <c r="I233" i="10"/>
  <c r="N233" i="10" s="1"/>
  <c r="I232" i="10"/>
  <c r="N232" i="10" s="1"/>
  <c r="H219" i="10"/>
  <c r="I219" i="10" s="1"/>
  <c r="N219" i="10" s="1"/>
  <c r="I217" i="10"/>
  <c r="N217" i="10" s="1"/>
  <c r="H215" i="10"/>
  <c r="I215" i="10" s="1"/>
  <c r="N215" i="10" s="1"/>
  <c r="H212" i="10"/>
  <c r="I212" i="10" s="1"/>
  <c r="N212" i="10" s="1"/>
  <c r="I210" i="10"/>
  <c r="N210" i="10" s="1"/>
  <c r="H202" i="10"/>
  <c r="I202" i="10" s="1"/>
  <c r="N202" i="10" s="1"/>
  <c r="G199" i="10"/>
  <c r="H198" i="10"/>
  <c r="H197" i="10"/>
  <c r="H196" i="10"/>
  <c r="I196" i="10" s="1"/>
  <c r="N196" i="10" s="1"/>
  <c r="I195" i="10"/>
  <c r="N195" i="10" s="1"/>
  <c r="I187" i="10"/>
  <c r="N187" i="10" s="1"/>
  <c r="I183" i="10"/>
  <c r="N183" i="10" s="1"/>
  <c r="H180" i="10"/>
  <c r="H179" i="10"/>
  <c r="H178" i="10"/>
  <c r="H177" i="10"/>
  <c r="H176" i="10"/>
  <c r="H175" i="10"/>
  <c r="I175" i="10" s="1"/>
  <c r="N175" i="10" s="1"/>
  <c r="I174" i="10"/>
  <c r="N174" i="10" s="1"/>
  <c r="H170" i="10"/>
  <c r="H169" i="10"/>
  <c r="H168" i="10"/>
  <c r="I168" i="10" s="1"/>
  <c r="N168" i="10" s="1"/>
  <c r="H166" i="10"/>
  <c r="H165" i="10"/>
  <c r="I165" i="10" s="1"/>
  <c r="N165" i="10" s="1"/>
  <c r="I117" i="10"/>
  <c r="N117" i="10" s="1"/>
  <c r="N116" i="10"/>
  <c r="N115" i="10"/>
  <c r="I77" i="10"/>
  <c r="N77" i="10" s="1"/>
  <c r="I76" i="10"/>
  <c r="N76" i="10" s="1"/>
  <c r="H75" i="10"/>
  <c r="I75" i="10" s="1"/>
  <c r="N75" i="10" s="1"/>
  <c r="I74" i="10"/>
  <c r="N74" i="10" s="1"/>
  <c r="I72" i="10"/>
  <c r="N72" i="10" s="1"/>
  <c r="I71" i="10"/>
  <c r="N71" i="10" s="1"/>
  <c r="N70" i="10"/>
  <c r="I70" i="10"/>
  <c r="I69" i="10"/>
  <c r="N69" i="10" s="1"/>
  <c r="H68" i="10"/>
  <c r="I68" i="10" s="1"/>
  <c r="N68" i="10" s="1"/>
  <c r="H67" i="10"/>
  <c r="I67" i="10" s="1"/>
  <c r="N67" i="10" s="1"/>
  <c r="H64" i="10"/>
  <c r="I64" i="10" s="1"/>
  <c r="N64" i="10" s="1"/>
  <c r="I63" i="10"/>
  <c r="N63" i="10" s="1"/>
  <c r="H62" i="10"/>
  <c r="I62" i="10" s="1"/>
  <c r="N62" i="10" s="1"/>
  <c r="I60" i="10"/>
  <c r="N60" i="10" s="1"/>
  <c r="H58" i="10"/>
  <c r="I58" i="10" s="1"/>
  <c r="N58" i="10" s="1"/>
  <c r="I56" i="10"/>
  <c r="N56" i="10" s="1"/>
  <c r="H56" i="10"/>
  <c r="I52" i="10"/>
  <c r="N52" i="10" s="1"/>
  <c r="H50" i="10"/>
  <c r="H48" i="10"/>
  <c r="H46" i="10"/>
  <c r="H45" i="10"/>
  <c r="I45" i="10" s="1"/>
  <c r="N45" i="10" s="1"/>
  <c r="H42" i="10"/>
  <c r="I42" i="10" s="1"/>
  <c r="N42" i="10" s="1"/>
  <c r="H39" i="10"/>
  <c r="I38" i="10"/>
  <c r="N38" i="10" s="1"/>
  <c r="H36" i="10"/>
  <c r="H35" i="10"/>
  <c r="I35" i="10" s="1"/>
  <c r="N35" i="10" s="1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3" i="10"/>
  <c r="H12" i="10"/>
  <c r="H11" i="10"/>
  <c r="H10" i="10"/>
  <c r="H9" i="10"/>
  <c r="I9" i="10" s="1"/>
  <c r="N9" i="10" s="1"/>
  <c r="O11" i="44" l="1"/>
  <c r="K170" i="44"/>
  <c r="K166" i="44" s="1"/>
  <c r="O166" i="44" s="1"/>
  <c r="J166" i="44"/>
  <c r="J10" i="44" s="1"/>
  <c r="K170" i="45"/>
  <c r="K166" i="45" s="1"/>
  <c r="K10" i="45" s="1"/>
  <c r="J166" i="45"/>
  <c r="J10" i="45" s="1"/>
  <c r="N10" i="32"/>
  <c r="M10" i="32"/>
  <c r="M448" i="32" s="1"/>
  <c r="N448" i="32" s="1"/>
  <c r="K171" i="36"/>
  <c r="K167" i="36" s="1"/>
  <c r="K10" i="36" s="1"/>
  <c r="J167" i="36"/>
  <c r="J10" i="36" s="1"/>
  <c r="K174" i="39"/>
  <c r="K170" i="39" s="1"/>
  <c r="K10" i="39" s="1"/>
  <c r="J170" i="39"/>
  <c r="J10" i="39" s="1"/>
  <c r="L10" i="31"/>
  <c r="L9" i="31" s="1"/>
  <c r="K173" i="34"/>
  <c r="K169" i="34" s="1"/>
  <c r="K10" i="34" s="1"/>
  <c r="J169" i="34"/>
  <c r="J10" i="34" s="1"/>
  <c r="J166" i="31"/>
  <c r="J10" i="31" s="1"/>
  <c r="I263" i="10"/>
  <c r="N263" i="10" s="1"/>
  <c r="K166" i="31"/>
  <c r="K10" i="31" s="1"/>
  <c r="I320" i="10"/>
  <c r="N320" i="10" s="1"/>
  <c r="I324" i="10"/>
  <c r="N324" i="10" s="1"/>
  <c r="I15" i="10"/>
  <c r="N15" i="10" s="1"/>
  <c r="H310" i="10"/>
  <c r="I310" i="10" s="1"/>
  <c r="N310" i="10" s="1"/>
  <c r="N301" i="10"/>
  <c r="H249" i="10"/>
  <c r="I249" i="10" s="1"/>
  <c r="N249" i="10" s="1"/>
  <c r="N290" i="10"/>
  <c r="I471" i="10"/>
  <c r="N471" i="10" s="1"/>
  <c r="N9" i="32" l="1"/>
  <c r="P9" i="32" s="1"/>
  <c r="J467" i="45"/>
  <c r="K467" i="45" s="1"/>
  <c r="K9" i="45" s="1"/>
  <c r="O9" i="45" s="1"/>
  <c r="J467" i="44"/>
  <c r="K467" i="44" s="1"/>
  <c r="O467" i="44" s="1"/>
  <c r="K10" i="44"/>
  <c r="M9" i="32"/>
  <c r="J467" i="31"/>
  <c r="J470" i="34"/>
  <c r="K470" i="34" s="1"/>
  <c r="K9" i="34" s="1"/>
  <c r="O9" i="34" s="1"/>
  <c r="O470" i="34"/>
  <c r="O469" i="36"/>
  <c r="J469" i="36"/>
  <c r="K469" i="36" s="1"/>
  <c r="K9" i="36" s="1"/>
  <c r="O9" i="36" s="1"/>
  <c r="O471" i="39"/>
  <c r="J471" i="39"/>
  <c r="K471" i="39" s="1"/>
  <c r="K9" i="39" s="1"/>
  <c r="O9" i="39" s="1"/>
  <c r="J9" i="44" l="1"/>
  <c r="P9" i="44" s="1"/>
  <c r="K9" i="44"/>
  <c r="O9" i="44" s="1"/>
  <c r="J9" i="45"/>
  <c r="L6" i="45" s="1"/>
  <c r="J9" i="34"/>
  <c r="L6" i="34" s="1"/>
  <c r="J9" i="39"/>
  <c r="L6" i="39" s="1"/>
  <c r="J9" i="36"/>
  <c r="L6" i="36" s="1"/>
  <c r="K467" i="31"/>
  <c r="K9" i="31" s="1"/>
  <c r="O9" i="31" s="1"/>
  <c r="J9" i="31"/>
  <c r="L6" i="44" l="1"/>
  <c r="P9" i="45"/>
  <c r="L6" i="31"/>
  <c r="P9" i="31"/>
  <c r="J522" i="52" l="1"/>
  <c r="J532" i="52"/>
  <c r="E572" i="52"/>
  <c r="J572" i="52" s="1"/>
  <c r="E571" i="52"/>
  <c r="J571" i="52" s="1"/>
  <c r="E332" i="51" l="1"/>
  <c r="E333" i="51"/>
  <c r="K333" i="51" l="1"/>
  <c r="L333" i="51" s="1"/>
  <c r="F333" i="51"/>
  <c r="K332" i="51"/>
  <c r="L332" i="51" s="1"/>
  <c r="F332" i="51"/>
  <c r="E528" i="52"/>
  <c r="J528" i="52" s="1"/>
  <c r="E531" i="52"/>
  <c r="J531" i="52" s="1"/>
  <c r="E289" i="51" l="1"/>
  <c r="E292" i="51"/>
  <c r="F292" i="51" s="1"/>
  <c r="E523" i="52"/>
  <c r="J523" i="52" s="1"/>
  <c r="E529" i="52"/>
  <c r="E290" i="51" s="1"/>
  <c r="E526" i="52"/>
  <c r="E287" i="51" s="1"/>
  <c r="E530" i="52"/>
  <c r="J530" i="52" s="1"/>
  <c r="E527" i="52"/>
  <c r="J527" i="52" s="1"/>
  <c r="K287" i="51" l="1"/>
  <c r="L287" i="51" s="1"/>
  <c r="F287" i="51"/>
  <c r="K292" i="51"/>
  <c r="L292" i="51" s="1"/>
  <c r="K290" i="51"/>
  <c r="L290" i="51" s="1"/>
  <c r="F290" i="51"/>
  <c r="F289" i="51"/>
  <c r="K289" i="51"/>
  <c r="L289" i="51" s="1"/>
  <c r="E284" i="51"/>
  <c r="E288" i="51"/>
  <c r="E291" i="51"/>
  <c r="F291" i="51" s="1"/>
  <c r="J529" i="52"/>
  <c r="J526" i="52"/>
  <c r="K291" i="51" l="1"/>
  <c r="L291" i="51" s="1"/>
  <c r="L255" i="51" s="1"/>
  <c r="F284" i="51"/>
  <c r="K284" i="51"/>
  <c r="K288" i="51"/>
  <c r="M288" i="51" s="1"/>
  <c r="F288" i="51"/>
  <c r="E128" i="51"/>
  <c r="K128" i="51" s="1"/>
  <c r="K38" i="51" s="1"/>
  <c r="M284" i="51" l="1"/>
  <c r="M255" i="51" s="1"/>
  <c r="K255" i="51"/>
  <c r="L128" i="51"/>
  <c r="M10" i="51"/>
  <c r="M9" i="51" s="1"/>
  <c r="F128" i="51"/>
  <c r="L38" i="51" l="1"/>
  <c r="L10" i="51" s="1"/>
  <c r="K10" i="51"/>
  <c r="K499" i="51" s="1"/>
  <c r="L499" i="51" l="1"/>
  <c r="L9" i="51" s="1"/>
  <c r="R9" i="51" s="1"/>
  <c r="J405" i="25"/>
  <c r="K9" i="51" l="1"/>
  <c r="O9" i="51" l="1"/>
  <c r="R8" i="51" s="1"/>
  <c r="M6" i="5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481" authorId="0" shapeId="0" xr:uid="{FFEB1CC1-D50B-4708-B423-660E2D503211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+CLSM 998M3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tc={4BE8F794-9C65-4DD8-8FC2-E1E29A25B91C}</author>
  </authors>
  <commentList>
    <comment ref="F553" authorId="0" shapeId="0" xr:uid="{4BE8F794-9C65-4DD8-8FC2-E1E29A25B91C}">
      <text>
        <t>[對話串註解]
您的 Excel 版本可讓您讀取此對話串註解; 但若以較新的 Excel 版本開啟此檔案，將會移除對它進行的所有編輯。深入了解: https://go.microsoft.com/fwlink/?linkid=870924。
註解:
    112.11.13-113.5.31止每日5H*3人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Q177" authorId="0" shapeId="0" xr:uid="{0DE23B99-3907-4B50-91DC-F011A82C8C80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會勘結論就這樣寫的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tc={064C7B3E-620D-492F-AE77-2DDD2A42495B}</author>
  </authors>
  <commentList>
    <comment ref="F634" authorId="0" shapeId="0" xr:uid="{064C7B3E-620D-492F-AE77-2DDD2A42495B}">
      <text>
        <t>[對話串註解]
您的 Excel 版本可讓您讀取此對話串註解; 但若以較新的 Excel 版本開啟此檔案，將會移除對它進行的所有編輯。深入了解: https://go.microsoft.com/fwlink/?linkid=870924。
註解:
    112.11.13-113.5.31止每日5H*3人
112.11.23北市工水工字第1126063128號(三合橋-檢送1115第2次施工疑義會議紀錄)
112.09.01-北市工水工字第1126048706號-百齡抽水站暫置會勘紀錄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瑞健</author>
    <author>tc={C1E79C67-9F04-402C-8343-AEF02C7B40B0}</author>
  </authors>
  <commentList>
    <comment ref="E9" authorId="0" shapeId="0" xr:uid="{FD4E588B-7108-4AC7-B3FF-F88FABDBF805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E16" authorId="0" shapeId="0" xr:uid="{29C4A209-CE5A-4F84-9A54-888B53CECC81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F92" authorId="1" shapeId="0" xr:uid="{116C798A-97CB-4DB1-99C3-1155707357D5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719" authorId="2" shapeId="0" xr:uid="{C1E79C67-9F04-402C-8343-AEF02C7B40B0}">
      <text>
        <t>[對話串註解]
您的 Excel 版本可讓您讀取此對話串註解; 但若以較新的 Excel 版本開啟此檔案，將會移除對它進行的所有編輯。深入了解: https://go.microsoft.com/fwlink/?linkid=870924。
註解:
    112.11.13-113.5.31止每日5H*3人
112.11.23北市工水工字第1126063128號(三合橋-檢送1115第2次施工疑義會議紀錄)
112.09.01-北市工水工字第1126048706號-百齡抽水站暫置會勘紀錄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O210" authorId="0" shapeId="0" xr:uid="{65ED24EC-307E-41A2-A929-98B81061BFCA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O211" authorId="0" shapeId="0" xr:uid="{3B77D8CC-241B-4D6C-9A32-A7245E1A49A8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R211" authorId="0" shapeId="0" xr:uid="{B5BF6671-5517-4899-A444-F9CF97594C98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瑞健</author>
    <author>User</author>
  </authors>
  <commentList>
    <comment ref="C2" authorId="0" shapeId="0" xr:uid="{31B1CF21-6B7B-42D6-8D52-334680194B02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原</t>
        </r>
        <r>
          <rPr>
            <sz val="9"/>
            <color indexed="81"/>
            <rFont val="Tahoma"/>
            <family val="2"/>
          </rPr>
          <t xml:space="preserve">26.38
</t>
        </r>
      </text>
    </comment>
    <comment ref="E2" authorId="0" shapeId="0" xr:uid="{0D0F001A-D5BD-4E78-AEC5-591B94EA859D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原</t>
        </r>
        <r>
          <rPr>
            <sz val="9"/>
            <color indexed="81"/>
            <rFont val="Tahoma"/>
            <family val="2"/>
          </rPr>
          <t>63.31</t>
        </r>
      </text>
    </comment>
    <comment ref="G2" authorId="0" shapeId="0" xr:uid="{09C23CF3-9FED-4A88-85BD-CDF9B8EC0DE6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原</t>
        </r>
        <r>
          <rPr>
            <sz val="9"/>
            <color indexed="81"/>
            <rFont val="Tahoma"/>
            <family val="2"/>
          </rPr>
          <t>36.62</t>
        </r>
      </text>
    </comment>
    <comment ref="G3" authorId="1" shapeId="0" xr:uid="{2A96ABBC-4B6E-4BF1-87A7-4E8FAFFB29BD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三合祠搭20*20黑(0.2*0.2*180塊)248.51-7.2=241.31</t>
        </r>
      </text>
    </comment>
    <comment ref="F9" authorId="1" shapeId="0" xr:uid="{DC1F4480-0E11-47C6-9539-54042DEC4D97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工區七原134.14
改V1=286.5
改V2=400.25-30.74(水溝蓋)=369.51</t>
        </r>
      </text>
    </comment>
    <comment ref="F10" authorId="0" shapeId="0" xr:uid="{96EE64E4-63E8-46CD-9E21-1340F63B0261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42M2(</t>
        </r>
        <r>
          <rPr>
            <sz val="9"/>
            <color indexed="81"/>
            <rFont val="細明體"/>
            <family val="3"/>
            <charset val="136"/>
          </rPr>
          <t>樂活大樓，上溢做</t>
        </r>
        <r>
          <rPr>
            <sz val="9"/>
            <color indexed="81"/>
            <rFont val="Tahoma"/>
            <family val="2"/>
          </rPr>
          <t>)</t>
        </r>
      </text>
    </comment>
    <comment ref="E13" authorId="1" shapeId="0" xr:uid="{FE260BEA-0850-4FDA-B17B-BDE450330823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三合祠搭</t>
        </r>
        <r>
          <rPr>
            <sz val="11"/>
            <color indexed="81"/>
            <rFont val="Tahoma"/>
            <family val="2"/>
          </rPr>
          <t>20*20</t>
        </r>
        <r>
          <rPr>
            <sz val="11"/>
            <color indexed="81"/>
            <rFont val="細明體"/>
            <family val="3"/>
            <charset val="136"/>
          </rPr>
          <t>黑色</t>
        </r>
      </text>
    </comment>
    <comment ref="F14" authorId="1" shapeId="0" xr:uid="{8D7188B9-3695-4EF7-9449-82F1C10A4E7B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 xml:space="preserve">清江公園
</t>
        </r>
      </text>
    </comment>
    <comment ref="C16" authorId="1" shapeId="0" xr:uid="{F7F8E097-3EE5-4B6D-898E-63BF3A4C46E7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清江公園</t>
        </r>
      </text>
    </comment>
    <comment ref="C17" authorId="1" shapeId="0" xr:uid="{083A61DE-48C6-4F88-86DB-9A05919F0C19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清江公園</t>
        </r>
      </text>
    </comment>
    <comment ref="C18" authorId="1" shapeId="0" xr:uid="{CD405710-E516-4944-A47B-0AA90C5BCF43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清江公園</t>
        </r>
      </text>
    </comment>
    <comment ref="B35" authorId="0" shapeId="0" xr:uid="{4BB905EA-3AA5-4F0B-B881-173E83683F5D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原</t>
        </r>
        <r>
          <rPr>
            <sz val="9"/>
            <color indexed="81"/>
            <rFont val="Tahoma"/>
            <family val="2"/>
          </rPr>
          <t>16.58</t>
        </r>
        <r>
          <rPr>
            <sz val="9"/>
            <color indexed="81"/>
            <rFont val="細明體"/>
            <family val="3"/>
            <charset val="136"/>
          </rPr>
          <t>變</t>
        </r>
        <r>
          <rPr>
            <sz val="9"/>
            <color indexed="81"/>
            <rFont val="Tahoma"/>
            <family val="2"/>
          </rPr>
          <t xml:space="preserve">44.5M
</t>
        </r>
        <r>
          <rPr>
            <sz val="9"/>
            <color indexed="81"/>
            <rFont val="細明體"/>
            <family val="3"/>
            <charset val="136"/>
          </rPr>
          <t>三合橋南側斜坡道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" authorId="0" shapeId="0" xr:uid="{11943235-7774-4B06-83E3-D8B2F18F2AE5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364.27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tc={86F3637F-E7E0-4D65-93A4-AAA516D62A97}</author>
    <author>User</author>
  </authors>
  <commentList>
    <comment ref="C10" authorId="0" shapeId="0" xr:uid="{86F3637F-E7E0-4D65-93A4-AAA516D62A97}">
      <text>
        <t>[對話串註解]
您的 Excel 版本可讓您讀取此對話串註解; 但若以較新的 Excel 版本開啟此檔案，將會移除對它進行的所有編輯。深入了解: https://go.microsoft.com/fwlink/?linkid=870924。
註解:
    113.11.11</t>
      </text>
    </comment>
    <comment ref="C12" authorId="1" shapeId="0" xr:uid="{4BF3942C-8C29-412C-9DC6-1DD27D8016E5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10/16:3</t>
        </r>
        <r>
          <rPr>
            <sz val="11"/>
            <color indexed="81"/>
            <rFont val="細明體"/>
            <family val="3"/>
            <charset val="136"/>
          </rPr>
          <t>孔</t>
        </r>
      </text>
    </comment>
    <comment ref="C16" authorId="1" shapeId="0" xr:uid="{F9D927AC-3813-4544-B1D8-B41C14BE31B6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10/1:6</t>
        </r>
        <r>
          <rPr>
            <sz val="11"/>
            <color indexed="81"/>
            <rFont val="細明體"/>
            <family val="3"/>
            <charset val="136"/>
          </rPr>
          <t>支</t>
        </r>
      </text>
    </comment>
    <comment ref="C23" authorId="1" shapeId="0" xr:uid="{C6A7B89D-D877-4548-BA72-44637B64D545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10/16</t>
        </r>
        <r>
          <rPr>
            <sz val="11"/>
            <color indexed="81"/>
            <rFont val="細明體"/>
            <family val="3"/>
            <charset val="136"/>
          </rPr>
          <t>取</t>
        </r>
        <r>
          <rPr>
            <sz val="11"/>
            <color indexed="81"/>
            <rFont val="Tahoma"/>
            <family val="2"/>
          </rPr>
          <t>2</t>
        </r>
        <r>
          <rPr>
            <sz val="11"/>
            <color indexed="81"/>
            <rFont val="細明體"/>
            <family val="3"/>
            <charset val="136"/>
          </rPr>
          <t>組(側溝、集水井)</t>
        </r>
      </text>
    </comment>
    <comment ref="C24" authorId="1" shapeId="0" xr:uid="{88705FE1-11F9-4472-9B18-B50908AF1C78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10/16 </t>
        </r>
        <r>
          <rPr>
            <sz val="11"/>
            <color indexed="81"/>
            <rFont val="細明體"/>
            <family val="3"/>
            <charset val="136"/>
          </rPr>
          <t>拉拔</t>
        </r>
        <r>
          <rPr>
            <sz val="11"/>
            <color indexed="81"/>
            <rFont val="Tahoma"/>
            <family val="2"/>
          </rPr>
          <t>3</t>
        </r>
        <r>
          <rPr>
            <sz val="11"/>
            <color indexed="81"/>
            <rFont val="細明體"/>
            <family val="3"/>
            <charset val="136"/>
          </rPr>
          <t>支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<sst xmlns="http://schemas.openxmlformats.org/spreadsheetml/2006/main" count="31449" uniqueCount="4000">
  <si>
    <t>座</t>
  </si>
  <si>
    <t>頂</t>
  </si>
  <si>
    <t>工程費</t>
  </si>
  <si>
    <t>雙</t>
  </si>
  <si>
    <t>式</t>
  </si>
  <si>
    <t>支</t>
  </si>
  <si>
    <t>M3</t>
  </si>
  <si>
    <t>個</t>
  </si>
  <si>
    <t>M</t>
  </si>
  <si>
    <t>具</t>
  </si>
  <si>
    <t>壹</t>
  </si>
  <si>
    <t>雜項工程費</t>
  </si>
  <si>
    <t>發包工程費</t>
  </si>
  <si>
    <t>M2</t>
  </si>
  <si>
    <t>次</t>
  </si>
  <si>
    <t>組</t>
  </si>
  <si>
    <t>時</t>
  </si>
  <si>
    <t>KG</t>
  </si>
  <si>
    <t>套</t>
  </si>
  <si>
    <t>台</t>
  </si>
  <si>
    <t>處/月</t>
  </si>
  <si>
    <t>M2/月</t>
  </si>
  <si>
    <t>面</t>
  </si>
  <si>
    <t>B.M3</t>
  </si>
  <si>
    <t>結構用混凝土，預拌，210kgf/cm2</t>
  </si>
  <si>
    <t>材料試驗費</t>
  </si>
  <si>
    <t>環境保護，逕流污染防治，洗車沖洗費</t>
  </si>
  <si>
    <t>環境保護，工地清潔費</t>
  </si>
  <si>
    <t>工程告示牌及工地標誌，柔性告示牌</t>
  </si>
  <si>
    <t>型鋼護欄，含警示燈</t>
  </si>
  <si>
    <t>施工警告燈號</t>
  </si>
  <si>
    <t>交通維持，道路管制人員，日間(06-22時)，義交</t>
  </si>
  <si>
    <t>交通錐，高70cm，其他適當材料，PVC。2.5kg重</t>
  </si>
  <si>
    <t>交通錐，連桿</t>
  </si>
  <si>
    <t>職業安全衛生費</t>
  </si>
  <si>
    <t>職業安全衛生，保護器材，眼睛，護目鏡，遮光護目鏡</t>
  </si>
  <si>
    <t>職業安全衛生，保護器材，足部，安全鞋</t>
  </si>
  <si>
    <t>職業安全衛生，保護器材，身體，反光背心(印有「水利工程處施工廠商人員」字樣)</t>
  </si>
  <si>
    <t>職業安全衛生，保護器材，意外傷害救護設備，急救箱</t>
  </si>
  <si>
    <t>職業安全衛生，飲水及休息設備</t>
  </si>
  <si>
    <t>　　(一)</t>
  </si>
  <si>
    <t>1.1.1</t>
  </si>
  <si>
    <t>1.1.2</t>
  </si>
  <si>
    <t>1.1.3</t>
  </si>
  <si>
    <t>1.1.4</t>
  </si>
  <si>
    <t>1.1.5</t>
  </si>
  <si>
    <t>　　(二)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</si>
  <si>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</si>
  <si>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</si>
  <si>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</si>
  <si>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</si>
  <si>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</si>
  <si>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</si>
  <si>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</si>
  <si>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</si>
  <si>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</si>
  <si>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</si>
  <si>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1.2.11</t>
  </si>
  <si>
    <t>1.2.12</t>
  </si>
  <si>
    <t>1.2.13</t>
  </si>
  <si>
    <t>1.2.14</t>
  </si>
  <si>
    <t>1.2.15</t>
  </si>
  <si>
    <t>1.2.16</t>
  </si>
  <si>
    <t>1.2.17</t>
  </si>
  <si>
    <t>1.2.18</t>
  </si>
  <si>
    <t>1.2.19</t>
  </si>
  <si>
    <t>1.2.20</t>
  </si>
  <si>
    <t>1.2.21</t>
  </si>
  <si>
    <t>1.2.22</t>
  </si>
  <si>
    <t>1.2.23</t>
  </si>
  <si>
    <t>1.2.24</t>
  </si>
  <si>
    <t>1.2.25</t>
  </si>
  <si>
    <t>1.2.26</t>
  </si>
  <si>
    <t>1.2.27</t>
  </si>
  <si>
    <t>1.2.28</t>
  </si>
  <si>
    <t>1.2.29</t>
  </si>
  <si>
    <t>1.2.30</t>
  </si>
  <si>
    <t>　　(三)</t>
  </si>
  <si>
    <t>1.3.1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</si>
  <si>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</si>
  <si>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</si>
  <si>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</si>
  <si>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</si>
  <si>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</si>
  <si>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</si>
  <si>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</si>
  <si>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</si>
  <si>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</si>
  <si>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1.3.12</t>
  </si>
  <si>
    <t>1.3.13</t>
  </si>
  <si>
    <t>1.3.14</t>
  </si>
  <si>
    <t>1.3.15</t>
  </si>
  <si>
    <t>　　(四)</t>
  </si>
  <si>
    <t>1.4.1</t>
  </si>
  <si>
    <t>1.4.2</t>
  </si>
  <si>
    <t>1.4.3</t>
  </si>
  <si>
    <t>1.4.4</t>
  </si>
  <si>
    <t>　　(五)</t>
  </si>
  <si>
    <t>1.5.1</t>
  </si>
  <si>
    <t>1.5.2</t>
  </si>
  <si>
    <t>1.5.3</t>
  </si>
  <si>
    <t>1.5.4</t>
  </si>
  <si>
    <t>1.5.5</t>
  </si>
  <si>
    <t>　二</t>
  </si>
  <si>
    <t>2.1</t>
  </si>
  <si>
    <t>2.2</t>
  </si>
  <si>
    <t>2.3</t>
  </si>
  <si>
    <t>2.4</t>
  </si>
  <si>
    <t>2.5</t>
  </si>
  <si>
    <t>2.6</t>
  </si>
  <si>
    <t>　三</t>
  </si>
  <si>
    <t>3.1</t>
  </si>
  <si>
    <t>3.2</t>
  </si>
  <si>
    <t>3.3</t>
  </si>
  <si>
    <t>3.4</t>
  </si>
  <si>
    <t>　四</t>
  </si>
  <si>
    <t>4.1</t>
  </si>
  <si>
    <t>4.2</t>
  </si>
  <si>
    <t>　五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</si>
  <si>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</si>
  <si>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</si>
  <si>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</si>
  <si>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</si>
  <si>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</si>
  <si>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</si>
  <si>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</si>
  <si>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</si>
  <si>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</si>
  <si>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</si>
  <si>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</si>
  <si>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　六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</si>
  <si>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</si>
  <si>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</si>
  <si>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</si>
  <si>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</si>
  <si>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</si>
  <si>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</si>
  <si>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</si>
  <si>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</si>
  <si>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</si>
  <si>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</si>
  <si>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</si>
  <si>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合計</t>
    <phoneticPr fontId="1" type="noConversion"/>
  </si>
  <si>
    <t>職業安全衛生，保護器材，手部，特殊手套，防酸鹼用</t>
  </si>
  <si>
    <t>職業安全衛生，保護器材，臉部，安全面罩</t>
  </si>
  <si>
    <t>職業安全衛生，保護器材，頭部，安全帽(加反光條)</t>
  </si>
  <si>
    <t>職業安全衛生，一般器材，安全告示牌，1.5mm厚P.V.C</t>
  </si>
  <si>
    <t>施工圍籬，組合式活動，1.8m ≦高度＜ 2.1m</t>
  </si>
  <si>
    <t>3.9</t>
  </si>
  <si>
    <t>3.8</t>
  </si>
  <si>
    <t>3.7</t>
  </si>
  <si>
    <t>3.6</t>
  </si>
  <si>
    <t>3.5</t>
  </si>
  <si>
    <t>2.10</t>
  </si>
  <si>
    <t>2.9</t>
  </si>
  <si>
    <t>2.8</t>
  </si>
  <si>
    <t>2.7</t>
  </si>
  <si>
    <t>1.6.15</t>
  </si>
  <si>
    <t>1.6.14</t>
  </si>
  <si>
    <t>1.6.13</t>
  </si>
  <si>
    <t>1.6.12</t>
  </si>
  <si>
    <t>1.6.11</t>
  </si>
  <si>
    <t>1.6.10</t>
  </si>
  <si>
    <t>1.6.9</t>
  </si>
  <si>
    <t>1.6.8</t>
  </si>
  <si>
    <t>1.6.7</t>
  </si>
  <si>
    <t>1.6.6</t>
  </si>
  <si>
    <t>1.6.5</t>
  </si>
  <si>
    <t>1.6.4</t>
  </si>
  <si>
    <t>1.6.3</t>
  </si>
  <si>
    <t>1.6.2</t>
  </si>
  <si>
    <t>1.6.1</t>
  </si>
  <si>
    <t>　　(六)</t>
  </si>
  <si>
    <t>1.5.13</t>
  </si>
  <si>
    <t>1.5.12</t>
  </si>
  <si>
    <t>1.5.11</t>
  </si>
  <si>
    <t>1.5.10</t>
  </si>
  <si>
    <t>1.5.9</t>
  </si>
  <si>
    <t>1.5.8</t>
  </si>
  <si>
    <t>1.5.7</t>
  </si>
  <si>
    <t>1.5.6</t>
  </si>
  <si>
    <t>1.4.15</t>
  </si>
  <si>
    <t>1.4.14</t>
  </si>
  <si>
    <t>1.4.13</t>
  </si>
  <si>
    <t>1.4.12</t>
  </si>
  <si>
    <t>1.4.11</t>
  </si>
  <si>
    <t>1.4.10</t>
  </si>
  <si>
    <t>1.4.9</t>
  </si>
  <si>
    <t>1.4.8</t>
  </si>
  <si>
    <t>1.4.7</t>
  </si>
  <si>
    <t>1.4.6</t>
  </si>
  <si>
    <t>1.4.5</t>
  </si>
  <si>
    <t>鋼筋，SD280W</t>
  </si>
  <si>
    <t>普通模板，丙種</t>
  </si>
  <si>
    <t>基地及路幅開挖，未含運費，(機械挖，0.7～0.79m3開挖機)</t>
  </si>
  <si>
    <t>1.3.24</t>
  </si>
  <si>
    <t>1.3.23</t>
  </si>
  <si>
    <t>1.3.22</t>
  </si>
  <si>
    <t>1.3.21</t>
  </si>
  <si>
    <t>1.3.20</t>
  </si>
  <si>
    <t>1.3.19</t>
  </si>
  <si>
    <t>1.3.18</t>
  </si>
  <si>
    <t>1.3.17</t>
  </si>
  <si>
    <t>1.3.16</t>
  </si>
  <si>
    <t>瀝青黏層，快凝油溶瀝青，RC-70</t>
  </si>
  <si>
    <t>餘方自行處理(含水土保持)，總重15t傾卸貨車</t>
  </si>
  <si>
    <t>　一</t>
  </si>
  <si>
    <t>數量計算書</t>
    <phoneticPr fontId="1" type="noConversion"/>
  </si>
  <si>
    <t>1.2.34</t>
  </si>
  <si>
    <t>1.2.35</t>
  </si>
  <si>
    <t>1.2.36</t>
  </si>
  <si>
    <t>1.2.37</t>
  </si>
  <si>
    <t>1.3.25</t>
  </si>
  <si>
    <t>1.3.26</t>
  </si>
  <si>
    <t>1.6.16</t>
  </si>
  <si>
    <t>1.2.31</t>
  </si>
  <si>
    <t>1.2.32</t>
  </si>
  <si>
    <t>1.3.27</t>
  </si>
  <si>
    <t>1.5.14</t>
  </si>
  <si>
    <t>電線及電纜，600V交連聚乙烯絕緣聚氯乙烯被覆電力電纜(XLPE)，1/C，14mm2</t>
  </si>
  <si>
    <t>導線管，硬質聚氯乙烯塑膠管，E管，標稱41mm</t>
  </si>
  <si>
    <t>計算式</t>
    <phoneticPr fontId="1" type="noConversion"/>
  </si>
  <si>
    <t>施工輔助設施，施工架，鋼管，框式</t>
  </si>
  <si>
    <t>C.M3</t>
  </si>
  <si>
    <t>品質管理，材料設備檢驗費，土木工程及建築類檢驗，土壤分類試驗</t>
  </si>
  <si>
    <t>職安人員費用</t>
  </si>
  <si>
    <t>人月</t>
  </si>
  <si>
    <t>自主品管費</t>
  </si>
  <si>
    <t>品管人員費用</t>
  </si>
  <si>
    <t>基地及路幅開挖，未含運費，(機械挖，0.7～0.79m3開挖機)</t>
    <phoneticPr fontId="1" type="noConversion"/>
  </si>
  <si>
    <t>臺北市政府工務局水利工程處</t>
  </si>
  <si>
    <t>詳 細 價 目 表</t>
  </si>
  <si>
    <t>工程名稱：磺港溪再造C段護岸及步道整建工程(三合橋至奇岩抽水站)</t>
    <phoneticPr fontId="1" type="noConversion"/>
  </si>
  <si>
    <t>施工地點：北投磺港溪</t>
  </si>
  <si>
    <t>工程編號：111 070020302 038 02</t>
  </si>
  <si>
    <t>項次</t>
  </si>
  <si>
    <t>項  目  及  說  明</t>
  </si>
  <si>
    <t>單位</t>
  </si>
  <si>
    <t>數量</t>
  </si>
  <si>
    <t>單  價</t>
  </si>
  <si>
    <t>複  價</t>
  </si>
  <si>
    <t>備  註</t>
  </si>
  <si>
    <t/>
  </si>
  <si>
    <t xml:space="preserve">
</t>
  </si>
  <si>
    <t>整備工程</t>
  </si>
  <si>
    <t>機械拆除，瀝青混凝土，未含運費</t>
  </si>
  <si>
    <t xml:space="preserve">0222010123
分析表1_x000D_
</t>
  </si>
  <si>
    <t>機械拆除，鋼筋混凝土，未含運費</t>
  </si>
  <si>
    <t xml:space="preserve">0222010E23
分析表2_x000D_
</t>
  </si>
  <si>
    <t>盤踞切割</t>
  </si>
  <si>
    <t>0222011101
#磺港路橋(奇岩抽水站旁)1533.9m、希冀橋208.6m</t>
  </si>
  <si>
    <t xml:space="preserve">02321PWD05AB1
分析表3_x000D_
</t>
  </si>
  <si>
    <t>瀝青混凝土面層刨除，刨除料運費</t>
  </si>
  <si>
    <t xml:space="preserve">0296103003
分析表4_x000D_
</t>
  </si>
  <si>
    <t>1.1.6</t>
  </si>
  <si>
    <t>利用填方，含夯實</t>
  </si>
  <si>
    <t xml:space="preserve">02931BDD101
分析表5_x000D_
</t>
  </si>
  <si>
    <t>1.1.7</t>
  </si>
  <si>
    <t>餘方遠運處理(台北港)</t>
  </si>
  <si>
    <t>023235X46A
分析表6_x000D_
僅含運費(運距約&lt;20K)(土方管理費檢據核銷)</t>
  </si>
  <si>
    <t>1.1.8</t>
  </si>
  <si>
    <t>餘方自行處理(房屋廢方，含水土保持)</t>
  </si>
  <si>
    <t xml:space="preserve">0232340063a
分析表7_x000D_
</t>
  </si>
  <si>
    <t>1.1.9</t>
  </si>
  <si>
    <t>瀝青混凝土面層刨除，厚5cm，刨除機1.2m寬，含瀝青鋪面打毛(未含運費)</t>
  </si>
  <si>
    <t>02961403321
分析表8_x000D_
#含瀝青鋪面打毛</t>
  </si>
  <si>
    <t>1.1.10</t>
  </si>
  <si>
    <t>瀝青混凝土面層刨除，厚10cm，刨除機2.2m寬，未含運費</t>
  </si>
  <si>
    <t xml:space="preserve">0296190432
分析表9_x000D_
</t>
  </si>
  <si>
    <t>1.1.11</t>
  </si>
  <si>
    <t>切割瀝青混凝土或無筋混凝土，5cm≦切割深度＜10cm</t>
  </si>
  <si>
    <t xml:space="preserve">02220PWD00021
分析表10_x000D_
</t>
  </si>
  <si>
    <t>1.1.12</t>
  </si>
  <si>
    <t>清除及掘除，雜草雜木，含垃圾撿除，人工割</t>
  </si>
  <si>
    <t xml:space="preserve">0223109002
分析表11_x000D_
</t>
  </si>
  <si>
    <t>1.1.13</t>
  </si>
  <si>
    <t>垃圾及廢棄物(以體積計)清運</t>
  </si>
  <si>
    <t>02234A0003a
分析表12_x000D_
#</t>
  </si>
  <si>
    <t>1.1.14</t>
  </si>
  <si>
    <t>節塊吊放</t>
  </si>
  <si>
    <t>01271AB00A
分析表13_x000D_
#磺港路橋、共月橋、三合橋</t>
  </si>
  <si>
    <t>1.1.15</t>
  </si>
  <si>
    <t>機械拆除，工地雜項拆除清理，欄杆，含運費</t>
  </si>
  <si>
    <t xml:space="preserve">0222016711
分析表14_x000D_
</t>
  </si>
  <si>
    <t>1.1.16</t>
  </si>
  <si>
    <t>土方運送(百齡抽水站)</t>
  </si>
  <si>
    <t>趟</t>
  </si>
  <si>
    <t xml:space="preserve">01271A00EE
分析表15_x000D_
</t>
  </si>
  <si>
    <t>1.1.17</t>
  </si>
  <si>
    <t>既有路燈拆除繳回</t>
  </si>
  <si>
    <t>盞</t>
  </si>
  <si>
    <t>1652511031
分析表16_x000D_
#料繳回，含運費。</t>
  </si>
  <si>
    <t>1.1.18</t>
  </si>
  <si>
    <t>座椅拆除繳回</t>
  </si>
  <si>
    <t>022201701E
#料繳回，含運費。</t>
  </si>
  <si>
    <t>1.1.19</t>
  </si>
  <si>
    <t>解說牌拆除</t>
  </si>
  <si>
    <t>022201604E
#料繳回，含運費。</t>
  </si>
  <si>
    <t>1.1.20</t>
  </si>
  <si>
    <t>自行車架拆除</t>
  </si>
  <si>
    <t>022201604E2
#料繳回，含運費。</t>
  </si>
  <si>
    <t>1.1.21</t>
  </si>
  <si>
    <t>交通牌誌拆除</t>
  </si>
  <si>
    <t>022200601E0
#料繳回，含運費。</t>
  </si>
  <si>
    <t>1.1.22</t>
  </si>
  <si>
    <t>既有水利設施拆除及運送</t>
  </si>
  <si>
    <t>02231A1014
水閘門</t>
  </si>
  <si>
    <t>1.1.23</t>
  </si>
  <si>
    <t>L015566G01001
[人力工項不打折]</t>
  </si>
  <si>
    <t>土建景觀工程</t>
  </si>
  <si>
    <t>構造物回填，回填及夯實(實際)</t>
  </si>
  <si>
    <t xml:space="preserve">023174000A
分析表17_x000D_
</t>
  </si>
  <si>
    <t>構造物回填，回填及夯實，人工夯實</t>
  </si>
  <si>
    <t xml:space="preserve">0231740#M1
分析表18_x000D_
</t>
  </si>
  <si>
    <t>0321040009z
分析表19_x000D_
本項納入(鋼筋)物價指數調整</t>
  </si>
  <si>
    <t>結構用混凝土，預拌，140kgf/cm2</t>
  </si>
  <si>
    <t xml:space="preserve">0331023003
分析表20_x000D_
</t>
  </si>
  <si>
    <t xml:space="preserve">0331025003
分析表21_x000D_
</t>
  </si>
  <si>
    <t>0311011302z
分析表22_x000D_
U型構，集水井，排水箱涵等。本項納入(普通模板)物價指數調整</t>
  </si>
  <si>
    <t>清水模板，鋼模</t>
  </si>
  <si>
    <t>03110212A1a
分析表23_x000D_
本項納入「金屬製品類」物價指數調整</t>
  </si>
  <si>
    <t>鍍鋅鋼料</t>
  </si>
  <si>
    <t>05500R0009A
分析表24_x000D_
#本項納入「金屬製品類」物價指數調整</t>
  </si>
  <si>
    <t>金屬材料，鋼料，裁切加工銲製(工廠加工)</t>
  </si>
  <si>
    <t xml:space="preserve">050606B009
</t>
  </si>
  <si>
    <t>結構用鋼材，銲接結構用軋鋼料，SM400B鋼構工程及製作、組立工程(含加勁板、續接板、螺絲、螺栓、螺帽等)</t>
  </si>
  <si>
    <t>0512540009A2
分析表25_x000D_
#本項納入「金屬製品類」物價指數調整</t>
  </si>
  <si>
    <t>透水磚紙模地坪</t>
  </si>
  <si>
    <t xml:space="preserve">0279400002
分析表26_x000D_
</t>
  </si>
  <si>
    <t>梯形磚鋪面，149.5x(30,20)x8cmTH</t>
  </si>
  <si>
    <t xml:space="preserve">0278600342
分析表27_x000D_
</t>
  </si>
  <si>
    <t>石材鋪面</t>
  </si>
  <si>
    <t xml:space="preserve">0441000122
分析表28_x000D_
</t>
  </si>
  <si>
    <t>卵石鋪面</t>
  </si>
  <si>
    <t xml:space="preserve">0445530002
分析表29_x000D_
</t>
  </si>
  <si>
    <t>露骨材地坪</t>
  </si>
  <si>
    <t xml:space="preserve">0336000002
分析表30_x000D_
</t>
  </si>
  <si>
    <t>PC地坪</t>
  </si>
  <si>
    <t xml:space="preserve">0336070002
分析表31_x000D_
</t>
  </si>
  <si>
    <t>格柵鋪面B</t>
  </si>
  <si>
    <t xml:space="preserve">055306H15Bb
分析表32_x000D_
</t>
  </si>
  <si>
    <t>細石子鋪面</t>
  </si>
  <si>
    <t xml:space="preserve">027262000B
分析表33_x000D_
</t>
  </si>
  <si>
    <t>鋼板收邊A型</t>
  </si>
  <si>
    <t>05500P0011
分析表34_x000D_
#</t>
  </si>
  <si>
    <t>鋼板收邊B型</t>
  </si>
  <si>
    <t>05500P00C1
分析表35_x000D_
#</t>
  </si>
  <si>
    <t>界石收邊</t>
  </si>
  <si>
    <t xml:space="preserve">02770A3111
分析表36_x000D_
</t>
  </si>
  <si>
    <t>緣石收邊</t>
  </si>
  <si>
    <t>0277011001
分析表37_x000D_
#</t>
  </si>
  <si>
    <t>道路緣石收邊</t>
  </si>
  <si>
    <t>02770110012
分析表38_x000D_
#</t>
  </si>
  <si>
    <t>道路緣石斜坡式</t>
  </si>
  <si>
    <t>0277001001
分析表39_x000D_
#</t>
  </si>
  <si>
    <t>場鑄道路緣石</t>
  </si>
  <si>
    <t>0277012001
分析表40_x000D_
#</t>
  </si>
  <si>
    <t>伸縮縫</t>
  </si>
  <si>
    <t xml:space="preserve">0315030001
分析表41_x000D_
</t>
  </si>
  <si>
    <t>警示帶定位磚</t>
  </si>
  <si>
    <t>02786A0202
分析表42_x000D_
#</t>
  </si>
  <si>
    <t>座台A</t>
  </si>
  <si>
    <t xml:space="preserve">03054410011A
分析表43_x000D_
</t>
  </si>
  <si>
    <t>座台D</t>
  </si>
  <si>
    <t xml:space="preserve">03054410011D
分析表44_x000D_
</t>
  </si>
  <si>
    <t>座台E</t>
  </si>
  <si>
    <t xml:space="preserve">03054410011E
分析表45_x000D_
</t>
  </si>
  <si>
    <t>座椅A</t>
  </si>
  <si>
    <t xml:space="preserve">030544100B2A
分析表46_x000D_
</t>
  </si>
  <si>
    <t>座椅B</t>
  </si>
  <si>
    <t>03054410012B
分析表47_x000D_
#</t>
  </si>
  <si>
    <t>1.2.33</t>
  </si>
  <si>
    <t>座椅C</t>
  </si>
  <si>
    <t xml:space="preserve">030544100B2C
分析表48_x000D_
</t>
  </si>
  <si>
    <t>座椅D-1</t>
  </si>
  <si>
    <t>030544100B2D
分析表49_x000D_
#</t>
  </si>
  <si>
    <t>座椅D-2</t>
  </si>
  <si>
    <t xml:space="preserve">030544100B2D2
分析表50_x000D_
</t>
  </si>
  <si>
    <t>草地座階</t>
  </si>
  <si>
    <t>03054410013
分析表51_x000D_
#</t>
  </si>
  <si>
    <t>砌石擋牆A</t>
  </si>
  <si>
    <t xml:space="preserve">0238602101A
分析表52_x000D_
</t>
  </si>
  <si>
    <t>1.2.38</t>
  </si>
  <si>
    <t>砌石擋牆B</t>
  </si>
  <si>
    <t xml:space="preserve">0238602101B
分析表53_x000D_
</t>
  </si>
  <si>
    <t>1.2.39</t>
  </si>
  <si>
    <t>鋼板擋牆</t>
  </si>
  <si>
    <t xml:space="preserve">0512531001
分析表54_x000D_
</t>
  </si>
  <si>
    <t>1.2.40</t>
  </si>
  <si>
    <t>擋牆b’型</t>
  </si>
  <si>
    <t xml:space="preserve">0305441201b
分析表55_x000D_
</t>
  </si>
  <si>
    <t>1.2.41</t>
  </si>
  <si>
    <t>擋牆c’型</t>
  </si>
  <si>
    <t xml:space="preserve">0305441201c
分析表56_x000D_
</t>
  </si>
  <si>
    <t>1.2.42</t>
  </si>
  <si>
    <t>樓梯E</t>
  </si>
  <si>
    <t xml:space="preserve">03054B000BE
分析表57_x000D_
</t>
  </si>
  <si>
    <t>1.2.43</t>
  </si>
  <si>
    <t>樓梯G</t>
  </si>
  <si>
    <t xml:space="preserve">03054B000BG
分析表58_x000D_
</t>
  </si>
  <si>
    <t>1.2.44</t>
  </si>
  <si>
    <t>樓梯H</t>
  </si>
  <si>
    <t xml:space="preserve">03054B000BH
分析表59_x000D_
</t>
  </si>
  <si>
    <t>1.2.45</t>
  </si>
  <si>
    <t>樓梯J</t>
  </si>
  <si>
    <t xml:space="preserve">03054B000BJ
分析表60_x000D_
</t>
  </si>
  <si>
    <t>1.2.46</t>
  </si>
  <si>
    <t>樓梯K</t>
  </si>
  <si>
    <t xml:space="preserve">03054B000BK
分析表61_x000D_
</t>
  </si>
  <si>
    <t>1.2.47</t>
  </si>
  <si>
    <t>欄杆B</t>
  </si>
  <si>
    <t xml:space="preserve">05520B0001B
分析表62_x000D_
</t>
  </si>
  <si>
    <t>1.2.48</t>
  </si>
  <si>
    <t>欄杆C</t>
  </si>
  <si>
    <t xml:space="preserve">05520B0001C
分析表63_x000D_
</t>
  </si>
  <si>
    <t>1.2.49</t>
  </si>
  <si>
    <t>護欄b</t>
  </si>
  <si>
    <t xml:space="preserve">03054412014b
分析表64_x000D_
</t>
  </si>
  <si>
    <t>1.2.50</t>
  </si>
  <si>
    <t>地圖牌</t>
  </si>
  <si>
    <t>050606300D1
分析表65_x000D_
#</t>
  </si>
  <si>
    <t>1.2.51</t>
  </si>
  <si>
    <t>全區導覽牌</t>
  </si>
  <si>
    <t>050606300D2
分析表66_x000D_
#</t>
  </si>
  <si>
    <t>1.2.52</t>
  </si>
  <si>
    <t>公園自治條例</t>
  </si>
  <si>
    <t xml:space="preserve">050606300D3
分析表67_x000D_
</t>
  </si>
  <si>
    <t>1.2.53</t>
  </si>
  <si>
    <t>方向指示牌</t>
  </si>
  <si>
    <t xml:space="preserve">050606300D4
分析表68_x000D_
</t>
  </si>
  <si>
    <t>1.2.54</t>
  </si>
  <si>
    <t>水位警示設施</t>
  </si>
  <si>
    <t xml:space="preserve">050606300D5
分析表69_x000D_
</t>
  </si>
  <si>
    <t>1.2.55</t>
  </si>
  <si>
    <t>警示設施說明牌A</t>
  </si>
  <si>
    <t xml:space="preserve">050606300D6A
分析表70_x000D_
</t>
  </si>
  <si>
    <t>1.2.56</t>
  </si>
  <si>
    <t>警示設施說明牌B</t>
  </si>
  <si>
    <t xml:space="preserve">050606300D6B
分析表71_x000D_
</t>
  </si>
  <si>
    <t>1.2.57</t>
  </si>
  <si>
    <t>警示設施說明牌C</t>
  </si>
  <si>
    <t xml:space="preserve">050606300D6C
分析表72_x000D_
</t>
  </si>
  <si>
    <t>1.2.58</t>
  </si>
  <si>
    <t>警示設施說明牌D</t>
  </si>
  <si>
    <t xml:space="preserve">050606300D6D
分析表73_x000D_
</t>
  </si>
  <si>
    <t>1.2.59</t>
  </si>
  <si>
    <t>解說牌A</t>
  </si>
  <si>
    <t xml:space="preserve">050606300D7A
分析表74_x000D_
</t>
  </si>
  <si>
    <t>1.2.60</t>
  </si>
  <si>
    <t>解說牌B</t>
  </si>
  <si>
    <t xml:space="preserve">050606300D7B
分析表75_x000D_
</t>
  </si>
  <si>
    <t>1.2.61</t>
  </si>
  <si>
    <t>解說牌C</t>
  </si>
  <si>
    <t xml:space="preserve">050606300D7C
分析表76_x000D_
</t>
  </si>
  <si>
    <t>1.2.62</t>
  </si>
  <si>
    <t>解說牌E</t>
  </si>
  <si>
    <t xml:space="preserve">050606300D7E
分析表77_x000D_
</t>
  </si>
  <si>
    <t>1.2.63</t>
  </si>
  <si>
    <t>解說牌F</t>
  </si>
  <si>
    <t xml:space="preserve">050606300D7F
分析表78_x000D_
</t>
  </si>
  <si>
    <t>1.2.64</t>
  </si>
  <si>
    <t>解說牌G</t>
  </si>
  <si>
    <t xml:space="preserve">050606300D7G
分析表79_x000D_
</t>
  </si>
  <si>
    <t>1.2.65</t>
  </si>
  <si>
    <t>高程控制牌</t>
  </si>
  <si>
    <t xml:space="preserve">050606300D8
分析表80_x000D_
</t>
  </si>
  <si>
    <t>1.2.66</t>
  </si>
  <si>
    <t>高程控制樁B</t>
  </si>
  <si>
    <t xml:space="preserve">050606300D9B
分析表81_x000D_
</t>
  </si>
  <si>
    <t>1.2.67</t>
  </si>
  <si>
    <t>三合祠入口意象</t>
  </si>
  <si>
    <t xml:space="preserve">050606300D0
分析表82_x000D_
</t>
  </si>
  <si>
    <t>1.2.68</t>
  </si>
  <si>
    <t>標線，熱處理聚酯，反光，厚2mm，黏層劑(底漆)，第Ⅱ型</t>
  </si>
  <si>
    <t xml:space="preserve">0289821312
分析表83_x000D_
</t>
  </si>
  <si>
    <t>1.2.69</t>
  </si>
  <si>
    <t>垃圾筒</t>
  </si>
  <si>
    <t>05500F1008
分析表84_x000D_
#</t>
  </si>
  <si>
    <t>1.2.70</t>
  </si>
  <si>
    <t>巢箱</t>
  </si>
  <si>
    <t>06200Q1008
分析表85_x000D_
#含安裝</t>
  </si>
  <si>
    <t>1.2.71</t>
  </si>
  <si>
    <t>自然景石</t>
  </si>
  <si>
    <t>T</t>
  </si>
  <si>
    <t>0238100105
#含結構、吊運</t>
  </si>
  <si>
    <t>1.2.72</t>
  </si>
  <si>
    <t>陰井</t>
  </si>
  <si>
    <t xml:space="preserve">02631350BB
分析表86_x000D_
</t>
  </si>
  <si>
    <t>1.2.73</t>
  </si>
  <si>
    <t>PP陰井</t>
  </si>
  <si>
    <t xml:space="preserve">026313900B
分析表87_x000D_
</t>
  </si>
  <si>
    <t>1.2.74</t>
  </si>
  <si>
    <t>截水溝A型</t>
  </si>
  <si>
    <t xml:space="preserve">0260101101A
分析表88_x000D_
</t>
  </si>
  <si>
    <t>1.2.75</t>
  </si>
  <si>
    <t>截水溝B型</t>
  </si>
  <si>
    <t xml:space="preserve">0260101101B
分析表89_x000D_
</t>
  </si>
  <si>
    <t>1.2.76</t>
  </si>
  <si>
    <t>截水溝C型</t>
  </si>
  <si>
    <t xml:space="preserve">0260101101C
分析表90_x000D_
</t>
  </si>
  <si>
    <t>1.2.77</t>
  </si>
  <si>
    <t>草溝+∮4" HDPE透水管</t>
  </si>
  <si>
    <t>0292721402
分析表91_x000D_
#</t>
  </si>
  <si>
    <t>1.2.78</t>
  </si>
  <si>
    <t>∮3"HDPE透水管</t>
  </si>
  <si>
    <t xml:space="preserve">02620B02023
分析表92_x000D_
</t>
  </si>
  <si>
    <t>1.2.79</t>
  </si>
  <si>
    <t>∮4"HDPE透水管</t>
  </si>
  <si>
    <t xml:space="preserve">02620B02024
分析表93_x000D_
</t>
  </si>
  <si>
    <t>1.2.80</t>
  </si>
  <si>
    <t>∮2"PVC排水管埋設</t>
  </si>
  <si>
    <t xml:space="preserve">026108F021a
分析表94_x000D_
</t>
  </si>
  <si>
    <t>1.2.81</t>
  </si>
  <si>
    <t>∮4"PVC排水管埋設</t>
  </si>
  <si>
    <t>026108F021b
分析表95_x000D_
#</t>
  </si>
  <si>
    <t>1.2.82</t>
  </si>
  <si>
    <t>∮4B(厚管)"PVC排水管埋設</t>
  </si>
  <si>
    <t>151072B52A
分析表96_x000D_
#</t>
  </si>
  <si>
    <t>1.2.83</t>
  </si>
  <si>
    <t>∮6"PVC排水管埋設</t>
  </si>
  <si>
    <t>026108F043B
分析表97_x000D_
#</t>
  </si>
  <si>
    <t>1.2.84</t>
  </si>
  <si>
    <t>淺溝</t>
  </si>
  <si>
    <t>0260101101D
分析表98_x000D_
本項納入「金屬製品類」物價指數調整</t>
  </si>
  <si>
    <t>1.2.85</t>
  </si>
  <si>
    <t>雨水回收槽</t>
  </si>
  <si>
    <t>0263121DWA
分析表99_x000D_
#</t>
  </si>
  <si>
    <t>橋梁工程</t>
  </si>
  <si>
    <t>結構用混凝土，預拌，280kgf/cm2</t>
  </si>
  <si>
    <t xml:space="preserve">0331027003
分析表100_x000D_
</t>
  </si>
  <si>
    <t>鋼筋，SD420W</t>
  </si>
  <si>
    <t>0321060035z
分析表101_x000D_
本項納入(鋼筋)物價指數調整</t>
  </si>
  <si>
    <t>清水模板，甲種</t>
  </si>
  <si>
    <t>0311021102n
分析表102_x000D_
橋面。本項納入(清水模板)物價指數調整</t>
  </si>
  <si>
    <t>清水模板，乙種</t>
  </si>
  <si>
    <t>0311021202n
分析表103_x000D_
場鑄結構混凝土用模板，(乙種，擋土牆，橋台，車行箱涵等)。本項納入(清水模板)物價指數調整</t>
  </si>
  <si>
    <t>普通模板，乙種</t>
  </si>
  <si>
    <t>0311011202z
分析表104_x000D_
擋土牆，橋台，車行箱涵等。本項納入(普通模板)物價指數調整</t>
  </si>
  <si>
    <t>耐候鋼，A242</t>
  </si>
  <si>
    <t>kg</t>
  </si>
  <si>
    <t xml:space="preserve">0512531009
</t>
  </si>
  <si>
    <t>1.3.11</t>
  </si>
  <si>
    <t>不銹鋼料，SUS304，含加工安裝等</t>
  </si>
  <si>
    <t xml:space="preserve">05500Pc009
分析表105_x000D_
</t>
  </si>
  <si>
    <t>金屬製品，氟碳烤漆(一底二度，厚度50μM以上)</t>
  </si>
  <si>
    <t>055000b002
#</t>
  </si>
  <si>
    <t>0154011202
分析表106_x000D_
需符合中華民國國家標準4750</t>
  </si>
  <si>
    <t xml:space="preserve">023234004A
分析表107_x000D_
</t>
  </si>
  <si>
    <t>放樣</t>
  </si>
  <si>
    <t>0172544002a
#</t>
  </si>
  <si>
    <t>全套管式鑽掘混凝土基樁，D=1200mm</t>
    <phoneticPr fontId="1" type="noConversion"/>
  </si>
  <si>
    <t>0246980001a
分析表108_x000D_
本項納入(鋼筋)物價指數調整</t>
  </si>
  <si>
    <t>水泥混凝土鋪面，表面拉毛處理</t>
  </si>
  <si>
    <t xml:space="preserve">0336060002
分析表109_x000D_
</t>
  </si>
  <si>
    <t>混凝土表面處理，晶化地坪，含分割縫</t>
  </si>
  <si>
    <t xml:space="preserve">0275123262
分析表110_x000D_
</t>
  </si>
  <si>
    <t>希冀橋無障礙警示帶</t>
  </si>
  <si>
    <t xml:space="preserve">0978100002cg
分析表111_x000D_
</t>
  </si>
  <si>
    <t>希冀橋欄杆A，新設，H=110cm</t>
  </si>
  <si>
    <t>0509110011g
分析表112_x000D_
#</t>
  </si>
  <si>
    <t>希冀橋欄杆B，新設，H=110cm</t>
  </si>
  <si>
    <t>0509110011h
分析表113_x000D_
#</t>
  </si>
  <si>
    <t>希冀橋耐候鋼板雷切焊接吊運組裝(t=6mm)</t>
  </si>
  <si>
    <t>0509110011b
分析表114_x000D_
#</t>
  </si>
  <si>
    <t>希冀橋耐候鋼透空步道雷切焊接吊運組裝(t=8mm)</t>
  </si>
  <si>
    <t>050911a011c
分析表115_x000D_
#</t>
  </si>
  <si>
    <t>1.3.28</t>
  </si>
  <si>
    <t>希冀橋人行道引道</t>
  </si>
  <si>
    <t>050911001Bcg
分析表116_x000D_
#</t>
  </si>
  <si>
    <t>1.3.29</t>
  </si>
  <si>
    <t>希冀橋樓梯扶手</t>
  </si>
  <si>
    <t>05500KC001B
分析表117_x000D_
#</t>
  </si>
  <si>
    <t>1.3.30</t>
  </si>
  <si>
    <t>透空步道混凝土踏階</t>
  </si>
  <si>
    <t xml:space="preserve">030544100Bcg
分析表118_x000D_
</t>
  </si>
  <si>
    <t>1.3.31</t>
  </si>
  <si>
    <t>耐候鋼收邊(含封板)</t>
  </si>
  <si>
    <t>05500FC001
分析表119_x000D_
#</t>
  </si>
  <si>
    <t>1.3.32</t>
  </si>
  <si>
    <t>金屬製品，耐候鋼截水溝(t:8mm，w:17.2cm)</t>
  </si>
  <si>
    <t>0509110011d
分析表120_x000D_
#</t>
  </si>
  <si>
    <t>1.3.33</t>
  </si>
  <si>
    <t>落水頭，不銹鋼製，方型(無牙)，標稱口徑50mm(含拆換)</t>
  </si>
  <si>
    <t>只</t>
  </si>
  <si>
    <t xml:space="preserve">15410k1166
</t>
  </si>
  <si>
    <t>1.3.34</t>
  </si>
  <si>
    <t>產品，∮2"PVC排水管</t>
  </si>
  <si>
    <t>M02811A0009a
#</t>
  </si>
  <si>
    <t>1.3.35</t>
  </si>
  <si>
    <t>希冀橋</t>
  </si>
  <si>
    <t xml:space="preserve">051211AB0B2
分析表121_x000D_
</t>
  </si>
  <si>
    <t>1.3.36</t>
  </si>
  <si>
    <t>磺港路橋</t>
  </si>
  <si>
    <t xml:space="preserve">051211AB0B4
分析表122_x000D_
</t>
  </si>
  <si>
    <t>河川工程</t>
  </si>
  <si>
    <t>結構用混凝土，泵送及澆注費</t>
  </si>
  <si>
    <t xml:space="preserve">03310000Z5
</t>
  </si>
  <si>
    <t>砌排石工，混凝土砌石</t>
  </si>
  <si>
    <t>0238630502a
分析表123_x000D_
#卵石，厚30cm，含勾縫</t>
  </si>
  <si>
    <t>低水護岸，拋石，塊石，硬石</t>
  </si>
  <si>
    <t>02381A010Aa
分析表124_x000D_
#</t>
  </si>
  <si>
    <t>固床工，砌排石工，乾砌塊石</t>
  </si>
  <si>
    <t>0238630002
分析表125_x000D_
#</t>
  </si>
  <si>
    <t>抿石子</t>
  </si>
  <si>
    <t xml:space="preserve">0978200002
分析表126_x000D_
</t>
  </si>
  <si>
    <t>鋼筋，植筋，D25mm，鑽孔(含空氣槍清孔)及化學藥劑</t>
  </si>
  <si>
    <t>孔</t>
  </si>
  <si>
    <t xml:space="preserve">032100E7GB
</t>
  </si>
  <si>
    <t>蜂巢格網</t>
  </si>
  <si>
    <t>0237101003a
分析表127_x000D_
#</t>
  </si>
  <si>
    <t>1.4.16</t>
  </si>
  <si>
    <t>施工縫</t>
  </si>
  <si>
    <t xml:space="preserve">0315040001
分析表128_x000D_
</t>
  </si>
  <si>
    <t>1.4.17</t>
  </si>
  <si>
    <t>1.4.18</t>
  </si>
  <si>
    <t>預力混凝土基樁，D=400mm</t>
  </si>
  <si>
    <t>0245730011k
分析表129_x000D_
#(打樁，含空打)，本項零星工料包含鋼筋籠外側所需之間隔片費用</t>
  </si>
  <si>
    <t>1.4.19</t>
  </si>
  <si>
    <t>河道整理</t>
  </si>
  <si>
    <t xml:space="preserve">Z0910000001
</t>
  </si>
  <si>
    <t>1.4.20</t>
  </si>
  <si>
    <t>沉水式污物泵，SUS304不銹鋼，Q=0.3cms，D=300mm</t>
  </si>
  <si>
    <t xml:space="preserve">015105350I
</t>
  </si>
  <si>
    <t>下水道工程</t>
  </si>
  <si>
    <t>控制性低強度回填材料及澆置</t>
  </si>
  <si>
    <t xml:space="preserve">0337700003
分析表130_x000D_
</t>
  </si>
  <si>
    <t>清水模板，丙種</t>
  </si>
  <si>
    <t>0311021302n
分析表131_x000D_
本項納入(清水木模)物價指數調整</t>
  </si>
  <si>
    <t>鋼筋混凝土管(B型)，D=500mm，三級管，未含開挖回填</t>
  </si>
  <si>
    <t xml:space="preserve">026102C30A
分析表132_x000D_
</t>
  </si>
  <si>
    <t>預鑄鋼筋混凝土基座(埋管用)，D=1000mm管用</t>
  </si>
  <si>
    <t xml:space="preserve">026100BD0H
分析表133_x000D_
</t>
  </si>
  <si>
    <t>擠壓式彈性填縫帶，(寬55mm，厚20mm)，600～1000mm鋼筋混凝土管排水用</t>
  </si>
  <si>
    <t xml:space="preserve">02610PWD0A331
</t>
  </si>
  <si>
    <t>排水人孔，人孔蓋及蓋座，球狀石墨鑄鐵蓋，預鑄</t>
  </si>
  <si>
    <t xml:space="preserve">0263111208
分析表134_x000D_
</t>
  </si>
  <si>
    <t>1.5.15</t>
  </si>
  <si>
    <t>1.5.16</t>
  </si>
  <si>
    <t>1.5.17</t>
  </si>
  <si>
    <t>1.5.18</t>
  </si>
  <si>
    <t>舌閥，含止傾桿，球狀石墨鑄鐵，標稱口徑1200mm</t>
  </si>
  <si>
    <t xml:space="preserve">15110X150U08
分析表135_x000D_
</t>
  </si>
  <si>
    <t>1.5.19</t>
  </si>
  <si>
    <t>塑膠包覆不銹鋼踏步，直徑=19mm</t>
  </si>
  <si>
    <t xml:space="preserve">05500h0R0A
分析表136_x000D_
</t>
  </si>
  <si>
    <t>道路及附屬工程</t>
  </si>
  <si>
    <t>瀝青混凝土舖面，粗粒料9.5mm，黏度AC(1)-20</t>
  </si>
  <si>
    <t xml:space="preserve">0274205303
分析表137_x000D_
</t>
  </si>
  <si>
    <t>瀝青混凝土舖面，粗粒料19.0mm，黏度AC(1)-20</t>
  </si>
  <si>
    <t xml:space="preserve">0274203303
分析表138_x000D_
</t>
  </si>
  <si>
    <t>路基整理</t>
  </si>
  <si>
    <t xml:space="preserve">0233600002
分析表139_x000D_
</t>
  </si>
  <si>
    <t>瀝青透層，中凝油溶瀝青，MC-70</t>
  </si>
  <si>
    <t xml:space="preserve">0274512002
分析表140_x000D_
</t>
  </si>
  <si>
    <t xml:space="preserve">0274711002
分析表141_x000D_
</t>
  </si>
  <si>
    <t>鍍鋅格柵蓋板，(框53.6cm，蓋45cm)，細目型</t>
  </si>
  <si>
    <t>0553062008
分析表142_x000D_
#本項納入「金屬製品類」物價指數調整</t>
  </si>
  <si>
    <t>鍍鋅格柵板及框座，止滑花紋加工，含搬運安裝</t>
  </si>
  <si>
    <t>0553070009a
分析表143_x000D_
#本項納入「金屬製品類」物價指數調整</t>
  </si>
  <si>
    <t>　　(七)</t>
  </si>
  <si>
    <t>植栽工程</t>
  </si>
  <si>
    <t>1.7.1</t>
  </si>
  <si>
    <t>植栽，客土，砂質壤土</t>
  </si>
  <si>
    <t>02900B100C
分析表144_x000D_
穴孔：D=20CM， H=20CM</t>
  </si>
  <si>
    <t>1.7.2</t>
  </si>
  <si>
    <t>植栽，透氣管，HDPE</t>
  </si>
  <si>
    <t>02900U105A
#保護樹、移植喬木</t>
  </si>
  <si>
    <t>1.7.3</t>
  </si>
  <si>
    <t>移植，喬木類移植，5≦米高直徑&lt;10cm</t>
  </si>
  <si>
    <t>株</t>
  </si>
  <si>
    <t>029051300A
分析表145_x000D_
#保活一年</t>
  </si>
  <si>
    <t>1.7.4</t>
  </si>
  <si>
    <t>移植，喬木類移植，10cm≦米高直徑＜15cm</t>
  </si>
  <si>
    <t>029051400A
分析表146_x000D_
保活一年</t>
  </si>
  <si>
    <t>1.7.5</t>
  </si>
  <si>
    <t>移植，喬木類移植，15cm≦米高直徑＜20cm</t>
  </si>
  <si>
    <t>029051500A
分析表147_x000D_
保活一年</t>
  </si>
  <si>
    <t>1.7.6</t>
  </si>
  <si>
    <t>移植，喬木類移植，20cm≦米高直徑＜25cm</t>
  </si>
  <si>
    <t>029051600A
分析表148_x000D_
保活一年</t>
  </si>
  <si>
    <t>1.7.7</t>
  </si>
  <si>
    <t>移植，喬木類移植，25cm≦米高直徑＜30cm</t>
  </si>
  <si>
    <t>029051700A
分析表149_x000D_
#保活一年</t>
  </si>
  <si>
    <t>1.7.8</t>
  </si>
  <si>
    <t>移植，喬木類移植，30cm≦米高直徑＜35cm</t>
  </si>
  <si>
    <t>029051800A
分析表150_x000D_
保活一年</t>
  </si>
  <si>
    <t>1.7.9</t>
  </si>
  <si>
    <t>移植，喬木類移植，45cm≦米高直徑＜50cm</t>
  </si>
  <si>
    <t xml:space="preserve">029051B00A
分析表151_x000D_
</t>
  </si>
  <si>
    <t>1.7.10</t>
  </si>
  <si>
    <t>移植，喬木類移植，50cm≦米高直徑＜55cm</t>
  </si>
  <si>
    <t xml:space="preserve">029051C00A
分析表152_x000D_
</t>
  </si>
  <si>
    <t>1.7.11</t>
  </si>
  <si>
    <t>移植，喬木類移植，70cm≦米高直徑＜75cm</t>
  </si>
  <si>
    <t xml:space="preserve">029051G00A
分析表153_x000D_
</t>
  </si>
  <si>
    <t>1.7.12</t>
  </si>
  <si>
    <t>植栽維護，喬木類，樹木修剪，E級</t>
  </si>
  <si>
    <t>029351C00A1
分析表154_x000D_
受保護樹木6株，工程期間修剪2次，含枝葉運棄</t>
  </si>
  <si>
    <t>1.7.13</t>
  </si>
  <si>
    <t>植栽維護，喬木類，枯木移除，米高直徑＜10cm</t>
  </si>
  <si>
    <t>029351A01A
分析表155_x000D_
免保活</t>
  </si>
  <si>
    <t>1.7.14</t>
  </si>
  <si>
    <t>植栽維護，喬木類，枯木移除(喬木類)，10cm≦米高直徑＜20cm</t>
  </si>
  <si>
    <t xml:space="preserve">029351A02A
分析表156_x000D_
</t>
  </si>
  <si>
    <t>1.7.15</t>
  </si>
  <si>
    <t>植栽維護，喬木類，枯木移除(喬木類)，20cm≦米高直徑＜30cm</t>
  </si>
  <si>
    <t xml:space="preserve">029351A03A
分析表157_x000D_
</t>
  </si>
  <si>
    <t>1.7.16</t>
  </si>
  <si>
    <t>植栽維護，喬木類，枯木移除(喬木類)，40cm≦米高直徑＜50cm</t>
  </si>
  <si>
    <t xml:space="preserve">029351A05A
分析表158_x000D_
</t>
  </si>
  <si>
    <t>1.7.17</t>
  </si>
  <si>
    <t>01564C2001
分析表159_x000D_
保護樹菱形格網護樹圍籬</t>
  </si>
  <si>
    <t>1.7.18</t>
  </si>
  <si>
    <t>植栽保護，保護工作，喬木類，(受保護樹鋼材支架)</t>
  </si>
  <si>
    <t>0293621608
#含基礎及施作所需費用</t>
  </si>
  <si>
    <t>1.7.19</t>
  </si>
  <si>
    <t>產品，植栽，包覆材料，草繩及保護墊片，三支組</t>
  </si>
  <si>
    <t>M02900D5208
#受保護樹木及移植樹木</t>
  </si>
  <si>
    <t>1.7.20</t>
  </si>
  <si>
    <t>產品，植栽，包覆材料，麻布袋，L=90~120cm，W=60~90cm</t>
  </si>
  <si>
    <t>M02900D6017
#含受保護樹木及移植樹木</t>
  </si>
  <si>
    <t>1.7.21</t>
  </si>
  <si>
    <t>產品，平面式塑膠警示帶，聚氯乙烯(PVC)，寬度=200mm</t>
  </si>
  <si>
    <t xml:space="preserve">M0250611301
</t>
  </si>
  <si>
    <t>1.7.22</t>
  </si>
  <si>
    <t>產品，防水毯</t>
  </si>
  <si>
    <t>M0712030002
受保護樹木</t>
  </si>
  <si>
    <t>1.7.23</t>
  </si>
  <si>
    <t>圍水，砂包堆置</t>
  </si>
  <si>
    <t xml:space="preserve">0226210003
分析表160_x000D_
</t>
  </si>
  <si>
    <t>1.7.24</t>
  </si>
  <si>
    <t>樹木生長監控</t>
  </si>
  <si>
    <t>1652510K0112A
#受保護樹木生長監控</t>
  </si>
  <si>
    <t>1.7.25</t>
  </si>
  <si>
    <t>植栽，鬆土(空氣挖掘機)</t>
  </si>
  <si>
    <t>0290030042
#</t>
  </si>
  <si>
    <t>1.7.26</t>
  </si>
  <si>
    <t>烏心石，450 ≦ 樹高 &lt; 500㎝，220≦樹幅＜240cm，14 ≦ 米高直徑 &lt; 16㎝</t>
  </si>
  <si>
    <t>0293828EGB
分析表161_x000D_
#</t>
  </si>
  <si>
    <t>1.7.27</t>
  </si>
  <si>
    <t>香楠，300≦樹高&lt;350cm，200≦樹幅&lt;250cm，8≦米高直徑&lt;10cm</t>
  </si>
  <si>
    <t>0293834BF6
分析表162_x000D_
#</t>
  </si>
  <si>
    <t>1.7.28</t>
  </si>
  <si>
    <t>光蠟樹，450 ≦ 樹高 &lt; 500㎝，220≦樹幅＜240cm，14 ≦ 米高直徑 &lt; 16㎝</t>
  </si>
  <si>
    <t>02938J2EGB
分析表163_x000D_
#</t>
  </si>
  <si>
    <t>1.7.29</t>
  </si>
  <si>
    <t>青楓，400 ≦ 樹高 &lt; 450㎝，200≦樹幅＜220cm，8≦ 米高直徑 &lt; 10㎝</t>
  </si>
  <si>
    <t>02938HWDF6
分析表164_x000D_
#</t>
  </si>
  <si>
    <t>1.7.30</t>
  </si>
  <si>
    <t>大葉欖仁，300 ≦ 樹高 &lt; 350㎝，140≦樹幅＜160cm，8 ≦ 米高直徑 &lt; 9㎝</t>
  </si>
  <si>
    <t>02938CRBC6
分析表165_x000D_
#</t>
  </si>
  <si>
    <t>1.7.31</t>
  </si>
  <si>
    <t>台灣石楠，350 ≦ 樹高 &lt; 400㎝，160≦樹幅＜180cm，9 ≦ 米高直徑 &lt; 10㎝</t>
  </si>
  <si>
    <t>029382LCD7
分析表166_x000D_
#</t>
  </si>
  <si>
    <t>1.7.32</t>
  </si>
  <si>
    <t>九芎，300 ≦ 樹高 &lt; 350㎝，120≦樹幅＜140cm，8 ≦ 米高直徑 &lt; 10㎝</t>
  </si>
  <si>
    <t>02938CHBB6
分析表167_x000D_
#</t>
  </si>
  <si>
    <t>1.7.33</t>
  </si>
  <si>
    <t>水柳，400 ≦ 樹高 &lt; 450㎝，200≦樹幅＜220cm，12≦ 米高直徑 &lt; 14㎝</t>
  </si>
  <si>
    <t>0293876DFB
分析表168_x000D_
#</t>
  </si>
  <si>
    <t>1.7.34</t>
  </si>
  <si>
    <t>烏桕，300 ≦ 樹高 &lt; 350㎝，140≦樹幅＜180cm，8 ≦ 米高直徑 &lt; 9㎝</t>
  </si>
  <si>
    <t>02938BQBC6
分析表169_x000D_
#</t>
  </si>
  <si>
    <t>1.7.35</t>
  </si>
  <si>
    <t>楓香，450 ≦ 樹高 &lt; 500㎝，220≦樹幅＜240cm，14 ≦ 米高直徑 &lt; 16㎝</t>
  </si>
  <si>
    <t>029386JEGB
分析表170_x000D_
#</t>
  </si>
  <si>
    <t>1.7.36</t>
  </si>
  <si>
    <t>羽裂蔓綠絨，70≦高度＜80㎝，40≦寬度＜50cm</t>
  </si>
  <si>
    <t>02922BB777
分析表171_x000D_
#</t>
  </si>
  <si>
    <t>1.7.37</t>
  </si>
  <si>
    <t>八角金盤，50≦高度＜60㎝，30≦寬度＜40cm</t>
  </si>
  <si>
    <t>02932bJ9801A
分析表172_x000D_
#</t>
  </si>
  <si>
    <t>1.7.38</t>
  </si>
  <si>
    <t>南天竹，70≦高度＜80㎝，50≦寬度＜60cm</t>
  </si>
  <si>
    <t>02932R1222
分析表173_x000D_
#</t>
  </si>
  <si>
    <t>1.7.39</t>
  </si>
  <si>
    <t>金絲桃，35≦ 高度＜40㎝，30≦寬度＜35cm</t>
  </si>
  <si>
    <t xml:space="preserve">02932b57601
分析表174_x000D_
</t>
  </si>
  <si>
    <t>1.7.40</t>
  </si>
  <si>
    <t>日本衛矛，50≦ 高度＜60㎝，40≦寬度＜45cm</t>
  </si>
  <si>
    <t>02932bJ9801
分析表175_x000D_
#</t>
  </si>
  <si>
    <t>1.7.41</t>
  </si>
  <si>
    <t>冇骨消，40≦ 高度＜50㎝，35≦寬度＜40cm</t>
  </si>
  <si>
    <t xml:space="preserve">02932bA8701
分析表176_x000D_
</t>
  </si>
  <si>
    <t>1.7.42</t>
  </si>
  <si>
    <t>迷迭香，25≦ 高度＜30㎝，20≦寬度＜30cm</t>
  </si>
  <si>
    <t xml:space="preserve">029226G230
分析表177_x000D_
</t>
  </si>
  <si>
    <t>1.7.43</t>
  </si>
  <si>
    <t>銀紋沿階草，15≦高度＜20cm，10≦寬度＜15cm</t>
  </si>
  <si>
    <t>02933PWD11212
分析表178_x000D_
#</t>
  </si>
  <si>
    <t>1.7.44</t>
  </si>
  <si>
    <t>銀后粗肋草，25≦高度&lt;30cm，20≦寬度&lt;25cm</t>
  </si>
  <si>
    <t xml:space="preserve">02922B4230
分析表179_x000D_
</t>
  </si>
  <si>
    <t>1.7.45</t>
  </si>
  <si>
    <t>銀劍蔓綠絨，25≦高度&lt;30cm，20≦寬度&lt;25cm</t>
  </si>
  <si>
    <t xml:space="preserve">02922BL230
分析表180_x000D_
</t>
  </si>
  <si>
    <t>1.7.46</t>
  </si>
  <si>
    <t>射干，20≦高度＜30cm，13≦寬度＜16cm</t>
  </si>
  <si>
    <t>029231B40442
分析表181_x000D_
#</t>
  </si>
  <si>
    <t>1.7.47</t>
  </si>
  <si>
    <t>千屈菜，15≦高度＜20cm，10cm≦寬度&lt;15cm</t>
  </si>
  <si>
    <t>02922GD0031
分析表182_x000D_
#</t>
  </si>
  <si>
    <t>1.7.48</t>
  </si>
  <si>
    <t>紫嬌花，20≦高度＜25cm，15cm≦寬度＜20cm</t>
  </si>
  <si>
    <t>0292341F0342
分析表183_x000D_
#</t>
  </si>
  <si>
    <t>1.7.49</t>
  </si>
  <si>
    <t>百子蓮，25≦高度＜30cm，15cm≦寬度＜20cmm</t>
  </si>
  <si>
    <t>029234150042
分析表184_x000D_
#</t>
  </si>
  <si>
    <t>1.7.50</t>
  </si>
  <si>
    <t>腎蕨，20≦高度＜25cm，15≦寬度＜20cm</t>
  </si>
  <si>
    <t>029233170042
分析表185_x000D_
#</t>
  </si>
  <si>
    <t>1.7.51</t>
  </si>
  <si>
    <t>檸檬天竺葵，25≦高度＜30cm，20≦寬度＜25cm</t>
  </si>
  <si>
    <t>0292353G5342
分析表186_x000D_
#</t>
  </si>
  <si>
    <t>1.7.52</t>
  </si>
  <si>
    <t>蜂香薄荷，25≦高度(枝長)＜30cm，20≦寬度＜25cm</t>
  </si>
  <si>
    <t>029235175342
分析表187_x000D_
#</t>
  </si>
  <si>
    <t>1.7.53</t>
  </si>
  <si>
    <t>芳香萬壽菊，25≦高度＜30cm，20≦寬度＜25cm</t>
  </si>
  <si>
    <t>029235345342
分析表188_x000D_
#</t>
  </si>
  <si>
    <t>1.7.54</t>
  </si>
  <si>
    <t>大安水蓑衣，30≦高度&lt;40cm，20≦寬度&lt;25cm</t>
  </si>
  <si>
    <t>029283A332
分析表189_x000D_
#</t>
  </si>
  <si>
    <t>1.7.55</t>
  </si>
  <si>
    <t>過長沙，20≦高度&lt;30cm，10≦寬度&lt;20cm</t>
  </si>
  <si>
    <t>0292833220
分析表190_x000D_
#</t>
  </si>
  <si>
    <t>1.7.56</t>
  </si>
  <si>
    <t>黃扇鳶尾，25≦高度＜30cm，15cm≦寬度＜20cm</t>
  </si>
  <si>
    <t>0292341A0042
分析表191_x000D_
#</t>
  </si>
  <si>
    <t>1.7.57</t>
  </si>
  <si>
    <t>鴨舌草，10≦高度&lt;15cm，10≦寬度&lt;15cm</t>
  </si>
  <si>
    <t>029284B121
分析表192_x000D_
#</t>
  </si>
  <si>
    <t>1.7.58</t>
  </si>
  <si>
    <t>紙莎草，50≦高度&lt;60cm，30≦寬度&lt;40cm</t>
  </si>
  <si>
    <t>029285C0071
分析表193_x000D_
#</t>
  </si>
  <si>
    <t>1.7.59</t>
  </si>
  <si>
    <t>野慈姑，25≦高度&lt;30cm，15≦寬度&lt;20cm</t>
  </si>
  <si>
    <t>029287F0041
分析表194_x000D_
#</t>
  </si>
  <si>
    <t>1.7.60</t>
  </si>
  <si>
    <t>野薑花，50≦高度&lt;60cm，30≦寬度&lt;40cm</t>
  </si>
  <si>
    <t>0292341H0003
分析表195_x000D_
#</t>
  </si>
  <si>
    <t>1.7.61</t>
  </si>
  <si>
    <t>螢藺，15≦高度&lt;20cm，10≦寬度&lt;15cm</t>
  </si>
  <si>
    <t>02928RB122
分析表196_x000D_
#</t>
  </si>
  <si>
    <t>1.7.62</t>
  </si>
  <si>
    <t>香蒲，30≦高度&lt;35cm，15≦寬度&lt;20cm</t>
  </si>
  <si>
    <t>02928A20041
分析表197_x000D_
#</t>
  </si>
  <si>
    <t>1.7.63</t>
  </si>
  <si>
    <t>田蔥，30≦高度&lt;35cm，15≦寬度&lt;20cm</t>
  </si>
  <si>
    <t>029289A0041
分析表198_x000D_
#</t>
  </si>
  <si>
    <t>1.7.64</t>
  </si>
  <si>
    <t>小葉馬纓丹，40 ≦高度(枝長)＜50cm</t>
  </si>
  <si>
    <t>029231AW500
分析表199_x000D_
#</t>
  </si>
  <si>
    <t>1.7.65</t>
  </si>
  <si>
    <t>薜荔，20 ≦ 高度(枝長) &lt; 30㎝</t>
  </si>
  <si>
    <t>02934BC3051
分析表200_x000D_
#</t>
  </si>
  <si>
    <t>1.7.66</t>
  </si>
  <si>
    <t>鷗蔓，30≦高度(枝長)＜40cm</t>
  </si>
  <si>
    <t>029343Q400
分析表201_x000D_
#</t>
  </si>
  <si>
    <t>1.7.67</t>
  </si>
  <si>
    <t>忍冬，40≦高度(枝長)＜50cm</t>
  </si>
  <si>
    <t>029343100ZZZ
分析表202_x000D_
#</t>
  </si>
  <si>
    <t>1.7.68</t>
  </si>
  <si>
    <t>白茅，50≦高度＜60cm，30≦寬度&lt;40cm</t>
  </si>
  <si>
    <t xml:space="preserve">02922WC542
分析表203_x000D_
</t>
  </si>
  <si>
    <t>1.7.69</t>
  </si>
  <si>
    <t>鹽地鼠尾栗，30≦高度＜40cm，25≦寬度&lt;30cm</t>
  </si>
  <si>
    <t xml:space="preserve">02922SD332
分析表204_x000D_
</t>
  </si>
  <si>
    <t>1.7.70</t>
  </si>
  <si>
    <t>艷紅百合，50≦高度＜60cm，30≦寬度&lt;40cm</t>
  </si>
  <si>
    <t xml:space="preserve">02922LH542
分析表205_x000D_
</t>
  </si>
  <si>
    <t>1.7.71</t>
  </si>
  <si>
    <t>噴泉狼尾草，50≦高度＜60cm，30≦寬度&lt;40cm</t>
  </si>
  <si>
    <t xml:space="preserve">02922SV332
分析表206_x000D_
</t>
  </si>
  <si>
    <t>1.7.72</t>
  </si>
  <si>
    <t>蘆葦，50≦高度&lt;60，30≦寬度&lt;40</t>
  </si>
  <si>
    <t xml:space="preserve">029286B0041
分析表207_x000D_
</t>
  </si>
  <si>
    <t>1.7.73</t>
  </si>
  <si>
    <t>植草，草種噴植，混合草種，養護</t>
  </si>
  <si>
    <t xml:space="preserve">0292012C02
分析表208_x000D_
</t>
  </si>
  <si>
    <t>1.7.74</t>
  </si>
  <si>
    <t>一般地被類，玉龍草，穴盤苗</t>
  </si>
  <si>
    <t>叢</t>
  </si>
  <si>
    <t xml:space="preserve">029231AZ00B3
分析表209_x000D_
</t>
  </si>
  <si>
    <t>1.7.75</t>
  </si>
  <si>
    <t>植草，密舖</t>
  </si>
  <si>
    <t>0292000U02
分析表210_x000D_
#假儉草</t>
  </si>
  <si>
    <t>　　(八)</t>
  </si>
  <si>
    <t>電氣設備工程</t>
  </si>
  <si>
    <t>1.8.1</t>
  </si>
  <si>
    <t>低壓配電盤，錶箱 "KWH-WP" PANEL</t>
  </si>
  <si>
    <t xml:space="preserve">1640100004Z01a
分析表211_x000D_
</t>
  </si>
  <si>
    <t>1.8.2</t>
  </si>
  <si>
    <t>低壓配電盤，"WP" PANEL</t>
  </si>
  <si>
    <t xml:space="preserve">16401000049
分析表212_x000D_
</t>
  </si>
  <si>
    <t>1.8.3</t>
  </si>
  <si>
    <t>低壓配電盤，"MLN" PANEL</t>
  </si>
  <si>
    <t xml:space="preserve">1640100004Z04
分析表213_x000D_
</t>
  </si>
  <si>
    <t>1.8.4</t>
  </si>
  <si>
    <t>低壓配電盤，"PSN" PANEL</t>
  </si>
  <si>
    <t xml:space="preserve">1640100004Z10
分析表214_x000D_
</t>
  </si>
  <si>
    <t>1.8.5</t>
  </si>
  <si>
    <t>道路照明，路燈，單臂，LED90W 燈桿8M 含基礎座預埋桿件</t>
  </si>
  <si>
    <t>16525100E00C1
# H:8M，含基礎座預埋桿件</t>
  </si>
  <si>
    <t>1.8.6</t>
  </si>
  <si>
    <t>道路照明，路燈，子母， LED90W &amp; 30W 燈桿8M 含基礎座預埋桿件</t>
  </si>
  <si>
    <t>16525100E00C2
#</t>
  </si>
  <si>
    <t>1.8.7</t>
  </si>
  <si>
    <t>道路照明，燈具，景觀高燈，LED45W 燈桿4M 含基礎座預埋桿件</t>
  </si>
  <si>
    <t>165254300M0C
#</t>
  </si>
  <si>
    <t>1.8.8</t>
  </si>
  <si>
    <t>道路照明，燈具，矮柱燈， LED20W 含基礎座桿</t>
  </si>
  <si>
    <t>16525450000C
#</t>
  </si>
  <si>
    <t>1.8.9</t>
  </si>
  <si>
    <t>線燈 LED1W 300mm</t>
  </si>
  <si>
    <t xml:space="preserve">165254100008a
</t>
  </si>
  <si>
    <t>1.8.10</t>
  </si>
  <si>
    <t>線燈 LED4W 1000mm</t>
  </si>
  <si>
    <t xml:space="preserve">165254100008b
</t>
  </si>
  <si>
    <t>1.8.11</t>
  </si>
  <si>
    <t>軟帶燈 LED11W</t>
  </si>
  <si>
    <t xml:space="preserve">165254100008c
</t>
  </si>
  <si>
    <t>1.8.12</t>
  </si>
  <si>
    <t>防水型崁燈 LED 30W</t>
  </si>
  <si>
    <t xml:space="preserve">165254000008b
</t>
  </si>
  <si>
    <t>1.8.13</t>
  </si>
  <si>
    <t>圓形壁崁燈  LED 12W</t>
  </si>
  <si>
    <t xml:space="preserve">1652543000280a
</t>
  </si>
  <si>
    <t>1.8.14</t>
  </si>
  <si>
    <t>階梯燈 LED 3W</t>
  </si>
  <si>
    <t xml:space="preserve">1652543000280s
</t>
  </si>
  <si>
    <t>1.8.15</t>
  </si>
  <si>
    <t>水波紋高燈</t>
  </si>
  <si>
    <t>165297AB2BA
分析表215_x000D_
#(含基礎鎖固螺桿五金)</t>
  </si>
  <si>
    <t>1.8.16</t>
  </si>
  <si>
    <t>液位警報系統</t>
  </si>
  <si>
    <t>1041000004
含白鐵雙層防水控制箱*2、簡易防水面板*7</t>
  </si>
  <si>
    <t>1.8.17</t>
  </si>
  <si>
    <t>交通號誌</t>
  </si>
  <si>
    <t xml:space="preserve">1652900000Z
</t>
  </si>
  <si>
    <t>1.8.18</t>
  </si>
  <si>
    <t>戶外型照度感應器(含桿座)</t>
  </si>
  <si>
    <t>0157403508A
#</t>
  </si>
  <si>
    <t>1.8.19</t>
  </si>
  <si>
    <t>電源供應器60W</t>
  </si>
  <si>
    <t>16551C2638
#水波紋高燈</t>
  </si>
  <si>
    <t>1.8.20</t>
  </si>
  <si>
    <t>電源供應器 8W 含IP68防水外箱</t>
  </si>
  <si>
    <t xml:space="preserve">1653055005
</t>
  </si>
  <si>
    <t>1.8.21</t>
  </si>
  <si>
    <t>電源供應器 100W 含IP68防水外箱</t>
  </si>
  <si>
    <t xml:space="preserve">1653055005A
</t>
  </si>
  <si>
    <t>1.8.22</t>
  </si>
  <si>
    <t>電線及電纜，600V聚氯乙烯絕緣電線，1/C，125mm2</t>
  </si>
  <si>
    <t xml:space="preserve">1612013K0001
</t>
  </si>
  <si>
    <t>1.8.23</t>
  </si>
  <si>
    <t>電線及電纜，600V聚氯乙烯絕緣電線，1/C，14mm2</t>
  </si>
  <si>
    <t>161201290001
#</t>
  </si>
  <si>
    <t>1.8.24</t>
  </si>
  <si>
    <t>電線及電纜，600V聚氯乙烯絕緣電線，絞線，5.5mm2</t>
  </si>
  <si>
    <t xml:space="preserve">161201270001
</t>
  </si>
  <si>
    <t>1.8.25</t>
  </si>
  <si>
    <t>電線及電纜，600V聚氯乙烯絕緣電線，3/C，5.5mm2</t>
  </si>
  <si>
    <t xml:space="preserve">16120b150G01
</t>
  </si>
  <si>
    <t>1.8.26</t>
  </si>
  <si>
    <t xml:space="preserve">1612061A0001
</t>
  </si>
  <si>
    <t>1.8.27</t>
  </si>
  <si>
    <t>配線安全接頭(600V PVC電纜)</t>
  </si>
  <si>
    <t>01271D0004A
#</t>
  </si>
  <si>
    <t>1.8.28</t>
  </si>
  <si>
    <t>導線管，硬質聚氯乙烯塑膠管，E管，標稱28mm</t>
  </si>
  <si>
    <t xml:space="preserve">161323104001
</t>
  </si>
  <si>
    <t>1.8.29</t>
  </si>
  <si>
    <t>161323106301
#</t>
  </si>
  <si>
    <t>1.8.30</t>
  </si>
  <si>
    <t>導線管，硬質聚氯乙烯塑膠管，E管，標稱65mm</t>
  </si>
  <si>
    <t xml:space="preserve">16132310801
</t>
  </si>
  <si>
    <t>1.8.31</t>
  </si>
  <si>
    <t>導線管，硬質聚氯乙烯塑膠管，E管，標稱80mm</t>
  </si>
  <si>
    <t xml:space="preserve">161323109001
</t>
  </si>
  <si>
    <t>1.8.32</t>
  </si>
  <si>
    <t>配線安全接頭(XLPE電力電纜)</t>
  </si>
  <si>
    <t xml:space="preserve">01271D0004A2
</t>
  </si>
  <si>
    <t>1.8.33</t>
  </si>
  <si>
    <t>配管另件</t>
  </si>
  <si>
    <t xml:space="preserve">01271D0004B
</t>
  </si>
  <si>
    <t>　　(九)</t>
  </si>
  <si>
    <t>臨時動員及圍排水設施費</t>
  </si>
  <si>
    <t>1.9.1</t>
  </si>
  <si>
    <t>臨時擋土樁設施，鋼軌樁 50kg/m</t>
  </si>
  <si>
    <t>0225530001
分析表216_x000D_
租用(三合橋)</t>
  </si>
  <si>
    <t>1.9.2</t>
  </si>
  <si>
    <t>臨時擋土樁設施，鋼軌樁 50kg/m(含運費)，打拔</t>
  </si>
  <si>
    <t xml:space="preserve">0225530E31
分析表217_x000D_
</t>
  </si>
  <si>
    <t>1.9.3</t>
  </si>
  <si>
    <t>臨時通道用鋼板，厚15mm</t>
  </si>
  <si>
    <t xml:space="preserve">01532AB002m
</t>
  </si>
  <si>
    <t>1.9.4</t>
  </si>
  <si>
    <t>施工期間動復員費(含颱風、暴雨或機關指定之動員及設施設備費用)</t>
  </si>
  <si>
    <t>0150092024L
#(含所有設施撤離)</t>
  </si>
  <si>
    <t>1.9.5</t>
  </si>
  <si>
    <t>臨時設施，排水設備，引擎抽水機，D=10cm，租金</t>
  </si>
  <si>
    <t>01510522BD
分析表218_x000D_
(含油料及運費)</t>
  </si>
  <si>
    <t>1.9.6</t>
  </si>
  <si>
    <t>新舊工程銜接復舊</t>
  </si>
  <si>
    <t>0299130014
#</t>
  </si>
  <si>
    <t>新舊結構物介面處理</t>
  </si>
  <si>
    <t>處</t>
  </si>
  <si>
    <t xml:space="preserve">13801A0007a
</t>
  </si>
  <si>
    <t>施工照相及攝(錄)影，(4G行動門號，即時攝影無線傳輸)，施工動態即時影像傳輸費</t>
  </si>
  <si>
    <t>日/台</t>
  </si>
  <si>
    <t>013210100b
分析表219_x000D_
含路證申請、回報及配合道路挖掘之相關作業費用</t>
  </si>
  <si>
    <t>臨時設施，臨時監控系統</t>
  </si>
  <si>
    <t xml:space="preserve">015100000F
</t>
  </si>
  <si>
    <t>臨時設施，臨時電使用費及臨時水使用費</t>
  </si>
  <si>
    <t>月</t>
  </si>
  <si>
    <t xml:space="preserve">0151000000BA
</t>
  </si>
  <si>
    <t>工地攝影記錄及影片製作</t>
  </si>
  <si>
    <t>1652510K0112
分析表220_x000D_
#</t>
  </si>
  <si>
    <t>臨時工棚(含相關設施)</t>
  </si>
  <si>
    <t>13801100A2
#</t>
  </si>
  <si>
    <t>生態檢核</t>
  </si>
  <si>
    <t xml:space="preserve">01572J0004
</t>
  </si>
  <si>
    <t>品質管理，品質管理費，土木工程及建築類檢驗，A3045混凝土圓柱試體抗壓強度之檢驗法</t>
  </si>
  <si>
    <t xml:space="preserve">01450B11U7
</t>
  </si>
  <si>
    <t>品質管理，材料設備檢驗費，土木工程及建築類檢驗，混凝土氯離子試驗</t>
  </si>
  <si>
    <t>01450A11U6A
#</t>
  </si>
  <si>
    <t>品質管理，材料設備檢驗費，混凝土坍度試驗法</t>
  </si>
  <si>
    <t>01450D11Q7
#</t>
  </si>
  <si>
    <t>品質管理，材料設備檢驗費，土木工程及建築類檢驗，混凝土鑽心試體試驗</t>
  </si>
  <si>
    <t>顆</t>
  </si>
  <si>
    <t>01450A1003
#</t>
  </si>
  <si>
    <t>品質管理，材料設備檢驗費，土木工程及建築類檢驗，A2006鋼筋混凝土用鋼筋物性試驗</t>
  </si>
  <si>
    <t>01450D1D48
每組3支</t>
  </si>
  <si>
    <t>品質管理，材料設備檢驗費，土木工程及建築類檢驗，A2006鋼筋混凝土用鋼筋化性試驗</t>
  </si>
  <si>
    <t>01450D1D58
每組3支</t>
  </si>
  <si>
    <t>品質管理，材料設備檢驗費，土木工程及建築類檢驗，瀝青混合料含油量穩定值及級配分析</t>
  </si>
  <si>
    <t xml:space="preserve">01450D1CX8
</t>
  </si>
  <si>
    <t>品質管理，材料設備檢驗費，土木工程及建築類檢驗，瀝青混凝土壓實度試驗及厚度檢驗</t>
  </si>
  <si>
    <t xml:space="preserve">01450D1CY8
</t>
  </si>
  <si>
    <t>品質管理，材料設備檢驗費，土木工程及建築類檢驗，瀝青混凝土平整度試驗</t>
  </si>
  <si>
    <t xml:space="preserve">01450D1C2M
</t>
  </si>
  <si>
    <t>3.10</t>
  </si>
  <si>
    <t>品質管理，材料設備檢驗費，土木工程及建築類檢驗，瀝青混凝土黏滯度試驗</t>
  </si>
  <si>
    <t>01450A0038
#</t>
  </si>
  <si>
    <t>3.11</t>
  </si>
  <si>
    <t>品質管理，材料設備檢驗費，土木工程及建築類檢驗，地工織物試驗法【含拉力強度(伸長率、撕裂強度)、透水係數、耐紫外線性、起始模數、有效開孔性】</t>
  </si>
  <si>
    <t xml:space="preserve">01450D1D68
</t>
  </si>
  <si>
    <t>3.12</t>
  </si>
  <si>
    <t>品質管理，材料設備檢驗費，土木工程及建築類檢驗，鋼鐵件檢驗【含降伏、拉伸、彎曲、化性】</t>
  </si>
  <si>
    <t xml:space="preserve">01450D1D38
</t>
  </si>
  <si>
    <t>3.13</t>
  </si>
  <si>
    <t>品質管制，工廠內鋼熔接縫超音波探傷試驗</t>
  </si>
  <si>
    <t xml:space="preserve">014505000A
</t>
  </si>
  <si>
    <t>3.14</t>
  </si>
  <si>
    <t>品質管制，現場鋼熔接縫超音波探傷試驗</t>
  </si>
  <si>
    <t xml:space="preserve">014505100A
</t>
  </si>
  <si>
    <t>3.15</t>
  </si>
  <si>
    <t>品質管理，材料設備檢驗費，土木工程及建築類檢驗，標線抗滑試驗(現地試驗，1天，6個試驗點)</t>
  </si>
  <si>
    <t>01450D1Z18
#</t>
  </si>
  <si>
    <t>3.16</t>
  </si>
  <si>
    <t>品質管理，材料設備檢驗費，反光標線鑽心試體玻璃珠含量</t>
  </si>
  <si>
    <t xml:space="preserve">01450D1E68
</t>
  </si>
  <si>
    <t>3.17</t>
  </si>
  <si>
    <t>品質管理，材料設備檢驗費，土木工程及建築類檢驗，銲接鋼線網檢驗(含拉伸、彎曲、抗剪、外觀)</t>
  </si>
  <si>
    <t>01450D1DZ8#
#</t>
  </si>
  <si>
    <t>3.18</t>
  </si>
  <si>
    <t>品質管理，材料設備檢驗費，土木工程及建築類檢驗，碎石級配粒料篩分析試驗</t>
  </si>
  <si>
    <t>01450D1C3M
#</t>
  </si>
  <si>
    <t>3.19</t>
  </si>
  <si>
    <t>品質管理，材料設備檢驗費，木業類檢驗，原木檢驗(含樹種鑑定、含水率及ACQ吸收量檢測)</t>
  </si>
  <si>
    <t xml:space="preserve">01450DH28M#
</t>
  </si>
  <si>
    <t>3.20</t>
  </si>
  <si>
    <t>品質管理，材料設備檢驗費，土木工程及建築類檢驗，石材檢驗</t>
  </si>
  <si>
    <t xml:space="preserve">01450D1DX8#
</t>
  </si>
  <si>
    <t>3.21</t>
  </si>
  <si>
    <t>品質管理，材料設備檢驗費，土木工程及建築類檢驗，不鏽鋼料檢驗</t>
  </si>
  <si>
    <t xml:space="preserve">01450D1DY8#
</t>
  </si>
  <si>
    <t>3.22</t>
  </si>
  <si>
    <t>品質管理，材料設備檢驗費，土木工程及建築類檢驗，熱浸鍍鋅試驗</t>
  </si>
  <si>
    <t xml:space="preserve">01450E1BBM
</t>
  </si>
  <si>
    <t>3.23</t>
  </si>
  <si>
    <t>品質管理，材料設備檢驗費，土木工程及建築類檢驗，氟碳烤漆試驗</t>
  </si>
  <si>
    <t xml:space="preserve">01450F1BBM
</t>
  </si>
  <si>
    <t>3.24</t>
  </si>
  <si>
    <t>品質管理，材料設備檢驗費，土木工程及建築類檢驗，鍍鋅格柵蓋板試驗</t>
  </si>
  <si>
    <t xml:space="preserve">01450D1DR8
</t>
  </si>
  <si>
    <t>3.25</t>
  </si>
  <si>
    <t>品質管理，材料設備檢驗費，土木工程及建築類檢驗，HDPE鋼板加勁螺旋管檢驗【含抗拉強度、伸長率】</t>
  </si>
  <si>
    <t>01450A003A
#</t>
  </si>
  <si>
    <t>3.26</t>
  </si>
  <si>
    <t>品質管理，材料設備檢驗費，土木工程及建築類檢驗，A3003混凝土管檢驗法</t>
  </si>
  <si>
    <t xml:space="preserve">01450D116M
</t>
  </si>
  <si>
    <t>3.27</t>
  </si>
  <si>
    <t>品質管理，材料設備檢驗費，土木工程及建築類檢驗，化學螺栓拉拔力測試</t>
  </si>
  <si>
    <t>隻</t>
  </si>
  <si>
    <t xml:space="preserve">01450D1D1R
</t>
  </si>
  <si>
    <t>3.28</t>
  </si>
  <si>
    <t>品質管理，材料設備檢驗費，植筋拉拔試驗</t>
  </si>
  <si>
    <t xml:space="preserve">01450D1E6R
</t>
  </si>
  <si>
    <t>3.29</t>
  </si>
  <si>
    <t>品質管制，蜂巢格網試驗費</t>
  </si>
  <si>
    <t>01450B1CBM
#</t>
  </si>
  <si>
    <t>3.30</t>
  </si>
  <si>
    <t>品質管理，材料設備檢驗費，土木工程及建築類檢驗，土壤相對密度試驗</t>
  </si>
  <si>
    <t xml:space="preserve">01450D1C98
</t>
  </si>
  <si>
    <t>3.31</t>
  </si>
  <si>
    <t>品質管理，材料設備檢驗費，土木工程及建築類檢驗，工地密度試驗</t>
  </si>
  <si>
    <t xml:space="preserve">01450D1BBM
</t>
  </si>
  <si>
    <t>3.32</t>
  </si>
  <si>
    <t xml:space="preserve">01450D1CA8
</t>
  </si>
  <si>
    <t>3.33</t>
  </si>
  <si>
    <t>品質管理，材料設備檢驗費，基樁完整性試驗</t>
  </si>
  <si>
    <t xml:space="preserve">01450D18X8
</t>
  </si>
  <si>
    <t>3.34</t>
  </si>
  <si>
    <t>品質管理，材料設備檢驗費，土木工程及建築類檢驗，透水磚，透水試驗</t>
  </si>
  <si>
    <t>塊</t>
  </si>
  <si>
    <t>0145000034
#</t>
  </si>
  <si>
    <t>工地環境保護費</t>
  </si>
  <si>
    <t xml:space="preserve">01572H100F
分析表221_x000D_
</t>
  </si>
  <si>
    <t>01572F000E
分析表222_x000D_
280m2/月，共24個月</t>
  </si>
  <si>
    <t>安全設施與交通維持費</t>
  </si>
  <si>
    <t>施工圍籬，組合式固定，2.4m ≦高度</t>
  </si>
  <si>
    <t>01564L4001
分析表223_x000D_
高度2.4m</t>
  </si>
  <si>
    <t>施工圍籬，圍籬美化，掛防水帆布(含輸出、包繩及打洞)</t>
  </si>
  <si>
    <t>015640B002
需經審查後設置</t>
  </si>
  <si>
    <t xml:space="preserve">0155642707
分析表224_x000D_
</t>
  </si>
  <si>
    <t xml:space="preserve">015564080E
</t>
  </si>
  <si>
    <t>指示標誌</t>
  </si>
  <si>
    <t xml:space="preserve">01556L000A
分析表225_x000D_
</t>
  </si>
  <si>
    <t>活動型拒馬，長1.2m</t>
  </si>
  <si>
    <t xml:space="preserve">0155630A0A
分析表226_x000D_
</t>
  </si>
  <si>
    <t xml:space="preserve">015568000A
分析表227_x000D_
</t>
  </si>
  <si>
    <t>工程告示牌及工地標誌，工程告示牌，鋁質，長500x寬320cm</t>
  </si>
  <si>
    <t xml:space="preserve">015831130Bn
分析表228_x000D_
</t>
  </si>
  <si>
    <t>01583B000A
分析表229_x000D_
創意柔性告示牌之圖案須依機關提供之電子檔依比例放大製作</t>
  </si>
  <si>
    <t>牌面承座</t>
  </si>
  <si>
    <t xml:space="preserve">02891A5007
分析表230_x000D_
</t>
  </si>
  <si>
    <t>施工圍籬，大門(含拆裝1次)</t>
  </si>
  <si>
    <t>樘</t>
  </si>
  <si>
    <t xml:space="preserve">01564F000A
</t>
  </si>
  <si>
    <t>5.12</t>
  </si>
  <si>
    <t>輕型欄杆(連工帶料)</t>
  </si>
  <si>
    <t>0156031012a
含警示燈</t>
  </si>
  <si>
    <t>5.13</t>
  </si>
  <si>
    <t>施工圍籬二次拆裝</t>
  </si>
  <si>
    <t xml:space="preserve">01556000Z1a
</t>
  </si>
  <si>
    <t>5.14</t>
  </si>
  <si>
    <t>輕型欄杆二次拆裝</t>
  </si>
  <si>
    <t xml:space="preserve">01556000Z1b
</t>
  </si>
  <si>
    <t>5.15</t>
  </si>
  <si>
    <t>安全設施維護管理費</t>
  </si>
  <si>
    <t xml:space="preserve">01556000Z4
</t>
  </si>
  <si>
    <t xml:space="preserve">015741010J
</t>
  </si>
  <si>
    <t xml:space="preserve">015742110L
</t>
  </si>
  <si>
    <t xml:space="preserve">015742320C
</t>
  </si>
  <si>
    <t xml:space="preserve">0157424228
</t>
  </si>
  <si>
    <t xml:space="preserve">015742672M
</t>
  </si>
  <si>
    <t xml:space="preserve">015742710M
</t>
  </si>
  <si>
    <t>職業安全衛生，保護器材，身體，勞工衛生用防護衣</t>
  </si>
  <si>
    <t xml:space="preserve">015742870G
</t>
  </si>
  <si>
    <t xml:space="preserve">0157428A0G
</t>
  </si>
  <si>
    <t>職業安全衛生，保護器材，高處作業(含掛鉤等配件)</t>
  </si>
  <si>
    <t xml:space="preserve">0157429008
</t>
  </si>
  <si>
    <t xml:space="preserve">015742A107
</t>
  </si>
  <si>
    <t>職業安全衛生，保護器材，臨水作業救生設備（含救生船及救生圈）</t>
  </si>
  <si>
    <t xml:space="preserve">015742D008
</t>
  </si>
  <si>
    <t>6.12</t>
  </si>
  <si>
    <t>職業安全衛生，保護器材，臨水作業救生設備，救生衣</t>
  </si>
  <si>
    <t xml:space="preserve">015742D108
</t>
  </si>
  <si>
    <t>6.13</t>
  </si>
  <si>
    <t>職業安全衛生，保護器材，臨水作業救生設備，救生圈(含救生索)</t>
  </si>
  <si>
    <t xml:space="preserve">015742D408
</t>
  </si>
  <si>
    <t>6.14</t>
  </si>
  <si>
    <t>職業安全衛生，保護器材，安全扶梯(2M高度以上，45cm寬)</t>
  </si>
  <si>
    <t xml:space="preserve">0157429517
</t>
  </si>
  <si>
    <t>6.15</t>
  </si>
  <si>
    <t>臨時設施，照明設備，夜間(500W含伸縮腳架)</t>
  </si>
  <si>
    <t xml:space="preserve">0151030028
</t>
  </si>
  <si>
    <t>6.16</t>
  </si>
  <si>
    <t xml:space="preserve">01574E0004
</t>
  </si>
  <si>
    <t>6.17</t>
  </si>
  <si>
    <t>產品，平面式塑膠警示帶</t>
  </si>
  <si>
    <t xml:space="preserve">M0250610001
</t>
  </si>
  <si>
    <t>6.18</t>
  </si>
  <si>
    <t>01574000D4
[人力工項不打折]設置2人</t>
  </si>
  <si>
    <t>6.19</t>
  </si>
  <si>
    <t>職業安全衛生，安衛管理及其他安全衛生措施</t>
  </si>
  <si>
    <t>01574B0004
含教育訓練及防災演練</t>
  </si>
  <si>
    <t>　七</t>
  </si>
  <si>
    <t>7.1</t>
  </si>
  <si>
    <t>01574000D5
[人力工項不打折]設置2人</t>
  </si>
  <si>
    <t>7.2</t>
  </si>
  <si>
    <t>行政管理費</t>
  </si>
  <si>
    <t>01450000E4
含廠製圖及送審文件製作</t>
  </si>
  <si>
    <t>　八</t>
  </si>
  <si>
    <t>稅什費（含保險費）</t>
  </si>
  <si>
    <t>(一~七)*[約10.94944113%]</t>
    <phoneticPr fontId="1" type="noConversion"/>
  </si>
  <si>
    <t>　九</t>
  </si>
  <si>
    <t>台北港土方管理費</t>
  </si>
  <si>
    <t>本項單價為固定值(150元/M3)，訂約時不隨折數調整，依實際進場土方計價(費用不另計稅什費)</t>
  </si>
  <si>
    <t>9.1</t>
  </si>
  <si>
    <t xml:space="preserve">02323BX2A3
</t>
  </si>
  <si>
    <t>　一０</t>
  </si>
  <si>
    <t>鄰房現況鑑定（含稅）</t>
  </si>
  <si>
    <t>本項單價為固定值(56元/M2)，訂約時不隨折數調整，依實際鑑定戶數計架並檢據核銷(費用不另計稅什費)</t>
  </si>
  <si>
    <t>10.1</t>
  </si>
  <si>
    <t>鄰房現況鑑定(含稅)</t>
  </si>
  <si>
    <t xml:space="preserve">0225305002
</t>
  </si>
  <si>
    <t>【發包工程費小計】</t>
  </si>
  <si>
    <t>總價(總計)</t>
  </si>
  <si>
    <t>註記:</t>
  </si>
  <si>
    <t xml:space="preserve">一、人力項目單價依原列預算單價不予調低，「交通維持，道路管制人員，日間(06-22時)，義交」單價為280元/時、「職安人員費用」單價為47,468元/人月、「品管人員費用」單價為47,468元/人月。 _x000D_
二、本工程包含有價廢料變賣項，係將本工程所產生之有價廢料變賣予廠商，該款項得標廠商得以現金方式繳納或由工程估驗款內扣抵，各項單價不得因決標金額所做比例調整而變動，預估數量計算所得總售價不列入標單暨發包契約總價，變賣項目及預估數量條列如後：_x000D_
  1.「瀝青混凝土刨除料變賣」，單價：575.00元/M3，預估數量：1,767.29M3，複價：1,016,191.75元。_x000D_
  2.「工地拆除，拆除材料回收利用與儲存」，單價：20.00元/KG，預估數量：3,089.03KG，複價：61,780.60元。_x000D_
  3.「拆除鋼筋」，單價：8.00元/KG，預估數量：424,200.00KG，複價：3,393,600.00元。_x000D_
 預估變賣總價為：4,471,572.35元，惟發包後則由得標廠商依實做數量乘單價以結算總售價。 </t>
  </si>
  <si>
    <t>施工地點：北投磺港溪</t>
    <phoneticPr fontId="1" type="noConversion"/>
  </si>
  <si>
    <t>工程編號：111 070020302 038 02</t>
    <phoneticPr fontId="1" type="noConversion"/>
  </si>
  <si>
    <t>機械拆除，瀝青混凝土，未含運費</t>
    <phoneticPr fontId="1" type="noConversion"/>
  </si>
  <si>
    <t>受保護樹木編號:3430、3469、3470、3736共4株</t>
    <phoneticPr fontId="1" type="noConversion"/>
  </si>
  <si>
    <t>工棚1式</t>
    <phoneticPr fontId="1" type="noConversion"/>
  </si>
  <si>
    <t>交通錐59個</t>
    <phoneticPr fontId="1" type="noConversion"/>
  </si>
  <si>
    <t>連桿30支</t>
    <phoneticPr fontId="1" type="noConversion"/>
  </si>
  <si>
    <t>指示標誌19座</t>
    <phoneticPr fontId="1" type="noConversion"/>
  </si>
  <si>
    <t>活動型拒馬，長1.2m10座</t>
    <phoneticPr fontId="1" type="noConversion"/>
  </si>
  <si>
    <t>工程告示牌及工地標誌，柔性告示牌19面</t>
  </si>
  <si>
    <t>牌面承座19個</t>
  </si>
  <si>
    <t>職業安全衛生，飲水及休息設備1式</t>
  </si>
  <si>
    <t>意外傷害救護設備.急救箱4個</t>
  </si>
  <si>
    <t>施工大門2樘</t>
    <phoneticPr fontId="1" type="noConversion"/>
  </si>
  <si>
    <t>救生圈含救生索5組</t>
    <phoneticPr fontId="1" type="noConversion"/>
  </si>
  <si>
    <t>臨水作業救生設備含救生船及救生圈）5組</t>
    <phoneticPr fontId="1" type="noConversion"/>
  </si>
  <si>
    <t>臨水作業救生設備-救生衣5組</t>
    <phoneticPr fontId="1" type="noConversion"/>
  </si>
  <si>
    <t>自行車架拆除20座</t>
    <phoneticPr fontId="1" type="noConversion"/>
  </si>
  <si>
    <t>既有磺港橋南側</t>
    <phoneticPr fontId="1" type="noConversion"/>
  </si>
  <si>
    <t>=(1.2*0.5*8*39)+(1.2*0.5*8*7)</t>
    <phoneticPr fontId="1" type="noConversion"/>
  </si>
  <si>
    <t>既有磺港橋橋面</t>
    <phoneticPr fontId="1" type="noConversion"/>
  </si>
  <si>
    <t>磺港橋</t>
    <phoneticPr fontId="1" type="noConversion"/>
  </si>
  <si>
    <t>磺港橋(橋面及護欄+I梁+橫隔樑+帽梁+墩柱)</t>
    <phoneticPr fontId="1" type="noConversion"/>
  </si>
  <si>
    <t>=(27.2*16+10.5*6)+(1.25*6*12*5)+(2.3*6*7*2)+(3.8*6+5.2*8)+(2.5*3.14*6)</t>
    <phoneticPr fontId="1" type="noConversion"/>
  </si>
  <si>
    <t>=11.5*(7.5+4.5)/2*0.23</t>
    <phoneticPr fontId="1" type="noConversion"/>
  </si>
  <si>
    <t>=27.2*10.5*0.25</t>
    <phoneticPr fontId="1" type="noConversion"/>
  </si>
  <si>
    <t>=(290*2*0.15*0.2+12*5*0.15*0.2)+(53*2*0.14*0.2+3*4*0.15*0.2)</t>
    <phoneticPr fontId="1" type="noConversion"/>
  </si>
  <si>
    <t>抽水站旁</t>
    <phoneticPr fontId="1" type="noConversion"/>
  </si>
  <si>
    <t>=10.8*(7.5+9.5)/2*0.22</t>
    <phoneticPr fontId="1" type="noConversion"/>
  </si>
  <si>
    <t>人行橋+橋台+基礎+既有河道底+樓梯</t>
    <phoneticPr fontId="1" type="noConversion"/>
  </si>
  <si>
    <t>既有橋北側堤牆(含基礎)+既有河道底(含新舊河道銜接段)</t>
    <phoneticPr fontId="1" type="noConversion"/>
  </si>
  <si>
    <t>磺港橋(橋面及護欄+I梁+橫隔樑+帽梁+中墩柱)</t>
    <phoneticPr fontId="1" type="noConversion"/>
  </si>
  <si>
    <t>橋台+基礎+進橋台</t>
    <phoneticPr fontId="1" type="noConversion"/>
  </si>
  <si>
    <t>緣石邊及人孔處(河.LT000~290+RT000~060)</t>
    <phoneticPr fontId="1" type="noConversion"/>
  </si>
  <si>
    <t>((1.1*0.8-(0.04*0.04*3.14*6))*263+(1.15*5))</t>
    <phoneticPr fontId="1" type="noConversion"/>
  </si>
  <si>
    <t>既有人行道(路.S120~200+河.LT017~280+河.RT005~280含護欄柱)</t>
    <phoneticPr fontId="1" type="noConversion"/>
  </si>
  <si>
    <t>((0.9*0.25*80)+(1.25*0.25*263)+(1.15*0.2*263+0.5*0.5*1.05*31))</t>
    <phoneticPr fontId="1" type="noConversion"/>
  </si>
  <si>
    <t>新舊河道銜接段既有堤牆</t>
    <phoneticPr fontId="1" type="noConversion"/>
  </si>
  <si>
    <t>河.070處樓梯+既有牆</t>
    <phoneticPr fontId="1" type="noConversion"/>
  </si>
  <si>
    <t>既有管涵+集水井</t>
    <phoneticPr fontId="1" type="noConversion"/>
  </si>
  <si>
    <t>((3.75*(0.3+0.6)/2*6.7)+(2.1*0.6*18.7)+(0.35*1.5*18.7)+(0.35*3.75*3.2))</t>
    <phoneticPr fontId="1" type="noConversion"/>
  </si>
  <si>
    <t>(277.6*0.525)</t>
    <phoneticPr fontId="1" type="noConversion"/>
  </si>
  <si>
    <t>(77.5+169.3+170.9+49.4)*0.15</t>
    <phoneticPr fontId="1" type="noConversion"/>
  </si>
  <si>
    <t>自行車道AC打除(圖說面積尚未檢核)</t>
    <phoneticPr fontId="1" type="noConversion"/>
  </si>
  <si>
    <t>既有排水溝(含蓋板)(路.N130~420)</t>
    <phoneticPr fontId="1" type="noConversion"/>
  </si>
  <si>
    <r>
      <t>自行車道基礎</t>
    </r>
    <r>
      <rPr>
        <sz val="12"/>
        <color rgb="FFFF0000"/>
        <rFont val="標楷體"/>
        <family val="4"/>
        <charset val="136"/>
      </rPr>
      <t>(圖說面積尚未檢核)</t>
    </r>
    <phoneticPr fontId="1" type="noConversion"/>
  </si>
  <si>
    <t>(77.5+169.3+170.9+49.4)*0.25</t>
    <phoneticPr fontId="1" type="noConversion"/>
  </si>
  <si>
    <t>(401.1+1104.5+1276+169.3+767.7+52.1)*0.3</t>
    <phoneticPr fontId="1" type="noConversion"/>
  </si>
  <si>
    <r>
      <t>公園步道及鋪面</t>
    </r>
    <r>
      <rPr>
        <sz val="12"/>
        <color rgb="FFFF0000"/>
        <rFont val="標楷體"/>
        <family val="4"/>
        <charset val="136"/>
      </rPr>
      <t>(圖說面積尚未檢核)</t>
    </r>
    <phoneticPr fontId="1" type="noConversion"/>
  </si>
  <si>
    <t>((27.2*10.3*0.3+0.3*1.1*27.2*2)+(13.2*1.25*0.6*7*2)+(6.8*1.25*0.5*7)+(((1.9+0.8)/2*1.2*7.8)+1.9*2.5*1.2)+((1.25*1.25*3.14*3.6)))</t>
    <phoneticPr fontId="1" type="noConversion"/>
  </si>
  <si>
    <t>(10.3*1.8*4.2+10.3*1.8*2.8)*2+(10.3*2.8*1.8)*2+((60.65*(3.9+2.2)/2*0.55)+(10.3*3.9*0.6))</t>
    <phoneticPr fontId="1" type="noConversion"/>
  </si>
  <si>
    <t>(1.1*0.35*196.3)+((0.38*0.38*3.14-0.3*0.3*3.14)*196.3)+2.85*2</t>
    <phoneticPr fontId="1" type="noConversion"/>
  </si>
  <si>
    <t>((3.75*(0.3+0.6)/2*35.65)+(5.5*0.85*35.65))</t>
    <phoneticPr fontId="1" type="noConversion"/>
  </si>
  <si>
    <r>
      <t>((19.3*0.52*0.8*4)+(19.3*7.2*0.3)+(6.8*2.2*0.8*2)+(9.5*3*0.8+9.5*1.8*0.3)+</t>
    </r>
    <r>
      <rPr>
        <sz val="12"/>
        <color rgb="FFFF0000"/>
        <rFont val="標楷體"/>
        <family val="4"/>
        <charset val="136"/>
      </rPr>
      <t>(17.8*0.55*2.8*2))</t>
    </r>
    <phoneticPr fontId="1" type="noConversion"/>
  </si>
  <si>
    <r>
      <t>綠帶槽緣石+石椅</t>
    </r>
    <r>
      <rPr>
        <sz val="12"/>
        <color rgb="FFFF0000"/>
        <rFont val="標楷體"/>
        <family val="4"/>
        <charset val="136"/>
      </rPr>
      <t>(尚未檢核)</t>
    </r>
    <phoneticPr fontId="1" type="noConversion"/>
  </si>
  <si>
    <t>((112.1+241.1+229.5+0+60.8+0)*0.033)+((3+8+5.7+2.9)*0.5*0.75)</t>
    <phoneticPr fontId="1" type="noConversion"/>
  </si>
  <si>
    <t>單孔000~064(清江+2處過路堤牆+抽水井處)</t>
    <phoneticPr fontId="1" type="noConversion"/>
  </si>
  <si>
    <t>(0.25*1.65*39)+((3.5*(0.3+0.6)/2*5.6)+(2.1*0.6*2.3))+(6.2*5.3*0.35+2.1*2.2*0.6)</t>
    <phoneticPr fontId="1" type="noConversion"/>
  </si>
  <si>
    <t>河.260~280處既有基礎+路燈基礎</t>
    <phoneticPr fontId="1" type="noConversion"/>
  </si>
  <si>
    <t>(0.8*(0.75+0.35)/2*18.2)+(0.8*0.8*1.45*7)</t>
    <phoneticPr fontId="1" type="noConversion"/>
  </si>
  <si>
    <t>路側RC護欄(河.LT000~290+RT000~060)</t>
    <phoneticPr fontId="1" type="noConversion"/>
  </si>
  <si>
    <t>既有台電(路N.河.LT017~280含手孔)</t>
    <phoneticPr fontId="1" type="noConversion"/>
  </si>
  <si>
    <t>((2.1*2.4)-(1.5*1.75))*25.7+(2.1*1.25*0.6)</t>
    <phoneticPr fontId="1" type="noConversion"/>
  </si>
  <si>
    <t>既有箱涵+閘門平台</t>
    <phoneticPr fontId="1" type="noConversion"/>
  </si>
  <si>
    <t>((3.75*(0.3+0.6)/2*63.7)+(5.5*0.85*63.7))+(26.8*7*0.6+18.5*7*0.35)</t>
    <phoneticPr fontId="1" type="noConversion"/>
  </si>
  <si>
    <t>新設河道斷面計算</t>
    <phoneticPr fontId="1" type="noConversion"/>
  </si>
  <si>
    <r>
      <t>新設河道斷面計算</t>
    </r>
    <r>
      <rPr>
        <sz val="12"/>
        <color rgb="FFFF0000"/>
        <rFont val="標楷體"/>
        <family val="4"/>
        <charset val="136"/>
      </rPr>
      <t>(尚未檢核)</t>
    </r>
    <phoneticPr fontId="1" type="noConversion"/>
  </si>
  <si>
    <t>=18*12+8.5*4+(1.1*6*12*3+0.8)+(3*2)</t>
    <phoneticPr fontId="1" type="noConversion"/>
  </si>
  <si>
    <t>人行橋(希冀橋)含下方基礎</t>
    <phoneticPr fontId="1" type="noConversion"/>
  </si>
  <si>
    <t>統計聯單</t>
  </si>
  <si>
    <t>統計聯單</t>
    <phoneticPr fontId="1" type="noConversion"/>
  </si>
  <si>
    <t>既有道路(路.S145~200+路.N140~420)</t>
    <phoneticPr fontId="1" type="noConversion"/>
  </si>
  <si>
    <t>(7.5*55*0.24)+(9.6*37*0.25)+(7.1*243*0.24)</t>
    <phoneticPr fontId="1" type="noConversion"/>
  </si>
  <si>
    <t>磺港橋及希冀橋橋台清障開挖+單孔過路段及清江公園</t>
    <phoneticPr fontId="1" type="noConversion"/>
  </si>
  <si>
    <t>((5*6*6.5*2)+(13*3.5*6.8)+(3.2*8.5*1.6))+((747.2+149.44))</t>
    <phoneticPr fontId="1" type="noConversion"/>
  </si>
  <si>
    <t>新設LT堤牆(L=52.3M)回填</t>
    <phoneticPr fontId="1" type="noConversion"/>
  </si>
  <si>
    <t>(0.8*4.5*52.3)+(1.2*4.5*52.3)</t>
    <phoneticPr fontId="1" type="noConversion"/>
  </si>
  <si>
    <t>(16.5*9.2*4.6+21.2*4.7*4.2)+(11.2*3.2*4.6)+(9.5*3.5*2.9)</t>
    <phoneticPr fontId="1" type="noConversion"/>
  </si>
  <si>
    <t>381.5*0.8</t>
    <phoneticPr fontId="1" type="noConversion"/>
  </si>
  <si>
    <r>
      <t>砌石RT植栽槽回填</t>
    </r>
    <r>
      <rPr>
        <sz val="12"/>
        <color rgb="FFFF0000"/>
        <rFont val="標楷體"/>
        <family val="4"/>
        <charset val="136"/>
      </rPr>
      <t>(面積尚未檢核)</t>
    </r>
    <phoneticPr fontId="1" type="noConversion"/>
  </si>
  <si>
    <t>單孔箱涵過路段及清江公園</t>
    <phoneticPr fontId="1" type="noConversion"/>
  </si>
  <si>
    <t>單孔箱涵064~300</t>
    <phoneticPr fontId="1" type="noConversion"/>
  </si>
  <si>
    <t>雙孔箱涵000~280</t>
    <phoneticPr fontId="1" type="noConversion"/>
  </si>
  <si>
    <t>(0.8*1.9*2*23+3.4*2.7*23)+(0.8*2.1*2*41)</t>
    <phoneticPr fontId="1" type="noConversion"/>
  </si>
  <si>
    <t>(7.5*55*2.5)+(9.6*37*2.5)+(7.1*243*2.5)</t>
    <phoneticPr fontId="1" type="noConversion"/>
  </si>
  <si>
    <t>既有道路(路.S120.S200.N130.N420處)</t>
    <phoneticPr fontId="1" type="noConversion"/>
  </si>
  <si>
    <t>(27.9+9.6+7.5+7.1)</t>
    <phoneticPr fontId="1" type="noConversion"/>
  </si>
  <si>
    <t>環境清整公園面積</t>
  </si>
  <si>
    <t>既有磺港橋(橋面+I梁+橫隔樑+帽梁+墩柱)+既有人行橋(希冀橋)</t>
    <phoneticPr fontId="1" type="noConversion"/>
  </si>
  <si>
    <t>既有道路(路.S145~180LT+S145~180RT+路.N140~420LT)</t>
    <phoneticPr fontId="1" type="noConversion"/>
  </si>
  <si>
    <t>35+(55-0.5*7)+(27*8+6.5+5.3)</t>
    <phoneticPr fontId="1" type="noConversion"/>
  </si>
  <si>
    <r>
      <t>高柱單盞9</t>
    </r>
    <r>
      <rPr>
        <sz val="12"/>
        <color rgb="FF000000"/>
        <rFont val="標楷體"/>
        <family val="4"/>
        <charset val="136"/>
      </rPr>
      <t>盞、矮柱單盞12盞、
矮柱雙盞22盞</t>
    </r>
    <phoneticPr fontId="1" type="noConversion"/>
  </si>
  <si>
    <t>9+12+22*2</t>
    <phoneticPr fontId="1" type="noConversion"/>
  </si>
  <si>
    <t>(2+7+6+3)</t>
    <phoneticPr fontId="1" type="noConversion"/>
  </si>
  <si>
    <t>既有磺港橋</t>
    <phoneticPr fontId="1" type="noConversion"/>
  </si>
  <si>
    <t>既有水利設施拆除及運送</t>
    <phoneticPr fontId="1" type="noConversion"/>
  </si>
  <si>
    <t>閘門及既有水利設施</t>
    <phoneticPr fontId="1" type="noConversion"/>
  </si>
  <si>
    <t>統計單據</t>
    <phoneticPr fontId="1" type="noConversion"/>
  </si>
  <si>
    <t>1.1.24</t>
  </si>
  <si>
    <t>表土清除，堆置，及回填費，t=30cm</t>
  </si>
  <si>
    <t>1.1.25</t>
  </si>
  <si>
    <t>餘土分類處理</t>
  </si>
  <si>
    <t>日</t>
  </si>
  <si>
    <t>實際施作統計日報</t>
    <phoneticPr fontId="1" type="noConversion"/>
  </si>
  <si>
    <t>百齡暫置場整地</t>
    <phoneticPr fontId="1" type="noConversion"/>
  </si>
  <si>
    <t>現場丈量(尚未完成)</t>
    <phoneticPr fontId="1" type="noConversion"/>
  </si>
  <si>
    <t>磺港橋及希冀橋基樁區回填</t>
    <phoneticPr fontId="1" type="noConversion"/>
  </si>
  <si>
    <t>既有路橋及人行橋橋台清障回填</t>
    <phoneticPr fontId="1" type="noConversion"/>
  </si>
  <si>
    <t>((5*6*6.5*2)+(13*3.5*6.8)+(3.2*8.5*1.6))</t>
    <phoneticPr fontId="1" type="noConversion"/>
  </si>
  <si>
    <t>(14.35*0.8*1.25+14.35*0.8*2.75+15*0.8*2.75)+((5.1+1.92)*2*1.25)</t>
    <phoneticPr fontId="1" type="noConversion"/>
  </si>
  <si>
    <t>新設磺港橋及希冀橋(A2)橋台回填</t>
    <phoneticPr fontId="1" type="noConversion"/>
  </si>
  <si>
    <t>希冀橋</t>
    <phoneticPr fontId="1" type="noConversion"/>
  </si>
  <si>
    <t>磺港橋橋台</t>
    <phoneticPr fontId="1" type="noConversion"/>
  </si>
  <si>
    <t>希冀橋橋台</t>
    <phoneticPr fontId="1" type="noConversion"/>
  </si>
  <si>
    <t>晶化地坪、希冀橋人行道引道</t>
    <phoneticPr fontId="1" type="noConversion"/>
  </si>
  <si>
    <t>希冀橋無障礙警示帶、希冀橋人行道引道、透空步道混凝土踏階</t>
    <phoneticPr fontId="1" type="noConversion"/>
  </si>
  <si>
    <t>希冀橋人行道引道、透空步道混凝土踏階</t>
    <phoneticPr fontId="1" type="noConversion"/>
  </si>
  <si>
    <t>磺港橋橋台(含防震塊)</t>
    <phoneticPr fontId="1" type="noConversion"/>
  </si>
  <si>
    <t>希冀橋橋台(含防震塊)</t>
    <phoneticPr fontId="1" type="noConversion"/>
  </si>
  <si>
    <t>(15.2*1.9*0.1)+(14.55*1.9*0.1)</t>
    <phoneticPr fontId="1" type="noConversion"/>
  </si>
  <si>
    <t>(3.08*4.87*0.1)+(3.7*1.7*0.1)</t>
    <phoneticPr fontId="1" type="noConversion"/>
  </si>
  <si>
    <t>磺港橋橋面版</t>
    <phoneticPr fontId="1" type="noConversion"/>
  </si>
  <si>
    <t>磺港橋進橋版</t>
    <phoneticPr fontId="1" type="noConversion"/>
  </si>
  <si>
    <t>磺港橋護欄</t>
    <phoneticPr fontId="1" type="noConversion"/>
  </si>
  <si>
    <t>(((16.55+15.7)/2*13.3*0.25)-(12.6*0.6*0.05))</t>
    <phoneticPr fontId="1" type="noConversion"/>
  </si>
  <si>
    <t>((2.88*4.67*1.15)+(0.5*1*(1.88+1+1.8+2.67)))+((1.5*3.5*1.15)+(0.5*3.5*1)+(0.3*1*2)+(3.5*(0.42*0.3+0.4*0.42/2))+(2.1*0.45*0.75*4))</t>
    <phoneticPr fontId="1" type="noConversion"/>
  </si>
  <si>
    <t>((14.35+15.2)*1.15*1.5)+((14.35+15.2)*1.5*0.5)+((14.35+15.2)*(0.42*0.3+0.4*0.42/2))+(2.2*0.45*0.75*14)</t>
    <phoneticPr fontId="1" type="noConversion"/>
  </si>
  <si>
    <t>(13.3*5*0.3*2)</t>
    <phoneticPr fontId="1" type="noConversion"/>
  </si>
  <si>
    <t>磺港橋進橋版(尚未完成)</t>
    <phoneticPr fontId="1" type="noConversion"/>
  </si>
  <si>
    <t>希冀橋上構(含防震塊)</t>
    <phoneticPr fontId="1" type="noConversion"/>
  </si>
  <si>
    <t>磺港橋+希冀橋</t>
    <phoneticPr fontId="1" type="noConversion"/>
  </si>
  <si>
    <t>49346.35(鋼構製造圖)</t>
    <phoneticPr fontId="1" type="noConversion"/>
  </si>
  <si>
    <t>鋼筋表</t>
    <phoneticPr fontId="1" type="noConversion"/>
  </si>
  <si>
    <t>伸縮縫</t>
    <phoneticPr fontId="1" type="noConversion"/>
  </si>
  <si>
    <t>護欄</t>
    <phoneticPr fontId="1" type="noConversion"/>
  </si>
  <si>
    <t>(18.6+16.96)/2*(13.3-0.7*7+0.1*14)+
(0.2*(18.6+16.96)/2)+(0.25*(15.3+14.5))</t>
    <phoneticPr fontId="1" type="noConversion"/>
  </si>
  <si>
    <t>希冀橋橋台+PC</t>
    <phoneticPr fontId="1" type="noConversion"/>
  </si>
  <si>
    <t>(15.3+14.35)*(1.15+1.5+2.75+0.1*2)+(1.5*1.15+1.5*0.5+0.42*0.7)*2*2+(0.25*0.6*4)*14+(2.2*0.45*2+0.75*2.2+1.05*0.6)*14</t>
    <phoneticPr fontId="1" type="noConversion"/>
  </si>
  <si>
    <t>面積計算</t>
    <phoneticPr fontId="1" type="noConversion"/>
  </si>
  <si>
    <t>(2.38+1.95+0.5+0.5+2.67)*2*1+(0.25*0.6*4)*4+((3.5*2.15)+(3.5*2.35)+1.5*1.15*2+1*0.5*2*0.42*0.7*2)+(2*0.45*2+0.75*2+1.05*0.6)*4</t>
    <phoneticPr fontId="1" type="noConversion"/>
  </si>
  <si>
    <t>(4.67*1.15)*2+(2.88*1.15*2)+(5.05+3.1+3.9+1.9)*2*0.1+(15.7+14.75+1.9*2)*2*0.1</t>
    <phoneticPr fontId="1" type="noConversion"/>
  </si>
  <si>
    <t>((16.2*3.35*2.7+16.8*3.25*1.8)+6.3*4.5*2+4.1*3.6*2.5)</t>
    <phoneticPr fontId="1" type="noConversion"/>
  </si>
  <si>
    <t>磺港橋+堤牆銜接+希冀橋</t>
    <phoneticPr fontId="1" type="noConversion"/>
  </si>
  <si>
    <t>((1.8*12*3*2+1.8*9*2*2+1.8*8*2*5)+(1.8*3*2+1.8*5*4+1.8*5*2))</t>
    <phoneticPr fontId="1" type="noConversion"/>
  </si>
  <si>
    <t>(2*45+3*36+4*31)</t>
    <phoneticPr fontId="1" type="noConversion"/>
  </si>
  <si>
    <t>47258(鋼構製造圖)</t>
    <phoneticPr fontId="1" type="noConversion"/>
  </si>
  <si>
    <t>1.3.37</t>
  </si>
  <si>
    <t>地質鑽探</t>
  </si>
  <si>
    <t>1.3.38</t>
  </si>
  <si>
    <t>鋼構吊裝</t>
  </si>
  <si>
    <t>1.3.39</t>
  </si>
  <si>
    <t>金屬製品，防震拉條</t>
  </si>
  <si>
    <t>結構用混凝土，預拌，280kgf/cm2(第二型水泥)</t>
  </si>
  <si>
    <t>結構用混凝土，預拌，280kgf/cm2(第二型水泥)</t>
    <phoneticPr fontId="1" type="noConversion"/>
  </si>
  <si>
    <t>1.4.21</t>
  </si>
  <si>
    <t>預力混凝土基樁，D=600mm，(打樁，含樁，空打及PC版樁隱蔽障礙物清除處理)</t>
  </si>
  <si>
    <t>1.4.22</t>
  </si>
  <si>
    <t>泥漿運棄及處理</t>
  </si>
  <si>
    <t>1.4.23</t>
  </si>
  <si>
    <t>砌排石工，混凝土砌石(卵石均厚70cm)</t>
  </si>
  <si>
    <t>1.4.24</t>
  </si>
  <si>
    <t>1.4.25</t>
  </si>
  <si>
    <t>洩水袋</t>
  </si>
  <si>
    <t>1.4.26</t>
  </si>
  <si>
    <t>混凝土軋碎加工，含人工撿拾</t>
  </si>
  <si>
    <t>1.4.27</t>
  </si>
  <si>
    <t>1.4.28</t>
  </si>
  <si>
    <t>銲接鋼線網，D=10.00mm，15x15cm</t>
  </si>
  <si>
    <t>58*10</t>
    <phoneticPr fontId="1" type="noConversion"/>
  </si>
  <si>
    <t>低水護岸</t>
    <phoneticPr fontId="1" type="noConversion"/>
  </si>
  <si>
    <t>結構用混凝土，預拌，140kgf/cm2</t>
    <phoneticPr fontId="1" type="noConversion"/>
  </si>
  <si>
    <t>結構用混凝土140kgf/cm2+280kgf/cm2(第二型水泥)</t>
    <phoneticPr fontId="1" type="noConversion"/>
  </si>
  <si>
    <t>(16.2*1.5*0.1)</t>
    <phoneticPr fontId="1" type="noConversion"/>
  </si>
  <si>
    <t>(15.8*0.3*3.45)+(1.2*0.4*15.8)</t>
    <phoneticPr fontId="1" type="noConversion"/>
  </si>
  <si>
    <t>護岸二</t>
    <phoneticPr fontId="1" type="noConversion"/>
  </si>
  <si>
    <t>橋台下方擋土牆</t>
    <phoneticPr fontId="1" type="noConversion"/>
  </si>
  <si>
    <t>護岸二基礎</t>
    <phoneticPr fontId="1" type="noConversion"/>
  </si>
  <si>
    <t>(246.3*0.85*0.05)+(1.7*0.1*(11.2+57.6))</t>
    <phoneticPr fontId="1" type="noConversion"/>
  </si>
  <si>
    <t>(1.5*2*246.3+1.5*0.75*12)</t>
    <phoneticPr fontId="1" type="noConversion"/>
  </si>
  <si>
    <t>(15.8*3.45-7.05*2.6)*2</t>
    <phoneticPr fontId="1" type="noConversion"/>
  </si>
  <si>
    <t>((4.79+3.4)/2*17*2+(0.3+0.5)/2*(4.79+3.4)/2*2)</t>
    <phoneticPr fontId="1" type="noConversion"/>
  </si>
  <si>
    <t>0+070樓梯處牆修復</t>
    <phoneticPr fontId="1" type="noConversion"/>
  </si>
  <si>
    <t>(0.45*17)*2+(2.5*0.45*2)</t>
    <phoneticPr fontId="1" type="noConversion"/>
  </si>
  <si>
    <t>(9.8*3.3*2)</t>
    <phoneticPr fontId="1" type="noConversion"/>
  </si>
  <si>
    <t>護岸三基礎+背牆+PC</t>
    <phoneticPr fontId="1" type="noConversion"/>
  </si>
  <si>
    <r>
      <t>護岸三面牆</t>
    </r>
    <r>
      <rPr>
        <sz val="12"/>
        <color rgb="FFFF0000"/>
        <rFont val="標楷體"/>
        <family val="4"/>
        <charset val="136"/>
      </rPr>
      <t>L=L57.6(41.1+16.5)+R11.2(現場丈量)</t>
    </r>
    <phoneticPr fontId="1" type="noConversion"/>
  </si>
  <si>
    <r>
      <t>護岸二牆</t>
    </r>
    <r>
      <rPr>
        <sz val="12"/>
        <color rgb="FFFF0000"/>
        <rFont val="標楷體"/>
        <family val="4"/>
        <charset val="136"/>
      </rPr>
      <t>L=R17(現場丈量)</t>
    </r>
    <phoneticPr fontId="1" type="noConversion"/>
  </si>
  <si>
    <t>((0.6*41.1*2)+(0.6*1.7*3))+(1.7*16.5+0.6*16.5+0.6*2.2*2)+(3.63*41.1*1+(2.1*16.5*1))+(3.95*11.2*1+(0.6*11.2*2)+(0.6*1.7*1))+(41.1*2+1.7*4+11.2*2)*0.1</t>
    <phoneticPr fontId="1" type="noConversion"/>
  </si>
  <si>
    <t>(3.63*41.1*1+(1.1+0.5)/2*3.6*3)+(2.1*16.5*1)+(3.95*11.2*1+(1.1+0.5)/2*3.95*2)</t>
    <phoneticPr fontId="1" type="noConversion"/>
  </si>
  <si>
    <t>清江公園側擋土牆2處</t>
    <phoneticPr fontId="1" type="noConversion"/>
  </si>
  <si>
    <t>低水護岸+護岸二+護岸三</t>
    <phoneticPr fontId="1" type="noConversion"/>
  </si>
  <si>
    <t>(2.85+0.5)*7.6*2+(2.85+0.5)*6.35*2</t>
    <phoneticPr fontId="1" type="noConversion"/>
  </si>
  <si>
    <t>橋台清江公園側擋土牆2處</t>
    <phoneticPr fontId="1" type="noConversion"/>
  </si>
  <si>
    <t>(2.85*(7.6+6.35)*0.3)+(0.5*(7.6+6.35)*1.5)</t>
    <phoneticPr fontId="1" type="noConversion"/>
  </si>
  <si>
    <t>護岸二+護岸三</t>
    <phoneticPr fontId="1" type="noConversion"/>
  </si>
  <si>
    <t>砌排石工，混凝土砌石</t>
    <phoneticPr fontId="1" type="noConversion"/>
  </si>
  <si>
    <t>固床工，砌排石工，乾砌塊石</t>
    <phoneticPr fontId="1" type="noConversion"/>
  </si>
  <si>
    <t>固床工+河床點綴</t>
    <phoneticPr fontId="1" type="noConversion"/>
  </si>
  <si>
    <t>低水護岸，拋石，塊石，硬石</t>
    <phoneticPr fontId="1" type="noConversion"/>
  </si>
  <si>
    <t>砌排石數量表=277.04</t>
    <phoneticPr fontId="1" type="noConversion"/>
  </si>
  <si>
    <t>砌排石數量表=82.85+51.33</t>
    <phoneticPr fontId="1" type="noConversion"/>
  </si>
  <si>
    <t>右岸+左岸+保護樹A(下層)+保護樹B</t>
    <phoneticPr fontId="1" type="noConversion"/>
  </si>
  <si>
    <t>砌排石數量表=701.46+100.43+105.55</t>
    <phoneticPr fontId="1" type="noConversion"/>
  </si>
  <si>
    <t>L=R17=(3/0.15)*17</t>
    <phoneticPr fontId="1" type="noConversion"/>
  </si>
  <si>
    <t>預力樁柱頭筋</t>
    <phoneticPr fontId="1" type="noConversion"/>
  </si>
  <si>
    <t>磺港橋護欄(尚未完成)</t>
    <phoneticPr fontId="1" type="noConversion"/>
  </si>
  <si>
    <t>低水護岸(尚未完成)</t>
    <phoneticPr fontId="1" type="noConversion"/>
  </si>
  <si>
    <t>抽水井</t>
    <phoneticPr fontId="1" type="noConversion"/>
  </si>
  <si>
    <t>河道整理</t>
    <phoneticPr fontId="1" type="noConversion"/>
  </si>
  <si>
    <t>312*7*0.5</t>
    <phoneticPr fontId="1" type="noConversion"/>
  </si>
  <si>
    <t>H1.8*(右岸295m+左岸57.3m)=634.14</t>
    <phoneticPr fontId="1" type="noConversion"/>
  </si>
  <si>
    <t>河道護岸左右側</t>
    <phoneticPr fontId="1" type="noConversion"/>
  </si>
  <si>
    <t>新設護岸+新設堤牆+護坡坍落段回填修坡+清江公園側擋土牆2處</t>
    <phoneticPr fontId="1" type="noConversion"/>
  </si>
  <si>
    <t>295*0.7+76*0.75+40*2+12*0.3</t>
    <phoneticPr fontId="1" type="noConversion"/>
  </si>
  <si>
    <t>295+76+80+12</t>
    <phoneticPr fontId="1" type="noConversion"/>
  </si>
  <si>
    <t>新河道底部+基礎臨河道測回填</t>
    <phoneticPr fontId="1" type="noConversion"/>
  </si>
  <si>
    <t>護岸三L=L57.6(41.1+16.5)+R11.2</t>
    <phoneticPr fontId="1" type="noConversion"/>
  </si>
  <si>
    <t>246.3*0.75*1.5</t>
    <phoneticPr fontId="1" type="noConversion"/>
  </si>
  <si>
    <t>(282.3*8.2*0.5)+(246.3*(1.5*0.6+0.6*1))</t>
    <phoneticPr fontId="1" type="noConversion"/>
  </si>
  <si>
    <t>護岸二L=R17+閘門底灌漿</t>
    <phoneticPr fontId="1" type="noConversion"/>
  </si>
  <si>
    <t>樁內灌漿</t>
    <phoneticPr fontId="1" type="noConversion"/>
  </si>
  <si>
    <t>保護樹繫粱A+B</t>
    <phoneticPr fontId="1" type="noConversion"/>
  </si>
  <si>
    <t>微型樁</t>
    <phoneticPr fontId="1" type="noConversion"/>
  </si>
  <si>
    <t>新設護岸+保護樹A+B</t>
    <phoneticPr fontId="1" type="noConversion"/>
  </si>
  <si>
    <t>環境清整公園面積(面積尚未檢核)</t>
    <phoneticPr fontId="1" type="noConversion"/>
  </si>
  <si>
    <t>變更後數量</t>
    <phoneticPr fontId="1" type="noConversion"/>
  </si>
  <si>
    <t>原契約數量</t>
    <phoneticPr fontId="1" type="noConversion"/>
  </si>
  <si>
    <t>0.6*0.4*(23.8+19.8)</t>
    <phoneticPr fontId="1" type="noConversion"/>
  </si>
  <si>
    <t>0.6*(23.8+19.8)*2+0.6*0.4*4</t>
    <phoneticPr fontId="1" type="noConversion"/>
  </si>
  <si>
    <t>1.35*23.8*0.1</t>
    <phoneticPr fontId="1" type="noConversion"/>
  </si>
  <si>
    <t>保護樹A擋土牆L=23.8(尚未完成)</t>
    <phoneticPr fontId="1" type="noConversion"/>
  </si>
  <si>
    <t>(1.35+2.05)*23.8*0.3+0.8*0.35*23.8</t>
    <phoneticPr fontId="1" type="noConversion"/>
  </si>
  <si>
    <t>保護樹B擋土牆</t>
    <phoneticPr fontId="1" type="noConversion"/>
  </si>
  <si>
    <t>5.3*19.8</t>
    <phoneticPr fontId="1" type="noConversion"/>
  </si>
  <si>
    <t>0+120~280+保護樹A旁+保護樹B旁=(160*5.9)+(26.7*8.2)+(3.9*5.1)</t>
    <phoneticPr fontId="1" type="noConversion"/>
  </si>
  <si>
    <t>6*218*6.39</t>
    <phoneticPr fontId="1" type="noConversion"/>
  </si>
  <si>
    <t>(2.7*23.8+0.35*0.8+(1.35+2.05)*0.3)*2+(0.6+0.1)*23.8</t>
    <phoneticPr fontId="1" type="noConversion"/>
  </si>
  <si>
    <t>((2.8*1.56*8)+(0.55*0.56*13))*58</t>
    <phoneticPr fontId="1" type="noConversion"/>
  </si>
  <si>
    <t>(43.6+0.6*8)*4*0.994+(0.3+0.35+0.18*2+0.55)*43.6/0.3*0.994</t>
    <phoneticPr fontId="1" type="noConversion"/>
  </si>
  <si>
    <t>23.8*2*0.15+26.2*3.83*0.35+25.7*5.5*0.35</t>
    <phoneticPr fontId="1" type="noConversion"/>
  </si>
  <si>
    <t>砌石+塊石+點綴石被填</t>
    <phoneticPr fontId="1" type="noConversion"/>
  </si>
  <si>
    <t>(17*2.5*0.45)+(17*(0.5+0.7)/2*(4.79+3.4)/2)+(0.5*3.2*5.1)</t>
    <phoneticPr fontId="1" type="noConversion"/>
  </si>
  <si>
    <t>(41.1*1.7*0.6)+(41.1*(0.5+1.1)/2*3.63)+(16.5*2.2*0.6)+(16.5*(0.5+0.85)/2*2.1+16.5*0.3*1.1)</t>
    <phoneticPr fontId="1" type="noConversion"/>
  </si>
  <si>
    <t>246.3*1.75*0.25+503.7*0.15+1335.6*0.15+82.85*0.35+78.97*0.25</t>
    <phoneticPr fontId="1" type="noConversion"/>
  </si>
  <si>
    <t>246.3*1.75+26.2*3.83+25.7*5.5</t>
    <phoneticPr fontId="1" type="noConversion"/>
  </si>
  <si>
    <r>
      <rPr>
        <sz val="12"/>
        <color rgb="FFFF0000"/>
        <rFont val="標楷體"/>
        <family val="4"/>
        <charset val="136"/>
      </rPr>
      <t>保護樹A上L=23.8M(尚未完成)</t>
    </r>
    <r>
      <rPr>
        <sz val="12"/>
        <rFont val="標楷體"/>
        <family val="4"/>
        <charset val="136"/>
      </rPr>
      <t>下層砌石+保護樹B牆版及砌石</t>
    </r>
    <phoneticPr fontId="1" type="noConversion"/>
  </si>
  <si>
    <t>雙孔箱涵</t>
    <phoneticPr fontId="1" type="noConversion"/>
  </si>
  <si>
    <t>控制性低強度回填材料及澆置</t>
    <phoneticPr fontId="1" type="noConversion"/>
  </si>
  <si>
    <t>單孔箱涵</t>
    <phoneticPr fontId="1" type="noConversion"/>
  </si>
  <si>
    <t>雙孔箱涵(里程L=280尚未檢核)</t>
    <phoneticPr fontId="1" type="noConversion"/>
  </si>
  <si>
    <t>單孔箱涵(里程L=300尚未檢核)</t>
    <phoneticPr fontId="1" type="noConversion"/>
  </si>
  <si>
    <t>橋臺下雙孔箱涵及臨清江公園側</t>
    <phoneticPr fontId="1" type="noConversion"/>
  </si>
  <si>
    <t>140kgf/cm2+210kgf/cm2+低強度回填材</t>
    <phoneticPr fontId="1" type="noConversion"/>
  </si>
  <si>
    <t>雙孔及單孔箱涵間L=245.7</t>
    <phoneticPr fontId="1" type="noConversion"/>
  </si>
  <si>
    <t>1.15*1.8*245.7</t>
    <phoneticPr fontId="1" type="noConversion"/>
  </si>
  <si>
    <t>單孔箱涵+出流井(含銜接出口)+雙孔箱涵</t>
    <phoneticPr fontId="1" type="noConversion"/>
  </si>
  <si>
    <t>出流井(含銜接出口)(尚未完成)</t>
    <phoneticPr fontId="1" type="noConversion"/>
  </si>
  <si>
    <t>出流井銜接出口回填</t>
    <phoneticPr fontId="1" type="noConversion"/>
  </si>
  <si>
    <t>16.5*1.3*0.65+2.7*(2.5+1.35)/2*15.2</t>
    <phoneticPr fontId="1" type="noConversion"/>
  </si>
  <si>
    <t>(2.1*0.1*300)+(5*3.7*0.1+1.8*2.1*0.1)+(7.35*0.1*60)</t>
    <phoneticPr fontId="1" type="noConversion"/>
  </si>
  <si>
    <t>(1.8+0.8)/2*1.6*2.45</t>
    <phoneticPr fontId="1" type="noConversion"/>
  </si>
  <si>
    <t>(1.8*0.3*2+1.2*0.3*2)*300</t>
    <phoneticPr fontId="1" type="noConversion"/>
  </si>
  <si>
    <t>雙孔箱涵(內側)</t>
    <phoneticPr fontId="1" type="noConversion"/>
  </si>
  <si>
    <t>單孔箱涵(內側)</t>
    <phoneticPr fontId="1" type="noConversion"/>
  </si>
  <si>
    <t>單孔箱涵(外側)</t>
    <phoneticPr fontId="1" type="noConversion"/>
  </si>
  <si>
    <t>出流井(內側)</t>
    <phoneticPr fontId="1" type="noConversion"/>
  </si>
  <si>
    <t>出流井(外側)</t>
    <phoneticPr fontId="1" type="noConversion"/>
  </si>
  <si>
    <t>(1.3*4+2.3*2+0.495*8)*280</t>
    <phoneticPr fontId="1" type="noConversion"/>
  </si>
  <si>
    <t>1.2*3*300</t>
    <phoneticPr fontId="1" type="noConversion"/>
  </si>
  <si>
    <t>(4.7*3.4*0.3*2)+(2.7*4.7*0.3*2)+(1.75*0.2*2.8+2.8*2.45*0.2)+(2.7*2.8*0.3*2)-(2.4*1.5+1.2*1.2*2)*0.3</t>
    <phoneticPr fontId="1" type="noConversion"/>
  </si>
  <si>
    <t>(4.1*2.7+2.8*2.7)*2-(1.2*1.2*2)+4.1*2.8+1.75*2</t>
    <phoneticPr fontId="1" type="noConversion"/>
  </si>
  <si>
    <t>(4.7+3.4)*3.4*2-(1.2*1.2)</t>
    <phoneticPr fontId="1" type="noConversion"/>
  </si>
  <si>
    <t>雙孔箱涵(外側60+220)</t>
    <phoneticPr fontId="1" type="noConversion"/>
  </si>
  <si>
    <t>(2.8*2)*60+(2.2*2)*220+(0.7*7.05+0.35*2*3+0.35*0.35*4)*15</t>
    <phoneticPr fontId="1" type="noConversion"/>
  </si>
  <si>
    <t>1.8*2*67+1.8*1*233+(1.8*1.8-1.2*1.2)*15</t>
    <phoneticPr fontId="1" type="noConversion"/>
  </si>
  <si>
    <t>出流井(含銜接出口)雙孔箱涵</t>
    <phoneticPr fontId="1" type="noConversion"/>
  </si>
  <si>
    <t>出流井(含銜接出口)</t>
    <phoneticPr fontId="1" type="noConversion"/>
  </si>
  <si>
    <t>14+4</t>
    <phoneticPr fontId="1" type="noConversion"/>
  </si>
  <si>
    <t>單孔箱涵+雙孔箱涵</t>
    <phoneticPr fontId="1" type="noConversion"/>
  </si>
  <si>
    <t>施工縫</t>
    <phoneticPr fontId="1" type="noConversion"/>
  </si>
  <si>
    <t>雙孔箱涵水平施工縫+單.雙孔箱涵伸縮縫</t>
    <phoneticPr fontId="1" type="noConversion"/>
  </si>
  <si>
    <t>(1.8*2+1.6*2)*15+(7.05*2+2.4*3)*14</t>
    <phoneticPr fontId="1" type="noConversion"/>
  </si>
  <si>
    <t>280*3+(1.8*2+1.6*2)*15+(7.05*2+2.4*3)*14</t>
    <phoneticPr fontId="1" type="noConversion"/>
  </si>
  <si>
    <t>(1.8*2*6)+(1.8*3*6)+(1.8*4*12)*3</t>
    <phoneticPr fontId="1" type="noConversion"/>
  </si>
  <si>
    <t>級配粒料底層，碎石級配</t>
  </si>
  <si>
    <t>(免拆模板，鋼質)，厚3mm鋼模</t>
  </si>
  <si>
    <t>磺港橋改道</t>
    <phoneticPr fontId="1" type="noConversion"/>
  </si>
  <si>
    <t>(22.5*4.5*0.05)</t>
    <phoneticPr fontId="1" type="noConversion"/>
  </si>
  <si>
    <t>22.5*4.5</t>
    <phoneticPr fontId="1" type="noConversion"/>
  </si>
  <si>
    <t>受保護樹木</t>
    <phoneticPr fontId="1" type="noConversion"/>
  </si>
  <si>
    <t>移植，喬木類移植，10cm≦米高直徑＜15cm</t>
    <phoneticPr fontId="1" type="noConversion"/>
  </si>
  <si>
    <t>喬木類移植</t>
  </si>
  <si>
    <t>1.7.76</t>
  </si>
  <si>
    <t>D=20CM微型樁(含工料、鑽桿接桿、鑽掘泥漿處理運棄，鋼筋另計)</t>
  </si>
  <si>
    <t>1.7.77</t>
  </si>
  <si>
    <t>產品，植草，植生袋，客土</t>
  </si>
  <si>
    <t>袋</t>
  </si>
  <si>
    <t>43.6/0.2*6</t>
    <phoneticPr fontId="1" type="noConversion"/>
  </si>
  <si>
    <t>低水護岸246.3M+護岸三</t>
    <phoneticPr fontId="1" type="noConversion"/>
  </si>
  <si>
    <r>
      <t>低水護岸+</t>
    </r>
    <r>
      <rPr>
        <sz val="12"/>
        <color rgb="FFFF0000"/>
        <rFont val="標楷體"/>
        <family val="4"/>
        <charset val="136"/>
      </rPr>
      <t>受保護樹木A(尚未完成)+護岸二.三堤牆頂(尚未完成)</t>
    </r>
    <phoneticPr fontId="1" type="noConversion"/>
  </si>
  <si>
    <t>(246*(4+18+4)+20*4)+(25*6)+(73*5)</t>
    <phoneticPr fontId="1" type="noConversion"/>
  </si>
  <si>
    <t>1.9.7</t>
  </si>
  <si>
    <t>臨時擋土樁設施，鋼板樁，L=9m，(單邊水平長度，未含擋土支撐系統)</t>
  </si>
  <si>
    <t>1.9.8</t>
  </si>
  <si>
    <t>臨時擋土樁設施，鋼板樁，L=13m，(單邊水平長度，未含擋土支撐系統)</t>
  </si>
  <si>
    <t>1.9.9</t>
  </si>
  <si>
    <t>臨時河道圍水設施，鋼板樁，L=13m，(單邊水平長度，未含擋土支撐系統)</t>
  </si>
  <si>
    <t>護岸三堤牆</t>
    <phoneticPr fontId="1" type="noConversion"/>
  </si>
  <si>
    <t>16+78+62(新左堤+雙孔破堤處+磺港橋台)</t>
    <phoneticPr fontId="1" type="noConversion"/>
  </si>
  <si>
    <t>新左堤+雙孔破堤處+磺港橋台</t>
    <phoneticPr fontId="1" type="noConversion"/>
  </si>
  <si>
    <t>106(新左堤)</t>
    <phoneticPr fontId="1" type="noConversion"/>
  </si>
  <si>
    <t>60+72(雙孔既道有路側+橋台鄰路側)</t>
    <phoneticPr fontId="1" type="noConversion"/>
  </si>
  <si>
    <t>雙孔既道有路側+磺港橋台鄰路側</t>
    <phoneticPr fontId="1" type="noConversion"/>
  </si>
  <si>
    <t>希冀橋A1+磺港橋A1+下游新舊河道+右護岸二.三堤牆+雙孔箱涵出口+上游新舊河道+單孔箱涵出口</t>
    <phoneticPr fontId="1" type="noConversion"/>
  </si>
  <si>
    <t>(51.5/0.5*6*2)+(16*0.5*6)+(92/0.5*6)</t>
    <phoneticPr fontId="1" type="noConversion"/>
  </si>
  <si>
    <t>臨時通道用鋼板，厚15mm</t>
    <phoneticPr fontId="1" type="noConversion"/>
  </si>
  <si>
    <t>單孔箱涵+出流井+低水護岸(0+280~188)</t>
    <phoneticPr fontId="1" type="noConversion"/>
  </si>
  <si>
    <t>臨時擋土樁設施，鋼軌樁 50kg/m</t>
    <phoneticPr fontId="1" type="noConversion"/>
  </si>
  <si>
    <t>磺港橋+希冀橋+暫置區+擋土樁使用+工區臨時通道</t>
    <phoneticPr fontId="1" type="noConversion"/>
  </si>
  <si>
    <t>(5*2.5*38)+(5*2.5*12)+(5*2.5*20*8)+((51.5*2+92+16)*2.5)+(5*2.5*20*24)</t>
    <phoneticPr fontId="1" type="noConversion"/>
  </si>
  <si>
    <t>安裝~113/7/31</t>
    <phoneticPr fontId="1" type="noConversion"/>
  </si>
  <si>
    <t>臨時構台便橋</t>
  </si>
  <si>
    <t>~113/7/31</t>
    <phoneticPr fontId="1" type="noConversion"/>
  </si>
  <si>
    <t>臨時直立式號誌</t>
    <phoneticPr fontId="1" type="noConversion"/>
  </si>
  <si>
    <t>磺港橋臨時號誌</t>
    <phoneticPr fontId="1" type="noConversion"/>
  </si>
  <si>
    <t>113/7累計計價數量</t>
    <phoneticPr fontId="1" type="noConversion"/>
  </si>
  <si>
    <t>275+189</t>
    <phoneticPr fontId="1" type="noConversion"/>
  </si>
  <si>
    <t>113/7施作數量</t>
    <phoneticPr fontId="1" type="noConversion"/>
  </si>
  <si>
    <t>3.35</t>
  </si>
  <si>
    <t>39項重金屬檢測</t>
  </si>
  <si>
    <t>3.36</t>
  </si>
  <si>
    <t>品質管理，預力混凝土基樁試驗</t>
  </si>
  <si>
    <t>3.37</t>
  </si>
  <si>
    <t>品質管理，材料設備檢驗費，盤式支承(固定型、單向活動型)垂直載重試驗(含支承墊回復)</t>
  </si>
  <si>
    <t>3.38</t>
  </si>
  <si>
    <t>品質管理，材料設備檢驗費，盤式支承(單向活動型)滑動摩擦係數試驗</t>
  </si>
  <si>
    <t>3.39</t>
  </si>
  <si>
    <t>品質管理，材料設備檢驗費，盤式支承尺度及表面粗糙度試驗</t>
  </si>
  <si>
    <t>核對試驗報告</t>
    <phoneticPr fontId="1" type="noConversion"/>
  </si>
  <si>
    <t>4.3</t>
  </si>
  <si>
    <t>環境保護費用，灑水車</t>
  </si>
  <si>
    <t>車</t>
  </si>
  <si>
    <t>5.16</t>
  </si>
  <si>
    <t>施工圍籬，組合式活動，1.8m≦高度＜2.1m</t>
  </si>
  <si>
    <t>5.17</t>
  </si>
  <si>
    <t>5.18</t>
  </si>
  <si>
    <t>臨時工</t>
  </si>
  <si>
    <t>工區第1及2階段+暫置區+第3階段</t>
    <phoneticPr fontId="1" type="noConversion"/>
  </si>
  <si>
    <r>
      <rPr>
        <sz val="16"/>
        <rFont val="Microsoft JhengHei"/>
        <family val="2"/>
      </rPr>
      <t>第</t>
    </r>
    <r>
      <rPr>
        <sz val="16"/>
        <rFont val="Arial"/>
        <family val="2"/>
      </rPr>
      <t>1</t>
    </r>
    <r>
      <rPr>
        <sz val="16"/>
        <rFont val="細明體"/>
        <family val="2"/>
        <charset val="136"/>
      </rPr>
      <t>階段</t>
    </r>
    <r>
      <rPr>
        <sz val="16"/>
        <rFont val="Microsoft JhengHei"/>
        <family val="2"/>
        <charset val="136"/>
      </rPr>
      <t>施工圍籬施作位置示意圖</t>
    </r>
    <phoneticPr fontId="1" type="noConversion"/>
  </si>
  <si>
    <t>(26.7+162+38.2+16.7+58+10+12+85.8+30+66.5+104.5+88+175+82.8)+(85.9+69.2+36)+(31.5+29.1+37.6+28)</t>
    <phoneticPr fontId="1" type="noConversion"/>
  </si>
  <si>
    <t>工區配置+世壯運</t>
    <phoneticPr fontId="1" type="noConversion"/>
  </si>
  <si>
    <t>((26.7+162+38.2+16.7+58+10+12+85.8+30+66.5+175)*2.4)+220</t>
    <phoneticPr fontId="1" type="noConversion"/>
  </si>
  <si>
    <t>((76.3+33.2+23)+39.2+(71*2)+(246.5+21))</t>
    <phoneticPr fontId="1" type="noConversion"/>
  </si>
  <si>
    <t>磺港路北上路側+臨時通道</t>
    <phoneticPr fontId="1" type="noConversion"/>
  </si>
  <si>
    <t>255+20*2</t>
    <phoneticPr fontId="1" type="noConversion"/>
  </si>
  <si>
    <t>磺港路行人通道</t>
    <phoneticPr fontId="1" type="noConversion"/>
  </si>
  <si>
    <t>28*2</t>
    <phoneticPr fontId="1" type="noConversion"/>
  </si>
  <si>
    <t>(磺港橋路側+工區第1.2階段磺港路及公園布道+公園廁所+暫置區移交+清江公園+第3階段)調整</t>
    <phoneticPr fontId="1" type="noConversion"/>
  </si>
  <si>
    <t>(22.5+31.5*2+13.6*2)+(156.2+233.5+72+31.5)+(51.7+18.9)+86.2+(95.2+45+22.5)+(62.3+38.5+22.5)</t>
    <phoneticPr fontId="1" type="noConversion"/>
  </si>
  <si>
    <t>磺港橋樁+希冀橋樁+護岸三堤牆樁及基礎+低水護岸基礎</t>
    <phoneticPr fontId="1" type="noConversion"/>
  </si>
  <si>
    <t>磺港橋A1A2橋台+雙孔破堤處+希冀橋A1A2橋台+護岸三堤牆+低水護岸綠坡</t>
    <phoneticPr fontId="1" type="noConversion"/>
  </si>
  <si>
    <r>
      <t>磺港路112.11.3起(平日7~9</t>
    </r>
    <r>
      <rPr>
        <sz val="12"/>
        <color indexed="8"/>
        <rFont val="新細明體"/>
        <family val="1"/>
        <charset val="136"/>
      </rPr>
      <t>、</t>
    </r>
    <r>
      <rPr>
        <sz val="12"/>
        <color indexed="8"/>
        <rFont val="標楷體"/>
        <family val="4"/>
        <charset val="136"/>
      </rPr>
      <t>16~19)+暫置區</t>
    </r>
    <phoneticPr fontId="1" type="noConversion"/>
  </si>
  <si>
    <t>112.11.3~113.7.31(162*5*2)+(37*8)</t>
    <phoneticPr fontId="1" type="noConversion"/>
  </si>
  <si>
    <t>聯單</t>
    <phoneticPr fontId="1" type="noConversion"/>
  </si>
  <si>
    <t>項目及說明</t>
    <phoneticPr fontId="1" type="noConversion"/>
  </si>
  <si>
    <t>尚未計價</t>
    <phoneticPr fontId="1" type="noConversion"/>
  </si>
  <si>
    <t>113/8數量=</t>
    <phoneticPr fontId="1" type="noConversion"/>
  </si>
  <si>
    <t>統計聯單.113/8數量=14</t>
    <phoneticPr fontId="1" type="noConversion"/>
  </si>
  <si>
    <t>113/8數量=775*1.8</t>
    <phoneticPr fontId="1" type="noConversion"/>
  </si>
  <si>
    <t>統計聯單.113/8數量=306</t>
    <phoneticPr fontId="1" type="noConversion"/>
  </si>
  <si>
    <t>統計單據.113/8數量=3220</t>
    <phoneticPr fontId="1" type="noConversion"/>
  </si>
  <si>
    <t>(1.8*21*2*2+1.8*11.2*3*2+1.8*17*2*2)</t>
    <phoneticPr fontId="1" type="noConversion"/>
  </si>
  <si>
    <t>(10*3)+(62*3)+(25*3)+(57*3)+(16*3)+(19*3)+(5*3)</t>
    <phoneticPr fontId="1" type="noConversion"/>
  </si>
  <si>
    <t>113/8數量=113</t>
    <phoneticPr fontId="1" type="noConversion"/>
  </si>
  <si>
    <t>(7.05*2.7-3*2*2+0.35*0.35*4)*280</t>
    <phoneticPr fontId="1" type="noConversion"/>
  </si>
  <si>
    <t>112.11.13-113.9.30 323*5*3</t>
    <phoneticPr fontId="1" type="noConversion"/>
  </si>
  <si>
    <t>回填面積及土方量計算表</t>
    <phoneticPr fontId="32" type="noConversion"/>
  </si>
  <si>
    <t>樁號</t>
    <phoneticPr fontId="32" type="noConversion"/>
  </si>
  <si>
    <t>(雙)</t>
    <phoneticPr fontId="32" type="noConversion"/>
  </si>
  <si>
    <t>面積
(RT)</t>
    <phoneticPr fontId="32" type="noConversion"/>
  </si>
  <si>
    <t>回填
高度M</t>
    <phoneticPr fontId="32" type="noConversion"/>
  </si>
  <si>
    <t>分層數</t>
    <phoneticPr fontId="32" type="noConversion"/>
  </si>
  <si>
    <t>回填
土方M3</t>
    <phoneticPr fontId="32" type="noConversion"/>
  </si>
  <si>
    <t>面積
(LT)</t>
    <phoneticPr fontId="32" type="noConversion"/>
  </si>
  <si>
    <t>雙孔箱涵上面積</t>
    <phoneticPr fontId="32" type="noConversion"/>
  </si>
  <si>
    <t>單孔箱涵上+CLSM處面積</t>
    <phoneticPr fontId="32" type="noConversion"/>
  </si>
  <si>
    <t>(單)</t>
    <phoneticPr fontId="32" type="noConversion"/>
  </si>
  <si>
    <t>A0K+</t>
    <phoneticPr fontId="32" type="noConversion"/>
  </si>
  <si>
    <t>B0K+</t>
    <phoneticPr fontId="32" type="noConversion"/>
  </si>
  <si>
    <t>小計</t>
    <phoneticPr fontId="32" type="noConversion"/>
  </si>
  <si>
    <t>總計</t>
    <phoneticPr fontId="32" type="noConversion"/>
  </si>
  <si>
    <t>回填土方量</t>
    <phoneticPr fontId="32" type="noConversion"/>
  </si>
  <si>
    <t>註1:</t>
    <phoneticPr fontId="32" type="noConversion"/>
  </si>
  <si>
    <t>單孔箱涵與雙孔箱涵中間回填CLSM，寬度約1.05-1.1M平均1.075M，總長度=7.14+220+6.28=233.42M，1.075*233.42*(1.2+0.3*2)=451.67M3</t>
    <phoneticPr fontId="32" type="noConversion"/>
  </si>
  <si>
    <t>箱涵上M2</t>
    <phoneticPr fontId="32" type="noConversion"/>
  </si>
  <si>
    <t>分界</t>
    <phoneticPr fontId="32" type="noConversion"/>
  </si>
  <si>
    <t>渠底高程</t>
    <phoneticPr fontId="32" type="noConversion"/>
  </si>
  <si>
    <t>箱涵頂</t>
    <phoneticPr fontId="32" type="noConversion"/>
  </si>
  <si>
    <t>機械拆除，鋼筋混凝土，未含運費</t>
    <phoneticPr fontId="1" type="noConversion"/>
  </si>
  <si>
    <t>備註</t>
    <phoneticPr fontId="32" type="noConversion"/>
  </si>
  <si>
    <t>現場丈量</t>
    <phoneticPr fontId="1" type="noConversion"/>
  </si>
  <si>
    <t>鋼筋取樣數量明細表</t>
    <phoneticPr fontId="32" type="noConversion"/>
  </si>
  <si>
    <t>分類</t>
    <phoneticPr fontId="32" type="noConversion"/>
  </si>
  <si>
    <t>契約項次</t>
    <phoneticPr fontId="32" type="noConversion"/>
  </si>
  <si>
    <t>契約數量</t>
    <phoneticPr fontId="32" type="noConversion"/>
  </si>
  <si>
    <t>鋼種</t>
    <phoneticPr fontId="32" type="noConversion"/>
  </si>
  <si>
    <t>代表數量(1)</t>
    <phoneticPr fontId="32" type="noConversion"/>
  </si>
  <si>
    <t>代表數量(2)</t>
  </si>
  <si>
    <t>代表數量(3)</t>
  </si>
  <si>
    <t>代表數量(4)</t>
  </si>
  <si>
    <t>代表數量(5)</t>
  </si>
  <si>
    <t>代表數量(6)</t>
  </si>
  <si>
    <t>代表數量(7)</t>
  </si>
  <si>
    <t>代表數量(8)</t>
  </si>
  <si>
    <t>代表數量(9)</t>
  </si>
  <si>
    <t>累計數量</t>
    <phoneticPr fontId="32" type="noConversion"/>
  </si>
  <si>
    <t>取樣日期</t>
    <phoneticPr fontId="32" type="noConversion"/>
  </si>
  <si>
    <t>112.12.05</t>
    <phoneticPr fontId="32" type="noConversion"/>
  </si>
  <si>
    <t>113.01.08</t>
    <phoneticPr fontId="32" type="noConversion"/>
  </si>
  <si>
    <t>113.01.30</t>
    <phoneticPr fontId="32" type="noConversion"/>
  </si>
  <si>
    <t>113.04.19</t>
    <phoneticPr fontId="32" type="noConversion"/>
  </si>
  <si>
    <t>113.04.(24)29</t>
    <phoneticPr fontId="32" type="noConversion"/>
  </si>
  <si>
    <t>113.05.27</t>
    <phoneticPr fontId="32" type="noConversion"/>
  </si>
  <si>
    <t>113.06.24</t>
    <phoneticPr fontId="32" type="noConversion"/>
  </si>
  <si>
    <t>113.07.30</t>
    <phoneticPr fontId="32" type="noConversion"/>
  </si>
  <si>
    <t>橋工</t>
    <phoneticPr fontId="32" type="noConversion"/>
  </si>
  <si>
    <t>1.3.5</t>
    <phoneticPr fontId="32" type="noConversion"/>
  </si>
  <si>
    <t>280W</t>
    <phoneticPr fontId="32" type="noConversion"/>
  </si>
  <si>
    <t>1.3.6</t>
    <phoneticPr fontId="32" type="noConversion"/>
  </si>
  <si>
    <t>420W</t>
    <phoneticPr fontId="32" type="noConversion"/>
  </si>
  <si>
    <t>基樁</t>
    <phoneticPr fontId="32" type="noConversion"/>
  </si>
  <si>
    <t>1.3.20</t>
    <phoneticPr fontId="32" type="noConversion"/>
  </si>
  <si>
    <t>河工</t>
    <phoneticPr fontId="32" type="noConversion"/>
  </si>
  <si>
    <t>1.4.7</t>
    <phoneticPr fontId="32" type="noConversion"/>
  </si>
  <si>
    <t>1.4.8</t>
    <phoneticPr fontId="32" type="noConversion"/>
  </si>
  <si>
    <t>下水道</t>
    <phoneticPr fontId="32" type="noConversion"/>
  </si>
  <si>
    <t>1.5.9</t>
    <phoneticPr fontId="32" type="noConversion"/>
  </si>
  <si>
    <t>1.5.10</t>
    <phoneticPr fontId="32" type="noConversion"/>
  </si>
  <si>
    <t>景觀</t>
    <phoneticPr fontId="32" type="noConversion"/>
  </si>
  <si>
    <t>1.2.3</t>
    <phoneticPr fontId="32" type="noConversion"/>
  </si>
  <si>
    <t>交通</t>
    <phoneticPr fontId="32" type="noConversion"/>
  </si>
  <si>
    <t>1.6.11</t>
    <phoneticPr fontId="32" type="noConversion"/>
  </si>
  <si>
    <t>契約-進場</t>
    <phoneticPr fontId="32" type="noConversion"/>
  </si>
  <si>
    <t>進場數量</t>
    <phoneticPr fontId="32" type="noConversion"/>
  </si>
  <si>
    <t>契約量</t>
    <phoneticPr fontId="32" type="noConversion"/>
  </si>
  <si>
    <t>SD280W</t>
    <phoneticPr fontId="32" type="noConversion"/>
  </si>
  <si>
    <t>SD420W</t>
    <phoneticPr fontId="32" type="noConversion"/>
  </si>
  <si>
    <t>結構用混凝土140+210+280kgf/cm2(第二型水泥)</t>
    <phoneticPr fontId="1" type="noConversion"/>
  </si>
  <si>
    <t>58*7*(0.2*0.2*3.14)</t>
    <phoneticPr fontId="1" type="noConversion"/>
  </si>
  <si>
    <t>護岸一砌石底版H=0.25m</t>
    <phoneticPr fontId="1" type="noConversion"/>
  </si>
  <si>
    <t>246.3*2+26.2*3.83+25.7*5.5</t>
    <phoneticPr fontId="1" type="noConversion"/>
  </si>
  <si>
    <t>單孔箱涵(里程L=300)</t>
    <phoneticPr fontId="1" type="noConversion"/>
  </si>
  <si>
    <t>雙孔箱涵(里程L=280)</t>
    <phoneticPr fontId="1" type="noConversion"/>
  </si>
  <si>
    <t>各項試驗統計表</t>
    <phoneticPr fontId="32" type="noConversion"/>
  </si>
  <si>
    <t>至9/30</t>
    <phoneticPr fontId="32" type="noConversion"/>
  </si>
  <si>
    <t>CLSM</t>
    <phoneticPr fontId="32" type="noConversion"/>
  </si>
  <si>
    <t>280II</t>
    <phoneticPr fontId="32" type="noConversion"/>
  </si>
  <si>
    <t>280水中</t>
    <phoneticPr fontId="32" type="noConversion"/>
  </si>
  <si>
    <t>前6組試體只做3個</t>
    <phoneticPr fontId="32" type="noConversion"/>
  </si>
  <si>
    <t>工地密度</t>
    <phoneticPr fontId="32" type="noConversion"/>
  </si>
  <si>
    <t>原土</t>
    <phoneticPr fontId="32" type="noConversion"/>
  </si>
  <si>
    <t>級配</t>
    <phoneticPr fontId="32" type="noConversion"/>
  </si>
  <si>
    <t>級配壓密度</t>
    <phoneticPr fontId="32" type="noConversion"/>
  </si>
  <si>
    <t>植筋拉拔</t>
    <phoneticPr fontId="32" type="noConversion"/>
  </si>
  <si>
    <t>螺栓扭力</t>
    <phoneticPr fontId="32" type="noConversion"/>
  </si>
  <si>
    <t>超音波</t>
    <phoneticPr fontId="32" type="noConversion"/>
  </si>
  <si>
    <t>鋼鐵件</t>
    <phoneticPr fontId="32" type="noConversion"/>
  </si>
  <si>
    <t>蜂巢格網</t>
    <phoneticPr fontId="32" type="noConversion"/>
  </si>
  <si>
    <t>鋼線網</t>
    <phoneticPr fontId="32" type="noConversion"/>
  </si>
  <si>
    <t>鍍鋅鋼線網</t>
    <phoneticPr fontId="32" type="noConversion"/>
  </si>
  <si>
    <t>350無收縮砂漿</t>
    <phoneticPr fontId="32" type="noConversion"/>
  </si>
  <si>
    <t>210水泥砂漿</t>
    <phoneticPr fontId="32" type="noConversion"/>
  </si>
  <si>
    <t>420無收縮混凝土</t>
    <phoneticPr fontId="32" type="noConversion"/>
  </si>
  <si>
    <t>盤式支承</t>
    <phoneticPr fontId="32" type="noConversion"/>
  </si>
  <si>
    <t>預力基樁</t>
    <phoneticPr fontId="32" type="noConversion"/>
  </si>
  <si>
    <t>RCP</t>
    <phoneticPr fontId="32" type="noConversion"/>
  </si>
  <si>
    <t>個數</t>
    <phoneticPr fontId="1" type="noConversion"/>
  </si>
  <si>
    <t>備註</t>
    <phoneticPr fontId="1" type="noConversion"/>
  </si>
  <si>
    <t>還沒28天</t>
    <phoneticPr fontId="1" type="noConversion"/>
  </si>
  <si>
    <t>磺港溪工程鄰近建築物現況鑑定</t>
    <phoneticPr fontId="32" type="noConversion"/>
  </si>
  <si>
    <t>溪流名稱</t>
    <phoneticPr fontId="32" type="noConversion"/>
  </si>
  <si>
    <t>建物地址</t>
    <phoneticPr fontId="32" type="noConversion"/>
  </si>
  <si>
    <t>建物樓地板面積m2</t>
    <phoneticPr fontId="32" type="noConversion"/>
  </si>
  <si>
    <t>鑑定費用
(56/m2)</t>
    <phoneticPr fontId="32" type="noConversion"/>
  </si>
  <si>
    <t>台北市北投區崇仁路一段155巷2號1~5樓</t>
    <phoneticPr fontId="32" type="noConversion"/>
  </si>
  <si>
    <t>632.77*5+33.17+11.76=</t>
    <phoneticPr fontId="32" type="noConversion"/>
  </si>
  <si>
    <t>台北市北投區崇仁路一段155巷4號1~5樓</t>
    <phoneticPr fontId="32" type="noConversion"/>
  </si>
  <si>
    <t>台北市北投區崇仁路一段155巷6號1~5樓</t>
    <phoneticPr fontId="32" type="noConversion"/>
  </si>
  <si>
    <t>台北市北投區崇仁路一段155巷8號1~5樓</t>
    <phoneticPr fontId="32" type="noConversion"/>
  </si>
  <si>
    <t>台北市北投區崇仁路一段155巷10號1~5樓</t>
    <phoneticPr fontId="32" type="noConversion"/>
  </si>
  <si>
    <t>台北市北投區崇仁路一段155巷12號1~5樓</t>
    <phoneticPr fontId="32" type="noConversion"/>
  </si>
  <si>
    <t>合計</t>
    <phoneticPr fontId="32" type="noConversion"/>
  </si>
  <si>
    <t>社團法人新北市土木技師公會計價</t>
    <phoneticPr fontId="32" type="noConversion"/>
  </si>
  <si>
    <t>單元</t>
    <phoneticPr fontId="32" type="noConversion"/>
  </si>
  <si>
    <t>18655.45/100=</t>
    <phoneticPr fontId="32" type="noConversion"/>
  </si>
  <si>
    <t>價格</t>
    <phoneticPr fontId="32" type="noConversion"/>
  </si>
  <si>
    <t>20*8,000(級距1)
+10*7,200(級距2)
+20*6,400(級距3)
+50*5,600(級距4)
+(187-100)*4,800(級距5)=</t>
    <phoneticPr fontId="32" type="noConversion"/>
  </si>
  <si>
    <t>機械拆除，鋼筋混凝土，未含運費</t>
    <phoneticPr fontId="1" type="noConversion"/>
  </si>
  <si>
    <t>土石方挖填數量表</t>
    <phoneticPr fontId="32" type="noConversion"/>
  </si>
  <si>
    <t>長度(L)</t>
    <phoneticPr fontId="32" type="noConversion"/>
  </si>
  <si>
    <t>挖方(M2)</t>
    <phoneticPr fontId="32" type="noConversion"/>
  </si>
  <si>
    <t>挖方(M3)</t>
  </si>
  <si>
    <t>填方(M2)</t>
    <phoneticPr fontId="32" type="noConversion"/>
  </si>
  <si>
    <t>填方(M3)</t>
  </si>
  <si>
    <t>機械拆除(M2)</t>
    <phoneticPr fontId="32" type="noConversion"/>
  </si>
  <si>
    <t>機械拆除(M3)</t>
  </si>
  <si>
    <t>0K+000</t>
    <phoneticPr fontId="32" type="noConversion"/>
  </si>
  <si>
    <t>0K+020</t>
    <phoneticPr fontId="32" type="noConversion"/>
  </si>
  <si>
    <t>0K+040</t>
    <phoneticPr fontId="32" type="noConversion"/>
  </si>
  <si>
    <t>0K+060</t>
    <phoneticPr fontId="32" type="noConversion"/>
  </si>
  <si>
    <t>0K+080</t>
    <phoneticPr fontId="32" type="noConversion"/>
  </si>
  <si>
    <t>0K+100</t>
    <phoneticPr fontId="32" type="noConversion"/>
  </si>
  <si>
    <t>0K+120</t>
    <phoneticPr fontId="32" type="noConversion"/>
  </si>
  <si>
    <t>0K+140</t>
    <phoneticPr fontId="32" type="noConversion"/>
  </si>
  <si>
    <t>0K+160</t>
    <phoneticPr fontId="32" type="noConversion"/>
  </si>
  <si>
    <t>0K+180</t>
    <phoneticPr fontId="32" type="noConversion"/>
  </si>
  <si>
    <t>0K+200</t>
    <phoneticPr fontId="32" type="noConversion"/>
  </si>
  <si>
    <t>0K+220</t>
    <phoneticPr fontId="32" type="noConversion"/>
  </si>
  <si>
    <t>0K+240</t>
    <phoneticPr fontId="32" type="noConversion"/>
  </si>
  <si>
    <t>0K+260</t>
    <phoneticPr fontId="32" type="noConversion"/>
  </si>
  <si>
    <t>0K+280</t>
    <phoneticPr fontId="32" type="noConversion"/>
  </si>
  <si>
    <t>0K+300</t>
    <phoneticPr fontId="32" type="noConversion"/>
  </si>
  <si>
    <t>0.25*2*246.3</t>
    <phoneticPr fontId="1" type="noConversion"/>
  </si>
  <si>
    <t>砌石+塊石+點綴石背填</t>
    <phoneticPr fontId="1" type="noConversion"/>
  </si>
  <si>
    <t>磺港橋進橋版</t>
  </si>
  <si>
    <t>數量小計</t>
    <phoneticPr fontId="1" type="noConversion"/>
  </si>
  <si>
    <r>
      <t>砌石RT植栽槽回填</t>
    </r>
    <r>
      <rPr>
        <sz val="12"/>
        <color rgb="FFFF0000"/>
        <rFont val="標楷體"/>
        <family val="4"/>
        <charset val="136"/>
      </rPr>
      <t>(客土)</t>
    </r>
    <phoneticPr fontId="1" type="noConversion"/>
  </si>
  <si>
    <t>0.32*0.25*(280-25)</t>
    <phoneticPr fontId="1" type="noConversion"/>
  </si>
  <si>
    <t>保護樹A擋土牆L=35.2</t>
    <phoneticPr fontId="1" type="noConversion"/>
  </si>
  <si>
    <t>1.35*35.2*0.1</t>
    <phoneticPr fontId="1" type="noConversion"/>
  </si>
  <si>
    <t>35.2*2*0.15+26.2*3.83*0.35+25.7*5.5*0.35</t>
    <phoneticPr fontId="1" type="noConversion"/>
  </si>
  <si>
    <r>
      <rPr>
        <sz val="12"/>
        <color rgb="FFFF0000"/>
        <rFont val="標楷體"/>
        <family val="4"/>
        <charset val="136"/>
      </rPr>
      <t>保護樹A上L=35.2M</t>
    </r>
    <r>
      <rPr>
        <sz val="12"/>
        <rFont val="標楷體"/>
        <family val="4"/>
        <charset val="136"/>
      </rPr>
      <t>下層砌石+保護樹B牆版及砌石</t>
    </r>
    <phoneticPr fontId="1" type="noConversion"/>
  </si>
  <si>
    <t>RCP管上方回填</t>
    <phoneticPr fontId="1" type="noConversion"/>
  </si>
  <si>
    <t>(2.8*2)*60+(2.2*2)*220+(0.7*7.05+0.35*2*3+0.35*0.35*4)*14</t>
    <phoneticPr fontId="1" type="noConversion"/>
  </si>
  <si>
    <t>單孔箱涵扣工作筋、寬止筋、斜撐重量</t>
    <phoneticPr fontId="1" type="noConversion"/>
  </si>
  <si>
    <t>雙孔箱涵扣工作筋、寬止筋、斜撐重量</t>
    <phoneticPr fontId="1" type="noConversion"/>
  </si>
  <si>
    <t>出流井扣</t>
    <phoneticPr fontId="1" type="noConversion"/>
  </si>
  <si>
    <t>SD280</t>
  </si>
  <si>
    <t>SD420</t>
  </si>
  <si>
    <t>(1.35+2.05)*35.2*0.3+0.8*0.35*35.2</t>
    <phoneticPr fontId="1" type="noConversion"/>
  </si>
  <si>
    <t>橋面板扣</t>
    <phoneticPr fontId="1" type="noConversion"/>
  </si>
  <si>
    <t>SD280W</t>
    <phoneticPr fontId="1" type="noConversion"/>
  </si>
  <si>
    <t>SD420W</t>
    <phoneticPr fontId="1" type="noConversion"/>
  </si>
  <si>
    <t>磺港橋伸縮縫</t>
    <phoneticPr fontId="1" type="noConversion"/>
  </si>
  <si>
    <t>7.95*8*3.05+(9.45+6.15)*4*1.56+1.1*191*2.25</t>
    <phoneticPr fontId="1" type="noConversion"/>
  </si>
  <si>
    <t>A1</t>
    <phoneticPr fontId="1" type="noConversion"/>
  </si>
  <si>
    <t>A2</t>
    <phoneticPr fontId="1" type="noConversion"/>
  </si>
  <si>
    <t>防震塊</t>
    <phoneticPr fontId="1" type="noConversion"/>
  </si>
  <si>
    <r>
      <t>18</t>
    </r>
    <r>
      <rPr>
        <sz val="12"/>
        <rFont val="Microsoft JhengHei"/>
        <family val="2"/>
      </rPr>
      <t>個</t>
    </r>
    <phoneticPr fontId="1" type="noConversion"/>
  </si>
  <si>
    <r>
      <t>(</t>
    </r>
    <r>
      <rPr>
        <sz val="12"/>
        <rFont val="新細明體"/>
        <family val="2"/>
        <charset val="136"/>
      </rPr>
      <t>含希冀橋</t>
    </r>
    <r>
      <rPr>
        <sz val="12"/>
        <rFont val="Arial"/>
        <family val="2"/>
      </rPr>
      <t>)</t>
    </r>
    <phoneticPr fontId="1" type="noConversion"/>
  </si>
  <si>
    <t>編號</t>
    <phoneticPr fontId="1" type="noConversion"/>
  </si>
  <si>
    <t>號數</t>
    <phoneticPr fontId="1" type="noConversion"/>
  </si>
  <si>
    <t>長度</t>
    <phoneticPr fontId="1" type="noConversion"/>
  </si>
  <si>
    <r>
      <rPr>
        <sz val="12"/>
        <rFont val="Microsoft JhengHei"/>
        <family val="2"/>
        <charset val="136"/>
      </rPr>
      <t>支</t>
    </r>
    <r>
      <rPr>
        <sz val="12"/>
        <rFont val="Microsoft JhengHei"/>
        <family val="2"/>
      </rPr>
      <t>數</t>
    </r>
    <phoneticPr fontId="1" type="noConversion"/>
  </si>
  <si>
    <t>重量</t>
    <phoneticPr fontId="1" type="noConversion"/>
  </si>
  <si>
    <t>編號</t>
  </si>
  <si>
    <t>號數</t>
  </si>
  <si>
    <t>長度</t>
  </si>
  <si>
    <t>支數</t>
  </si>
  <si>
    <t>重量</t>
  </si>
  <si>
    <t>補強筋</t>
    <phoneticPr fontId="1" type="noConversion"/>
  </si>
  <si>
    <r>
      <rPr>
        <sz val="12"/>
        <rFont val="Microsoft JhengHei"/>
        <family val="2"/>
        <charset val="136"/>
      </rPr>
      <t>支</t>
    </r>
    <r>
      <rPr>
        <sz val="12"/>
        <rFont val="Microsoft JhengHei"/>
        <family val="2"/>
      </rPr>
      <t>承</t>
    </r>
    <phoneticPr fontId="1" type="noConversion"/>
  </si>
  <si>
    <t>計</t>
  </si>
  <si>
    <t>計</t>
    <phoneticPr fontId="1" type="noConversion"/>
  </si>
  <si>
    <t>磺港</t>
    <phoneticPr fontId="1" type="noConversion"/>
  </si>
  <si>
    <t>橋台下方檔牆</t>
    <phoneticPr fontId="1" type="noConversion"/>
  </si>
  <si>
    <t>(16+15.75)*5*0.3</t>
    <phoneticPr fontId="1" type="noConversion"/>
  </si>
  <si>
    <t>1.2*0.4*(16.87+18.83)</t>
    <phoneticPr fontId="1" type="noConversion"/>
  </si>
  <si>
    <t>(1.65*236*2+6*60*2+3.95*236+2.9*236+6*282)*0.994</t>
    <phoneticPr fontId="1" type="noConversion"/>
  </si>
  <si>
    <t>低水護岸每100M</t>
  </si>
  <si>
    <t>護岸二</t>
  </si>
  <si>
    <t>L17M</t>
  </si>
  <si>
    <t>重量246.3M</t>
  </si>
  <si>
    <t>護岸三R</t>
  </si>
  <si>
    <t>L12M</t>
  </si>
  <si>
    <t>護岸三L每20M</t>
  </si>
  <si>
    <t>L=41.1M</t>
  </si>
  <si>
    <t>護岸三L</t>
  </si>
  <si>
    <t>L=16.5M</t>
  </si>
  <si>
    <t>清江公園側擋土牆2處</t>
  </si>
  <si>
    <t>L=7.6+6.35@0.2</t>
  </si>
  <si>
    <t>護岸一、二、三</t>
    <phoneticPr fontId="1" type="noConversion"/>
  </si>
  <si>
    <t>磺港橋護欄L=18.2+16M</t>
    <phoneticPr fontId="1" type="noConversion"/>
  </si>
  <si>
    <t>(246*(4+18+4)+20*4)+(35*5)+(24*2)+(85*7+6)+(240*5)</t>
    <phoneticPr fontId="1" type="noConversion"/>
  </si>
  <si>
    <t>低水護岸+受保護樹木AB+護岸一.二.三堤牆頂、分層植栽區</t>
    <phoneticPr fontId="1" type="noConversion"/>
  </si>
  <si>
    <t>既有堤牆加高</t>
    <phoneticPr fontId="1" type="noConversion"/>
  </si>
  <si>
    <r>
      <rPr>
        <sz val="10"/>
        <rFont val="Microsoft JhengHei"/>
        <family val="2"/>
      </rPr>
      <t>堤牆加高</t>
    </r>
    <r>
      <rPr>
        <sz val="10"/>
        <rFont val="微軟正黑體"/>
        <family val="2"/>
        <charset val="136"/>
      </rPr>
      <t>數量表</t>
    </r>
    <phoneticPr fontId="32" type="noConversion"/>
  </si>
  <si>
    <t>高度</t>
    <phoneticPr fontId="32" type="noConversion"/>
  </si>
  <si>
    <t>0K+</t>
    <phoneticPr fontId="32" type="noConversion"/>
  </si>
  <si>
    <t>CON</t>
    <phoneticPr fontId="1" type="noConversion"/>
  </si>
  <si>
    <t>厚度</t>
    <phoneticPr fontId="1" type="noConversion"/>
  </si>
  <si>
    <t>模板</t>
    <phoneticPr fontId="1" type="noConversion"/>
  </si>
  <si>
    <t>鋼筋</t>
    <phoneticPr fontId="1" type="noConversion"/>
  </si>
  <si>
    <t>既有堤牆加高、植栽槽加高</t>
    <phoneticPr fontId="1" type="noConversion"/>
  </si>
  <si>
    <t>堤牆加高計算表</t>
    <phoneticPr fontId="1" type="noConversion"/>
  </si>
  <si>
    <t>植栽槽</t>
    <phoneticPr fontId="1" type="noConversion"/>
  </si>
  <si>
    <t>(250/0.5*0.4+1*250)*0.994</t>
    <phoneticPr fontId="1" type="noConversion"/>
  </si>
  <si>
    <t>0.25*2*250</t>
    <phoneticPr fontId="1" type="noConversion"/>
  </si>
  <si>
    <t>樁內灌漿112.8.30施工前會議改280依210計價</t>
    <phoneticPr fontId="1" type="noConversion"/>
  </si>
  <si>
    <t>送局品勞抗壓者不計入，因不用付錢</t>
    <phoneticPr fontId="1" type="noConversion"/>
  </si>
  <si>
    <t>累計</t>
    <phoneticPr fontId="1" type="noConversion"/>
  </si>
  <si>
    <t>鍍鋅格柵蓋</t>
    <phoneticPr fontId="1" type="noConversion"/>
  </si>
  <si>
    <t>化學螺栓拉拔</t>
    <phoneticPr fontId="1" type="noConversion"/>
  </si>
  <si>
    <t>共4台，2台112.9.23裝設，1台112.10.23裝設，1台出土期間</t>
    <phoneticPr fontId="1" type="noConversion"/>
  </si>
  <si>
    <t>2*730+1*700+1*70</t>
    <phoneticPr fontId="1" type="noConversion"/>
  </si>
  <si>
    <t>磺港橋、希冀橋、百齡抽水站共4處</t>
    <phoneticPr fontId="1" type="noConversion"/>
  </si>
  <si>
    <t>1+1+2</t>
    <phoneticPr fontId="1" type="noConversion"/>
  </si>
  <si>
    <t>730/30</t>
    <phoneticPr fontId="1" type="noConversion"/>
  </si>
  <si>
    <t>砌石合約與實作數量比較表</t>
  </si>
  <si>
    <t>位置</t>
  </si>
  <si>
    <t>合約</t>
  </si>
  <si>
    <t>合約單位</t>
  </si>
  <si>
    <t>單分砌石數量</t>
  </si>
  <si>
    <t>單價</t>
  </si>
  <si>
    <t>實作數量</t>
  </si>
  <si>
    <t>實作砌石數量M2</t>
  </si>
  <si>
    <t>每進行米體積</t>
  </si>
  <si>
    <t>合約-實作</t>
  </si>
  <si>
    <t>護岸(一)(二)(三)第二層</t>
  </si>
  <si>
    <t>低水護岸</t>
  </si>
  <si>
    <t>固床工+點綴</t>
  </si>
  <si>
    <t>合約單位M2，數量計算書單位C.M3，有會勘紀錄要追加點綴數量</t>
  </si>
  <si>
    <t>景觀砌石擋牆A每米0.95LM3</t>
  </si>
  <si>
    <t>砌石擋牆A(合約無鋼線網單一計價項目，都在單分中)</t>
  </si>
  <si>
    <t>31.2*0.95=29.64</t>
  </si>
  <si>
    <t>景觀砌石擋牆B每米0.83LM3</t>
  </si>
  <si>
    <t>砌石擋牆B(合約無鋼線網單一計價項目，都在單分中)</t>
  </si>
  <si>
    <t>17.9*0.83=14.857</t>
  </si>
  <si>
    <t>護岸(一)(二)(三)第一層</t>
  </si>
  <si>
    <t>面積(M2)</t>
  </si>
  <si>
    <t>河道左右側</t>
  </si>
  <si>
    <t>R1=第1層、R2=第2層(L同理)，轉角以第2層計算，第1層粒徑平均70cm(屬變更項目)</t>
  </si>
  <si>
    <t>R1樁號</t>
  </si>
  <si>
    <t>長度(L)</t>
  </si>
  <si>
    <t>高度(M)</t>
  </si>
  <si>
    <t>R2樁號</t>
  </si>
  <si>
    <t>L1樁號</t>
  </si>
  <si>
    <t>L2樁號</t>
  </si>
  <si>
    <t>樁號</t>
  </si>
  <si>
    <t>高(M)</t>
  </si>
  <si>
    <t>底(M)</t>
  </si>
  <si>
    <t>0K+000</t>
  </si>
  <si>
    <t>0K+043.9</t>
  </si>
  <si>
    <t>0K+049</t>
  </si>
  <si>
    <t>護岸轉角(三角形)</t>
  </si>
  <si>
    <t>0K+020</t>
  </si>
  <si>
    <t>0K+040</t>
  </si>
  <si>
    <t>L2箱涵</t>
  </si>
  <si>
    <t>0K+060</t>
  </si>
  <si>
    <t>0K+080</t>
  </si>
  <si>
    <t>0K+100</t>
  </si>
  <si>
    <t>0K+120</t>
  </si>
  <si>
    <t>0K+140</t>
  </si>
  <si>
    <t>0K+160</t>
  </si>
  <si>
    <t>0K+180</t>
  </si>
  <si>
    <t>0K+200</t>
  </si>
  <si>
    <t>0K+220</t>
  </si>
  <si>
    <t>0K+240</t>
  </si>
  <si>
    <t>0K+260</t>
  </si>
  <si>
    <t>0K+289</t>
  </si>
  <si>
    <t>0K+274.5</t>
  </si>
  <si>
    <t>合計</t>
  </si>
  <si>
    <t>第1層</t>
  </si>
  <si>
    <t>第2層</t>
  </si>
  <si>
    <t>計價單位C.M3</t>
  </si>
  <si>
    <t>寬度(M)</t>
  </si>
  <si>
    <t>0K+280</t>
  </si>
  <si>
    <t>固床工</t>
  </si>
  <si>
    <t>長度(M)</t>
  </si>
  <si>
    <t>點綴</t>
  </si>
  <si>
    <t>0K+010</t>
  </si>
  <si>
    <t>0K+030</t>
  </si>
  <si>
    <t>0K+065</t>
  </si>
  <si>
    <t>0K+078</t>
  </si>
  <si>
    <t>0K+085</t>
  </si>
  <si>
    <t>0K+090</t>
  </si>
  <si>
    <t>0K+095</t>
  </si>
  <si>
    <t>0K+130</t>
  </si>
  <si>
    <t>0K+150</t>
  </si>
  <si>
    <t>0K+265</t>
  </si>
  <si>
    <t>0K+270</t>
  </si>
  <si>
    <t>保護樹</t>
  </si>
  <si>
    <t>上游高度(M)</t>
  </si>
  <si>
    <t>中游高度(M)</t>
  </si>
  <si>
    <t>下游高度(M)</t>
  </si>
  <si>
    <t>平均H</t>
  </si>
  <si>
    <t>粒徑平均</t>
  </si>
  <si>
    <t>L.M3</t>
  </si>
  <si>
    <t>說明</t>
  </si>
  <si>
    <t>保護樹A(上層)</t>
  </si>
  <si>
    <t>原合約</t>
  </si>
  <si>
    <t>保護樹A(下層)</t>
  </si>
  <si>
    <t>變更增加</t>
  </si>
  <si>
    <t>保護樹B</t>
  </si>
  <si>
    <t>變更高度</t>
  </si>
  <si>
    <t>砌排石數量表=251.85</t>
    <phoneticPr fontId="1" type="noConversion"/>
  </si>
  <si>
    <t>砌排石數量表=94.85+78.97</t>
    <phoneticPr fontId="1" type="noConversion"/>
  </si>
  <si>
    <t>實作數量合計</t>
    <phoneticPr fontId="1" type="noConversion"/>
  </si>
  <si>
    <t>應追加數量</t>
    <phoneticPr fontId="1" type="noConversion"/>
  </si>
  <si>
    <t>2+1+1</t>
    <phoneticPr fontId="1" type="noConversion"/>
  </si>
  <si>
    <t>統計聯單至113.9.23=27*4</t>
    <phoneticPr fontId="1" type="noConversion"/>
  </si>
  <si>
    <t>統計聯單至113.10.17計2107趟</t>
    <phoneticPr fontId="1" type="noConversion"/>
  </si>
  <si>
    <t>6+3+4+1+1</t>
    <phoneticPr fontId="1" type="noConversion"/>
  </si>
  <si>
    <t>統計單據.至113/9=日16568.5H、夜3104.5H，共計19673H，113/10預計時數:日1440H、夜240H</t>
    <phoneticPr fontId="1" type="noConversion"/>
  </si>
  <si>
    <t>實際施作統計日報，至113.9.30計101日</t>
    <phoneticPr fontId="1" type="noConversion"/>
  </si>
  <si>
    <t>(0.3+2.35+0.5+0.35+2.7)*35.2</t>
    <phoneticPr fontId="1" type="noConversion"/>
  </si>
  <si>
    <t>23.2+12</t>
    <phoneticPr fontId="1" type="noConversion"/>
  </si>
  <si>
    <t>58*8*(0.25*0.25*3.14)</t>
    <phoneticPr fontId="1" type="noConversion"/>
  </si>
  <si>
    <t>植筋D13</t>
    <phoneticPr fontId="1" type="noConversion"/>
  </si>
  <si>
    <t>植筋D16</t>
    <phoneticPr fontId="1" type="noConversion"/>
  </si>
  <si>
    <t>植栽槽、既有堤牆加高</t>
    <phoneticPr fontId="1" type="noConversion"/>
  </si>
  <si>
    <t>變更</t>
    <phoneticPr fontId="1" type="noConversion"/>
  </si>
  <si>
    <t>砌石擋牆A L=35.2</t>
    <phoneticPr fontId="1" type="noConversion"/>
  </si>
  <si>
    <t>保護樹微型樁繫粱A+B</t>
    <phoneticPr fontId="1" type="noConversion"/>
  </si>
  <si>
    <t>(0.2+0.55+0.4+0.225+0.212+0.375)*18.8</t>
    <phoneticPr fontId="1" type="noConversion"/>
  </si>
  <si>
    <t>既有堤牆加高(L=18.8M)H=40+漸變19-56cm</t>
    <phoneticPr fontId="1" type="noConversion"/>
  </si>
  <si>
    <t>(18.8/0.2)*(1.075+0.62)*1.56+(8*18.8*1.56)</t>
    <phoneticPr fontId="1" type="noConversion"/>
  </si>
  <si>
    <t>護岸一砌石底版H=0.25m 寬平均2M</t>
    <phoneticPr fontId="1" type="noConversion"/>
  </si>
  <si>
    <t>底版</t>
  </si>
  <si>
    <t>下層主筋</t>
  </si>
  <si>
    <t>下層副筋</t>
  </si>
  <si>
    <t>上層主筋</t>
  </si>
  <si>
    <t>上層副筋</t>
  </si>
  <si>
    <t>底版加鐵</t>
  </si>
  <si>
    <t>斜角加鐵</t>
  </si>
  <si>
    <t>外牆</t>
  </si>
  <si>
    <t>外層站筋</t>
  </si>
  <si>
    <t>內層站筋</t>
  </si>
  <si>
    <t>內外層副筋</t>
  </si>
  <si>
    <t>內牆</t>
  </si>
  <si>
    <t>內外層站筋</t>
  </si>
  <si>
    <t>單孔箱涵</t>
    <phoneticPr fontId="1" type="noConversion"/>
  </si>
  <si>
    <t>雙孔箱涵</t>
    <phoneticPr fontId="1" type="noConversion"/>
  </si>
  <si>
    <t>重量</t>
    <phoneticPr fontId="1" type="noConversion"/>
  </si>
  <si>
    <t>280M</t>
    <phoneticPr fontId="1" type="noConversion"/>
  </si>
  <si>
    <t>頂版</t>
  </si>
  <si>
    <t>頂版加鐵</t>
  </si>
  <si>
    <t>上層主筋加鐵</t>
  </si>
  <si>
    <t>280W</t>
    <phoneticPr fontId="1" type="noConversion"/>
  </si>
  <si>
    <t>420W</t>
    <phoneticPr fontId="1" type="noConversion"/>
  </si>
  <si>
    <r>
      <rPr>
        <sz val="10"/>
        <rFont val="Microsoft JhengHei"/>
        <family val="2"/>
      </rPr>
      <t>雙孔分</t>
    </r>
    <r>
      <rPr>
        <sz val="10"/>
        <rFont val="Arial"/>
        <family val="2"/>
      </rPr>
      <t>280</t>
    </r>
    <r>
      <rPr>
        <sz val="10"/>
        <rFont val="Microsoft JhengHei"/>
        <family val="2"/>
      </rPr>
      <t>、</t>
    </r>
    <r>
      <rPr>
        <sz val="10"/>
        <rFont val="Arial"/>
        <family val="2"/>
      </rPr>
      <t>420</t>
    </r>
    <r>
      <rPr>
        <sz val="10"/>
        <rFont val="Microsoft JhengHei"/>
        <family val="2"/>
      </rPr>
      <t>重量扣</t>
    </r>
    <phoneticPr fontId="1" type="noConversion"/>
  </si>
  <si>
    <t>300M</t>
    <phoneticPr fontId="1" type="noConversion"/>
  </si>
  <si>
    <t>出流井</t>
    <phoneticPr fontId="1" type="noConversion"/>
  </si>
  <si>
    <t>中間牆</t>
  </si>
  <si>
    <t>料長</t>
    <phoneticPr fontId="1" type="noConversion"/>
  </si>
  <si>
    <t>支數</t>
    <phoneticPr fontId="1" type="noConversion"/>
  </si>
  <si>
    <t>底版長向</t>
  </si>
  <si>
    <t>底板短向</t>
  </si>
  <si>
    <t>外牆站筋</t>
  </si>
  <si>
    <t>外牆副筋</t>
  </si>
  <si>
    <t>中間牆站筋</t>
  </si>
  <si>
    <t>中間牆副筋</t>
  </si>
  <si>
    <t>人孔頸</t>
    <phoneticPr fontId="1" type="noConversion"/>
  </si>
  <si>
    <t>人孔頸及頂板</t>
    <phoneticPr fontId="1" type="noConversion"/>
  </si>
  <si>
    <t>(2*0.9-(0.3*0.3*3.14))*112</t>
    <phoneticPr fontId="1" type="noConversion"/>
  </si>
  <si>
    <t>出流井出口設矩形1200*1200不銹鋼舌閥</t>
    <phoneticPr fontId="1" type="noConversion"/>
  </si>
  <si>
    <r>
      <t>U</t>
    </r>
    <r>
      <rPr>
        <sz val="10"/>
        <rFont val="Microsoft JhengHei"/>
        <family val="2"/>
      </rPr>
      <t>溝</t>
    </r>
    <phoneticPr fontId="1" type="noConversion"/>
  </si>
  <si>
    <t>均深</t>
    <phoneticPr fontId="1" type="noConversion"/>
  </si>
  <si>
    <t>起點深</t>
    <phoneticPr fontId="1" type="noConversion"/>
  </si>
  <si>
    <t>終點深</t>
    <phoneticPr fontId="1" type="noConversion"/>
  </si>
  <si>
    <t>U15</t>
    <phoneticPr fontId="1" type="noConversion"/>
  </si>
  <si>
    <t>U16</t>
  </si>
  <si>
    <t>U17</t>
  </si>
  <si>
    <t>U18</t>
  </si>
  <si>
    <t>U19</t>
  </si>
  <si>
    <t>U20</t>
  </si>
  <si>
    <t>U21</t>
  </si>
  <si>
    <t>U22</t>
  </si>
  <si>
    <t>U24</t>
  </si>
  <si>
    <t>U25</t>
  </si>
  <si>
    <t>U28</t>
  </si>
  <si>
    <t>U29</t>
  </si>
  <si>
    <t>U30</t>
  </si>
  <si>
    <t>U31</t>
  </si>
  <si>
    <t>U32</t>
  </si>
  <si>
    <t>U33</t>
  </si>
  <si>
    <t>U34</t>
  </si>
  <si>
    <t>L23</t>
    <phoneticPr fontId="1" type="noConversion"/>
  </si>
  <si>
    <t>L26</t>
    <phoneticPr fontId="1" type="noConversion"/>
  </si>
  <si>
    <t>L27</t>
    <phoneticPr fontId="1" type="noConversion"/>
  </si>
  <si>
    <r>
      <t>U+</t>
    </r>
    <r>
      <rPr>
        <sz val="10"/>
        <rFont val="Microsoft JhengHei"/>
        <family val="2"/>
      </rPr>
      <t>矩溝</t>
    </r>
    <r>
      <rPr>
        <sz val="10"/>
        <rFont val="Arial"/>
        <family val="2"/>
      </rPr>
      <t>=</t>
    </r>
    <phoneticPr fontId="1" type="noConversion"/>
  </si>
  <si>
    <t>混凝土</t>
    <phoneticPr fontId="1" type="noConversion"/>
  </si>
  <si>
    <t>既有堤牆修復2處(清江公園)</t>
  </si>
  <si>
    <t>既有堤牆修復2處(清江公園)</t>
    <phoneticPr fontId="1" type="noConversion"/>
  </si>
  <si>
    <t>磺港橋頭2處(與既有銜接)</t>
  </si>
  <si>
    <t>磺港橋頭2處(與既有銜接)</t>
    <phoneticPr fontId="1" type="noConversion"/>
  </si>
  <si>
    <t>變更</t>
  </si>
  <si>
    <t>模板(內)</t>
    <phoneticPr fontId="1" type="noConversion"/>
  </si>
  <si>
    <t>模板(外)</t>
    <phoneticPr fontId="1" type="noConversion"/>
  </si>
  <si>
    <t>清水丙模</t>
    <phoneticPr fontId="1" type="noConversion"/>
  </si>
  <si>
    <t>普通丙模</t>
    <phoneticPr fontId="1" type="noConversion"/>
  </si>
  <si>
    <t>免拆模</t>
    <phoneticPr fontId="1" type="noConversion"/>
  </si>
  <si>
    <t>鋼筋(溝)</t>
    <phoneticPr fontId="1" type="noConversion"/>
  </si>
  <si>
    <t>鋼筋(蓋)</t>
    <phoneticPr fontId="1" type="noConversion"/>
  </si>
  <si>
    <t>鋼筋合計</t>
    <phoneticPr fontId="1" type="noConversion"/>
  </si>
  <si>
    <t>集水井</t>
    <phoneticPr fontId="1" type="noConversion"/>
  </si>
  <si>
    <t xml:space="preserve"> S21</t>
    <phoneticPr fontId="1" type="noConversion"/>
  </si>
  <si>
    <t xml:space="preserve"> S22</t>
  </si>
  <si>
    <t xml:space="preserve"> S23</t>
  </si>
  <si>
    <t xml:space="preserve"> S24</t>
  </si>
  <si>
    <t xml:space="preserve"> S25</t>
  </si>
  <si>
    <t xml:space="preserve"> S26</t>
  </si>
  <si>
    <t xml:space="preserve"> S27</t>
  </si>
  <si>
    <t xml:space="preserve"> S28</t>
  </si>
  <si>
    <t xml:space="preserve"> S29</t>
  </si>
  <si>
    <t xml:space="preserve"> S30</t>
    <phoneticPr fontId="1" type="noConversion"/>
  </si>
  <si>
    <t xml:space="preserve"> S31</t>
  </si>
  <si>
    <t xml:space="preserve"> S32</t>
  </si>
  <si>
    <t>S24-1</t>
    <phoneticPr fontId="1" type="noConversion"/>
  </si>
  <si>
    <t>長</t>
    <phoneticPr fontId="1" type="noConversion"/>
  </si>
  <si>
    <t>寬</t>
    <phoneticPr fontId="1" type="noConversion"/>
  </si>
  <si>
    <t>高</t>
    <phoneticPr fontId="1" type="noConversion"/>
  </si>
  <si>
    <t xml:space="preserve"> S29-1</t>
    <phoneticPr fontId="1" type="noConversion"/>
  </si>
  <si>
    <t xml:space="preserve"> S29-2</t>
  </si>
  <si>
    <t xml:space="preserve"> S33</t>
  </si>
  <si>
    <t xml:space="preserve"> S34</t>
  </si>
  <si>
    <t xml:space="preserve"> S35</t>
  </si>
  <si>
    <t xml:space="preserve"> S36</t>
  </si>
  <si>
    <t xml:space="preserve"> S37</t>
  </si>
  <si>
    <t xml:space="preserve"> S32-1</t>
    <phoneticPr fontId="1" type="noConversion"/>
  </si>
  <si>
    <t>取消</t>
    <phoneticPr fontId="1" type="noConversion"/>
  </si>
  <si>
    <t>SL21-1</t>
    <phoneticPr fontId="1" type="noConversion"/>
  </si>
  <si>
    <t>SL21-2</t>
  </si>
  <si>
    <t>SL21-3</t>
  </si>
  <si>
    <t>SL21-4</t>
  </si>
  <si>
    <t>SL21-5</t>
  </si>
  <si>
    <t>SL21-6</t>
  </si>
  <si>
    <t>SL21-7</t>
  </si>
  <si>
    <t>SL21-8</t>
  </si>
  <si>
    <t>SL21-9</t>
  </si>
  <si>
    <t>SL21-10</t>
  </si>
  <si>
    <t>SL23-1</t>
    <phoneticPr fontId="1" type="noConversion"/>
  </si>
  <si>
    <t>SL23-2</t>
  </si>
  <si>
    <t>SL23-3</t>
  </si>
  <si>
    <t>SL23-4</t>
  </si>
  <si>
    <t>SL23-5</t>
  </si>
  <si>
    <t>SL23-6</t>
  </si>
  <si>
    <t>SL23-7</t>
  </si>
  <si>
    <t>SL23-8</t>
  </si>
  <si>
    <t>SL23-9</t>
  </si>
  <si>
    <t>SL23-10</t>
  </si>
  <si>
    <t>SL24-1</t>
    <phoneticPr fontId="1" type="noConversion"/>
  </si>
  <si>
    <t>SL24-2</t>
  </si>
  <si>
    <t>SL25-1</t>
    <phoneticPr fontId="1" type="noConversion"/>
  </si>
  <si>
    <t>SL25-2</t>
  </si>
  <si>
    <t>SL25-3</t>
  </si>
  <si>
    <t>SL25-4</t>
  </si>
  <si>
    <t>SL25-5</t>
  </si>
  <si>
    <t>SL26-1</t>
    <phoneticPr fontId="1" type="noConversion"/>
  </si>
  <si>
    <t>SL26-2</t>
  </si>
  <si>
    <t>SL27-1</t>
    <phoneticPr fontId="1" type="noConversion"/>
  </si>
  <si>
    <t>SL27-2</t>
  </si>
  <si>
    <t>SL27-3</t>
  </si>
  <si>
    <t>SJ2</t>
    <phoneticPr fontId="1" type="noConversion"/>
  </si>
  <si>
    <t>SJ3</t>
    <phoneticPr fontId="1" type="noConversion"/>
  </si>
  <si>
    <t>SB3</t>
    <phoneticPr fontId="1" type="noConversion"/>
  </si>
  <si>
    <t>SB4</t>
  </si>
  <si>
    <t>SB5</t>
  </si>
  <si>
    <t>SJ1</t>
    <phoneticPr fontId="1" type="noConversion"/>
  </si>
  <si>
    <t>設施表無此項</t>
    <phoneticPr fontId="1" type="noConversion"/>
  </si>
  <si>
    <t>#5</t>
    <phoneticPr fontId="1" type="noConversion"/>
  </si>
  <si>
    <t>#4</t>
    <phoneticPr fontId="1" type="noConversion"/>
  </si>
  <si>
    <t>水溝小計</t>
    <phoneticPr fontId="1" type="noConversion"/>
  </si>
  <si>
    <t>集水井小計</t>
    <phoneticPr fontId="1" type="noConversion"/>
  </si>
  <si>
    <t>砌排石數量表=614.13+154.5+7.26</t>
    <phoneticPr fontId="1" type="noConversion"/>
  </si>
  <si>
    <t>砌石擋牆A、B下層</t>
    <phoneticPr fontId="1" type="noConversion"/>
  </si>
  <si>
    <t>467.53+92.19</t>
    <phoneticPr fontId="1" type="noConversion"/>
  </si>
  <si>
    <t>(3.8+3.7+4)/3*26.2+((8.1+4.3+6.5)/3-1.5)*24.3</t>
    <phoneticPr fontId="1" type="noConversion"/>
  </si>
  <si>
    <t>(12.85*4-7.05*2.6)*0.25</t>
    <phoneticPr fontId="1" type="noConversion"/>
  </si>
  <si>
    <t>1.5*12+(4.6+1.7)*( 3+1)+(3.3+0.5+0.95+3.2)</t>
    <phoneticPr fontId="1" type="noConversion"/>
  </si>
  <si>
    <t>57.6+11.2+17</t>
    <phoneticPr fontId="1" type="noConversion"/>
  </si>
  <si>
    <t>出流井內</t>
    <phoneticPr fontId="1" type="noConversion"/>
  </si>
  <si>
    <t>河道護岸左右側下層</t>
    <phoneticPr fontId="1" type="noConversion"/>
  </si>
  <si>
    <t>右岸+左岸(上層)</t>
    <phoneticPr fontId="1" type="noConversion"/>
  </si>
  <si>
    <t>依最後混凝土數量加總</t>
    <phoneticPr fontId="1" type="noConversion"/>
  </si>
  <si>
    <t>人孔頸(內側)</t>
    <phoneticPr fontId="1" type="noConversion"/>
  </si>
  <si>
    <t>人孔頸(外側)</t>
    <phoneticPr fontId="1" type="noConversion"/>
  </si>
  <si>
    <t>((1.41-0.2)+(2.59-0.2)+(2.57-0.2)+(1.88-0.2))*2+(0.6*3.14*0.2*4)</t>
    <phoneticPr fontId="1" type="noConversion"/>
  </si>
  <si>
    <t>((1.41-0.2)+(2.59-0.2)+(2.57-0.2)+(1.88-0.2))*2+(1.5*4*0.2*4)</t>
    <phoneticPr fontId="1" type="noConversion"/>
  </si>
  <si>
    <t>護岸三</t>
    <phoneticPr fontId="1" type="noConversion"/>
  </si>
  <si>
    <t>橋台下方擋土牆(雙孔箱涵出口端牆)</t>
    <phoneticPr fontId="1" type="noConversion"/>
  </si>
  <si>
    <t>雙孔箱涵出口端牆</t>
    <phoneticPr fontId="1" type="noConversion"/>
  </si>
  <si>
    <t>(1.35*9*2*2*1.56+1.2*8*2*0.994)*4+(1.41+2.59+2.57+1.88)*13*1.56+0.6*3.14*(10+18+17+13)*0.994</t>
    <phoneticPr fontId="1" type="noConversion"/>
  </si>
  <si>
    <t>十字梁箍筋</t>
    <phoneticPr fontId="1" type="noConversion"/>
  </si>
  <si>
    <t>道路側溝、集水井PC</t>
    <phoneticPr fontId="1" type="noConversion"/>
  </si>
  <si>
    <t>道路側溝</t>
    <phoneticPr fontId="1" type="noConversion"/>
  </si>
  <si>
    <t>集水井</t>
    <phoneticPr fontId="1" type="noConversion"/>
  </si>
  <si>
    <t>計算表</t>
    <phoneticPr fontId="1" type="noConversion"/>
  </si>
  <si>
    <t>泳村157.3</t>
    <phoneticPr fontId="1" type="noConversion"/>
  </si>
  <si>
    <t>清水丙模</t>
  </si>
  <si>
    <t>普通丙模</t>
  </si>
  <si>
    <t>鋼筋(溝)</t>
  </si>
  <si>
    <t>鋼筋(蓋)</t>
  </si>
  <si>
    <t>模板(內)</t>
  </si>
  <si>
    <t>模板(外)</t>
  </si>
  <si>
    <t>免拆模</t>
  </si>
  <si>
    <t>混凝土</t>
  </si>
  <si>
    <t>U+矩溝=</t>
  </si>
  <si>
    <t>集水井=</t>
    <phoneticPr fontId="1" type="noConversion"/>
  </si>
  <si>
    <r>
      <rPr>
        <sz val="10"/>
        <rFont val="Microsoft JhengHei"/>
        <family val="2"/>
      </rPr>
      <t>合計</t>
    </r>
    <r>
      <rPr>
        <sz val="10"/>
        <rFont val="Arial"/>
        <family val="2"/>
      </rPr>
      <t>=</t>
    </r>
    <phoneticPr fontId="1" type="noConversion"/>
  </si>
  <si>
    <t>0.8*731.4*0.05+0.9*1.1*0.05*57</t>
    <phoneticPr fontId="1" type="noConversion"/>
  </si>
  <si>
    <t>140+210混凝土數量</t>
    <phoneticPr fontId="1" type="noConversion"/>
  </si>
  <si>
    <t>道路側溝(內側)</t>
    <phoneticPr fontId="1" type="noConversion"/>
  </si>
  <si>
    <t>集水井(內側)</t>
    <phoneticPr fontId="1" type="noConversion"/>
  </si>
  <si>
    <t>道路側溝(外側)</t>
    <phoneticPr fontId="1" type="noConversion"/>
  </si>
  <si>
    <t>集水井(外側)</t>
    <phoneticPr fontId="1" type="noConversion"/>
  </si>
  <si>
    <t>百齡抽水站暫置區+議員陳情工區臨時交維</t>
  </si>
  <si>
    <t>720+4200</t>
  </si>
  <si>
    <t>目前有些位置無法埋RCP，變更中無法確定數量</t>
    <phoneticPr fontId="1" type="noConversion"/>
  </si>
  <si>
    <t>尚未完成</t>
  </si>
  <si>
    <t>尚未完成</t>
    <phoneticPr fontId="1" type="noConversion"/>
  </si>
  <si>
    <t>本大項尚未完成，未估算</t>
    <phoneticPr fontId="1" type="noConversion"/>
  </si>
  <si>
    <t>MH5-MH9</t>
    <phoneticPr fontId="1" type="noConversion"/>
  </si>
  <si>
    <t>雙孔箱涵水平施工縫+雙孔箱涵施工縫</t>
    <phoneticPr fontId="1" type="noConversion"/>
  </si>
  <si>
    <t>280*3+300*2</t>
    <phoneticPr fontId="1" type="noConversion"/>
  </si>
  <si>
    <t>(1.8*1*120)+(1.8*3*6)+(1.8*2*150)</t>
    <phoneticPr fontId="1" type="noConversion"/>
  </si>
  <si>
    <t>6136.89-747.47</t>
    <phoneticPr fontId="1" type="noConversion"/>
  </si>
  <si>
    <t>道路區域面積-無擾動區域面積</t>
    <phoneticPr fontId="1" type="noConversion"/>
  </si>
  <si>
    <t>5389.42*0.3</t>
    <phoneticPr fontId="1" type="noConversion"/>
  </si>
  <si>
    <t>本項追減，新增雨水回收槽(1)(2)(3)</t>
    <phoneticPr fontId="1" type="noConversion"/>
  </si>
  <si>
    <t>+1=3座</t>
    <phoneticPr fontId="1" type="noConversion"/>
  </si>
  <si>
    <t>G1-1</t>
    <phoneticPr fontId="1" type="noConversion"/>
  </si>
  <si>
    <t>G1-2</t>
  </si>
  <si>
    <t>G1-3</t>
  </si>
  <si>
    <t>座台A、座台D、座台E、座椅A、座椅B、草地座階</t>
  </si>
  <si>
    <t>(0.45*0.45-0.3*0.3)*3.14*(1.41+2.59+2.57+1.88)+(1.5*1.5-(0.3*0.3*3.14))*0.2*4</t>
    <phoneticPr fontId="1" type="noConversion"/>
  </si>
  <si>
    <t>(2.85*(7.6+6.35)*0.3)+(0.5*(7.6+6.35)*1.5)</t>
    <phoneticPr fontId="1" type="noConversion"/>
  </si>
  <si>
    <t>工程名稱：磺港溪再造C段護岸及步道整建工程(三合橋至奇岩抽水站)</t>
  </si>
  <si>
    <t>估驗日期：</t>
  </si>
  <si>
    <t>項目說明</t>
  </si>
  <si>
    <t>原契約
數量</t>
  </si>
  <si>
    <t>追加數量</t>
    <phoneticPr fontId="60" type="noConversion"/>
  </si>
  <si>
    <t>追加金額</t>
    <phoneticPr fontId="60" type="noConversion"/>
  </si>
  <si>
    <t>估驗
單價</t>
  </si>
  <si>
    <t>本   次
估驗數量</t>
  </si>
  <si>
    <t>本次止累計
估驗數量</t>
  </si>
  <si>
    <t>本   次
估驗金額</t>
  </si>
  <si>
    <t>本次止累計
估驗金額</t>
  </si>
  <si>
    <t>備    註</t>
  </si>
  <si>
    <t>一</t>
  </si>
  <si>
    <t>(一)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</si>
  <si>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</si>
  <si>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</si>
  <si>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</si>
  <si>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</si>
  <si>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</si>
  <si>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</si>
  <si>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</si>
  <si>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</si>
  <si>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</si>
  <si>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</si>
  <si>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</si>
  <si>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</si>
  <si>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</si>
  <si>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</si>
  <si>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</si>
  <si>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</si>
  <si>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</si>
  <si>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</si>
  <si>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</si>
  <si>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</si>
  <si>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</si>
  <si>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</si>
  <si>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(估驗比率約:100%)</t>
  </si>
  <si>
    <t>23</t>
  </si>
  <si>
    <t>24</t>
  </si>
  <si>
    <t>25</t>
  </si>
  <si>
    <t>(二)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</si>
  <si>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</si>
  <si>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</si>
  <si>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</si>
  <si>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</si>
  <si>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</si>
  <si>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</si>
  <si>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</si>
  <si>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</si>
  <si>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</si>
  <si>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</si>
  <si>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</si>
  <si>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</si>
  <si>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</si>
  <si>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</si>
  <si>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</si>
  <si>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</si>
  <si>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</si>
  <si>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</si>
  <si>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</si>
  <si>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</si>
  <si>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</si>
  <si>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</si>
  <si>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</si>
  <si>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</si>
  <si>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</si>
  <si>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</si>
  <si>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</si>
  <si>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</si>
  <si>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</si>
  <si>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</si>
  <si>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</si>
  <si>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</si>
  <si>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</si>
  <si>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</si>
  <si>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</si>
  <si>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</si>
  <si>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</si>
  <si>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</si>
  <si>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</si>
  <si>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</si>
  <si>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</si>
  <si>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</si>
  <si>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</si>
  <si>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</si>
  <si>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</si>
  <si>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</si>
  <si>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</si>
  <si>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</si>
  <si>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</si>
  <si>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</si>
  <si>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</si>
  <si>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</si>
  <si>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</si>
  <si>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</si>
  <si>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</si>
  <si>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</si>
  <si>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</si>
  <si>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</si>
  <si>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</si>
  <si>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</si>
  <si>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(三)</t>
  </si>
  <si>
    <t>全套管式鑽掘混凝土基樁，D=1200mm</t>
  </si>
  <si>
    <t>(四)</t>
  </si>
  <si>
    <t>(五)</t>
  </si>
  <si>
    <t>(六)</t>
  </si>
  <si>
    <t>(七)</t>
  </si>
  <si>
    <t>(估驗比率約:60%)</t>
  </si>
  <si>
    <t>(八)</t>
  </si>
  <si>
    <t>(九)</t>
  </si>
  <si>
    <t>二</t>
  </si>
  <si>
    <t>臨時直立式號誌</t>
  </si>
  <si>
    <t>三</t>
  </si>
  <si>
    <t>四</t>
  </si>
  <si>
    <t>五</t>
  </si>
  <si>
    <t>六</t>
  </si>
  <si>
    <t>七</t>
  </si>
  <si>
    <t>八</t>
  </si>
  <si>
    <t>(一~七)*[約10.94944113%]</t>
  </si>
  <si>
    <t>九</t>
  </si>
  <si>
    <t>一０</t>
  </si>
  <si>
    <t>貳</t>
  </si>
  <si>
    <t>物價調整累計金額</t>
  </si>
  <si>
    <t>本次113年8月份</t>
    <phoneticPr fontId="60" type="noConversion"/>
  </si>
  <si>
    <t>總計</t>
  </si>
  <si>
    <t>參</t>
  </si>
  <si>
    <t>變賣收入項</t>
  </si>
  <si>
    <t>瀝青混凝土刨除料變賣</t>
  </si>
  <si>
    <t>工地拆除，拆除材料回收利用與儲存</t>
  </si>
  <si>
    <t>拆除鋼筋</t>
  </si>
  <si>
    <t>追減數量</t>
    <phoneticPr fontId="60" type="noConversion"/>
  </si>
  <si>
    <t>追減金額</t>
    <phoneticPr fontId="60" type="noConversion"/>
  </si>
  <si>
    <t>因數量計算書是以低水護岸基礎數量計算</t>
    <phoneticPr fontId="1" type="noConversion"/>
  </si>
  <si>
    <t>改為280二型</t>
    <phoneticPr fontId="1" type="noConversion"/>
  </si>
  <si>
    <t>(5*4+16+15.75)*0.3</t>
    <phoneticPr fontId="1" type="noConversion"/>
  </si>
  <si>
    <t>還沒做完要變更數量嗎?</t>
    <phoneticPr fontId="1" type="noConversion"/>
  </si>
  <si>
    <t>景石A*12景石B*35景石C*19景石D*46共112顆</t>
    <phoneticPr fontId="1" type="noConversion"/>
  </si>
  <si>
    <t>(12*3234+35*1078+19*336+46*134)/1000</t>
    <phoneticPr fontId="1" type="noConversion"/>
  </si>
  <si>
    <t>數量及單顆重量由設計提供</t>
    <phoneticPr fontId="1" type="noConversion"/>
  </si>
  <si>
    <t>依本案《公共設施用地開發保水檢核定稿版》</t>
    <phoneticPr fontId="1" type="noConversion"/>
  </si>
  <si>
    <t>+希冀橋翼鈑</t>
    <phoneticPr fontId="1" type="noConversion"/>
  </si>
  <si>
    <t>尚未施作完成</t>
    <phoneticPr fontId="1" type="noConversion"/>
  </si>
  <si>
    <t>工作筋</t>
  </si>
  <si>
    <t>工作筋</t>
    <phoneticPr fontId="1" type="noConversion"/>
  </si>
  <si>
    <r>
      <rPr>
        <sz val="10"/>
        <rFont val="Microsoft JhengHei"/>
        <family val="2"/>
      </rPr>
      <t>每</t>
    </r>
    <r>
      <rPr>
        <sz val="10"/>
        <rFont val="Arial"/>
        <family val="2"/>
      </rPr>
      <t>M3/3.2KG</t>
    </r>
    <phoneticPr fontId="1" type="noConversion"/>
  </si>
  <si>
    <t>三左右岸</t>
    <phoneticPr fontId="1" type="noConversion"/>
  </si>
  <si>
    <r>
      <t>每</t>
    </r>
    <r>
      <rPr>
        <sz val="10"/>
        <rFont val="Arial"/>
        <family val="2"/>
      </rPr>
      <t>M3/3.2KG</t>
    </r>
  </si>
  <si>
    <r>
      <t>每</t>
    </r>
    <r>
      <rPr>
        <sz val="10"/>
        <rFont val="Arial"/>
        <family val="2"/>
      </rPr>
      <t>M3/3.2KG</t>
    </r>
  </si>
  <si>
    <t>7194.34+7703.67+4325.4+664.75</t>
    <phoneticPr fontId="1" type="noConversion"/>
  </si>
  <si>
    <t>2215.51+1346.07+99.52</t>
    <phoneticPr fontId="1" type="noConversion"/>
  </si>
  <si>
    <t>(14.6*36+6.75*80+3.65*80+1.75*80+14.6*12)*1.56+23.94*3.2</t>
    <phoneticPr fontId="1" type="noConversion"/>
  </si>
  <si>
    <t>(11.5*142+5*142+9.85*71+8.35*142+6.85*71)*2.25+((8.5+6.4+5)*105+1.6*250+1.3*215+1.6*630+11*53+9.8*104+8.6*53)*1.56+53.24*3.2</t>
    <phoneticPr fontId="1" type="noConversion"/>
  </si>
  <si>
    <t>5.25*107*3.05+(12*34+4.8*34+5.25*54+10*9+8.5*18+7*9)*2.25+(5.25*106*3.05)+(12*34+4.8*34+5.25*53+10*9+8.5*18+7*9)*2.25+47.63*3.2</t>
    <phoneticPr fontId="1" type="noConversion"/>
  </si>
  <si>
    <t>(7*108+3.1*252+0.5*252)*0.994+17.14*3.2</t>
    <phoneticPr fontId="1" type="noConversion"/>
  </si>
  <si>
    <t>112.11.13-113.12.31</t>
    <phoneticPr fontId="1" type="noConversion"/>
  </si>
  <si>
    <t>淨加帳</t>
    <phoneticPr fontId="1" type="noConversion"/>
  </si>
  <si>
    <t>淨減帳</t>
    <phoneticPr fontId="1" type="noConversion"/>
  </si>
  <si>
    <t>變更項目對照詳細表</t>
    <phoneticPr fontId="1" type="noConversion"/>
  </si>
  <si>
    <t>變更項目對照詳細表</t>
    <phoneticPr fontId="32" type="noConversion"/>
  </si>
  <si>
    <t>日期：</t>
  </si>
  <si>
    <t xml:space="preserve"> 訂約總價  </t>
  </si>
  <si>
    <t xml:space="preserve"> 前次變更後總價(綜簽)</t>
  </si>
  <si>
    <t xml:space="preserve"> 本次變更後總價</t>
  </si>
  <si>
    <t>項目名稱</t>
  </si>
  <si>
    <t>原 定
數 量</t>
  </si>
  <si>
    <t>增 減
數 量</t>
  </si>
  <si>
    <t>契 約
單 價</t>
  </si>
  <si>
    <t>新 增
單 價</t>
  </si>
  <si>
    <t>原 訂
合 價</t>
  </si>
  <si>
    <t>追加</t>
  </si>
  <si>
    <t>追減</t>
  </si>
  <si>
    <t>備註</t>
  </si>
  <si>
    <t>變更依據</t>
    <phoneticPr fontId="32" type="noConversion"/>
  </si>
  <si>
    <t>數量計算式</t>
    <phoneticPr fontId="32" type="noConversion"/>
  </si>
  <si>
    <t>變更原因</t>
    <phoneticPr fontId="32" type="noConversion"/>
  </si>
  <si>
    <t>#磺港路橋(奇岩抽水站旁)1533.9m、希冀橋208.6m</t>
  </si>
  <si>
    <t>112年12月12日
北市工水工字第1126067256號</t>
    <phoneticPr fontId="32" type="noConversion"/>
  </si>
  <si>
    <t>新設磺港橋及希冀橋橋台辦理既有基樁與新設基樁清障開挖+單孔過路段及清江公園
((5*6*6.5*2)+(13*3.5*6.8)+(3.2*8.5*1.6))+((747.2+149.44))</t>
    <phoneticPr fontId="32" type="noConversion"/>
  </si>
  <si>
    <t>機關/現場需求 (百齡)</t>
    <phoneticPr fontId="32" type="noConversion"/>
  </si>
  <si>
    <t>僅含運費(運距約&lt;20K)(土方管理費檢據核銷)</t>
  </si>
  <si>
    <t>#含瀝青鋪面打毛</t>
  </si>
  <si>
    <t>#</t>
  </si>
  <si>
    <t>#磺港路橋、共月橋、三合橋</t>
  </si>
  <si>
    <t>#料繳回，含運費。</t>
  </si>
  <si>
    <t>水閘門</t>
  </si>
  <si>
    <t>[人力工項不打折]</t>
  </si>
  <si>
    <t>百齡暫置場整地需求</t>
  </si>
  <si>
    <t>餘土分類處理</t>
    <phoneticPr fontId="32" type="noConversion"/>
  </si>
  <si>
    <t>日</t>
    <phoneticPr fontId="32" type="noConversion"/>
  </si>
  <si>
    <t>新增工項
02323M00AC</t>
    <phoneticPr fontId="32" type="noConversion"/>
  </si>
  <si>
    <t>北市工水工字第1126063128號 第6點</t>
    <phoneticPr fontId="32" type="noConversion"/>
  </si>
  <si>
    <t>數量=餘方遠運處理(台北港)/
每日約120m3</t>
    <phoneticPr fontId="32" type="noConversion"/>
  </si>
  <si>
    <t>屬後續擴充5000萬工項
既有磺港路、公園開挖摻雜混合物</t>
    <phoneticPr fontId="32" type="noConversion"/>
  </si>
  <si>
    <t>監造提供數量?</t>
    <phoneticPr fontId="32" type="noConversion"/>
  </si>
  <si>
    <t>本項納入(鋼筋)物價指數調整</t>
  </si>
  <si>
    <t>U型構，集水井，排水箱涵等。本項納入(普通模板)物價指數調整</t>
  </si>
  <si>
    <t>本項納入「金屬製品類」物價指數調整</t>
  </si>
  <si>
    <t>#本項納入「金屬製品類」物價指數調整</t>
  </si>
  <si>
    <t>#含安裝</t>
  </si>
  <si>
    <t>#含結構、吊運</t>
  </si>
  <si>
    <t>新設磺港橋及希冀橋橋台清障回填
((5*6*6.5*2)+(13*3.5*6.8)+(3.2*8.5*1.6))</t>
    <phoneticPr fontId="32" type="noConversion"/>
  </si>
  <si>
    <t>機關/現場需求</t>
    <phoneticPr fontId="32" type="noConversion"/>
  </si>
  <si>
    <t>橋面。本項納入(清水模板)物價指數調整</t>
  </si>
  <si>
    <t>場鑄結構混凝土用模板，(乙種，擋土牆，橋台，車行箱涵等)。本項納入(清水模板)物價指數調整</t>
  </si>
  <si>
    <t>擋土牆，橋台，車行箱涵等。本項納入(普通模板)物價指數調整</t>
  </si>
  <si>
    <t>需符合中華民國國家標準4750</t>
  </si>
  <si>
    <t>產品，∮2"PVC排水管</t>
    <phoneticPr fontId="32" type="noConversion"/>
  </si>
  <si>
    <t>鋼構吊裝</t>
    <phoneticPr fontId="32" type="noConversion"/>
  </si>
  <si>
    <t>kg</t>
    <phoneticPr fontId="32" type="noConversion"/>
  </si>
  <si>
    <t>北市工水工字第1126049522號 第8點</t>
    <phoneticPr fontId="32" type="noConversion"/>
  </si>
  <si>
    <t>磺港橋+希冀橋96850kg</t>
    <phoneticPr fontId="32" type="noConversion"/>
  </si>
  <si>
    <t>屬後續擴充5000萬工項
考量防汛需求，配合汛期須加快鋼橋施作期程</t>
    <phoneticPr fontId="32" type="noConversion"/>
  </si>
  <si>
    <t>金屬製品，防震拉條</t>
    <phoneticPr fontId="32" type="noConversion"/>
  </si>
  <si>
    <t>組</t>
    <phoneticPr fontId="32" type="noConversion"/>
  </si>
  <si>
    <t>113年2月15日
北市工水工字第1136012511號</t>
    <phoneticPr fontId="32" type="noConversion"/>
  </si>
  <si>
    <t>磺港橋(7根H型鋼梁，每根頭尾各1組，共14組)、希冀橋(頭尾各2組，共4組)</t>
    <phoneticPr fontId="32" type="noConversion"/>
  </si>
  <si>
    <t>設計責任</t>
    <phoneticPr fontId="32" type="noConversion"/>
  </si>
  <si>
    <t>(沅璟78700+偉寯81580+振華78500)/3=79594</t>
    <phoneticPr fontId="32" type="noConversion"/>
  </si>
  <si>
    <t>北市工水工字第1126067256號
第1點</t>
    <phoneticPr fontId="32" type="noConversion"/>
  </si>
  <si>
    <t>#卵石，厚30cm，含勾縫</t>
  </si>
  <si>
    <t>#(打樁，含空打)，本項零星工料包含鋼筋籠外側所需之間隔片費用</t>
  </si>
  <si>
    <t>新增工項
0238632202b
#卵石，厚70cm</t>
    <phoneticPr fontId="32" type="noConversion"/>
  </si>
  <si>
    <t>北市工水工字第1126063128號 第2點</t>
    <phoneticPr fontId="32" type="noConversion"/>
  </si>
  <si>
    <t>H1.8*(右岸295m+左岸57.3m)=634.14</t>
    <phoneticPr fontId="32" type="noConversion"/>
  </si>
  <si>
    <t>屬後續擴充5000萬工項
河道開挖地質軟弱，以較大尺寸之塊石固床</t>
    <phoneticPr fontId="32" type="noConversion"/>
  </si>
  <si>
    <t>北市工水工字第1136007935號 結論第3點</t>
    <phoneticPr fontId="32" type="noConversion"/>
  </si>
  <si>
    <t>新設護岸+新設堤牆+護坡坍落段回填修坡
295*0.7+76*0.75+40*2</t>
    <phoneticPr fontId="32" type="noConversion"/>
  </si>
  <si>
    <t>洩水袋</t>
    <phoneticPr fontId="32" type="noConversion"/>
  </si>
  <si>
    <t>個</t>
    <phoneticPr fontId="32" type="noConversion"/>
  </si>
  <si>
    <t>新增工項
0263980007</t>
    <phoneticPr fontId="32" type="noConversion"/>
  </si>
  <si>
    <t>新設護岸+新設堤牆+護坡坍落段回填修坡
295+76+80</t>
    <phoneticPr fontId="32" type="noConversion"/>
  </si>
  <si>
    <t>回收混凝土碎料作為河床封底材料相關費用</t>
  </si>
  <si>
    <t>112年9月8日-北市工水工字第1126049522號 第13點
113年1月15日-北市工水工字第1136007935號 第3點</t>
    <phoneticPr fontId="32" type="noConversion"/>
  </si>
  <si>
    <t>L295m*W8.2m*0.5mTH+基礎臨河道測回填</t>
    <phoneticPr fontId="32" type="noConversion"/>
  </si>
  <si>
    <t>屬後續擴充5000萬工項
避免新河道於汛期或強降雨河床受沖刷，故利用現地打除後之混凝土碎塊做為固床封底材料</t>
    <phoneticPr fontId="32" type="noConversion"/>
  </si>
  <si>
    <t>結構用混凝土，預拌，280kgf/cm2(第二型水泥)</t>
    <phoneticPr fontId="32" type="noConversion"/>
  </si>
  <si>
    <t>新增工項
0331027203</t>
    <phoneticPr fontId="32" type="noConversion"/>
  </si>
  <si>
    <t xml:space="preserve">112年12月12日
北市工水工字第1126067256號 第1點
113年3月4日
北市工水工字第1136015678號 </t>
    <phoneticPr fontId="32" type="noConversion"/>
  </si>
  <si>
    <t>新設護岸、堤牆、砌石及塊石被填，混凝土(280kgf/cm2)應採第2型水泥
(295+57.3)*1.5*0.25=132.11
766+護岸一((2.3+1.8)*0.15*270)+護岸二((4.6+0.3)*0.15+0.8*0.15)*11.2+((3+0.3)*0.15+0.8*0.15)*18.25+低水護岸0.75*0.15*295+護岸三((4*0.15)+(1.6*0.15))*57.33+((5.3*0.15)+(1.6*0.15))*11.2</t>
    <phoneticPr fontId="32" type="noConversion"/>
  </si>
  <si>
    <t xml:space="preserve">
機關/現場需求 11%
設計責任 89%</t>
    <phoneticPr fontId="32" type="noConversion"/>
  </si>
  <si>
    <r>
      <t>河岸堤牆及護岸使用Ⅱ型水泥；
766+塊石背填:(1.5*1.5*0.45*0.45)^(1/2)*</t>
    </r>
    <r>
      <rPr>
        <sz val="8"/>
        <color rgb="FFFF0000"/>
        <rFont val="新細明體"/>
        <family val="1"/>
        <charset val="136"/>
        <scheme val="minor"/>
      </rPr>
      <t>(295+57.3)</t>
    </r>
    <r>
      <rPr>
        <sz val="8"/>
        <color theme="1"/>
        <rFont val="新細明體"/>
        <family val="1"/>
        <charset val="136"/>
        <scheme val="minor"/>
      </rPr>
      <t>m*0.15mTH=8.59
774.59</t>
    </r>
    <phoneticPr fontId="32" type="noConversion"/>
  </si>
  <si>
    <t>0322000362
(含綁紮、耗損及運費)</t>
  </si>
  <si>
    <t xml:space="preserve">113年3月4日
北市工水工字第1136015678號 </t>
    <phoneticPr fontId="32" type="noConversion"/>
  </si>
  <si>
    <t>L295*W1.5=442.5</t>
    <phoneticPr fontId="32" type="noConversion"/>
  </si>
  <si>
    <t>屬後續擴充5000萬工項
開挖地質軟弱，故新增砌塊石護岸底層</t>
    <phoneticPr fontId="32" type="noConversion"/>
  </si>
  <si>
    <t>本項納入(清水木模)物價指數調整</t>
  </si>
  <si>
    <t>M</t>
    <phoneticPr fontId="32" type="noConversion"/>
  </si>
  <si>
    <t>新增工項
03110700k2</t>
    <phoneticPr fontId="32" type="noConversion"/>
  </si>
  <si>
    <t>參考113年水利處1.41單價組成
北市工水工字第1126049522號 第18點</t>
    <phoneticPr fontId="32" type="noConversion"/>
  </si>
  <si>
    <t>4589*0.3m=1376.7</t>
    <phoneticPr fontId="32" type="noConversion"/>
  </si>
  <si>
    <t>？</t>
    <phoneticPr fontId="32" type="noConversion"/>
  </si>
  <si>
    <t>(免拆模板，鋼質)，厚3mm鋼模</t>
    <phoneticPr fontId="32" type="noConversion"/>
  </si>
  <si>
    <t>新增工項
03110700h2</t>
    <phoneticPr fontId="32" type="noConversion"/>
  </si>
  <si>
    <t>參考113年水利處單價1.106
北市工水工字第1126049522號 第22點</t>
    <phoneticPr fontId="32" type="noConversion"/>
  </si>
  <si>
    <t>側溝長度(U31+U32+BL24+U33+BL25+U34)+(L23+BR1+L26+BR2+L27+BL22+U29+U30+BL23-1+BL23-2)+(U18+BL19+U20+BL20+U21+U22+U24+U25+BL21+U28+BL23)+(BL16+U15+BL17+U16+BL18+U17+BL18-1+U19)
(26.4+21.4+6.8+29.6+4.8+58.5)+(52.7+6.8+48.3+5.0+21.2+10.7+23.9+49.8+2.3+1.4)+(43.6+11.2+9.1+20.6+77.7+67.4+13.8+49.3+17.5+24.2+1.8)+(10.9+43.0+11.1+9.4+10.0+42.0+1.2+20.1)=853.5
853.5*0.6=512.1</t>
    <phoneticPr fontId="32" type="noConversion"/>
  </si>
  <si>
    <t>新設側溝長度：
872m
寬度0.6m</t>
    <phoneticPr fontId="32" type="noConversion"/>
  </si>
  <si>
    <t>穴孔：D=20CM， H=20CM</t>
  </si>
  <si>
    <t>#保護樹、移植喬木</t>
  </si>
  <si>
    <t>#保活一年</t>
  </si>
  <si>
    <t>112年9月8日
北市工水工字第1126049522號 第33點</t>
    <phoneticPr fontId="32" type="noConversion"/>
  </si>
  <si>
    <t>屬後續擴充2500萬工項
植栽工程</t>
    <phoneticPr fontId="32" type="noConversion"/>
  </si>
  <si>
    <t>保活一年</t>
  </si>
  <si>
    <t>受保護樹木6株，工程期間修剪2次，含枝葉運棄</t>
  </si>
  <si>
    <t>免保活</t>
  </si>
  <si>
    <t>保護樹菱形格網護樹圍籬</t>
  </si>
  <si>
    <t>#含基礎及施作所需費用</t>
  </si>
  <si>
    <t>#受保護樹木及移植樹木</t>
  </si>
  <si>
    <t>#含受保護樹木及移植樹木</t>
  </si>
  <si>
    <t>受保護樹木</t>
  </si>
  <si>
    <t>#受保護樹木生長監控</t>
  </si>
  <si>
    <t>#假儉草</t>
  </si>
  <si>
    <t>D=20CM微型樁(含工料、鑽桿接桿、鑽掘泥漿處理運棄，鋼筋另計)</t>
    <phoneticPr fontId="32" type="noConversion"/>
  </si>
  <si>
    <t>新增工項
0247230001</t>
    <phoneticPr fontId="32" type="noConversion"/>
  </si>
  <si>
    <t>113年2月7日
北市工水河字第1136012436號</t>
    <phoneticPr fontId="32" type="noConversion"/>
  </si>
  <si>
    <t>受保護樹下方鑽桿接桿施作
43.5*(1/0.2)*6m
(再下一紀錄因開挖後現地雜填地質軟弱)</t>
    <phoneticPr fontId="32" type="noConversion"/>
  </si>
  <si>
    <t>屬後續擴充5000萬工項
開挖地質軟弱，故新增擋土設施防止受保護樹崩落</t>
    <phoneticPr fontId="32" type="noConversion"/>
  </si>
  <si>
    <t>43.5*5*6</t>
    <phoneticPr fontId="32" type="noConversion"/>
  </si>
  <si>
    <t>113.01.31會勘北市工水工字第1136012511號</t>
  </si>
  <si>
    <t>1702m2*9包=15318</t>
    <phoneticPr fontId="32" type="noConversion"/>
  </si>
  <si>
    <t># H:8M，含基礎座預埋桿件</t>
  </si>
  <si>
    <t>#(含基礎鎖固螺桿五金)</t>
  </si>
  <si>
    <t>含白鐵雙層防水控制箱*2、簡易防水面板*7</t>
  </si>
  <si>
    <t>#水波紋高燈</t>
  </si>
  <si>
    <t>租用</t>
    <phoneticPr fontId="32" type="noConversion"/>
  </si>
  <si>
    <t>1*6*267=1602M</t>
    <phoneticPr fontId="32" type="noConversion"/>
  </si>
  <si>
    <t>112年9月1日-北市工水工字第1126048706號
113年1月29日-北市工水工字第1136010926號</t>
    <phoneticPr fontId="32" type="noConversion"/>
  </si>
  <si>
    <t>百齡抽水站暫置+低水護岸基礎+單孔箱涵(清江公園及過路段)
2.5*5*52*3.5月+2.5*267*0.5+68*3*2=1245.5</t>
    <phoneticPr fontId="32" type="noConversion"/>
  </si>
  <si>
    <t>機關/現場需求 (+百齡)</t>
    <phoneticPr fontId="32" type="noConversion"/>
  </si>
  <si>
    <t>#(含所有設施撤離)</t>
  </si>
  <si>
    <t>(含油料及運費)</t>
  </si>
  <si>
    <t>113年2月15日
北市工水工字第1136012511號
施工疑義現場會勘</t>
    <phoneticPr fontId="32" type="noConversion"/>
  </si>
  <si>
    <t>新設堤牆Ⅱ型+磺港橋雙孔箱涵段+新設堤牆Ⅲ型砌石段+磺港路單孔箱涵段</t>
    <phoneticPr fontId="32" type="noConversion"/>
  </si>
  <si>
    <t>租用2.5個月</t>
  </si>
  <si>
    <t>租用4.5個月</t>
  </si>
  <si>
    <t>含路證申請、回報及配合道路挖掘之相關作業費用</t>
  </si>
  <si>
    <t>112年11月23日
北市工水工字第1126063128號</t>
    <phoneticPr fontId="32" type="noConversion"/>
  </si>
  <si>
    <t>屬後續擴充5000萬工項
考量防汛需求，配合汛期須新設施工構台以利鋼橋吊放</t>
    <phoneticPr fontId="32" type="noConversion"/>
  </si>
  <si>
    <t>臨時直立式號誌</t>
    <phoneticPr fontId="32" type="noConversion"/>
  </si>
  <si>
    <t>新增工項
0289311038</t>
    <phoneticPr fontId="32" type="noConversion"/>
  </si>
  <si>
    <t>113年1月3日
北市工水工字第1126070809號</t>
    <phoneticPr fontId="32" type="noConversion"/>
  </si>
  <si>
    <t>每組3支</t>
  </si>
  <si>
    <t>品質管理，預力混凝土基樁試驗</t>
    <phoneticPr fontId="32" type="noConversion"/>
  </si>
  <si>
    <t>新增工項
01450D18x8a
#一組2支樁</t>
    <phoneticPr fontId="32" type="noConversion"/>
  </si>
  <si>
    <t>北市工水工字第1126063128號 第14點</t>
    <phoneticPr fontId="32" type="noConversion"/>
  </si>
  <si>
    <t>280m2/月，共24個月</t>
  </si>
  <si>
    <t>112年9月8日
北市工水工字第1126049522號 第19點</t>
    <phoneticPr fontId="32" type="noConversion"/>
  </si>
  <si>
    <t>原契約280m2/月*24個月，
工區範圍28448m2，約1185.34m2/月*24個月</t>
    <phoneticPr fontId="32" type="noConversion"/>
  </si>
  <si>
    <t>工區範圍面積
28448-6720</t>
    <phoneticPr fontId="32" type="noConversion"/>
  </si>
  <si>
    <t>時</t>
    <phoneticPr fontId="32" type="noConversion"/>
  </si>
  <si>
    <t>(1)北市工水工字第112049522號 施工疑義第56點
(2)北市工水工字第1126048706號 第3.4點 /
北市工水河字第1126052784號 第4點</t>
  </si>
  <si>
    <t>1.依工程釋疑回覆，增加環境保護費用、百齡暫置區需求
百齡：預估8H*15天
出土/進土4+4月
8*30*4+(730-8*30)*1</t>
    <phoneticPr fontId="32" type="noConversion"/>
  </si>
  <si>
    <t>高度2.4m</t>
  </si>
  <si>
    <t>需經審查後設置</t>
  </si>
  <si>
    <t>創意柔性告示牌之圖案須依機關提供之電子檔依比例放大製作</t>
  </si>
  <si>
    <t>含警示燈</t>
  </si>
  <si>
    <t>百齡暫置區及奇岩二號公園使用</t>
  </si>
  <si>
    <t>新增工項
01556H1001
使用10次，以新製品或完整無缺(重新油漆或清理過後)之堪用品</t>
    <phoneticPr fontId="32" type="noConversion"/>
  </si>
  <si>
    <t>依113年1月29日-北市工水工字第1136010926號</t>
    <phoneticPr fontId="32" type="noConversion"/>
  </si>
  <si>
    <t>奇岩2公園配合鄰近社區居民施工圍設
385+80</t>
    <phoneticPr fontId="32" type="noConversion"/>
  </si>
  <si>
    <t>臨時工</t>
    <phoneticPr fontId="32" type="noConversion"/>
  </si>
  <si>
    <t>1.臨時指揮人員
2.新增工項
L000006C00001a</t>
    <phoneticPr fontId="32" type="noConversion"/>
  </si>
  <si>
    <t>北市工水工字第1126048706號
百齡抽水站暫置會勘  結論
北市工水工字第1126063128號 第13點
單價參考分析表219-4.臨時工，(陸正申請，回報及配合道路挖掘之相關作業)</t>
    <phoneticPr fontId="32" type="noConversion"/>
  </si>
  <si>
    <t>百齡抽水站暫置區+議員陳情工區臨時交維
720+4200</t>
    <phoneticPr fontId="32" type="noConversion"/>
  </si>
  <si>
    <t>[人力工項不打折]設置2人</t>
  </si>
  <si>
    <t>含教育訓練及防災演練</t>
  </si>
  <si>
    <t>含廠製圖及送審文件製作</t>
  </si>
  <si>
    <t>2變後
數 量</t>
    <phoneticPr fontId="1" type="noConversion"/>
  </si>
  <si>
    <t>3變後
數 量</t>
  </si>
  <si>
    <t>3變後
合價</t>
    <phoneticPr fontId="1" type="noConversion"/>
  </si>
  <si>
    <t>2變後
合價</t>
    <phoneticPr fontId="1" type="noConversion"/>
  </si>
  <si>
    <t>前經  2  次變更設計，計新增  9  項，減少  1  項，變更  11  項，變更後合計  402  項</t>
    <phoneticPr fontId="1" type="noConversion"/>
  </si>
  <si>
    <t>先依圖說數量計算</t>
    <phoneticPr fontId="1" type="noConversion"/>
  </si>
  <si>
    <r>
      <t>3</t>
    </r>
    <r>
      <rPr>
        <sz val="10"/>
        <rFont val="Microsoft JhengHei"/>
        <family val="2"/>
      </rPr>
      <t>變後總價</t>
    </r>
    <phoneticPr fontId="1" type="noConversion"/>
  </si>
  <si>
    <t>喬木客土</t>
    <phoneticPr fontId="1" type="noConversion"/>
  </si>
  <si>
    <t>灌木地被</t>
    <phoneticPr fontId="1" type="noConversion"/>
  </si>
  <si>
    <t>+翼板重量</t>
    <phoneticPr fontId="1" type="noConversion"/>
  </si>
  <si>
    <t>D059樟樹(17CM)、E150樟樹(20CM)、E157樟樹(16CM)、E173山櫻花(10CM)康芮颱風傾倒</t>
    <phoneticPr fontId="1" type="noConversion"/>
  </si>
  <si>
    <t>箱涵PC減做</t>
    <phoneticPr fontId="1" type="noConversion"/>
  </si>
  <si>
    <t>職業安全衛生，保護器材，身體，勞工衛生用防護衣</t>
    <phoneticPr fontId="1" type="noConversion"/>
  </si>
  <si>
    <t>職業安全衛生，保護器材，手部，特殊手套，防酸鹼用</t>
    <phoneticPr fontId="1" type="noConversion"/>
  </si>
  <si>
    <t>橡膠手套</t>
    <phoneticPr fontId="1" type="noConversion"/>
  </si>
  <si>
    <t>磺港橋人行道</t>
    <phoneticPr fontId="1" type="noConversion"/>
  </si>
  <si>
    <t>(16+18.2)*2*0.13</t>
    <phoneticPr fontId="1" type="noConversion"/>
  </si>
  <si>
    <t>X</t>
    <phoneticPr fontId="1" type="noConversion"/>
  </si>
  <si>
    <t>P</t>
    <phoneticPr fontId="1" type="noConversion"/>
  </si>
  <si>
    <t>本次變更設計，計新增  0  項，減少  0  項，變更  97  項，變更後合計  402  項</t>
    <phoneticPr fontId="1" type="noConversion"/>
  </si>
  <si>
    <t>原契約分為  10  部分     本次變更  4  部分原有    393    項</t>
    <phoneticPr fontId="1" type="noConversion"/>
  </si>
  <si>
    <t>晶化地坪</t>
    <phoneticPr fontId="1" type="noConversion"/>
  </si>
  <si>
    <t>2.57*32.6*0.1</t>
    <phoneticPr fontId="1" type="noConversion"/>
  </si>
  <si>
    <t>((2.4+2.3)/2*5+(2.3+2.06)/2*16+(1.56+1.7)/2*10.88)*0.1</t>
    <phoneticPr fontId="1" type="noConversion"/>
  </si>
  <si>
    <t>希冀橋人行道引道及樓梯PC</t>
    <phoneticPr fontId="1" type="noConversion"/>
  </si>
  <si>
    <t>希冀橋人行道引道粉光刷毛地坪</t>
    <phoneticPr fontId="1" type="noConversion"/>
  </si>
  <si>
    <t>(1.2*2.05+2.7*1.9)*0.1</t>
    <phoneticPr fontId="1" type="noConversion"/>
  </si>
  <si>
    <t>透空步道混凝土踏階</t>
    <phoneticPr fontId="1" type="noConversion"/>
  </si>
  <si>
    <t>尚未完成</t>
    <phoneticPr fontId="1" type="noConversion"/>
  </si>
  <si>
    <t>低水護岸改280二型</t>
    <phoneticPr fontId="1" type="noConversion"/>
  </si>
  <si>
    <t>改D600mm</t>
    <phoneticPr fontId="1" type="noConversion"/>
  </si>
  <si>
    <t>依實作計算</t>
    <phoneticPr fontId="1" type="noConversion"/>
  </si>
  <si>
    <t>(280-30)/0.5*2</t>
    <phoneticPr fontId="1" type="noConversion"/>
  </si>
  <si>
    <t>7.05/0.2*2+18.8/0.2*2</t>
    <phoneticPr fontId="1" type="noConversion"/>
  </si>
  <si>
    <t>雙孔箱涵出口護岸端牆、既有堤牆加高(0+030-磺港橋)</t>
    <phoneticPr fontId="1" type="noConversion"/>
  </si>
  <si>
    <t>G2-1</t>
    <phoneticPr fontId="1" type="noConversion"/>
  </si>
  <si>
    <t>G2-2</t>
    <phoneticPr fontId="1" type="noConversion"/>
  </si>
  <si>
    <t>G3-1</t>
    <phoneticPr fontId="1" type="noConversion"/>
  </si>
  <si>
    <t>G3-2</t>
  </si>
  <si>
    <t>G3-3</t>
  </si>
  <si>
    <t>單元長度(M)</t>
    <phoneticPr fontId="1" type="noConversion"/>
  </si>
  <si>
    <t>單位重(KG)</t>
    <phoneticPr fontId="1" type="noConversion"/>
  </si>
  <si>
    <t>平均寬度</t>
    <phoneticPr fontId="1" type="noConversion"/>
  </si>
  <si>
    <t>(1)</t>
    <phoneticPr fontId="1" type="noConversion"/>
  </si>
  <si>
    <t>(2)</t>
  </si>
  <si>
    <t>(3)</t>
  </si>
  <si>
    <t>(1)+(2)+(3)</t>
    <phoneticPr fontId="1" type="noConversion"/>
  </si>
  <si>
    <t>59.03+161.99+5.09+5.09+31.2+17.9</t>
    <phoneticPr fontId="1" type="noConversion"/>
  </si>
  <si>
    <t>應做數量</t>
    <phoneticPr fontId="60" type="noConversion"/>
  </si>
  <si>
    <t>5%內</t>
  </si>
  <si>
    <t>5%內</t>
    <phoneticPr fontId="1" type="noConversion"/>
  </si>
  <si>
    <t>先依圖說數量計算，不一定施作</t>
    <phoneticPr fontId="1" type="noConversion"/>
  </si>
  <si>
    <t>百齡暫置場+1</t>
    <phoneticPr fontId="1" type="noConversion"/>
  </si>
  <si>
    <t>褐根病施藥防護</t>
    <phoneticPr fontId="1" type="noConversion"/>
  </si>
  <si>
    <r>
      <t>磺港路112.11.13-113.12.31共415天每日5H*3人(平日7~9</t>
    </r>
    <r>
      <rPr>
        <sz val="12"/>
        <color rgb="FF000000"/>
        <rFont val="標楷體"/>
        <family val="1"/>
        <charset val="136"/>
      </rPr>
      <t>、</t>
    </r>
    <r>
      <rPr>
        <sz val="12"/>
        <color indexed="8"/>
        <rFont val="標楷體"/>
        <family val="4"/>
        <charset val="136"/>
      </rPr>
      <t>16~19)+暫置區+</t>
    </r>
    <r>
      <rPr>
        <sz val="12"/>
        <color rgb="FFFF0000"/>
        <rFont val="標楷體"/>
        <family val="4"/>
        <charset val="136"/>
      </rPr>
      <t>颱風災後清理復原</t>
    </r>
    <phoneticPr fontId="1" type="noConversion"/>
  </si>
  <si>
    <t>設計算52.41</t>
    <phoneticPr fontId="1" type="noConversion"/>
  </si>
  <si>
    <t>設計算187.99</t>
    <phoneticPr fontId="1" type="noConversion"/>
  </si>
  <si>
    <t>設計無算式，不知</t>
    <phoneticPr fontId="1" type="noConversion"/>
  </si>
  <si>
    <t>磺港橋護欄</t>
    <phoneticPr fontId="1" type="noConversion"/>
  </si>
  <si>
    <t>(0.24+0.95)*2*(18.2+16)+0.4*(0.24+0.95)*4</t>
    <phoneticPr fontId="1" type="noConversion"/>
  </si>
  <si>
    <t>南</t>
    <phoneticPr fontId="1" type="noConversion"/>
  </si>
  <si>
    <t>北</t>
    <phoneticPr fontId="1" type="noConversion"/>
  </si>
  <si>
    <t>(0.95+0.24)*(18.2+16)+0.95*(18.2+16)+0.4*(18.2+16)+0.4*(0.95+0.2)*4</t>
    <phoneticPr fontId="1" type="noConversion"/>
  </si>
  <si>
    <t>依實作數量計算</t>
    <phoneticPr fontId="1" type="noConversion"/>
  </si>
  <si>
    <t>依設計圖說石材鋪面面積計算</t>
    <phoneticPr fontId="1" type="noConversion"/>
  </si>
  <si>
    <t>矩型溝</t>
    <phoneticPr fontId="1" type="noConversion"/>
  </si>
  <si>
    <t>植栽槽</t>
    <phoneticPr fontId="1" type="noConversion"/>
  </si>
  <si>
    <t>(0.25+0.15+0.1)*280</t>
    <phoneticPr fontId="1" type="noConversion"/>
  </si>
  <si>
    <t>河床封底段未打PC</t>
    <phoneticPr fontId="1" type="noConversion"/>
  </si>
  <si>
    <t>翼板耐候鋼</t>
  </si>
  <si>
    <t>翼板耐候鋼</t>
    <phoneticPr fontId="1" type="noConversion"/>
  </si>
  <si>
    <t>翼板不鏽鋼</t>
  </si>
  <si>
    <t>翼板不鏽鋼</t>
    <phoneticPr fontId="1" type="noConversion"/>
  </si>
  <si>
    <r>
      <rPr>
        <sz val="10"/>
        <rFont val="Microsoft JhengHei"/>
        <family val="2"/>
      </rPr>
      <t>第</t>
    </r>
    <r>
      <rPr>
        <sz val="10"/>
        <rFont val="Arial"/>
        <family val="2"/>
      </rPr>
      <t>1</t>
    </r>
    <r>
      <rPr>
        <sz val="10"/>
        <rFont val="Microsoft JhengHei"/>
        <family val="2"/>
      </rPr>
      <t>段</t>
    </r>
    <phoneticPr fontId="1" type="noConversion"/>
  </si>
  <si>
    <r>
      <rPr>
        <sz val="10"/>
        <rFont val="Microsoft JhengHei"/>
        <family val="2"/>
      </rPr>
      <t>第</t>
    </r>
    <r>
      <rPr>
        <sz val="10"/>
        <rFont val="Arial"/>
        <family val="2"/>
      </rPr>
      <t>2段</t>
    </r>
    <r>
      <rPr>
        <sz val="10"/>
        <rFont val="Microsoft JhengHei"/>
        <family val="2"/>
      </rPr>
      <t/>
    </r>
  </si>
  <si>
    <r>
      <rPr>
        <sz val="10"/>
        <rFont val="Microsoft JhengHei"/>
        <family val="2"/>
      </rPr>
      <t>第</t>
    </r>
    <r>
      <rPr>
        <sz val="10"/>
        <rFont val="Arial"/>
        <family val="2"/>
      </rPr>
      <t>3段</t>
    </r>
    <r>
      <rPr>
        <sz val="10"/>
        <rFont val="Microsoft JhengHei"/>
        <family val="2"/>
      </rPr>
      <t/>
    </r>
  </si>
  <si>
    <t>(1)+(2)</t>
    <phoneticPr fontId="1" type="noConversion"/>
  </si>
  <si>
    <t>平均寬度M</t>
    <phoneticPr fontId="1" type="noConversion"/>
  </si>
  <si>
    <t>單元長度(MM)</t>
    <phoneticPr fontId="1" type="noConversion"/>
  </si>
  <si>
    <r>
      <rPr>
        <sz val="10"/>
        <rFont val="Microsoft JhengHei"/>
        <family val="2"/>
      </rPr>
      <t>重量</t>
    </r>
    <r>
      <rPr>
        <sz val="10"/>
        <rFont val="Arial"/>
        <family val="2"/>
      </rPr>
      <t>=</t>
    </r>
    <r>
      <rPr>
        <sz val="10"/>
        <rFont val="Microsoft JhengHei"/>
        <family val="2"/>
      </rPr>
      <t>寬</t>
    </r>
    <r>
      <rPr>
        <sz val="10"/>
        <rFont val="Arial"/>
        <family val="2"/>
      </rPr>
      <t>*</t>
    </r>
    <r>
      <rPr>
        <sz val="10"/>
        <rFont val="Microsoft JhengHei"/>
        <family val="2"/>
      </rPr>
      <t>厚</t>
    </r>
    <r>
      <rPr>
        <sz val="10"/>
        <rFont val="Arial"/>
        <family val="2"/>
      </rPr>
      <t>*0.00793(</t>
    </r>
    <r>
      <rPr>
        <sz val="10"/>
        <rFont val="Microsoft JhengHei"/>
        <family val="2"/>
      </rPr>
      <t>不銹鋼比重</t>
    </r>
    <r>
      <rPr>
        <sz val="10"/>
        <rFont val="Arial"/>
        <family val="2"/>
      </rPr>
      <t>7.93g/cm3)</t>
    </r>
    <phoneticPr fontId="1" type="noConversion"/>
  </si>
  <si>
    <t>9/23 大雨抽水</t>
  </si>
  <si>
    <t>40*8</t>
  </si>
  <si>
    <t>山陀兒颱風抽水</t>
  </si>
  <si>
    <t>4*8*8</t>
  </si>
  <si>
    <t>康芮颱風抽水</t>
  </si>
  <si>
    <t>+凱米颱風+山陀兒颱風+康芮颱風防汛整備</t>
    <phoneticPr fontId="1" type="noConversion"/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</si>
  <si>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</si>
  <si>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</si>
  <si>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</si>
  <si>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</si>
  <si>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</si>
  <si>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</si>
  <si>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</si>
  <si>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</si>
  <si>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</si>
  <si>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</si>
  <si>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</si>
  <si>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</si>
  <si>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</si>
  <si>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</si>
  <si>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</si>
  <si>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傾卸貨車，總重15-15.9t(災後)</t>
  </si>
  <si>
    <t>傾卸貨車，總重8-8.9t(災後)</t>
  </si>
  <si>
    <t>開挖機，履帶式抓斗，0.30~0.39m3(或小鏟裝車)(災後)</t>
  </si>
  <si>
    <t>開挖機，0.70~0.79m3(災後)</t>
  </si>
  <si>
    <t>吊卡車，15米-噸(災後)</t>
  </si>
  <si>
    <t>灑水車，8.0~8.9m3(災後)</t>
  </si>
  <si>
    <t>技術工(技術工、駕駛、操作手)(災後)</t>
  </si>
  <si>
    <t>普通工(災後)</t>
  </si>
  <si>
    <t>技術工(技術工、駕駛、操作手)，夜間(災後)</t>
  </si>
  <si>
    <t>普通工，夜間(災後)</t>
  </si>
  <si>
    <t>傾卸貨車，工程車3.5~6t(災後)</t>
  </si>
  <si>
    <t>拖車，總重35-35.9t(災後)</t>
  </si>
  <si>
    <t>鏈鋸機(含耗材工料)(災後)</t>
  </si>
  <si>
    <t>臨時設施，雜項工程，工地處理，施工動復員，大型機具(災後)</t>
  </si>
  <si>
    <t>臨時設施，雜項工程，工地處理，施工動復員，小型機具(災後)</t>
  </si>
  <si>
    <t>3 變 後
核定數量</t>
    <phoneticPr fontId="1" type="noConversion"/>
  </si>
  <si>
    <t>4 變 後
數量</t>
    <phoneticPr fontId="1" type="noConversion"/>
  </si>
  <si>
    <t>19</t>
    <phoneticPr fontId="1" type="noConversion"/>
  </si>
  <si>
    <t>安全設施及安全保護器材(災後)</t>
  </si>
  <si>
    <t>5.19</t>
  </si>
  <si>
    <t>康芮颱風(災後清理)</t>
    <phoneticPr fontId="1" type="noConversion"/>
  </si>
  <si>
    <t>12+12+11+11+22+33+28</t>
    <phoneticPr fontId="1" type="noConversion"/>
  </si>
  <si>
    <t>10+26+73+33+31+21+31+57</t>
    <phoneticPr fontId="1" type="noConversion"/>
  </si>
  <si>
    <t>12+52.5+20+30+32+30+38</t>
  </si>
  <si>
    <t>2*19+9</t>
    <phoneticPr fontId="1" type="noConversion"/>
  </si>
  <si>
    <t>12+11+21+11+18</t>
    <phoneticPr fontId="1" type="noConversion"/>
  </si>
  <si>
    <t>18+12+18+22+22+22+22+38</t>
    <phoneticPr fontId="1" type="noConversion"/>
  </si>
  <si>
    <t>290+239+280+310+326+250</t>
    <phoneticPr fontId="1" type="noConversion"/>
  </si>
  <si>
    <t>50+60+60+50+70+20</t>
  </si>
  <si>
    <t>168+242+142.5+171</t>
    <phoneticPr fontId="1" type="noConversion"/>
  </si>
  <si>
    <t>50+24+30+18</t>
    <phoneticPr fontId="1" type="noConversion"/>
  </si>
  <si>
    <t>40+48+75+32+55+62+52+57</t>
    <phoneticPr fontId="1" type="noConversion"/>
  </si>
  <si>
    <t>2*14</t>
    <phoneticPr fontId="1" type="noConversion"/>
  </si>
  <si>
    <t>57.5+57.5+32.5+50+50+50+50+95</t>
    <phoneticPr fontId="1" type="noConversion"/>
  </si>
  <si>
    <t>1+2+1+2+2+2+2</t>
    <phoneticPr fontId="1" type="noConversion"/>
  </si>
  <si>
    <t>變更後
數 量</t>
    <phoneticPr fontId="1" type="noConversion"/>
  </si>
  <si>
    <t>第4次變更項目對照詳細表</t>
    <phoneticPr fontId="32" type="noConversion"/>
  </si>
  <si>
    <t>前經  3  次變更設計，計新增  43  項，減少  3  項，變更  27  項，變更後合計  438 項</t>
    <phoneticPr fontId="1" type="noConversion"/>
  </si>
  <si>
    <t>原 定
數 量</t>
    <phoneticPr fontId="1" type="noConversion"/>
  </si>
  <si>
    <t>86</t>
  </si>
  <si>
    <t>87</t>
  </si>
  <si>
    <t>88</t>
  </si>
  <si>
    <t>雨水回收槽(1)</t>
    <phoneticPr fontId="1" type="noConversion"/>
  </si>
  <si>
    <t>雨水回收槽(2)</t>
  </si>
  <si>
    <t>雨水回收槽(3)</t>
  </si>
  <si>
    <t>變更後
合價</t>
    <phoneticPr fontId="1" type="noConversion"/>
  </si>
  <si>
    <t>113.10.23依「磺港溪再造委託規劃設計工作(延壽橋至西安橋) 公共設施用地開發保水檢核(定稿版)」辦理</t>
    <phoneticPr fontId="1" type="noConversion"/>
  </si>
  <si>
    <t>依設計圖說清點數量</t>
    <phoneticPr fontId="1" type="noConversion"/>
  </si>
  <si>
    <t>A+B+C+D=12*3234+35*1078+19*336+46*134=89.09</t>
    <phoneticPr fontId="1" type="noConversion"/>
  </si>
  <si>
    <t>依實際施作長度</t>
    <phoneticPr fontId="1" type="noConversion"/>
  </si>
  <si>
    <t>增加希冀橋翼板(不銹鋼及耐候剛)重量</t>
    <phoneticPr fontId="1" type="noConversion"/>
  </si>
  <si>
    <t>依混凝土總量調整</t>
    <phoneticPr fontId="1" type="noConversion"/>
  </si>
  <si>
    <t>依設計圖說計算</t>
    <phoneticPr fontId="1" type="noConversion"/>
  </si>
  <si>
    <t>低水護岸及護岸1.2.3改280二型</t>
    <phoneticPr fontId="1" type="noConversion"/>
  </si>
  <si>
    <t>護岸二+護岸三+植栽槽及護岸加高抿石子時</t>
    <phoneticPr fontId="1" type="noConversion"/>
  </si>
  <si>
    <t>護岸一二三加高及植栽槽抿石子施工時需另搭架</t>
    <phoneticPr fontId="1" type="noConversion"/>
  </si>
  <si>
    <t>箱涵PC減做</t>
  </si>
  <si>
    <t>依道路面積計算</t>
    <phoneticPr fontId="1" type="noConversion"/>
  </si>
  <si>
    <t>契約單價</t>
    <phoneticPr fontId="1" type="noConversion"/>
  </si>
  <si>
    <t>暫置區增做1座</t>
    <phoneticPr fontId="1" type="noConversion"/>
  </si>
  <si>
    <t>橡膠手套</t>
  </si>
  <si>
    <t>已進貨5座，是否配合管徑變更?</t>
    <phoneticPr fontId="1" type="noConversion"/>
  </si>
  <si>
    <t>113.6.20總工工地視察，依水利處規定管徑修改</t>
    <phoneticPr fontId="1" type="noConversion"/>
  </si>
  <si>
    <t>49+494.42</t>
    <phoneticPr fontId="1" type="noConversion"/>
  </si>
  <si>
    <t>依所頒標準圖(暗溝)鋼筋使用#4、#5，計算書以#3、#4計算，且未算溝蓋板鋼筋</t>
    <phoneticPr fontId="1" type="noConversion"/>
  </si>
  <si>
    <t>工期730天/30約24個月</t>
    <phoneticPr fontId="1" type="noConversion"/>
  </si>
  <si>
    <t>無編列數量</t>
    <phoneticPr fontId="1" type="noConversion"/>
  </si>
  <si>
    <t>護欄b(磺港橋+樓梯M)</t>
    <phoneticPr fontId="1" type="noConversion"/>
  </si>
  <si>
    <t>追加</t>
    <phoneticPr fontId="1" type="noConversion"/>
  </si>
  <si>
    <t>欄杆C'(保護樹A、B)</t>
    <phoneticPr fontId="1" type="noConversion"/>
  </si>
  <si>
    <t>本次變更設計，計新增    項，減少    項，變更    項，變更後合計    項</t>
    <phoneticPr fontId="1" type="noConversion"/>
  </si>
  <si>
    <t>(0.25*0.15*250)+((0.08+0.46+0.44+0.42+0.39+0.3+0.24+0.18+0.13+0.13+0.12+0.1+0.05+0.02)/14*0.2*230)+((0.2*0.55)+(0.2*0.4)+(0.375*0.2)+(0.225+0.375)*0.15/2)*18.8+(0.02+0.6)/2*0.2*20</t>
    <phoneticPr fontId="1" type="noConversion"/>
  </si>
  <si>
    <t>箱涵、護岸、低水護岸基礎施工期間113.1.6-113.9.6，同日2處施工布設2台</t>
    <phoneticPr fontId="1" type="noConversion"/>
  </si>
  <si>
    <t>編在橋工</t>
  </si>
  <si>
    <t>項次</t>
    <phoneticPr fontId="1" type="noConversion"/>
  </si>
  <si>
    <t>內容</t>
    <phoneticPr fontId="1" type="noConversion"/>
  </si>
  <si>
    <t>單位</t>
    <phoneticPr fontId="1" type="noConversion"/>
  </si>
  <si>
    <t>數量</t>
    <phoneticPr fontId="1" type="noConversion"/>
  </si>
  <si>
    <t>單價</t>
    <phoneticPr fontId="1" type="noConversion"/>
  </si>
  <si>
    <t>1.1.4</t>
    <phoneticPr fontId="1" type="noConversion"/>
  </si>
  <si>
    <t>1.1.6</t>
    <phoneticPr fontId="1" type="noConversion"/>
  </si>
  <si>
    <t>1.1.12</t>
    <phoneticPr fontId="1" type="noConversion"/>
  </si>
  <si>
    <t>挖方</t>
    <phoneticPr fontId="1" type="noConversion"/>
  </si>
  <si>
    <t>1.1.24</t>
    <phoneticPr fontId="1" type="noConversion"/>
  </si>
  <si>
    <t>1.2.1</t>
    <phoneticPr fontId="1" type="noConversion"/>
  </si>
  <si>
    <t>1.2.2</t>
    <phoneticPr fontId="1" type="noConversion"/>
  </si>
  <si>
    <t>1.3.1</t>
    <phoneticPr fontId="1" type="noConversion"/>
  </si>
  <si>
    <t>1.3.17</t>
    <phoneticPr fontId="1" type="noConversion"/>
  </si>
  <si>
    <t>1.3.18</t>
    <phoneticPr fontId="1" type="noConversion"/>
  </si>
  <si>
    <t>1.4.22</t>
    <phoneticPr fontId="1" type="noConversion"/>
  </si>
  <si>
    <t>1.5.3</t>
    <phoneticPr fontId="1" type="noConversion"/>
  </si>
  <si>
    <t>環境垃圾清除</t>
    <phoneticPr fontId="1" type="noConversion"/>
  </si>
  <si>
    <t>填方</t>
    <phoneticPr fontId="1" type="noConversion"/>
  </si>
  <si>
    <r>
      <rPr>
        <sz val="10"/>
        <rFont val="Microsoft JhengHei"/>
        <family val="2"/>
      </rPr>
      <t>方案</t>
    </r>
    <r>
      <rPr>
        <sz val="10"/>
        <rFont val="Arial"/>
        <family val="2"/>
      </rPr>
      <t>A</t>
    </r>
    <phoneticPr fontId="1" type="noConversion"/>
  </si>
  <si>
    <t>河道(含PC樁)、磺港路</t>
    <phoneticPr fontId="1" type="noConversion"/>
  </si>
  <si>
    <t>河道、磺港路</t>
    <phoneticPr fontId="1" type="noConversion"/>
  </si>
  <si>
    <t>餘方</t>
    <phoneticPr fontId="1" type="noConversion"/>
  </si>
  <si>
    <t>餘方處理</t>
    <phoneticPr fontId="1" type="noConversion"/>
  </si>
  <si>
    <t>台北港</t>
    <phoneticPr fontId="1" type="noConversion"/>
  </si>
  <si>
    <t>台北港追加</t>
    <phoneticPr fontId="1" type="noConversion"/>
  </si>
  <si>
    <t>清障、清江公園</t>
    <phoneticPr fontId="1" type="noConversion"/>
  </si>
  <si>
    <t>垃圾</t>
    <phoneticPr fontId="1" type="noConversion"/>
  </si>
  <si>
    <r>
      <rPr>
        <sz val="10"/>
        <rFont val="細明體"/>
        <family val="2"/>
        <charset val="136"/>
      </rPr>
      <t>奇岩</t>
    </r>
    <r>
      <rPr>
        <sz val="10"/>
        <rFont val="Arial"/>
        <family val="2"/>
      </rPr>
      <t>2</t>
    </r>
    <r>
      <rPr>
        <sz val="10"/>
        <rFont val="細明體"/>
        <family val="2"/>
        <charset val="136"/>
      </rPr>
      <t>號公園</t>
    </r>
    <phoneticPr fontId="1" type="noConversion"/>
  </si>
  <si>
    <t>房屋廢方</t>
    <phoneticPr fontId="1" type="noConversion"/>
  </si>
  <si>
    <t>自覓改送台北港</t>
    <phoneticPr fontId="1" type="noConversion"/>
  </si>
  <si>
    <r>
      <t>2</t>
    </r>
    <r>
      <rPr>
        <sz val="10"/>
        <rFont val="Microsoft JhengHei"/>
        <family val="2"/>
      </rPr>
      <t>座橋台</t>
    </r>
    <phoneticPr fontId="1" type="noConversion"/>
  </si>
  <si>
    <r>
      <t>PC</t>
    </r>
    <r>
      <rPr>
        <sz val="10"/>
        <rFont val="Microsoft JhengHei"/>
        <family val="2"/>
      </rPr>
      <t>樁泥漿</t>
    </r>
    <phoneticPr fontId="1" type="noConversion"/>
  </si>
  <si>
    <t>自覓改送台北港，非泥漿</t>
    <phoneticPr fontId="1" type="noConversion"/>
  </si>
  <si>
    <r>
      <t>2</t>
    </r>
    <r>
      <rPr>
        <sz val="10"/>
        <rFont val="Microsoft JhengHei"/>
        <family val="2"/>
      </rPr>
      <t>座橋的基樁</t>
    </r>
    <phoneticPr fontId="1" type="noConversion"/>
  </si>
  <si>
    <t>基樁泥漿</t>
    <phoneticPr fontId="1" type="noConversion"/>
  </si>
  <si>
    <t>自覓改送台北港，非泥漿，不另給價</t>
    <phoneticPr fontId="1" type="noConversion"/>
  </si>
  <si>
    <t>機械拆除</t>
    <phoneticPr fontId="1" type="noConversion"/>
  </si>
  <si>
    <t>回收料</t>
    <phoneticPr fontId="1" type="noConversion"/>
  </si>
  <si>
    <t>小計</t>
    <phoneticPr fontId="1" type="noConversion"/>
  </si>
  <si>
    <t>+</t>
    <phoneticPr fontId="1" type="noConversion"/>
  </si>
  <si>
    <t>餘方不足額</t>
    <phoneticPr fontId="1" type="noConversion"/>
  </si>
  <si>
    <t>總計</t>
    <phoneticPr fontId="1" type="noConversion"/>
  </si>
  <si>
    <t>備註:</t>
    <phoneticPr fontId="1" type="noConversion"/>
  </si>
  <si>
    <t>為機械拆除結構產出，4813.44-212.1(回收料)=4601.44</t>
    <phoneticPr fontId="1" type="noConversion"/>
  </si>
  <si>
    <r>
      <rPr>
        <sz val="10"/>
        <rFont val="Microsoft JhengHei"/>
        <family val="2"/>
      </rPr>
      <t>方案</t>
    </r>
    <r>
      <rPr>
        <sz val="10"/>
        <rFont val="Arial"/>
        <family val="2"/>
      </rPr>
      <t>B</t>
    </r>
    <phoneticPr fontId="1" type="noConversion"/>
  </si>
  <si>
    <r>
      <rPr>
        <sz val="10"/>
        <rFont val="微軟正黑體"/>
        <family val="2"/>
        <charset val="136"/>
      </rPr>
      <t>編在河工是</t>
    </r>
    <r>
      <rPr>
        <sz val="10"/>
        <rFont val="Arial"/>
        <family val="2"/>
      </rPr>
      <t>PC</t>
    </r>
    <r>
      <rPr>
        <sz val="10"/>
        <rFont val="Microsoft JhengHei"/>
        <family val="2"/>
      </rPr>
      <t>樁</t>
    </r>
    <r>
      <rPr>
        <sz val="10"/>
        <rFont val="微軟正黑體"/>
        <family val="2"/>
        <charset val="136"/>
      </rPr>
      <t>產出</t>
    </r>
    <phoneticPr fontId="1" type="noConversion"/>
  </si>
  <si>
    <t>(280-60)*7.35*0.3</t>
    <phoneticPr fontId="1" type="noConversion"/>
  </si>
  <si>
    <t>雨水積磚2檢視井+0.7</t>
    <phoneticPr fontId="1" type="noConversion"/>
  </si>
  <si>
    <t>(3.9625*21.55-1*1)*0.7</t>
    <phoneticPr fontId="1" type="noConversion"/>
  </si>
  <si>
    <t>管涵減作填方增加</t>
    <phoneticPr fontId="1" type="noConversion"/>
  </si>
  <si>
    <t>道路高程抬高填方增加</t>
  </si>
  <si>
    <t>道路高程抬高填方增加</t>
    <phoneticPr fontId="1" type="noConversion"/>
  </si>
  <si>
    <t>管涵減作挖方減少</t>
    <phoneticPr fontId="1" type="noConversion"/>
  </si>
  <si>
    <t>0.32*0.32*3.14*36+0.25*0.25*3.14*59.2</t>
    <phoneticPr fontId="1" type="noConversion"/>
  </si>
  <si>
    <t>護欄B'</t>
    <phoneticPr fontId="1" type="noConversion"/>
  </si>
  <si>
    <t>0.3*0.4*(57.6+24.85)</t>
    <phoneticPr fontId="1" type="noConversion"/>
  </si>
  <si>
    <t>0.4*2*(57.6+24.85)</t>
    <phoneticPr fontId="1" type="noConversion"/>
  </si>
  <si>
    <t>N0K+220</t>
    <phoneticPr fontId="1" type="noConversion"/>
  </si>
  <si>
    <t>N0K+240</t>
    <phoneticPr fontId="1" type="noConversion"/>
  </si>
  <si>
    <t>N0K+260</t>
    <phoneticPr fontId="1" type="noConversion"/>
  </si>
  <si>
    <t>N0K+280</t>
    <phoneticPr fontId="1" type="noConversion"/>
  </si>
  <si>
    <t>N0K+300</t>
    <phoneticPr fontId="1" type="noConversion"/>
  </si>
  <si>
    <t>N0K+320</t>
    <phoneticPr fontId="1" type="noConversion"/>
  </si>
  <si>
    <t>N0K+340</t>
    <phoneticPr fontId="1" type="noConversion"/>
  </si>
  <si>
    <t>N0K+360</t>
    <phoneticPr fontId="1" type="noConversion"/>
  </si>
  <si>
    <t>N0K+380</t>
    <phoneticPr fontId="1" type="noConversion"/>
  </si>
  <si>
    <t>原設計</t>
    <phoneticPr fontId="1" type="noConversion"/>
  </si>
  <si>
    <t>變更後</t>
    <phoneticPr fontId="1" type="noConversion"/>
  </si>
  <si>
    <t>路面高程</t>
    <phoneticPr fontId="1" type="noConversion"/>
  </si>
  <si>
    <t>增加高度</t>
    <phoneticPr fontId="1" type="noConversion"/>
  </si>
  <si>
    <t>增加回填</t>
    <phoneticPr fontId="1" type="noConversion"/>
  </si>
  <si>
    <t>低水護岸坡度調整</t>
    <phoneticPr fontId="1" type="noConversion"/>
  </si>
  <si>
    <t>實際-契約量</t>
    <phoneticPr fontId="1" type="noConversion"/>
  </si>
  <si>
    <t>挖填方計算</t>
    <phoneticPr fontId="1" type="noConversion"/>
  </si>
  <si>
    <t>合約小計</t>
    <phoneticPr fontId="1" type="noConversion"/>
  </si>
  <si>
    <t>台北港應追加數量</t>
    <phoneticPr fontId="1" type="noConversion"/>
  </si>
  <si>
    <t>箱涵挖方減少</t>
    <phoneticPr fontId="1" type="noConversion"/>
  </si>
  <si>
    <t>(5.46*7.42/2-5.46*3.71/2)*50</t>
    <phoneticPr fontId="1" type="noConversion"/>
  </si>
  <si>
    <t>餘方合約數量</t>
    <phoneticPr fontId="1" type="noConversion"/>
  </si>
  <si>
    <r>
      <t>奇岩</t>
    </r>
    <r>
      <rPr>
        <sz val="10"/>
        <color theme="1"/>
        <rFont val="標楷體"/>
        <family val="4"/>
        <charset val="136"/>
      </rPr>
      <t>2</t>
    </r>
    <r>
      <rPr>
        <sz val="10"/>
        <rFont val="標楷體"/>
        <family val="4"/>
        <charset val="136"/>
      </rPr>
      <t>號公園</t>
    </r>
    <phoneticPr fontId="1" type="noConversion"/>
  </si>
  <si>
    <r>
      <t>2</t>
    </r>
    <r>
      <rPr>
        <sz val="10"/>
        <rFont val="標楷體"/>
        <family val="4"/>
        <charset val="136"/>
      </rPr>
      <t>座橋台</t>
    </r>
    <phoneticPr fontId="1" type="noConversion"/>
  </si>
  <si>
    <r>
      <t>PC</t>
    </r>
    <r>
      <rPr>
        <sz val="10"/>
        <rFont val="標楷體"/>
        <family val="4"/>
        <charset val="136"/>
      </rPr>
      <t>樁泥漿</t>
    </r>
    <phoneticPr fontId="1" type="noConversion"/>
  </si>
  <si>
    <r>
      <t>2</t>
    </r>
    <r>
      <rPr>
        <sz val="10"/>
        <rFont val="標楷體"/>
        <family val="4"/>
        <charset val="136"/>
      </rPr>
      <t>座橋的基樁</t>
    </r>
    <phoneticPr fontId="1" type="noConversion"/>
  </si>
  <si>
    <t>砌石擋牆B回填增加</t>
    <phoneticPr fontId="1" type="noConversion"/>
  </si>
  <si>
    <r>
      <rPr>
        <sz val="10"/>
        <rFont val="標楷體"/>
        <family val="4"/>
        <charset val="136"/>
      </rPr>
      <t>挖方</t>
    </r>
    <r>
      <rPr>
        <sz val="10"/>
        <color theme="1"/>
        <rFont val="標楷體"/>
        <family val="4"/>
        <charset val="136"/>
      </rPr>
      <t>-</t>
    </r>
    <r>
      <rPr>
        <sz val="10"/>
        <rFont val="標楷體"/>
        <family val="4"/>
        <charset val="136"/>
      </rPr>
      <t>填方</t>
    </r>
    <r>
      <rPr>
        <sz val="10"/>
        <color theme="1"/>
        <rFont val="標楷體"/>
        <family val="4"/>
        <charset val="136"/>
      </rPr>
      <t>=</t>
    </r>
    <r>
      <rPr>
        <sz val="10"/>
        <rFont val="標楷體"/>
        <family val="4"/>
        <charset val="136"/>
      </rPr>
      <t>餘方</t>
    </r>
    <phoneticPr fontId="1" type="noConversion"/>
  </si>
  <si>
    <r>
      <t>低水護岸300-250坡度</t>
    </r>
    <r>
      <rPr>
        <sz val="10"/>
        <color theme="1"/>
        <rFont val="標楷體"/>
        <family val="4"/>
        <charset val="136"/>
      </rPr>
      <t>1:2</t>
    </r>
    <r>
      <rPr>
        <sz val="10"/>
        <rFont val="標楷體"/>
        <family val="4"/>
        <charset val="136"/>
      </rPr>
      <t>，增加回填量</t>
    </r>
    <phoneticPr fontId="1" type="noConversion"/>
  </si>
  <si>
    <t>如右列</t>
    <phoneticPr fontId="1" type="noConversion"/>
  </si>
  <si>
    <t>3.6*2/2*24.3</t>
    <phoneticPr fontId="1" type="noConversion"/>
  </si>
  <si>
    <t>鋼筋，SD280W</t>
    <phoneticPr fontId="1" type="noConversion"/>
  </si>
  <si>
    <t>280 II</t>
    <phoneticPr fontId="1" type="noConversion"/>
  </si>
  <si>
    <t>結構用混凝土，泵送及澆注費</t>
    <phoneticPr fontId="1" type="noConversion"/>
  </si>
  <si>
    <t>泵送及澆注費</t>
    <phoneticPr fontId="1" type="noConversion"/>
  </si>
  <si>
    <t>景觀</t>
    <phoneticPr fontId="1" type="noConversion"/>
  </si>
  <si>
    <t>橋工</t>
    <phoneticPr fontId="1" type="noConversion"/>
  </si>
  <si>
    <t>河工</t>
    <phoneticPr fontId="1" type="noConversion"/>
  </si>
  <si>
    <t>下水道</t>
    <phoneticPr fontId="1" type="noConversion"/>
  </si>
  <si>
    <t>道路</t>
    <phoneticPr fontId="1" type="noConversion"/>
  </si>
  <si>
    <r>
      <rPr>
        <sz val="10"/>
        <rFont val="Microsoft JhengHei"/>
        <family val="2"/>
      </rPr>
      <t>下水道追加</t>
    </r>
    <r>
      <rPr>
        <sz val="10"/>
        <rFont val="Arial"/>
        <family val="2"/>
      </rPr>
      <t>183.7</t>
    </r>
    <r>
      <rPr>
        <sz val="10"/>
        <rFont val="Microsoft JhengHei"/>
        <family val="2"/>
      </rPr>
      <t>，其中</t>
    </r>
    <r>
      <rPr>
        <sz val="10"/>
        <rFont val="Arial"/>
        <family val="2"/>
      </rPr>
      <t>150.03</t>
    </r>
    <r>
      <rPr>
        <sz val="10"/>
        <rFont val="Microsoft JhengHei"/>
        <family val="2"/>
      </rPr>
      <t>以河川工程</t>
    </r>
    <r>
      <rPr>
        <sz val="10"/>
        <rFont val="Arial"/>
        <family val="2"/>
      </rPr>
      <t>210</t>
    </r>
    <r>
      <rPr>
        <sz val="10"/>
        <rFont val="Microsoft JhengHei"/>
        <family val="2"/>
      </rPr>
      <t>項目計價</t>
    </r>
    <phoneticPr fontId="1" type="noConversion"/>
  </si>
  <si>
    <t>混凝土總量分類</t>
    <phoneticPr fontId="1" type="noConversion"/>
  </si>
  <si>
    <t>管路回填</t>
    <phoneticPr fontId="1" type="noConversion"/>
  </si>
  <si>
    <t>(1011+946+55+22)*0.2*0.2</t>
    <phoneticPr fontId="1" type="noConversion"/>
  </si>
  <si>
    <t>下水道210</t>
    <phoneticPr fontId="1" type="noConversion"/>
  </si>
  <si>
    <t>挪項</t>
    <phoneticPr fontId="1" type="noConversion"/>
  </si>
  <si>
    <t>挪去河川工程210項下</t>
    <phoneticPr fontId="1" type="noConversion"/>
  </si>
  <si>
    <t>河工數量給下水道用</t>
    <phoneticPr fontId="1" type="noConversion"/>
  </si>
  <si>
    <t>下水道含CLSM</t>
    <phoneticPr fontId="1" type="noConversion"/>
  </si>
  <si>
    <t>區內移植數量表</t>
    <phoneticPr fontId="32" type="noConversion"/>
  </si>
  <si>
    <t>項次</t>
    <phoneticPr fontId="32" type="noConversion"/>
  </si>
  <si>
    <t>編號</t>
    <phoneticPr fontId="32" type="noConversion"/>
  </si>
  <si>
    <t>樹種</t>
    <phoneticPr fontId="32" type="noConversion"/>
  </si>
  <si>
    <t>胸徑</t>
    <phoneticPr fontId="32" type="noConversion"/>
  </si>
  <si>
    <t>處理方式</t>
    <phoneticPr fontId="32" type="noConversion"/>
  </si>
  <si>
    <t>D002</t>
  </si>
  <si>
    <t>樟樹</t>
    <phoneticPr fontId="32" type="noConversion"/>
  </si>
  <si>
    <t>區內移植</t>
    <phoneticPr fontId="32" type="noConversion"/>
  </si>
  <si>
    <t>5-9</t>
    <phoneticPr fontId="32" type="noConversion"/>
  </si>
  <si>
    <t>D003</t>
  </si>
  <si>
    <t>10-14</t>
    <phoneticPr fontId="32" type="noConversion"/>
  </si>
  <si>
    <t>D005</t>
  </si>
  <si>
    <t>15-19</t>
    <phoneticPr fontId="32" type="noConversion"/>
  </si>
  <si>
    <t>D006</t>
  </si>
  <si>
    <t>20-24</t>
    <phoneticPr fontId="32" type="noConversion"/>
  </si>
  <si>
    <t>D041</t>
  </si>
  <si>
    <t>水黃皮</t>
    <phoneticPr fontId="32" type="noConversion"/>
  </si>
  <si>
    <t>25-29</t>
    <phoneticPr fontId="32" type="noConversion"/>
  </si>
  <si>
    <t>D044</t>
  </si>
  <si>
    <t>正榕</t>
    <phoneticPr fontId="32" type="noConversion"/>
  </si>
  <si>
    <t>30-34</t>
    <phoneticPr fontId="32" type="noConversion"/>
  </si>
  <si>
    <t>D054</t>
  </si>
  <si>
    <t>45-49</t>
    <phoneticPr fontId="32" type="noConversion"/>
  </si>
  <si>
    <t>D057</t>
  </si>
  <si>
    <t>小葉欖仁</t>
    <phoneticPr fontId="32" type="noConversion"/>
  </si>
  <si>
    <t>50-54</t>
    <phoneticPr fontId="32" type="noConversion"/>
  </si>
  <si>
    <t>D059</t>
  </si>
  <si>
    <t>70-74</t>
    <phoneticPr fontId="32" type="noConversion"/>
  </si>
  <si>
    <t>D060</t>
  </si>
  <si>
    <t>不含E001</t>
    <phoneticPr fontId="32" type="noConversion"/>
  </si>
  <si>
    <t>D068</t>
  </si>
  <si>
    <t>阿勃勒</t>
    <phoneticPr fontId="32" type="noConversion"/>
  </si>
  <si>
    <t>E003</t>
  </si>
  <si>
    <t>E004</t>
  </si>
  <si>
    <t>台灣欒樹</t>
    <phoneticPr fontId="32" type="noConversion"/>
  </si>
  <si>
    <t>E005</t>
  </si>
  <si>
    <t>E145</t>
  </si>
  <si>
    <t>大葉合歡</t>
    <phoneticPr fontId="32" type="noConversion"/>
  </si>
  <si>
    <t>E146</t>
  </si>
  <si>
    <t>E149</t>
  </si>
  <si>
    <t>羊蹄甲</t>
    <phoneticPr fontId="32" type="noConversion"/>
  </si>
  <si>
    <t>E150</t>
  </si>
  <si>
    <t>E151</t>
  </si>
  <si>
    <t>E160</t>
  </si>
  <si>
    <t>移至A標水美社區</t>
    <phoneticPr fontId="32" type="noConversion"/>
  </si>
  <si>
    <t>E161</t>
  </si>
  <si>
    <t>E162</t>
  </si>
  <si>
    <t>E163</t>
  </si>
  <si>
    <t>E164</t>
  </si>
  <si>
    <t>E171</t>
  </si>
  <si>
    <t>烏桕</t>
    <phoneticPr fontId="32" type="noConversion"/>
  </si>
  <si>
    <t>E172</t>
  </si>
  <si>
    <t>山櫻花</t>
    <phoneticPr fontId="32" type="noConversion"/>
  </si>
  <si>
    <t>新增</t>
    <phoneticPr fontId="32" type="noConversion"/>
  </si>
  <si>
    <t>3.3</t>
    <phoneticPr fontId="32" type="noConversion"/>
  </si>
  <si>
    <t>月橘</t>
    <phoneticPr fontId="32" type="noConversion"/>
  </si>
  <si>
    <t>2</t>
    <phoneticPr fontId="32" type="noConversion"/>
  </si>
  <si>
    <t>緬梔</t>
    <phoneticPr fontId="32" type="noConversion"/>
  </si>
  <si>
    <t>緬梔</t>
  </si>
  <si>
    <t>D055</t>
    <phoneticPr fontId="32" type="noConversion"/>
  </si>
  <si>
    <t>D056</t>
    <phoneticPr fontId="32" type="noConversion"/>
  </si>
  <si>
    <t>D058</t>
    <phoneticPr fontId="32" type="noConversion"/>
  </si>
  <si>
    <t>XE026</t>
    <phoneticPr fontId="32" type="noConversion"/>
  </si>
  <si>
    <t>穗花棋盤腳</t>
    <phoneticPr fontId="32" type="noConversion"/>
  </si>
  <si>
    <t>XE027</t>
    <phoneticPr fontId="32" type="noConversion"/>
  </si>
  <si>
    <t>XF001</t>
    <phoneticPr fontId="32" type="noConversion"/>
  </si>
  <si>
    <t>清江1號公園</t>
    <phoneticPr fontId="32" type="noConversion"/>
  </si>
  <si>
    <t>XF002</t>
  </si>
  <si>
    <t>XF004</t>
    <phoneticPr fontId="32" type="noConversion"/>
  </si>
  <si>
    <t>XF005</t>
    <phoneticPr fontId="32" type="noConversion"/>
  </si>
  <si>
    <t>XF008</t>
    <phoneticPr fontId="32" type="noConversion"/>
  </si>
  <si>
    <t>E001</t>
    <phoneticPr fontId="32" type="noConversion"/>
  </si>
  <si>
    <t>圖上有但現場無此樹</t>
    <phoneticPr fontId="32" type="noConversion"/>
  </si>
  <si>
    <t>胸徑CM</t>
    <phoneticPr fontId="32" type="noConversion"/>
  </si>
  <si>
    <t>高度M</t>
    <phoneticPr fontId="32" type="noConversion"/>
  </si>
  <si>
    <t>E176</t>
  </si>
  <si>
    <t>桑樹</t>
    <phoneticPr fontId="32" type="noConversion"/>
  </si>
  <si>
    <t>移除</t>
    <phoneticPr fontId="32" type="noConversion"/>
  </si>
  <si>
    <t>&lt;10</t>
    <phoneticPr fontId="32" type="noConversion"/>
  </si>
  <si>
    <t>E177</t>
  </si>
  <si>
    <t>10-&lt;20</t>
    <phoneticPr fontId="32" type="noConversion"/>
  </si>
  <si>
    <t>E178</t>
  </si>
  <si>
    <t>構樹</t>
    <phoneticPr fontId="32" type="noConversion"/>
  </si>
  <si>
    <t>20-&lt;30</t>
  </si>
  <si>
    <t>E179</t>
  </si>
  <si>
    <t>40-&lt;50</t>
    <phoneticPr fontId="32" type="noConversion"/>
  </si>
  <si>
    <t>XE049</t>
  </si>
  <si>
    <t>雀榕</t>
    <phoneticPr fontId="32" type="noConversion"/>
  </si>
  <si>
    <t>E147</t>
    <phoneticPr fontId="32" type="noConversion"/>
  </si>
  <si>
    <t>銀合歡</t>
    <phoneticPr fontId="32" type="noConversion"/>
  </si>
  <si>
    <t>F001</t>
    <phoneticPr fontId="32" type="noConversion"/>
  </si>
  <si>
    <t>E012</t>
    <phoneticPr fontId="32" type="noConversion"/>
  </si>
  <si>
    <t>凱米颱風樹倒移除</t>
    <phoneticPr fontId="32" type="noConversion"/>
  </si>
  <si>
    <t>D059</t>
    <phoneticPr fontId="32" type="noConversion"/>
  </si>
  <si>
    <t>康芮颱風樹倒移除</t>
    <phoneticPr fontId="32" type="noConversion"/>
  </si>
  <si>
    <t>E032</t>
    <phoneticPr fontId="32" type="noConversion"/>
  </si>
  <si>
    <t>E150</t>
    <phoneticPr fontId="32" type="noConversion"/>
  </si>
  <si>
    <t>E157</t>
    <phoneticPr fontId="32" type="noConversion"/>
  </si>
  <si>
    <t>E173</t>
    <phoneticPr fontId="32" type="noConversion"/>
  </si>
  <si>
    <t>D029</t>
    <phoneticPr fontId="32" type="noConversion"/>
  </si>
  <si>
    <t>褐根病枯死移除</t>
    <phoneticPr fontId="32" type="noConversion"/>
  </si>
  <si>
    <t>D030</t>
    <phoneticPr fontId="32" type="noConversion"/>
  </si>
  <si>
    <t>D032</t>
    <phoneticPr fontId="32" type="noConversion"/>
  </si>
  <si>
    <t>烏桕</t>
  </si>
  <si>
    <t>D035</t>
    <phoneticPr fontId="32" type="noConversion"/>
  </si>
  <si>
    <t>正榕</t>
  </si>
  <si>
    <r>
      <rPr>
        <sz val="10"/>
        <rFont val="Microsoft JhengHei"/>
        <family val="2"/>
        <charset val="136"/>
      </rPr>
      <t>移植後</t>
    </r>
    <r>
      <rPr>
        <sz val="10"/>
        <rFont val="微軟正黑體"/>
        <family val="2"/>
        <charset val="136"/>
      </rPr>
      <t>康芮颱風傾倒移除</t>
    </r>
    <phoneticPr fontId="32" type="noConversion"/>
  </si>
  <si>
    <r>
      <rPr>
        <sz val="10"/>
        <rFont val="Microsoft JhengHei"/>
        <family val="2"/>
        <charset val="136"/>
      </rPr>
      <t>無</t>
    </r>
    <r>
      <rPr>
        <sz val="10"/>
        <rFont val="Arial"/>
        <family val="2"/>
      </rPr>
      <t>30-40</t>
    </r>
    <r>
      <rPr>
        <sz val="10"/>
        <rFont val="Microsoft JhengHei"/>
        <family val="2"/>
        <charset val="136"/>
      </rPr>
      <t>項目以</t>
    </r>
    <r>
      <rPr>
        <sz val="10"/>
        <rFont val="Arial"/>
        <family val="2"/>
      </rPr>
      <t>20&lt;30</t>
    </r>
    <r>
      <rPr>
        <sz val="10"/>
        <rFont val="Microsoft JhengHei"/>
        <family val="2"/>
        <charset val="136"/>
      </rPr>
      <t>計算</t>
    </r>
    <phoneticPr fontId="1" type="noConversion"/>
  </si>
  <si>
    <r>
      <rPr>
        <sz val="10"/>
        <rFont val="Microsoft JhengHei"/>
        <family val="2"/>
        <charset val="136"/>
      </rPr>
      <t>無</t>
    </r>
    <r>
      <rPr>
        <sz val="10"/>
        <rFont val="Arial"/>
        <family val="2"/>
      </rPr>
      <t>50</t>
    </r>
    <r>
      <rPr>
        <sz val="10"/>
        <rFont val="Microsoft JhengHei"/>
        <family val="2"/>
        <charset val="136"/>
      </rPr>
      <t>以上項目以</t>
    </r>
    <r>
      <rPr>
        <sz val="10"/>
        <rFont val="Arial"/>
        <family val="2"/>
      </rPr>
      <t>40&lt;50</t>
    </r>
    <r>
      <rPr>
        <sz val="10"/>
        <rFont val="Microsoft JhengHei"/>
        <family val="2"/>
        <charset val="136"/>
      </rPr>
      <t>計算</t>
    </r>
    <phoneticPr fontId="1" type="noConversion"/>
  </si>
  <si>
    <t>D005樟樹、D054樟樹、E004台灣欒樹、E172山櫻花、新增月橘*1、新增緬梔*7、XE026穗花棋盤腳、XE027穗花棋盤腳、XF004</t>
    <phoneticPr fontId="1" type="noConversion"/>
  </si>
  <si>
    <t>D060樟樹、XF008</t>
    <phoneticPr fontId="1" type="noConversion"/>
  </si>
  <si>
    <t>D002樟樹、D003樟樹、D006樟樹、D059樟樹、E145大葉合歡、E149羊蹄甲、E151樟樹、新增樟樹、D056樟樹</t>
    <phoneticPr fontId="1" type="noConversion"/>
  </si>
  <si>
    <t>D041水黃皮、E003小葉欖仁、E005小葉欖仁、E146大葉合歡、E150樟樹、E171烏桕、新增樟樹、XF005</t>
    <phoneticPr fontId="1" type="noConversion"/>
  </si>
  <si>
    <t>D068阿勃勒、E160阿勃勒、E162阿勃勒、E164阿勃勒、XF001</t>
    <phoneticPr fontId="1" type="noConversion"/>
  </si>
  <si>
    <t>E161阿勃勒、E163阿勃勒、XF002</t>
    <phoneticPr fontId="1" type="noConversion"/>
  </si>
  <si>
    <t>D044正榕、D055正榕</t>
    <phoneticPr fontId="1" type="noConversion"/>
  </si>
  <si>
    <t>D057小葉欖仁</t>
    <phoneticPr fontId="1" type="noConversion"/>
  </si>
  <si>
    <t>D058正榕</t>
    <phoneticPr fontId="1" type="noConversion"/>
  </si>
  <si>
    <t>3430、3469、3470、3736共4株</t>
    <phoneticPr fontId="1" type="noConversion"/>
  </si>
  <si>
    <t>E178構樹、E172山櫻花(移植後台風樹倒移除)</t>
    <phoneticPr fontId="1" type="noConversion"/>
  </si>
  <si>
    <t>E176桑樹、E177桑樹、E179構樹、E147銀合歡、D059樟樹(康芮颱風樹倒移除)、E157樟樹(康芮颱風樹倒移除)、E173山櫻花(康芮颱風樹倒移除)</t>
    <phoneticPr fontId="1" type="noConversion"/>
  </si>
  <si>
    <t>F001桑樹、E150樟樹(康芮颱風樹倒移除)、D032烏桕</t>
    <phoneticPr fontId="1" type="noConversion"/>
  </si>
  <si>
    <r>
      <t xml:space="preserve">E032雀榕康芮颱風傾倒
</t>
    </r>
    <r>
      <rPr>
        <sz val="12"/>
        <color rgb="FFFF0000"/>
        <rFont val="標楷體"/>
        <family val="4"/>
        <charset val="136"/>
      </rPr>
      <t>E012正榕凱米傾倒</t>
    </r>
    <r>
      <rPr>
        <sz val="12"/>
        <color rgb="FFFF0000"/>
        <rFont val="細明體"/>
        <family val="3"/>
        <charset val="136"/>
      </rPr>
      <t>∮</t>
    </r>
    <r>
      <rPr>
        <sz val="10.45"/>
        <color rgb="FFFF0000"/>
        <rFont val="標楷體"/>
        <family val="4"/>
        <charset val="136"/>
      </rPr>
      <t>59CM</t>
    </r>
    <r>
      <rPr>
        <sz val="12"/>
        <color rgb="FFFF0000"/>
        <rFont val="標楷體"/>
        <family val="4"/>
        <charset val="136"/>
      </rPr>
      <t>(以此項目計算)</t>
    </r>
    <phoneticPr fontId="1" type="noConversion"/>
  </si>
  <si>
    <t>XE049雀榕、E012正榕(凱米颱風樹倒移除)、E032雀榕(康芮颱風樹倒移除)、D029正榕、D030正榕、D035正榕</t>
    <phoneticPr fontId="1" type="noConversion"/>
  </si>
  <si>
    <t>(10*3)+(62*3)+(25*3)+(57*3)+(6*3)+(19*3)+(5*3)+(45*3)*3+(32*3)</t>
    <phoneticPr fontId="1" type="noConversion"/>
  </si>
  <si>
    <t>245*8+17*8</t>
    <phoneticPr fontId="1" type="noConversion"/>
  </si>
  <si>
    <t>實作數量計算</t>
    <phoneticPr fontId="1" type="noConversion"/>
  </si>
  <si>
    <r>
      <rPr>
        <sz val="10"/>
        <rFont val="細明體"/>
        <family val="2"/>
        <charset val="136"/>
      </rPr>
      <t>護欄</t>
    </r>
    <r>
      <rPr>
        <sz val="10"/>
        <rFont val="Arial"/>
        <family val="2"/>
      </rPr>
      <t>b(</t>
    </r>
    <r>
      <rPr>
        <sz val="10"/>
        <rFont val="細明體"/>
        <family val="2"/>
        <charset val="136"/>
      </rPr>
      <t>磺港橋</t>
    </r>
    <r>
      <rPr>
        <sz val="10"/>
        <rFont val="Arial"/>
        <family val="2"/>
      </rPr>
      <t>+</t>
    </r>
    <r>
      <rPr>
        <sz val="10"/>
        <rFont val="細明體"/>
        <family val="2"/>
        <charset val="136"/>
      </rPr>
      <t>樓梯</t>
    </r>
    <r>
      <rPr>
        <sz val="10"/>
        <rFont val="Arial"/>
        <family val="2"/>
      </rPr>
      <t>M)</t>
    </r>
    <r>
      <rPr>
        <sz val="10"/>
        <rFont val="細明體"/>
        <family val="2"/>
        <charset val="136"/>
      </rPr>
      <t>、欄杆</t>
    </r>
    <r>
      <rPr>
        <sz val="10"/>
        <rFont val="Arial"/>
        <family val="2"/>
      </rPr>
      <t>B'(</t>
    </r>
    <r>
      <rPr>
        <sz val="10"/>
        <rFont val="細明體"/>
        <family val="2"/>
        <charset val="136"/>
      </rPr>
      <t>樓梯</t>
    </r>
    <r>
      <rPr>
        <sz val="10"/>
        <rFont val="Arial"/>
        <family val="2"/>
      </rPr>
      <t>G</t>
    </r>
    <r>
      <rPr>
        <sz val="10"/>
        <rFont val="細明體"/>
        <family val="2"/>
        <charset val="136"/>
      </rPr>
      <t>、</t>
    </r>
    <r>
      <rPr>
        <sz val="10"/>
        <rFont val="Arial"/>
        <family val="2"/>
      </rPr>
      <t>J+</t>
    </r>
    <r>
      <rPr>
        <sz val="10"/>
        <rFont val="細明體"/>
        <family val="2"/>
        <charset val="136"/>
      </rPr>
      <t>三合祠</t>
    </r>
    <r>
      <rPr>
        <sz val="10"/>
        <rFont val="Arial"/>
        <family val="2"/>
      </rPr>
      <t>+</t>
    </r>
    <r>
      <rPr>
        <sz val="10"/>
        <rFont val="細明體"/>
        <family val="2"/>
        <charset val="136"/>
      </rPr>
      <t>護岸三左右岸</t>
    </r>
    <r>
      <rPr>
        <sz val="10"/>
        <rFont val="Arial"/>
        <family val="2"/>
      </rPr>
      <t>+</t>
    </r>
    <r>
      <rPr>
        <sz val="10"/>
        <rFont val="細明體"/>
        <family val="2"/>
        <charset val="136"/>
      </rPr>
      <t>磺港橋頭</t>
    </r>
    <r>
      <rPr>
        <sz val="10"/>
        <rFont val="Arial"/>
        <family val="2"/>
      </rPr>
      <t>)</t>
    </r>
    <r>
      <rPr>
        <sz val="10"/>
        <rFont val="細明體"/>
        <family val="2"/>
        <charset val="136"/>
      </rPr>
      <t>、清江公園側、欄杆</t>
    </r>
    <r>
      <rPr>
        <sz val="10"/>
        <rFont val="Arial"/>
        <family val="2"/>
      </rPr>
      <t>C'(</t>
    </r>
    <r>
      <rPr>
        <sz val="10"/>
        <rFont val="細明體"/>
        <family val="2"/>
        <charset val="136"/>
      </rPr>
      <t>保護樹</t>
    </r>
    <r>
      <rPr>
        <sz val="10"/>
        <rFont val="Arial"/>
        <family val="2"/>
      </rPr>
      <t>A</t>
    </r>
    <r>
      <rPr>
        <sz val="10"/>
        <rFont val="細明體"/>
        <family val="2"/>
        <charset val="136"/>
      </rPr>
      <t>、</t>
    </r>
    <r>
      <rPr>
        <sz val="10"/>
        <rFont val="Arial"/>
        <family val="2"/>
      </rPr>
      <t>B)</t>
    </r>
    <phoneticPr fontId="1" type="noConversion"/>
  </si>
  <si>
    <t>113.8.20北市工水工字第1136047137號結論(8)</t>
    <phoneticPr fontId="1" type="noConversion"/>
  </si>
  <si>
    <t>為上項材料加工費用</t>
    <phoneticPr fontId="1" type="noConversion"/>
  </si>
  <si>
    <t>圖說數量計算</t>
    <phoneticPr fontId="1" type="noConversion"/>
  </si>
  <si>
    <t>59.03+161.99+5.09+5.09+31.2+17.9=280.30</t>
    <phoneticPr fontId="1" type="noConversion"/>
  </si>
  <si>
    <t>(6.35*2+0.53*11)*(18.25+16+3.25)+(6.35*2+0.53*9+6.61*1)*(3.5+2.4*2+21.7+24.85+57.6+3.21)+(6.35*2+0.53*9+6.61*1)*(34.27+66.51)+((1.8+2.34)*2+1.4*8+3.144*2)*(21.65+17.75)=6922.01</t>
    <phoneticPr fontId="1" type="noConversion"/>
  </si>
  <si>
    <t>(12*3234+35*1078+19*336+46*134)/1000=89.09，景石A*12景石B*35景石C*19景石D*46共112顆</t>
    <phoneticPr fontId="1" type="noConversion"/>
  </si>
  <si>
    <t>依「磺港溪再造委託規劃設計工作(延壽橋至西安橋) 公共設施用地開發保水檢核(定稿版)」辦理。113.10.23備忘錄</t>
    <phoneticPr fontId="1" type="noConversion"/>
  </si>
  <si>
    <t>25.25M2</t>
    <phoneticPr fontId="1" type="noConversion"/>
  </si>
  <si>
    <t>50.5M2</t>
    <phoneticPr fontId="1" type="noConversion"/>
  </si>
  <si>
    <t>61.4M2</t>
    <phoneticPr fontId="1" type="noConversion"/>
  </si>
  <si>
    <t>0+120~280+保護樹A旁+保護樹B旁+希冀橋下=(160*5.9)+(26.7*8.2)+(1.9+7.4)*17.7/2+(3.9*5.1)+47.1*6.1</t>
    <phoneticPr fontId="1" type="noConversion"/>
  </si>
  <si>
    <t>(34.27+66.51)</t>
    <phoneticPr fontId="1" type="noConversion"/>
  </si>
  <si>
    <t>清江公園側既有欄杆</t>
    <phoneticPr fontId="1" type="noConversion"/>
  </si>
  <si>
    <t xml:space="preserve">34.27+66.51+58.80 </t>
    <phoneticPr fontId="1" type="noConversion"/>
  </si>
  <si>
    <t>既有欄杆老舊損傷，為維護行人通行安全及美觀</t>
    <phoneticPr fontId="1" type="noConversion"/>
  </si>
  <si>
    <t>放後擴</t>
    <phoneticPr fontId="1" type="noConversion"/>
  </si>
  <si>
    <t>放後擴</t>
    <phoneticPr fontId="1" type="noConversion"/>
  </si>
  <si>
    <t>112.11.16北市工水工字第1126062167號結論(一)</t>
    <phoneticPr fontId="1" type="noConversion"/>
  </si>
  <si>
    <t>112.10.26北市工水工字第1126058144號</t>
    <phoneticPr fontId="1" type="noConversion"/>
  </si>
  <si>
    <t>箱涵挖方減少</t>
    <phoneticPr fontId="1" type="noConversion"/>
  </si>
  <si>
    <t>磺港橋、希冀橋、清江公園清障回填</t>
    <phoneticPr fontId="1" type="noConversion"/>
  </si>
  <si>
    <t>((5*6*6.5*2)+(13*3.5*6.8)+(3.2*8.5*1.6))+((747.2+149.44))</t>
    <phoneticPr fontId="1" type="noConversion"/>
  </si>
  <si>
    <t>護坡坡面線型斜率調整</t>
    <phoneticPr fontId="1" type="noConversion"/>
  </si>
  <si>
    <t>(5.46*7.42/2-5.46*3.71/2)*50</t>
    <phoneticPr fontId="1" type="noConversion"/>
  </si>
  <si>
    <t>詳計算表</t>
    <phoneticPr fontId="1" type="noConversion"/>
  </si>
  <si>
    <t>雨水積磚2檢視井+0.7</t>
  </si>
  <si>
    <t>(3.9625*21.55-1*1)*0.7</t>
    <phoneticPr fontId="1" type="noConversion"/>
  </si>
  <si>
    <t>既有路橋及人行橋橋台回填</t>
    <phoneticPr fontId="1" type="noConversion"/>
  </si>
  <si>
    <t>保護樹B護坡回填</t>
    <phoneticPr fontId="1" type="noConversion"/>
  </si>
  <si>
    <t>3.6*2/2*24.3</t>
    <phoneticPr fontId="1" type="noConversion"/>
  </si>
  <si>
    <t>詳土方挖填計算表</t>
    <phoneticPr fontId="1" type="noConversion"/>
  </si>
  <si>
    <t>管涵減作填方增加</t>
    <phoneticPr fontId="1" type="noConversion"/>
  </si>
  <si>
    <t>(0.32*0.32*3.14*36+0.25*0.25*3.14*59.2)</t>
    <phoneticPr fontId="1" type="noConversion"/>
  </si>
  <si>
    <t>放結算</t>
  </si>
  <si>
    <t>放結算</t>
    <phoneticPr fontId="1" type="noConversion"/>
  </si>
  <si>
    <t>放結算5%內</t>
    <phoneticPr fontId="1" type="noConversion"/>
  </si>
  <si>
    <t>放結算39.09</t>
    <phoneticPr fontId="1" type="noConversion"/>
  </si>
  <si>
    <t xml:space="preserve">(5.46*7.42/2-5.46*3.71/2)*50=506.42 </t>
    <phoneticPr fontId="1" type="noConversion"/>
  </si>
  <si>
    <t>113.2.7北市工水工字第1136012436號結論3</t>
  </si>
  <si>
    <t>113.2.7北市工水工字第1136012436號結論3</t>
    <phoneticPr fontId="1" type="noConversion"/>
  </si>
  <si>
    <t>113.3.4北市供水工字第1136015678號結論3</t>
    <phoneticPr fontId="1" type="noConversion"/>
  </si>
  <si>
    <t>依圖說施作</t>
    <phoneticPr fontId="1" type="noConversion"/>
  </si>
  <si>
    <t>(0.4+0.5+0.25)*(291-60)+((2.27+1.3)/2+0.25+0.5)*60+((0.19+0.56)/2+0.15)*18.8</t>
    <phoneticPr fontId="1" type="noConversion"/>
  </si>
  <si>
    <t>3*3+3*4*0.1+(4.85*5-3*3)+4.85*2*0.2+5*2*0.2</t>
    <phoneticPr fontId="1" type="noConversion"/>
  </si>
  <si>
    <t>清江公園平台</t>
    <phoneticPr fontId="1" type="noConversion"/>
  </si>
  <si>
    <t>清江公園緣石</t>
    <phoneticPr fontId="1" type="noConversion"/>
  </si>
  <si>
    <t>(0.15*2+0.4)*(1.65+5.8+2.93+0.65+10.1+1.7+0.9+1.65+1.5)</t>
    <phoneticPr fontId="1" type="noConversion"/>
  </si>
  <si>
    <t>出流井框蓋</t>
    <phoneticPr fontId="1" type="noConversion"/>
  </si>
  <si>
    <t>3.2*3.2-1.56*1.2*2-1.2*1.1*2</t>
    <phoneticPr fontId="1" type="noConversion"/>
  </si>
  <si>
    <t>詳計算式</t>
  </si>
  <si>
    <t>詳計算式</t>
    <phoneticPr fontId="1" type="noConversion"/>
  </si>
  <si>
    <t>希冀橋施工需求</t>
    <phoneticPr fontId="1" type="noConversion"/>
  </si>
  <si>
    <t>1.8*3*32=172.8</t>
    <phoneticPr fontId="1" type="noConversion"/>
  </si>
  <si>
    <t>((1.8*12.77*3*2+1.8*12.8*2*2+1.8*8*2*5)+(1.8*3*2+1.8*5*4+1.8*5*2)+1.8*3*32)</t>
    <phoneticPr fontId="1" type="noConversion"/>
  </si>
  <si>
    <t>113.4.3北市工水工字第11360222225號結論2</t>
    <phoneticPr fontId="1" type="noConversion"/>
  </si>
  <si>
    <t>採30-50cm單層自然排列，以15-25CM塊石填補空隙</t>
    <phoneticPr fontId="1" type="noConversion"/>
  </si>
  <si>
    <t>受保護樹擋牆B坡面鋪設剛線網</t>
    <phoneticPr fontId="1" type="noConversion"/>
  </si>
  <si>
    <t>清江公園護欄B'基礎</t>
    <phoneticPr fontId="1" type="noConversion"/>
  </si>
  <si>
    <t>((0.2+0.6+0.4)/3+0.25+0.25)*(34.27+66.51)</t>
    <phoneticPr fontId="1" type="noConversion"/>
  </si>
  <si>
    <t>清江公園復舊及新設欄杆B'基座抿石</t>
    <phoneticPr fontId="1" type="noConversion"/>
  </si>
  <si>
    <t>磺港橋頭左右2處(與既有銜接)</t>
    <phoneticPr fontId="1" type="noConversion"/>
  </si>
  <si>
    <t>餘數放結算</t>
    <phoneticPr fontId="1" type="noConversion"/>
  </si>
  <si>
    <t>(0.1+0.9)/2*0.3*7.1+(0.3+0.45)/2*0.42*1.68+(1.7*14.8/2*0.3)+0.35*1.8*(14.8-2.9)</t>
    <phoneticPr fontId="1" type="noConversion"/>
  </si>
  <si>
    <t>放結算22.33</t>
    <phoneticPr fontId="1" type="noConversion"/>
  </si>
  <si>
    <r>
      <rPr>
        <sz val="10"/>
        <rFont val="Microsoft JhengHei"/>
        <family val="2"/>
      </rPr>
      <t>因雙孔箱涵</t>
    </r>
    <r>
      <rPr>
        <sz val="10"/>
        <rFont val="Arial"/>
        <family val="2"/>
      </rPr>
      <t>PC</t>
    </r>
    <r>
      <rPr>
        <sz val="10"/>
        <rFont val="Microsoft JhengHei"/>
        <family val="2"/>
      </rPr>
      <t>減做</t>
    </r>
    <r>
      <rPr>
        <sz val="10"/>
        <rFont val="細明體"/>
        <family val="2"/>
        <charset val="136"/>
      </rPr>
      <t>，泵送總量</t>
    </r>
    <r>
      <rPr>
        <sz val="10"/>
        <rFont val="Microsoft JhengHei"/>
        <family val="2"/>
      </rPr>
      <t>減少</t>
    </r>
    <phoneticPr fontId="1" type="noConversion"/>
  </si>
  <si>
    <t>(0.1+0.9)/2*7.1*2+0.3*0.1+(0.3+0.45)/2*1.68*2+1.7/2*14.8*2</t>
    <phoneticPr fontId="1" type="noConversion"/>
  </si>
  <si>
    <t>((0.9+0.1)/2*7.1*2+0.3*7.1+0.3*0.1)+((0.3+0.45)/2*2+0.4)*1.68+(1.7/2*2+0.4)*14.8</t>
    <phoneticPr fontId="1" type="noConversion"/>
  </si>
  <si>
    <r>
      <rPr>
        <sz val="10"/>
        <rFont val="Microsoft JhengHei"/>
        <family val="2"/>
      </rPr>
      <t>磺港橋頭</t>
    </r>
    <r>
      <rPr>
        <sz val="10"/>
        <rFont val="Arial"/>
        <family val="2"/>
      </rPr>
      <t>2</t>
    </r>
    <r>
      <rPr>
        <sz val="10"/>
        <rFont val="Microsoft JhengHei"/>
        <family val="2"/>
      </rPr>
      <t>側擋土牆</t>
    </r>
    <phoneticPr fontId="1" type="noConversion"/>
  </si>
  <si>
    <t>牆</t>
    <phoneticPr fontId="1" type="noConversion"/>
  </si>
  <si>
    <t>植筋</t>
    <phoneticPr fontId="1" type="noConversion"/>
  </si>
  <si>
    <t>113.6.20總工程司視察工地指示</t>
  </si>
  <si>
    <r>
      <rPr>
        <sz val="10"/>
        <rFont val="Microsoft JhengHei"/>
        <family val="2"/>
      </rPr>
      <t>因應環保局要求，百齡抽水站增設工程告示牌</t>
    </r>
    <r>
      <rPr>
        <sz val="10"/>
        <rFont val="Arial"/>
        <family val="2"/>
      </rPr>
      <t>1</t>
    </r>
    <r>
      <rPr>
        <sz val="10"/>
        <rFont val="Microsoft JhengHei"/>
        <family val="2"/>
      </rPr>
      <t>座</t>
    </r>
    <phoneticPr fontId="1" type="noConversion"/>
  </si>
  <si>
    <t>工期為730天應為24個月多</t>
    <phoneticPr fontId="1" type="noConversion"/>
  </si>
  <si>
    <t>橋</t>
    <phoneticPr fontId="1" type="noConversion"/>
  </si>
  <si>
    <t>河川</t>
    <phoneticPr fontId="1" type="noConversion"/>
  </si>
  <si>
    <t>道路水溝</t>
    <phoneticPr fontId="1" type="noConversion"/>
  </si>
  <si>
    <t>補紀錄</t>
    <phoneticPr fontId="1" type="noConversion"/>
  </si>
  <si>
    <t>磺港橋+希冀橋+</t>
    <phoneticPr fontId="1" type="noConversion"/>
  </si>
  <si>
    <t>希冀橋翼版吊裝在26.27項下</t>
    <phoneticPr fontId="1" type="noConversion"/>
  </si>
  <si>
    <t>47258+49346</t>
    <phoneticPr fontId="1" type="noConversion"/>
  </si>
  <si>
    <t>集水井、管涵減作挖方減少
箱涵高程調整</t>
    <phoneticPr fontId="1" type="noConversion"/>
  </si>
  <si>
    <t>113.1.15北市工水工字第1136007935號結論3
113.7.2北市工水工字第1136038674號</t>
    <phoneticPr fontId="1" type="noConversion"/>
  </si>
  <si>
    <r>
      <rPr>
        <sz val="10"/>
        <rFont val="Microsoft JhengHei"/>
        <family val="2"/>
      </rPr>
      <t>低水護岸坡度調整</t>
    </r>
    <r>
      <rPr>
        <sz val="10"/>
        <rFont val="Arial"/>
        <family val="2"/>
      </rPr>
      <t xml:space="preserve">1:2
</t>
    </r>
    <r>
      <rPr>
        <sz val="10"/>
        <rFont val="新細明體"/>
        <family val="2"/>
        <charset val="136"/>
      </rPr>
      <t>箱涵高程調整</t>
    </r>
    <phoneticPr fontId="1" type="noConversion"/>
  </si>
  <si>
    <t>113.3.8北市工水工字第1136016678號清江公園復舊
113.8.20北市工水工字第1136047137號結論(8)</t>
    <phoneticPr fontId="1" type="noConversion"/>
  </si>
  <si>
    <t>113.7.2北市工水工字第1136038674號第17條</t>
    <phoneticPr fontId="1" type="noConversion"/>
  </si>
  <si>
    <t>113.4.22北市工水工字第1136025097號結論1</t>
    <phoneticPr fontId="1" type="noConversion"/>
  </si>
  <si>
    <t>調整護坡範圍</t>
    <phoneticPr fontId="1" type="noConversion"/>
  </si>
  <si>
    <t>112.12.7北市工水工字第1126066208號結論4</t>
    <phoneticPr fontId="1" type="noConversion"/>
  </si>
  <si>
    <t>112.11.17北市工水工字第1126062195號結論2</t>
    <phoneticPr fontId="1" type="noConversion"/>
  </si>
  <si>
    <t>112.12.12北市工水工字第1126067256號結論5
113.7.2北市工水工字第1136038674號</t>
    <phoneticPr fontId="1" type="noConversion"/>
  </si>
  <si>
    <t>113.6.20總工視察後改600mm以500管計價</t>
    <phoneticPr fontId="1" type="noConversion"/>
  </si>
  <si>
    <t xml:space="preserve">112
</t>
    <phoneticPr fontId="1" type="noConversion"/>
  </si>
  <si>
    <t>0.3*0.3*3.14*10*57.108</t>
    <phoneticPr fontId="1" type="noConversion"/>
  </si>
  <si>
    <t>原契約分為  10  部分     本次變更  5  部分原有    393    項</t>
    <phoneticPr fontId="1" type="noConversion"/>
  </si>
  <si>
    <t>113.7.2</t>
    <phoneticPr fontId="1" type="noConversion"/>
  </si>
  <si>
    <t>砌石擋牆A、B回填增加</t>
    <phoneticPr fontId="1" type="noConversion"/>
  </si>
  <si>
    <t>3.6*2/2*24.3+3.8*26.2/2</t>
    <phoneticPr fontId="1" type="noConversion"/>
  </si>
  <si>
    <t>砌石擋牆AB回填增加</t>
    <phoneticPr fontId="1" type="noConversion"/>
  </si>
  <si>
    <t>管涵、集水井減作挖方減少</t>
    <phoneticPr fontId="1" type="noConversion"/>
  </si>
  <si>
    <t>管涵、集水井減作填方增加</t>
    <phoneticPr fontId="1" type="noConversion"/>
  </si>
  <si>
    <t>管涵集水井減作填方增加</t>
    <phoneticPr fontId="1" type="noConversion"/>
  </si>
  <si>
    <t>管涵集水井減作挖方減少</t>
    <phoneticPr fontId="1" type="noConversion"/>
  </si>
  <si>
    <t>低水護岸坡度線型調整，增加回填量</t>
    <phoneticPr fontId="1" type="noConversion"/>
  </si>
  <si>
    <t>(5.46*7.42/2-5.46*3.71/2)*52.3</t>
    <phoneticPr fontId="1" type="noConversion"/>
  </si>
  <si>
    <t>0.32*0.32*3.14*36+0.25*0.25*3.14*59.2+3.1+2.53</t>
    <phoneticPr fontId="1" type="noConversion"/>
  </si>
  <si>
    <t>已計價</t>
    <phoneticPr fontId="1" type="noConversion"/>
  </si>
  <si>
    <t>原台北港未出方數</t>
    <phoneticPr fontId="1" type="noConversion"/>
  </si>
  <si>
    <t>追加後應出方數</t>
    <phoneticPr fontId="1" type="noConversion"/>
  </si>
  <si>
    <t>管涵集水井減作挖方減少</t>
    <phoneticPr fontId="1" type="noConversion"/>
  </si>
  <si>
    <t>-(0.32*0.32*3.14*36+0.25*0.25*3.14*59.2+3.1+2.53)</t>
    <phoneticPr fontId="1" type="noConversion"/>
  </si>
  <si>
    <t>(280-60)*7.35*0.3</t>
    <phoneticPr fontId="1" type="noConversion"/>
  </si>
  <si>
    <r>
      <t>奇岩</t>
    </r>
    <r>
      <rPr>
        <sz val="10"/>
        <color theme="1"/>
        <rFont val="標楷體"/>
        <family val="4"/>
        <charset val="136"/>
      </rPr>
      <t>2</t>
    </r>
    <r>
      <rPr>
        <sz val="10"/>
        <rFont val="標楷體"/>
        <family val="4"/>
        <charset val="136"/>
      </rPr>
      <t>號公園(在景觀項下)</t>
    </r>
    <phoneticPr fontId="1" type="noConversion"/>
  </si>
  <si>
    <r>
      <t>2</t>
    </r>
    <r>
      <rPr>
        <sz val="10"/>
        <rFont val="標楷體"/>
        <family val="4"/>
        <charset val="136"/>
      </rPr>
      <t>座橋台</t>
    </r>
    <r>
      <rPr>
        <sz val="10"/>
        <color theme="1"/>
        <rFont val="標楷體"/>
        <family val="4"/>
        <charset val="136"/>
      </rPr>
      <t>(在橋梁項下)</t>
    </r>
    <phoneticPr fontId="1" type="noConversion"/>
  </si>
  <si>
    <t>低水護岸坡度線型調整</t>
    <phoneticPr fontId="1" type="noConversion"/>
  </si>
  <si>
    <t>113.7.17備忘錄</t>
    <phoneticPr fontId="1" type="noConversion"/>
  </si>
  <si>
    <t>112.12.12北市工水工字第1126067256號結論5，基樁位置與既有基樁位置衝突，調整位置</t>
    <phoneticPr fontId="1" type="noConversion"/>
  </si>
  <si>
    <t>放後擴</t>
  </si>
  <si>
    <t>放後擴</t>
    <phoneticPr fontId="1" type="noConversion"/>
  </si>
  <si>
    <r>
      <rPr>
        <sz val="12"/>
        <color rgb="FFFF0000"/>
        <rFont val="新細明體"/>
        <family val="1"/>
        <charset val="136"/>
        <scheme val="minor"/>
      </rPr>
      <t>放後擴</t>
    </r>
    <r>
      <rPr>
        <sz val="9"/>
        <color theme="1"/>
        <rFont val="新細明體"/>
        <family val="1"/>
        <charset val="136"/>
        <scheme val="minor"/>
      </rPr>
      <t xml:space="preserve">
113.8.20北市工水工字第1136047137號結論(8)</t>
    </r>
    <phoneticPr fontId="1" type="noConversion"/>
  </si>
  <si>
    <r>
      <rPr>
        <sz val="12"/>
        <color rgb="FFFF0000"/>
        <rFont val="新細明體"/>
        <family val="1"/>
        <charset val="136"/>
        <scheme val="minor"/>
      </rPr>
      <t>放後擴</t>
    </r>
    <r>
      <rPr>
        <sz val="9"/>
        <color theme="1"/>
        <rFont val="新細明體"/>
        <family val="1"/>
        <charset val="136"/>
        <scheme val="minor"/>
      </rPr>
      <t xml:space="preserve">
詳計算式</t>
    </r>
    <phoneticPr fontId="1" type="noConversion"/>
  </si>
  <si>
    <t>放後擴再減</t>
    <phoneticPr fontId="1" type="noConversion"/>
  </si>
  <si>
    <r>
      <t>詳計算式</t>
    </r>
    <r>
      <rPr>
        <sz val="12"/>
        <color rgb="FFFF0000"/>
        <rFont val="新細明體"/>
        <family val="1"/>
        <charset val="136"/>
        <scheme val="minor"/>
      </rPr>
      <t>放後擴再減</t>
    </r>
    <phoneticPr fontId="1" type="noConversion"/>
  </si>
  <si>
    <t>114/1/14</t>
    <phoneticPr fontId="1" type="noConversion"/>
  </si>
  <si>
    <t>餘方自行處理(房屋廢方，含水土保持)</t>
    <phoneticPr fontId="1" type="noConversion"/>
  </si>
  <si>
    <t>餘方自行處理(房屋廢方)</t>
    <phoneticPr fontId="1" type="noConversion"/>
  </si>
  <si>
    <t>4813.44-212改出台北港</t>
    <phoneticPr fontId="1" type="noConversion"/>
  </si>
  <si>
    <t>4813.44-212</t>
    <phoneticPr fontId="1" type="noConversion"/>
  </si>
  <si>
    <t>機械拆除，鋼筋混凝土-回收料，改出台北港</t>
    <phoneticPr fontId="1" type="noConversion"/>
  </si>
  <si>
    <t>0_x000D_</t>
    <phoneticPr fontId="1" type="noConversion"/>
  </si>
  <si>
    <t>保護樹AB因後續施作擋根板、擋牆與地梁結構僅距1.5M，開挖後產生崩塌情形，調整結構</t>
    <phoneticPr fontId="1" type="noConversion"/>
  </si>
  <si>
    <t>23.2+12=35.2</t>
    <phoneticPr fontId="1" type="noConversion"/>
  </si>
  <si>
    <r>
      <rPr>
        <sz val="10"/>
        <rFont val="Microsoft JhengHei"/>
        <family val="2"/>
      </rPr>
      <t>房屋廢方、基樁、</t>
    </r>
    <r>
      <rPr>
        <sz val="10"/>
        <rFont val="Arial"/>
        <family val="2"/>
      </rPr>
      <t>PC</t>
    </r>
    <r>
      <rPr>
        <sz val="10"/>
        <rFont val="Microsoft JhengHei"/>
        <family val="2"/>
      </rPr>
      <t>樁產出餘方</t>
    </r>
    <r>
      <rPr>
        <sz val="10"/>
        <rFont val="Arial"/>
        <family val="2"/>
      </rPr>
      <t>(</t>
    </r>
    <r>
      <rPr>
        <sz val="10"/>
        <rFont val="Microsoft JhengHei"/>
        <family val="2"/>
      </rPr>
      <t>非泥漿</t>
    </r>
    <r>
      <rPr>
        <sz val="10"/>
        <rFont val="Arial"/>
        <family val="2"/>
      </rPr>
      <t>)</t>
    </r>
    <r>
      <rPr>
        <sz val="10"/>
        <rFont val="Microsoft JhengHei"/>
        <family val="2"/>
      </rPr>
      <t>改運台北港</t>
    </r>
    <phoneticPr fontId="1" type="noConversion"/>
  </si>
  <si>
    <t>發公文呈請簽核</t>
  </si>
  <si>
    <t>發公文呈請簽核</t>
    <phoneticPr fontId="1" type="noConversion"/>
  </si>
  <si>
    <t>PC樁產出</t>
    <phoneticPr fontId="1" type="noConversion"/>
  </si>
  <si>
    <t>0.3*0.3*3.14*10*57.108</t>
    <phoneticPr fontId="1" type="noConversion"/>
  </si>
  <si>
    <t>磺港橋頭南向擋牆(與既有銜接)</t>
    <phoneticPr fontId="1" type="noConversion"/>
  </si>
  <si>
    <t>希冀橋、磺港橋基樁產出(基樁項下已給價，只請聯單，不重複給價)</t>
    <phoneticPr fontId="1" type="noConversion"/>
  </si>
  <si>
    <t>322/30*35</t>
  </si>
  <si>
    <t>希冀橋、磺港橋新設基樁與既有基樁位置衝突，調整角度及位置</t>
    <phoneticPr fontId="1" type="noConversion"/>
  </si>
  <si>
    <t>113.7.2北市工水工字第1136038674號(7)
113.8.13北市工水工字第1136046685號</t>
    <phoneticPr fontId="1" type="noConversion"/>
  </si>
  <si>
    <t>配合自來水、固網附掛管線
新設基樁與既有基樁位置衝突，調整角度及位置</t>
    <phoneticPr fontId="1" type="noConversion"/>
  </si>
  <si>
    <t>(1.8*33.5*2+1.8*11.5*2+1.8*10*3*2+1.8*16*2*2)+1.8*3*220+1.8*4*60</t>
    <phoneticPr fontId="1" type="noConversion"/>
  </si>
  <si>
    <t>1.1.8</t>
    <phoneticPr fontId="1" type="noConversion"/>
  </si>
  <si>
    <t>1.4.22</t>
    <phoneticPr fontId="1" type="noConversion"/>
  </si>
  <si>
    <t>1.3.18</t>
    <phoneticPr fontId="1" type="noConversion"/>
  </si>
  <si>
    <t>1.3.20</t>
    <phoneticPr fontId="1" type="noConversion"/>
  </si>
  <si>
    <t>其中375.67為基樁產出，只請聯單不另給價</t>
    <phoneticPr fontId="1" type="noConversion"/>
  </si>
  <si>
    <t>新增工項，契約單價</t>
    <phoneticPr fontId="1" type="noConversion"/>
  </si>
  <si>
    <r>
      <rPr>
        <sz val="10"/>
        <rFont val="Microsoft JhengHei"/>
        <family val="2"/>
        <charset val="136"/>
      </rPr>
      <t>依下工科核定「磺港溪再造委託規劃設計工作</t>
    </r>
    <r>
      <rPr>
        <sz val="10"/>
        <rFont val="Arial"/>
        <family val="2"/>
      </rPr>
      <t>(</t>
    </r>
    <r>
      <rPr>
        <sz val="10"/>
        <rFont val="細明體"/>
        <family val="2"/>
        <charset val="136"/>
      </rPr>
      <t>延壽橋至西安橋</t>
    </r>
    <r>
      <rPr>
        <sz val="10"/>
        <rFont val="Arial"/>
        <family val="2"/>
      </rPr>
      <t xml:space="preserve">) </t>
    </r>
    <r>
      <rPr>
        <sz val="10"/>
        <rFont val="細明體"/>
        <family val="2"/>
        <charset val="136"/>
      </rPr>
      <t>公共設施用地開發保水</t>
    </r>
    <r>
      <rPr>
        <sz val="10"/>
        <rFont val="Microsoft JhengHei"/>
        <family val="2"/>
      </rPr>
      <t>計畫辦理</t>
    </r>
    <phoneticPr fontId="1" type="noConversion"/>
  </si>
  <si>
    <t>自行處理擬運送台北港收容</t>
  </si>
  <si>
    <t>自行處理擬運送台北港收容</t>
    <phoneticPr fontId="1" type="noConversion"/>
  </si>
  <si>
    <t>依混凝土總量修正</t>
    <phoneticPr fontId="1" type="noConversion"/>
  </si>
  <si>
    <t>護岸加高、植栽槽抿石施工需求</t>
    <phoneticPr fontId="1" type="noConversion"/>
  </si>
  <si>
    <t>113.5.15北市工水工字第1136029339號結論2</t>
    <phoneticPr fontId="1" type="noConversion"/>
  </si>
  <si>
    <t>112.12.12北市工水工字第1126067256號結論2
113.1.15北市工水工字第1136007935號結論2
113.7.2北市工水工字第1136038674號結論9.10</t>
    <phoneticPr fontId="1" type="noConversion"/>
  </si>
  <si>
    <t>112.12.12北市工水工字第1126067256號結論2
113.1.15北市工水工字第1136007935號結論2
113.2.7北市工水工字第1136012436號結論3
113.7.2北市工水工字第1136038674號結論9.10</t>
    <phoneticPr fontId="1" type="noConversion"/>
  </si>
  <si>
    <t>113.2.7北市工水工字第1136012436號結論1
113.4.3北市工水工字第11360222225號結論1</t>
    <phoneticPr fontId="1" type="noConversion"/>
  </si>
  <si>
    <t xml:space="preserve">1.保護樹前護岸經開挖後產生崩塌情形，護坡以較大粒徑塊石堆砌，防止土質滑動
2.新河道開挖後土層軟弱為利砌排穩固下層使用較大粒徑塊石
</t>
    <phoneticPr fontId="1" type="noConversion"/>
  </si>
  <si>
    <t>1.新設植栽槽以原側溝牆提升
2.磺港橋臨清江公園側擋土牆
3.在不影響通水斷面，及下游既有堤牆，調整新設左岸堤牆銜接段順接既有堤牆
4.磺港橋頭既有結構銜接新設擋土牆</t>
    <phoneticPr fontId="1" type="noConversion"/>
  </si>
  <si>
    <t>1.新設植栽槽以原側溝牆植筋提升
2.磺港橋臨清江公園側擋土牆
3.在不影響通水斷面，及下游既有堤牆，調整新設左岸堤牆銜接段順接既有堤牆
4.磺港橋頭既有結構銜接新設擋土牆
5.保護樹前土質軟弱，於砌石擋牆後增設微型樁</t>
    <phoneticPr fontId="1" type="noConversion"/>
  </si>
  <si>
    <t>1.新設植栽槽以原側溝牆植筋提升
2.磺港橋臨清江公園側擋土牆
3.在不影響通水斷面，及下游既有堤牆，調整新設左岸堤牆銜接段順接既有堤牆
4.磺港橋頭既有結構銜接新設擋土牆</t>
    <phoneticPr fontId="1" type="noConversion"/>
  </si>
  <si>
    <r>
      <rPr>
        <sz val="10"/>
        <rFont val="Microsoft JhengHei"/>
        <family val="2"/>
      </rPr>
      <t>為避免影響既有河床及堤牆結構，依現況河床結構取消部分雙孔箱涵</t>
    </r>
    <r>
      <rPr>
        <sz val="10"/>
        <rFont val="Arial"/>
        <family val="2"/>
      </rPr>
      <t>PC</t>
    </r>
    <phoneticPr fontId="1" type="noConversion"/>
  </si>
  <si>
    <t>1.為防止上方土石滑落於雙孔箱涵出口及磺港橋橋台西側設擋土牆
2.單孔箱涵清江公園段，為避開既有設施及減少移植，調整箱涵位置</t>
    <phoneticPr fontId="1" type="noConversion"/>
  </si>
  <si>
    <t xml:space="preserve">112.11.23北市工水工字第1126063128號結論18
113.3.8北市工水工字第1136016678號
</t>
    <phoneticPr fontId="1" type="noConversion"/>
  </si>
  <si>
    <t>以500計價，不變更</t>
    <phoneticPr fontId="1" type="noConversion"/>
  </si>
  <si>
    <t>166.42放後擴</t>
    <phoneticPr fontId="1" type="noConversion"/>
  </si>
  <si>
    <t>既有喬木坐落於未來河道開挖處，植植至指定位置</t>
    <phoneticPr fontId="1" type="noConversion"/>
  </si>
  <si>
    <t>112.10.26北市工水工字第1126058144號結論4</t>
    <phoneticPr fontId="1" type="noConversion"/>
  </si>
  <si>
    <t>1.褐根病枯死，為怕傳染到周遭其他樹木，進行移除
2.凱米、康芮颱風樹倒移除</t>
    <phoneticPr fontId="1" type="noConversion"/>
  </si>
  <si>
    <t>1.既有閘門機組廢止無作用，且新設機組台電尚未送電，汛期防洪警戒
2.配合凱米、山陀兒、康芮及豪大雨增設抽水機組</t>
    <phoneticPr fontId="1" type="noConversion"/>
  </si>
  <si>
    <t>1.既有閘門機組廢止無作用，且新設機組台電尚未送電，汛期防洪警戒
2.配合凱米、山陀兒、康芮增設砂包
3.114年度汛期防汛砂包整備</t>
    <phoneticPr fontId="1" type="noConversion"/>
  </si>
  <si>
    <t>放後擴或結算</t>
    <phoneticPr fontId="1" type="noConversion"/>
  </si>
  <si>
    <t xml:space="preserve">1.依台北市議會112.11.13議秘服字第11219346240號函，陳重文議員應民眾陳情工區周遭增設臨時指引人員至113.12.31止每日3人
2.百齡暫置場外有民眾進出，增設交維人員以維安全
</t>
    <phoneticPr fontId="1" type="noConversion"/>
  </si>
  <si>
    <t xml:space="preserve">112.11.23北市工水工字第1126063128號結論13
112.09.01北市工水工字第1126048706號結論4
</t>
    <phoneticPr fontId="1" type="noConversion"/>
  </si>
  <si>
    <t>415*5*3+720</t>
    <phoneticPr fontId="1" type="noConversion"/>
  </si>
  <si>
    <t>清淤時數改用新增工項:小工計價</t>
    <phoneticPr fontId="1" type="noConversion"/>
  </si>
  <si>
    <t>135*3*5=2025</t>
    <phoneticPr fontId="1" type="noConversion"/>
  </si>
  <si>
    <t>依工程費用(一~七)項*[約10.94944113%]</t>
    <phoneticPr fontId="1" type="noConversion"/>
  </si>
  <si>
    <t>發文呈請簽核</t>
    <phoneticPr fontId="1" type="noConversion"/>
  </si>
  <si>
    <t>餘方自行處理(房屋廢方、基樁、PC樁產出餘方(非泥漿)運送台北港收容</t>
    <phoneticPr fontId="1" type="noConversion"/>
  </si>
  <si>
    <t>不含基樁產出375.67，只請聯單不另給價</t>
    <phoneticPr fontId="1" type="noConversion"/>
  </si>
  <si>
    <t>4601.44+231.09+161.39=4994</t>
    <phoneticPr fontId="1" type="noConversion"/>
  </si>
  <si>
    <t>1.8*3*220+1.8*4*60</t>
    <phoneticPr fontId="1" type="noConversion"/>
  </si>
  <si>
    <t>1.8*3*220+1.8*4*60</t>
    <phoneticPr fontId="1" type="noConversion"/>
  </si>
  <si>
    <t>113.3.8北市工水工字第1136016678號結論3</t>
    <phoneticPr fontId="1" type="noConversion"/>
  </si>
  <si>
    <t>清江公園既有喬木位於單孔箱涵施工範圍，移植至指定位置</t>
    <phoneticPr fontId="1" type="noConversion"/>
  </si>
  <si>
    <r>
      <rPr>
        <sz val="10"/>
        <rFont val="Microsoft JhengHei"/>
        <family val="2"/>
      </rPr>
      <t>欄杆</t>
    </r>
    <r>
      <rPr>
        <sz val="10"/>
        <rFont val="Arial"/>
        <family val="2"/>
      </rPr>
      <t>b</t>
    </r>
    <phoneticPr fontId="1" type="noConversion"/>
  </si>
  <si>
    <t>每單元(mm)</t>
    <phoneticPr fontId="1" type="noConversion"/>
  </si>
  <si>
    <t>頂版</t>
    <phoneticPr fontId="1" type="noConversion"/>
  </si>
  <si>
    <t>外立板</t>
    <phoneticPr fontId="1" type="noConversion"/>
  </si>
  <si>
    <t>內立板</t>
    <phoneticPr fontId="1" type="noConversion"/>
  </si>
  <si>
    <t>位置</t>
    <phoneticPr fontId="1" type="noConversion"/>
  </si>
  <si>
    <t>規格</t>
    <phoneticPr fontId="1" type="noConversion"/>
  </si>
  <si>
    <t>單位重</t>
    <phoneticPr fontId="1" type="noConversion"/>
  </si>
  <si>
    <r>
      <t>重量</t>
    </r>
    <r>
      <rPr>
        <sz val="10"/>
        <rFont val="Arial"/>
        <family val="2"/>
      </rPr>
      <t>(KG)</t>
    </r>
  </si>
  <si>
    <t>隔板</t>
    <phoneticPr fontId="1" type="noConversion"/>
  </si>
  <si>
    <t>底板</t>
    <phoneticPr fontId="1" type="noConversion"/>
  </si>
  <si>
    <r>
      <rPr>
        <sz val="10"/>
        <rFont val="Microsoft JhengHei"/>
        <family val="2"/>
      </rPr>
      <t>欄杆</t>
    </r>
    <r>
      <rPr>
        <sz val="10"/>
        <rFont val="Arial"/>
        <family val="2"/>
      </rPr>
      <t>B'</t>
    </r>
    <phoneticPr fontId="1" type="noConversion"/>
  </si>
  <si>
    <r>
      <rPr>
        <sz val="10"/>
        <rFont val="細明體"/>
        <family val="2"/>
        <charset val="136"/>
      </rPr>
      <t>合計</t>
    </r>
    <r>
      <rPr>
        <sz val="10"/>
        <rFont val="Arial"/>
        <family val="2"/>
      </rPr>
      <t>(</t>
    </r>
    <r>
      <rPr>
        <sz val="10"/>
        <rFont val="細明體"/>
        <family val="2"/>
        <charset val="136"/>
      </rPr>
      <t>每</t>
    </r>
    <r>
      <rPr>
        <sz val="10"/>
        <rFont val="Microsoft JhengHei"/>
        <family val="2"/>
      </rPr>
      <t>米</t>
    </r>
    <r>
      <rPr>
        <sz val="10"/>
        <rFont val="細明體"/>
        <family val="2"/>
        <charset val="136"/>
      </rPr>
      <t>重</t>
    </r>
    <r>
      <rPr>
        <sz val="10"/>
        <rFont val="Microsoft JhengHei"/>
        <family val="2"/>
      </rPr>
      <t>量</t>
    </r>
    <r>
      <rPr>
        <sz val="10"/>
        <rFont val="Arial"/>
        <family val="2"/>
      </rPr>
      <t>)</t>
    </r>
    <phoneticPr fontId="1" type="noConversion"/>
  </si>
  <si>
    <t>立柱</t>
    <phoneticPr fontId="1" type="noConversion"/>
  </si>
  <si>
    <t>立柱封板</t>
    <phoneticPr fontId="1" type="noConversion"/>
  </si>
  <si>
    <t>格柵立板</t>
    <phoneticPr fontId="1" type="noConversion"/>
  </si>
  <si>
    <t>格柵框(直)</t>
    <phoneticPr fontId="1" type="noConversion"/>
  </si>
  <si>
    <t>格柵框(橫)</t>
    <phoneticPr fontId="1" type="noConversion"/>
  </si>
  <si>
    <t>種類</t>
    <phoneticPr fontId="1" type="noConversion"/>
  </si>
  <si>
    <t>鍍鋅鋼板</t>
    <phoneticPr fontId="1" type="noConversion"/>
  </si>
  <si>
    <t>80*10*280</t>
    <phoneticPr fontId="1" type="noConversion"/>
  </si>
  <si>
    <t>50*4.5*280</t>
    <phoneticPr fontId="1" type="noConversion"/>
  </si>
  <si>
    <t>50*4.5*50</t>
    <phoneticPr fontId="1" type="noConversion"/>
  </si>
  <si>
    <t>150*10*1010</t>
    <phoneticPr fontId="1" type="noConversion"/>
  </si>
  <si>
    <t>鍍鋅方管</t>
    <phoneticPr fontId="1" type="noConversion"/>
  </si>
  <si>
    <r>
      <rPr>
        <sz val="10"/>
        <rFont val="Microsoft JhengHei"/>
        <family val="2"/>
      </rPr>
      <t>欄杆</t>
    </r>
    <r>
      <rPr>
        <sz val="10"/>
        <rFont val="Arial"/>
        <family val="2"/>
      </rPr>
      <t>C'</t>
    </r>
    <phoneticPr fontId="1" type="noConversion"/>
  </si>
  <si>
    <t>100*80*4.5</t>
    <phoneticPr fontId="1" type="noConversion"/>
  </si>
  <si>
    <t>200*150*10</t>
    <phoneticPr fontId="1" type="noConversion"/>
  </si>
  <si>
    <t>100*50*2.3*1150</t>
    <phoneticPr fontId="1" type="noConversion"/>
  </si>
  <si>
    <t>80*10*100</t>
    <phoneticPr fontId="1" type="noConversion"/>
  </si>
  <si>
    <t>80*10*1010</t>
    <phoneticPr fontId="1" type="noConversion"/>
  </si>
  <si>
    <t>50*4.5*1000</t>
    <phoneticPr fontId="1" type="noConversion"/>
  </si>
  <si>
    <t>中間柱</t>
    <phoneticPr fontId="1" type="noConversion"/>
  </si>
  <si>
    <t>下橫桿</t>
    <phoneticPr fontId="1" type="noConversion"/>
  </si>
  <si>
    <t>鍍鋅圓管</t>
    <phoneticPr fontId="1" type="noConversion"/>
  </si>
  <si>
    <t>200*200*10</t>
    <phoneticPr fontId="1" type="noConversion"/>
  </si>
  <si>
    <r>
      <rPr>
        <sz val="10"/>
        <rFont val="細明體"/>
        <family val="3"/>
        <charset val="136"/>
      </rPr>
      <t>∮</t>
    </r>
    <r>
      <rPr>
        <sz val="10"/>
        <rFont val="Arial"/>
        <family val="2"/>
      </rPr>
      <t>34*2.3*1300</t>
    </r>
    <phoneticPr fontId="1" type="noConversion"/>
  </si>
  <si>
    <r>
      <rPr>
        <sz val="10"/>
        <rFont val="細明體"/>
        <family val="3"/>
        <charset val="136"/>
      </rPr>
      <t>∮</t>
    </r>
    <r>
      <rPr>
        <sz val="10"/>
        <rFont val="Arial"/>
        <family val="2"/>
      </rPr>
      <t>34*2.3*972</t>
    </r>
    <phoneticPr fontId="1" type="noConversion"/>
  </si>
  <si>
    <r>
      <rPr>
        <sz val="10"/>
        <rFont val="細明體"/>
        <family val="3"/>
        <charset val="136"/>
      </rPr>
      <t>∮</t>
    </r>
    <r>
      <rPr>
        <sz val="10"/>
        <rFont val="Arial"/>
        <family val="2"/>
      </rPr>
      <t>27.2*2.3*(1000-34*2)</t>
    </r>
    <phoneticPr fontId="1" type="noConversion"/>
  </si>
  <si>
    <r>
      <rPr>
        <sz val="10"/>
        <rFont val="細明體"/>
        <family val="2"/>
        <charset val="136"/>
      </rPr>
      <t>合計</t>
    </r>
    <r>
      <rPr>
        <sz val="10"/>
        <rFont val="Arial"/>
        <family val="2"/>
      </rPr>
      <t>(</t>
    </r>
    <r>
      <rPr>
        <sz val="10"/>
        <rFont val="細明體"/>
        <family val="2"/>
        <charset val="136"/>
      </rPr>
      <t>每</t>
    </r>
    <r>
      <rPr>
        <sz val="10"/>
        <rFont val="Arial"/>
        <family val="2"/>
      </rPr>
      <t>1.01M</t>
    </r>
    <r>
      <rPr>
        <sz val="10"/>
        <rFont val="細明體"/>
        <family val="2"/>
        <charset val="136"/>
      </rPr>
      <t>重</t>
    </r>
    <r>
      <rPr>
        <sz val="10"/>
        <rFont val="Microsoft JhengHei"/>
        <family val="2"/>
      </rPr>
      <t>量</t>
    </r>
    <r>
      <rPr>
        <sz val="10"/>
        <rFont val="Arial"/>
        <family val="2"/>
      </rPr>
      <t>)</t>
    </r>
    <phoneticPr fontId="1" type="noConversion"/>
  </si>
  <si>
    <r>
      <rPr>
        <sz val="10"/>
        <rFont val="細明體"/>
        <family val="2"/>
        <charset val="136"/>
      </rPr>
      <t>合計</t>
    </r>
    <r>
      <rPr>
        <sz val="10"/>
        <rFont val="Arial"/>
        <family val="2"/>
      </rPr>
      <t>(</t>
    </r>
    <r>
      <rPr>
        <sz val="10"/>
        <rFont val="細明體"/>
        <family val="2"/>
        <charset val="136"/>
      </rPr>
      <t>每0.972</t>
    </r>
    <r>
      <rPr>
        <sz val="10"/>
        <rFont val="Arial"/>
        <family val="2"/>
      </rPr>
      <t>M</t>
    </r>
    <r>
      <rPr>
        <sz val="10"/>
        <rFont val="細明體"/>
        <family val="2"/>
        <charset val="136"/>
      </rPr>
      <t>重</t>
    </r>
    <r>
      <rPr>
        <sz val="10"/>
        <rFont val="Microsoft JhengHei"/>
        <family val="2"/>
      </rPr>
      <t>量</t>
    </r>
    <r>
      <rPr>
        <sz val="10"/>
        <rFont val="Arial"/>
        <family val="2"/>
      </rPr>
      <t>)</t>
    </r>
    <phoneticPr fontId="1" type="noConversion"/>
  </si>
  <si>
    <t>(21.65+17.75)*18.3</t>
    <phoneticPr fontId="1" type="noConversion"/>
  </si>
  <si>
    <t>(3.5+2.4*2+21.7+24.85+57.6+7.1+1.68+14.8)*49.44</t>
    <phoneticPr fontId="1" type="noConversion"/>
  </si>
  <si>
    <t>欄杆B'(樓梯G、J+三合祠+護岸三左右岸+磺港橋頭左右側)</t>
    <phoneticPr fontId="1" type="noConversion"/>
  </si>
  <si>
    <t>(18.25+16+3.25)*26.12</t>
    <phoneticPr fontId="1" type="noConversion"/>
  </si>
  <si>
    <t>已完成</t>
    <phoneticPr fontId="1" type="noConversion"/>
  </si>
  <si>
    <t>鍍鋅鋼料</t>
    <phoneticPr fontId="1" type="noConversion"/>
  </si>
  <si>
    <t>(34.27+66.51+240)*49.44</t>
    <phoneticPr fontId="1" type="noConversion"/>
  </si>
  <si>
    <t>欄杆B'(清江公園側、三合祠延伸)</t>
    <phoneticPr fontId="1" type="noConversion"/>
  </si>
  <si>
    <t>三合橋左岸欄杆B'基礎L=39M</t>
    <phoneticPr fontId="1" type="noConversion"/>
  </si>
  <si>
    <t>詳計算表</t>
    <phoneticPr fontId="1" type="noConversion"/>
  </si>
  <si>
    <t>希冀橋樓梯</t>
    <phoneticPr fontId="1" type="noConversion"/>
  </si>
  <si>
    <t>希冀橋引道</t>
    <phoneticPr fontId="1" type="noConversion"/>
  </si>
  <si>
    <t>基礎</t>
    <phoneticPr fontId="1" type="noConversion"/>
  </si>
  <si>
    <t>梁</t>
    <phoneticPr fontId="1" type="noConversion"/>
  </si>
  <si>
    <t>版</t>
    <phoneticPr fontId="1" type="noConversion"/>
  </si>
  <si>
    <t>希冀橋人行道引道</t>
    <phoneticPr fontId="1" type="noConversion"/>
  </si>
  <si>
    <t>希冀橋樓梯</t>
    <phoneticPr fontId="1" type="noConversion"/>
  </si>
  <si>
    <t>計算表</t>
    <phoneticPr fontId="1" type="noConversion"/>
  </si>
  <si>
    <t>(1.6+2.1)*6/2*2*2+1.6*1.5*2*2+(1.6+1.1)*6/2*2*2+(8.88+2)*0.74*2*2+1.1*3.62*2*2+1.1*2*2*2+3.62*2+2.29*13.5+1.8*8.88</t>
    <phoneticPr fontId="1" type="noConversion"/>
  </si>
  <si>
    <t>崇仁路1段155巷(南向)</t>
    <phoneticPr fontId="1" type="noConversion"/>
  </si>
  <si>
    <t>33.7*49.44</t>
    <phoneticPr fontId="1" type="noConversion"/>
  </si>
  <si>
    <t>希冀橋人行道引道</t>
    <phoneticPr fontId="1" type="noConversion"/>
  </si>
  <si>
    <t>(0.3*(1.84*2+1*2))+(1.8*0.15*12)+(((0.45+1.18)*1.5/2)+(1.18*1.5)+((1.18+2.07)*1.8/2))*2*2+(1.23+1.25+0.4+0.2+1.5)*1.8+0.45*1.84*2*4+1.84*0.2*4</t>
    <phoneticPr fontId="1" type="noConversion"/>
  </si>
  <si>
    <t>0.12*1.2*2+0.394*2*0.24*2+1.2*0.24</t>
    <phoneticPr fontId="1" type="noConversion"/>
  </si>
  <si>
    <t>0.2*0.45*2.29*5+1.1*2.5*3.62+2.5*3.62*0.2*2+13.5*2.29*0.2+8.88*1.5*0.2+1.74*13.5/2*2*0.2+0.74*8.88/2*2*0.2+2.57*2.28*0.2</t>
    <phoneticPr fontId="1" type="noConversion"/>
  </si>
  <si>
    <t>(0.367*0.394+(0.367+0.12)*0.394)*1.2*2</t>
    <phoneticPr fontId="1" type="noConversion"/>
  </si>
  <si>
    <t>(0.3*1*1.84)+(1.84*0.23*(2.2+1.5+2.2))+(0.23*0.45*1.84*4)+(1.5*1.18/2*2*0.23)+(1.84*1.5*0.23)+(1.18*2.07/2*2*0.23)*(0.3*0.15/2*10)+1.5*1.84*0.23+1.5*2.4*0.23</t>
    <phoneticPr fontId="1" type="noConversion"/>
  </si>
  <si>
    <t>長度</t>
    <phoneticPr fontId="1" type="noConversion"/>
  </si>
  <si>
    <r>
      <t>(3.5+2.4*2+21.7+</t>
    </r>
    <r>
      <rPr>
        <sz val="12"/>
        <color rgb="FF00B0F0"/>
        <rFont val="標楷體"/>
        <family val="4"/>
        <charset val="136"/>
      </rPr>
      <t>24.85+57.6</t>
    </r>
    <r>
      <rPr>
        <sz val="12"/>
        <color rgb="FFFF0000"/>
        <rFont val="標楷體"/>
        <family val="4"/>
        <charset val="136"/>
      </rPr>
      <t>+7.1+1.68+14.8)*49.44</t>
    </r>
    <phoneticPr fontId="1" type="noConversion"/>
  </si>
  <si>
    <t>護欄B'追加</t>
    <phoneticPr fontId="1" type="noConversion"/>
  </si>
  <si>
    <t>模板均高0.1M，W=0.2M</t>
    <phoneticPr fontId="1" type="noConversion"/>
  </si>
  <si>
    <t>B'長度=</t>
    <phoneticPr fontId="1" type="noConversion"/>
  </si>
  <si>
    <t>0.3*2*(510.51-57.6-24.85)</t>
    <phoneticPr fontId="1" type="noConversion"/>
  </si>
  <si>
    <t>0.3*0.3*(510.51-57.6-24.85)</t>
    <phoneticPr fontId="1" type="noConversion"/>
  </si>
  <si>
    <t>((2.88*4.67*1.15)+(0.5*1*(1.88+1+1.8+2.67)))+((1.5*3.5*1.15)+(0.5*3.5*1)+(0.3*1*2)+(3.5*(0.42*0.3+0.4*0.42/2))+(2.1*0.45*0.75*4)+(0.85*2.27*1.6))</t>
    <phoneticPr fontId="1" type="noConversion"/>
  </si>
  <si>
    <t>自行車道AC打除</t>
    <phoneticPr fontId="1" type="noConversion"/>
  </si>
  <si>
    <t>(605.74+547.65+571.09+245.16+490.72)*0.2</t>
    <phoneticPr fontId="1" type="noConversion"/>
  </si>
  <si>
    <t>左岸及工區七</t>
    <phoneticPr fontId="1" type="noConversion"/>
  </si>
  <si>
    <t>(77.5+169.3+170.9+49.4)*0.2</t>
    <phoneticPr fontId="1" type="noConversion"/>
  </si>
  <si>
    <t>已完成長度</t>
    <phoneticPr fontId="1" type="noConversion"/>
  </si>
  <si>
    <t>3"HDPE</t>
    <phoneticPr fontId="1" type="noConversion"/>
  </si>
  <si>
    <t>4"HDPE</t>
    <phoneticPr fontId="1" type="noConversion"/>
  </si>
  <si>
    <r>
      <rPr>
        <sz val="10"/>
        <rFont val="Microsoft JhengHei"/>
        <family val="2"/>
      </rPr>
      <t>草溝</t>
    </r>
    <r>
      <rPr>
        <sz val="10"/>
        <rFont val="Arial"/>
        <family val="2"/>
      </rPr>
      <t>+4"HDPE</t>
    </r>
    <phoneticPr fontId="1" type="noConversion"/>
  </si>
  <si>
    <t>圖說長度</t>
    <phoneticPr fontId="1" type="noConversion"/>
  </si>
  <si>
    <t>合約數量</t>
    <phoneticPr fontId="1" type="noConversion"/>
  </si>
  <si>
    <t>差</t>
    <phoneticPr fontId="1" type="noConversion"/>
  </si>
  <si>
    <r>
      <rPr>
        <sz val="10"/>
        <rFont val="Microsoft JhengHei"/>
        <family val="2"/>
      </rPr>
      <t>崇仁路</t>
    </r>
    <r>
      <rPr>
        <sz val="10"/>
        <rFont val="Arial"/>
        <family val="2"/>
      </rPr>
      <t>155</t>
    </r>
    <r>
      <rPr>
        <sz val="10"/>
        <rFont val="Microsoft JhengHei"/>
        <family val="2"/>
      </rPr>
      <t>巷擋牆修復</t>
    </r>
    <r>
      <rPr>
        <sz val="10"/>
        <rFont val="Arial"/>
        <family val="2"/>
      </rPr>
      <t>H1.8*W31*</t>
    </r>
    <r>
      <rPr>
        <sz val="10"/>
        <rFont val="Microsoft JhengHei"/>
        <family val="2"/>
      </rPr>
      <t>厚</t>
    </r>
    <r>
      <rPr>
        <sz val="10"/>
        <rFont val="Arial"/>
        <family val="2"/>
      </rPr>
      <t>0.1(D13@20)</t>
    </r>
    <phoneticPr fontId="1" type="noConversion"/>
  </si>
  <si>
    <t>變更追加</t>
    <phoneticPr fontId="1" type="noConversion"/>
  </si>
  <si>
    <t>原契約分為  10  部份     本次變更  5  部份原有    393    項</t>
  </si>
  <si>
    <t>前經  3  次變更設計，計新增  43  項，減少  5  項，變更  27  項，變更後合計  438  項</t>
  </si>
  <si>
    <t xml:space="preserve"> 前次變更後總價</t>
  </si>
  <si>
    <t>本次變更設計，計新增  3  項，減少  4  項，變更  37  項，變更後合計  438  項</t>
  </si>
  <si>
    <t>變更後
數 量</t>
  </si>
  <si>
    <t>議 定
單 價</t>
  </si>
  <si>
    <t>變更後
合價</t>
  </si>
  <si>
    <t>雨水回收槽(1)</t>
  </si>
  <si>
    <t xml:space="preserve">詳單價分析表1
&lt;免議價&gt;
</t>
  </si>
  <si>
    <t xml:space="preserve">詳單價分析表2
&lt;免議價&gt;
</t>
  </si>
  <si>
    <t xml:space="preserve">詳單價分析表3
&lt;免議價&gt;
</t>
  </si>
  <si>
    <t>(含綁紮、耗損及運費)</t>
  </si>
  <si>
    <t>圓形壁崁燈 LED 12W</t>
  </si>
  <si>
    <t>租用(三合橋)</t>
  </si>
  <si>
    <t>小工</t>
  </si>
  <si>
    <t>一組2支樁</t>
  </si>
  <si>
    <t>百齡暫置區及臨時交維使用</t>
  </si>
  <si>
    <t>交通維持，道路管制人員，夜間(22-06時)，義交</t>
    <phoneticPr fontId="1" type="noConversion"/>
  </si>
  <si>
    <t>應追加減數量</t>
    <phoneticPr fontId="1" type="noConversion"/>
  </si>
  <si>
    <t>1.1.26</t>
  </si>
  <si>
    <t>1.2.86</t>
  </si>
  <si>
    <t>1.2.87</t>
  </si>
  <si>
    <t>1.2.88</t>
  </si>
  <si>
    <t>M2</t>
    <phoneticPr fontId="1" type="noConversion"/>
  </si>
  <si>
    <t>1.2.90</t>
  </si>
  <si>
    <t>清江公園</t>
    <phoneticPr fontId="1" type="noConversion"/>
  </si>
  <si>
    <t>((1.4+2.2)*1.8/2)+((4.6+6.6)*2.4/2)+((6.6+10.2)*3.8/2)-3.38*0.87+33.67*0.1</t>
    <phoneticPr fontId="1" type="noConversion"/>
  </si>
  <si>
    <t>座</t>
    <phoneticPr fontId="1" type="noConversion"/>
  </si>
  <si>
    <t>1.3.40</t>
  </si>
  <si>
    <t>1.4.29</t>
  </si>
  <si>
    <t>1.4.30</t>
  </si>
  <si>
    <t>鋼筋，植筋，D13mm，鑽孔(含空氣槍清孔)及化學藥劑</t>
    <phoneticPr fontId="1" type="noConversion"/>
  </si>
  <si>
    <t>鋼筋，植筋，D16mm，鑽孔(含空氣槍清孔)及化學藥劑</t>
    <phoneticPr fontId="1" type="noConversion"/>
  </si>
  <si>
    <t>工區七既有擋牆修復(議員會勘)</t>
    <phoneticPr fontId="1" type="noConversion"/>
  </si>
  <si>
    <t>31/0.2</t>
    <phoneticPr fontId="1" type="noConversion"/>
  </si>
  <si>
    <t>彈性地墊(含顆粒收邊)</t>
    <phoneticPr fontId="1" type="noConversion"/>
  </si>
  <si>
    <t>1.4.31</t>
    <phoneticPr fontId="1" type="noConversion"/>
  </si>
  <si>
    <t>加勁抗沖蝕網</t>
    <phoneticPr fontId="1" type="noConversion"/>
  </si>
  <si>
    <t>M2</t>
    <phoneticPr fontId="1" type="noConversion"/>
  </si>
  <si>
    <t>低水護岸(含上下端埋入0.5M)</t>
    <phoneticPr fontId="1" type="noConversion"/>
  </si>
  <si>
    <t>加勁抗沖蝕網</t>
    <phoneticPr fontId="1" type="noConversion"/>
  </si>
  <si>
    <t>1.2.91</t>
  </si>
  <si>
    <t>∮6"PVC排水管埋設</t>
    <phoneticPr fontId="1" type="noConversion"/>
  </si>
  <si>
    <t>M</t>
    <phoneticPr fontId="1" type="noConversion"/>
  </si>
  <si>
    <t>過路段</t>
    <phoneticPr fontId="1" type="noConversion"/>
  </si>
  <si>
    <t>M</t>
    <phoneticPr fontId="1" type="noConversion"/>
  </si>
  <si>
    <t>沖孔板</t>
    <phoneticPr fontId="1" type="noConversion"/>
  </si>
  <si>
    <t>0+120~280+保護樹A旁+保護樹B旁+希冀橋下=(160*(5.9+1))+(26.7*8.2+((1.9+7.4)*(17.7+1)/2)+(3.9*(5.1+1))+47.1*(6.1+1))</t>
    <phoneticPr fontId="1" type="noConversion"/>
  </si>
  <si>
    <t>照勇哥算式</t>
    <phoneticPr fontId="1" type="noConversion"/>
  </si>
  <si>
    <t>20*20</t>
    <phoneticPr fontId="1" type="noConversion"/>
  </si>
  <si>
    <t>40*40</t>
    <phoneticPr fontId="1" type="noConversion"/>
  </si>
  <si>
    <t>30*30(含三角公園)</t>
    <phoneticPr fontId="1" type="noConversion"/>
  </si>
  <si>
    <t>31*1.8*0.1</t>
    <phoneticPr fontId="1" type="noConversion"/>
  </si>
  <si>
    <t>秘林亭</t>
    <phoneticPr fontId="1" type="noConversion"/>
  </si>
  <si>
    <t>醉池亭</t>
    <phoneticPr fontId="1" type="noConversion"/>
  </si>
  <si>
    <t>1.2.92</t>
  </si>
  <si>
    <t>1.2.89</t>
    <phoneticPr fontId="1" type="noConversion"/>
  </si>
  <si>
    <t>31*1.8+1.8*0.1*2</t>
    <phoneticPr fontId="1" type="noConversion"/>
  </si>
  <si>
    <t>U型溝</t>
    <phoneticPr fontId="1" type="noConversion"/>
  </si>
  <si>
    <t>鄰房既有水溝</t>
    <phoneticPr fontId="1" type="noConversion"/>
  </si>
  <si>
    <t>烏心石，400 ≦ 樹高 &lt; 450㎝，160≦樹幅＜180cm，8≦ 米高直徑 &lt; 10㎝</t>
    <phoneticPr fontId="1" type="noConversion"/>
  </si>
  <si>
    <t>光蠟樹，450 ≦ 樹高 &lt; 500㎝，220≦樹幅＜240cm，10 ≦ 米高直徑 &lt; 12㎝</t>
    <phoneticPr fontId="1" type="noConversion"/>
  </si>
  <si>
    <t>5+6+7+5+5+8</t>
  </si>
  <si>
    <t>4+3+6+7+5+1+3</t>
    <phoneticPr fontId="1" type="noConversion"/>
  </si>
  <si>
    <t>8+6+5</t>
    <phoneticPr fontId="1" type="noConversion"/>
  </si>
  <si>
    <t>變更</t>
    <phoneticPr fontId="1" type="noConversion"/>
  </si>
  <si>
    <t>1+11</t>
    <phoneticPr fontId="1" type="noConversion"/>
  </si>
  <si>
    <t>2+2+1+1</t>
    <phoneticPr fontId="1" type="noConversion"/>
  </si>
  <si>
    <t>森氏紅淡比，250 ≦ 樹高 &lt; 300㎝，160≦樹幅＜180cm，8 ≦ 米高直徑 &lt; 10㎝</t>
    <phoneticPr fontId="1" type="noConversion"/>
  </si>
  <si>
    <t>1.7.78</t>
  </si>
  <si>
    <t>3+8+8</t>
    <phoneticPr fontId="1" type="noConversion"/>
  </si>
  <si>
    <t>株</t>
    <phoneticPr fontId="1" type="noConversion"/>
  </si>
  <si>
    <t>85.5*9</t>
    <phoneticPr fontId="1" type="noConversion"/>
  </si>
  <si>
    <t>35.9*6</t>
    <phoneticPr fontId="1" type="noConversion"/>
  </si>
  <si>
    <t>冇骨消，40≦ 高度＜50㎝，35≦寬度＜40cm</t>
    <phoneticPr fontId="1" type="noConversion"/>
  </si>
  <si>
    <t>番茉莉，50≦高度＜60cm，25≦寬度&lt;30cm</t>
    <phoneticPr fontId="1" type="noConversion"/>
  </si>
  <si>
    <t>95*16</t>
    <phoneticPr fontId="1" type="noConversion"/>
  </si>
  <si>
    <t>80.5*25</t>
    <phoneticPr fontId="1" type="noConversion"/>
  </si>
  <si>
    <t>33.6*25</t>
    <phoneticPr fontId="1" type="noConversion"/>
  </si>
  <si>
    <t>61*25</t>
    <phoneticPr fontId="1" type="noConversion"/>
  </si>
  <si>
    <t>白鶴芋，25≦高度＜30cm，20≦寬度&lt;25cm</t>
    <phoneticPr fontId="1" type="noConversion"/>
  </si>
  <si>
    <t>1.7.79</t>
  </si>
  <si>
    <t>1.7.80</t>
  </si>
  <si>
    <t>16.4*25</t>
    <phoneticPr fontId="1" type="noConversion"/>
  </si>
  <si>
    <t>29.4*25</t>
    <phoneticPr fontId="1" type="noConversion"/>
  </si>
  <si>
    <t>9.9*25</t>
    <phoneticPr fontId="1" type="noConversion"/>
  </si>
  <si>
    <t>109.3*25</t>
    <phoneticPr fontId="1" type="noConversion"/>
  </si>
  <si>
    <t>59.3*16</t>
    <phoneticPr fontId="1" type="noConversion"/>
  </si>
  <si>
    <t>20.4*25</t>
    <phoneticPr fontId="1" type="noConversion"/>
  </si>
  <si>
    <t>592.9*9</t>
    <phoneticPr fontId="1" type="noConversion"/>
  </si>
  <si>
    <t>22.4*9</t>
    <phoneticPr fontId="1" type="noConversion"/>
  </si>
  <si>
    <t>165.8*9</t>
    <phoneticPr fontId="1" type="noConversion"/>
  </si>
  <si>
    <t>187.2*200</t>
    <phoneticPr fontId="1" type="noConversion"/>
  </si>
  <si>
    <t>假儉草(奇岩2號公園+清江公園)</t>
    <phoneticPr fontId="1" type="noConversion"/>
  </si>
  <si>
    <t>放結算</t>
    <phoneticPr fontId="1" type="noConversion"/>
  </si>
  <si>
    <t>.</t>
    <phoneticPr fontId="1" type="noConversion"/>
  </si>
  <si>
    <t>液位警報系統</t>
    <phoneticPr fontId="1" type="noConversion"/>
  </si>
  <si>
    <t>處</t>
    <phoneticPr fontId="1" type="noConversion"/>
  </si>
  <si>
    <t>2.26</t>
  </si>
  <si>
    <t>小工</t>
    <phoneticPr fontId="1" type="noConversion"/>
  </si>
  <si>
    <t>時</t>
    <phoneticPr fontId="1" type="noConversion"/>
  </si>
  <si>
    <t>1+1</t>
    <phoneticPr fontId="1" type="noConversion"/>
  </si>
  <si>
    <t>1.2.93</t>
  </si>
  <si>
    <t>主園道</t>
    <phoneticPr fontId="1" type="noConversion"/>
  </si>
  <si>
    <t>希冀廣場</t>
    <phoneticPr fontId="1" type="noConversion"/>
  </si>
  <si>
    <t>59.03+161.99+5.09+5.09+31.2+17.9</t>
    <phoneticPr fontId="1" type="noConversion"/>
  </si>
  <si>
    <t>26.26+55.01+7.47+80.72+59.03+1.9+3.18</t>
    <phoneticPr fontId="1" type="noConversion"/>
  </si>
  <si>
    <t>12.71+30.1+17.03+5.12+53.96</t>
    <phoneticPr fontId="1" type="noConversion"/>
  </si>
  <si>
    <t>2.8*6.7</t>
    <phoneticPr fontId="1" type="noConversion"/>
  </si>
  <si>
    <t>70.66+62.69+1.32+31+17.74+70.26+114.27+23.64+9.02+30.33+13.36+2.36+14.28+1.1+9.14+5.41+3.76+2.18+2.36+24.92+57.38+8.27+4.04+36.79+38.74+20.22+25.92+20.31+1.28+1.28</t>
    <phoneticPr fontId="1" type="noConversion"/>
  </si>
  <si>
    <t>2.53+2.68+2.52+2.51+2.67</t>
    <phoneticPr fontId="1" type="noConversion"/>
  </si>
  <si>
    <t>欄杆基礎</t>
    <phoneticPr fontId="1" type="noConversion"/>
  </si>
  <si>
    <t>追加</t>
    <phoneticPr fontId="1" type="noConversion"/>
  </si>
  <si>
    <t>*</t>
  </si>
  <si>
    <t>*</t>
    <phoneticPr fontId="1" type="noConversion"/>
  </si>
  <si>
    <t>工區七既有堤牆頂</t>
    <phoneticPr fontId="1" type="noConversion"/>
  </si>
  <si>
    <t>木棧道</t>
    <phoneticPr fontId="1" type="noConversion"/>
  </si>
  <si>
    <t>涼亭</t>
    <phoneticPr fontId="1" type="noConversion"/>
  </si>
  <si>
    <t>11.7*4.8*0.5</t>
    <phoneticPr fontId="1" type="noConversion"/>
  </si>
  <si>
    <t>公園步道及鋪面</t>
    <phoneticPr fontId="1" type="noConversion"/>
  </si>
  <si>
    <t>自行車道基礎</t>
    <phoneticPr fontId="1" type="noConversion"/>
  </si>
  <si>
    <t>綠帶槽緣石+石椅</t>
    <phoneticPr fontId="1" type="noConversion"/>
  </si>
  <si>
    <t>0.15*0.15*3.14*4*2+4*4*2</t>
    <phoneticPr fontId="1" type="noConversion"/>
  </si>
  <si>
    <t>((19.3*0.52*0.8*4)+(19.3*7.2*0.3)+(6.8*2.2*0.8*2)+(9.5*3*0.8+9.5*1.8*0.3)+(17.8*0.55*2.8*2))</t>
    <phoneticPr fontId="1" type="noConversion"/>
  </si>
  <si>
    <t>=10.8*(7.5+9.5)/2*0.25</t>
    <phoneticPr fontId="1" type="noConversion"/>
  </si>
  <si>
    <t>=11.5*(7.5+4.5)/2*0.25</t>
    <phoneticPr fontId="1" type="noConversion"/>
  </si>
  <si>
    <t>0.2*0.2*33.7</t>
    <phoneticPr fontId="1" type="noConversion"/>
  </si>
  <si>
    <t>既有排水溝(含蓋板)及排水設施</t>
    <phoneticPr fontId="1" type="noConversion"/>
  </si>
  <si>
    <t>(0.32*0.32*3.14*36+0.25*0.25*3.14*59.2+3.1+2.53)</t>
    <phoneticPr fontId="1" type="noConversion"/>
  </si>
  <si>
    <t>3.3*4.2*0.8+5*16.6*0.5+1.1*2.8</t>
    <phoneticPr fontId="1" type="noConversion"/>
  </si>
  <si>
    <t>(102.7+276.9+247.7+0+115.1+172.9)*0.525+12.33*21.9</t>
    <phoneticPr fontId="1" type="noConversion"/>
  </si>
  <si>
    <t>保護樹AB護坡回填增加</t>
    <phoneticPr fontId="1" type="noConversion"/>
  </si>
  <si>
    <t>回填高程</t>
    <phoneticPr fontId="1" type="noConversion"/>
  </si>
  <si>
    <t>回填高度</t>
    <phoneticPr fontId="1" type="noConversion"/>
  </si>
  <si>
    <t>單孔箱涵渠底高程</t>
    <phoneticPr fontId="32" type="noConversion"/>
  </si>
  <si>
    <t>單孔箱涵完成高程</t>
    <phoneticPr fontId="32" type="noConversion"/>
  </si>
  <si>
    <t>雙孔箱涵渠底高程</t>
    <phoneticPr fontId="32" type="noConversion"/>
  </si>
  <si>
    <t>土方回填底高</t>
    <phoneticPr fontId="32" type="noConversion"/>
  </si>
  <si>
    <t>雙孔箱涵完成高程</t>
    <phoneticPr fontId="32" type="noConversion"/>
  </si>
  <si>
    <t>單雙孔箱涵完成面高差</t>
    <phoneticPr fontId="32" type="noConversion"/>
  </si>
  <si>
    <t>路面完成高程</t>
    <phoneticPr fontId="32" type="noConversion"/>
  </si>
  <si>
    <t>路面底層高程</t>
    <phoneticPr fontId="32" type="noConversion"/>
  </si>
  <si>
    <t>雙孔箱涵上回填高度</t>
    <phoneticPr fontId="32" type="noConversion"/>
  </si>
  <si>
    <t>單孔箱涵上(含CLSM處)回填高度</t>
    <phoneticPr fontId="32" type="noConversion"/>
  </si>
  <si>
    <t>工密試驗</t>
    <phoneticPr fontId="32" type="noConversion"/>
  </si>
  <si>
    <t>位置1</t>
    <phoneticPr fontId="32" type="noConversion"/>
  </si>
  <si>
    <t>位置2</t>
  </si>
  <si>
    <t>位置3</t>
  </si>
  <si>
    <t>級配壓實度</t>
    <phoneticPr fontId="32" type="noConversion"/>
  </si>
  <si>
    <t>B0K+000</t>
    <phoneticPr fontId="32" type="noConversion"/>
  </si>
  <si>
    <t>A0K+000</t>
    <phoneticPr fontId="32" type="noConversion"/>
  </si>
  <si>
    <t>113.8.19</t>
    <phoneticPr fontId="32" type="noConversion"/>
  </si>
  <si>
    <t>RT0+050第1層</t>
    <phoneticPr fontId="32" type="noConversion"/>
  </si>
  <si>
    <t>RT0+060第2層</t>
    <phoneticPr fontId="32" type="noConversion"/>
  </si>
  <si>
    <t>LT0+005第9層</t>
    <phoneticPr fontId="32" type="noConversion"/>
  </si>
  <si>
    <t>B0K+020</t>
    <phoneticPr fontId="32" type="noConversion"/>
  </si>
  <si>
    <t>A0K+020</t>
  </si>
  <si>
    <t>113.8.23</t>
    <phoneticPr fontId="32" type="noConversion"/>
  </si>
  <si>
    <t>RT0+050第3層</t>
    <phoneticPr fontId="32" type="noConversion"/>
  </si>
  <si>
    <t>RT0+060第4層</t>
    <phoneticPr fontId="32" type="noConversion"/>
  </si>
  <si>
    <t>RT0+080第5層</t>
    <phoneticPr fontId="32" type="noConversion"/>
  </si>
  <si>
    <t>B0K+040</t>
    <phoneticPr fontId="32" type="noConversion"/>
  </si>
  <si>
    <t>A0K+040</t>
  </si>
  <si>
    <t>113.8.26</t>
    <phoneticPr fontId="32" type="noConversion"/>
  </si>
  <si>
    <t>RT0+100第6層</t>
    <phoneticPr fontId="32" type="noConversion"/>
  </si>
  <si>
    <t>RT0+120第7層</t>
    <phoneticPr fontId="32" type="noConversion"/>
  </si>
  <si>
    <t>RT0+140第8層</t>
    <phoneticPr fontId="32" type="noConversion"/>
  </si>
  <si>
    <t>A1進橋板下</t>
    <phoneticPr fontId="32" type="noConversion"/>
  </si>
  <si>
    <t>B0K+060</t>
    <phoneticPr fontId="32" type="noConversion"/>
  </si>
  <si>
    <t>A0K+060</t>
  </si>
  <si>
    <t>113.9.6</t>
    <phoneticPr fontId="32" type="noConversion"/>
  </si>
  <si>
    <t>RT0+150第3層</t>
    <phoneticPr fontId="32" type="noConversion"/>
  </si>
  <si>
    <t>RT0+160第2層</t>
    <phoneticPr fontId="32" type="noConversion"/>
  </si>
  <si>
    <t>RT0+170第1層</t>
    <phoneticPr fontId="32" type="noConversion"/>
  </si>
  <si>
    <t>B0K+080</t>
    <phoneticPr fontId="32" type="noConversion"/>
  </si>
  <si>
    <t>A0K+080</t>
  </si>
  <si>
    <t>113.9.16</t>
    <phoneticPr fontId="32" type="noConversion"/>
  </si>
  <si>
    <t>RT0+180第6層</t>
    <phoneticPr fontId="32" type="noConversion"/>
  </si>
  <si>
    <t>RT0+190第5層</t>
    <phoneticPr fontId="32" type="noConversion"/>
  </si>
  <si>
    <t>RT0+200第4層</t>
    <phoneticPr fontId="32" type="noConversion"/>
  </si>
  <si>
    <t>B0K+100</t>
    <phoneticPr fontId="32" type="noConversion"/>
  </si>
  <si>
    <t>A0K+100</t>
  </si>
  <si>
    <t>113.10.16</t>
    <phoneticPr fontId="32" type="noConversion"/>
  </si>
  <si>
    <t>0K+15面層</t>
    <phoneticPr fontId="32" type="noConversion"/>
  </si>
  <si>
    <t>0K+45面層</t>
    <phoneticPr fontId="32" type="noConversion"/>
  </si>
  <si>
    <t>0K+55面層</t>
    <phoneticPr fontId="32" type="noConversion"/>
  </si>
  <si>
    <t>會業主</t>
    <phoneticPr fontId="32" type="noConversion"/>
  </si>
  <si>
    <t>B0K+120</t>
    <phoneticPr fontId="32" type="noConversion"/>
  </si>
  <si>
    <t>A0K+120</t>
  </si>
  <si>
    <t>B0K+140</t>
    <phoneticPr fontId="32" type="noConversion"/>
  </si>
  <si>
    <t>A0K+140</t>
  </si>
  <si>
    <t>B0K+160</t>
    <phoneticPr fontId="32" type="noConversion"/>
  </si>
  <si>
    <t>A0K+160</t>
  </si>
  <si>
    <t>B0K+180</t>
    <phoneticPr fontId="32" type="noConversion"/>
  </si>
  <si>
    <t>A0K+180</t>
  </si>
  <si>
    <t>B0K+200</t>
    <phoneticPr fontId="32" type="noConversion"/>
  </si>
  <si>
    <t>A0K+200</t>
  </si>
  <si>
    <t>B0K+220</t>
    <phoneticPr fontId="32" type="noConversion"/>
  </si>
  <si>
    <t>A0K+220</t>
  </si>
  <si>
    <t>B0K+240</t>
    <phoneticPr fontId="32" type="noConversion"/>
  </si>
  <si>
    <t>A0K+240</t>
  </si>
  <si>
    <t>B0K+260</t>
    <phoneticPr fontId="32" type="noConversion"/>
  </si>
  <si>
    <t>A0K+260</t>
  </si>
  <si>
    <t>B0K+280</t>
    <phoneticPr fontId="32" type="noConversion"/>
  </si>
  <si>
    <t>A0K+280</t>
  </si>
  <si>
    <t>B0K+300</t>
    <phoneticPr fontId="32" type="noConversion"/>
  </si>
  <si>
    <t>A0K+300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</si>
  <si>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32" type="noConversion"/>
  </si>
  <si>
    <t>道路高程(變更)</t>
    <phoneticPr fontId="1" type="noConversion"/>
  </si>
  <si>
    <r>
      <rPr>
        <sz val="10"/>
        <rFont val="微軟正黑體"/>
        <family val="2"/>
        <charset val="136"/>
      </rPr>
      <t>路面完成高程</t>
    </r>
    <r>
      <rPr>
        <sz val="10"/>
        <rFont val="Arial"/>
        <family val="2"/>
      </rPr>
      <t>(</t>
    </r>
    <r>
      <rPr>
        <sz val="10"/>
        <rFont val="Microsoft JhengHei"/>
        <family val="2"/>
      </rPr>
      <t>原設計</t>
    </r>
    <r>
      <rPr>
        <sz val="10"/>
        <rFont val="Arial"/>
        <family val="2"/>
      </rPr>
      <t>)</t>
    </r>
    <phoneticPr fontId="32" type="noConversion"/>
  </si>
  <si>
    <r>
      <rPr>
        <sz val="10"/>
        <rFont val="微軟正黑體"/>
        <family val="2"/>
        <charset val="136"/>
      </rPr>
      <t>回填高程</t>
    </r>
    <r>
      <rPr>
        <sz val="10"/>
        <rFont val="Arial"/>
        <family val="2"/>
      </rPr>
      <t>(</t>
    </r>
    <r>
      <rPr>
        <sz val="10"/>
        <rFont val="Microsoft JhengHei"/>
        <family val="2"/>
      </rPr>
      <t>原設計</t>
    </r>
    <r>
      <rPr>
        <sz val="10"/>
        <rFont val="Arial"/>
        <family val="2"/>
      </rPr>
      <t>)</t>
    </r>
    <phoneticPr fontId="32" type="noConversion"/>
  </si>
  <si>
    <r>
      <rPr>
        <sz val="10"/>
        <rFont val="微軟正黑體"/>
        <family val="2"/>
        <charset val="136"/>
      </rPr>
      <t>回填高度</t>
    </r>
    <r>
      <rPr>
        <sz val="10"/>
        <rFont val="Arial"/>
        <family val="2"/>
      </rPr>
      <t>(</t>
    </r>
    <r>
      <rPr>
        <sz val="10"/>
        <rFont val="Microsoft JhengHei"/>
        <family val="2"/>
      </rPr>
      <t>原設計</t>
    </r>
    <r>
      <rPr>
        <sz val="10"/>
        <rFont val="Arial"/>
        <family val="2"/>
      </rPr>
      <t>)</t>
    </r>
    <phoneticPr fontId="32" type="noConversion"/>
  </si>
  <si>
    <r>
      <rPr>
        <sz val="10"/>
        <rFont val="Microsoft JhengHei"/>
        <family val="2"/>
      </rPr>
      <t>回填土方量</t>
    </r>
    <r>
      <rPr>
        <sz val="10"/>
        <rFont val="Arial"/>
        <family val="2"/>
      </rPr>
      <t>M3</t>
    </r>
    <phoneticPr fontId="1" type="noConversion"/>
  </si>
  <si>
    <t>雙孔箱涵上回填高度</t>
  </si>
  <si>
    <r>
      <rPr>
        <sz val="10"/>
        <rFont val="Microsoft JhengHei"/>
        <family val="2"/>
      </rPr>
      <t>單孔</t>
    </r>
    <r>
      <rPr>
        <sz val="10"/>
        <rFont val="微軟正黑體"/>
        <family val="2"/>
        <charset val="136"/>
      </rPr>
      <t>回填
高度</t>
    </r>
    <r>
      <rPr>
        <sz val="10"/>
        <rFont val="Arial"/>
        <family val="2"/>
      </rPr>
      <t>M</t>
    </r>
    <phoneticPr fontId="32" type="noConversion"/>
  </si>
  <si>
    <t>原設計高程</t>
    <phoneticPr fontId="1" type="noConversion"/>
  </si>
  <si>
    <t>原高程回填量</t>
    <phoneticPr fontId="1" type="noConversion"/>
  </si>
  <si>
    <t>變更高程後回填量</t>
    <phoneticPr fontId="1" type="noConversion"/>
  </si>
  <si>
    <t>0.32*0.32*3.14*36+0.25*0.25*3.14*59.2+1*1*3.1+1*1*2.53</t>
    <phoneticPr fontId="1" type="noConversion"/>
  </si>
  <si>
    <t>(0.32*0.32*3.14*36+0.25*0.25*3.14*59.2+1*1*3.1+1*1*2.53</t>
    <phoneticPr fontId="1" type="noConversion"/>
  </si>
  <si>
    <t>10.62+6.32+8.3+12.61+8.23+12</t>
    <phoneticPr fontId="1" type="noConversion"/>
  </si>
  <si>
    <t>既有道路(路.S120.S250.N130.N420.N000.N020-067.5處)、鄰房側水溝</t>
    <phoneticPr fontId="1" type="noConversion"/>
  </si>
  <si>
    <t>環境清整公園面積</t>
    <phoneticPr fontId="1" type="noConversion"/>
  </si>
  <si>
    <t>298+127</t>
    <phoneticPr fontId="1" type="noConversion"/>
  </si>
  <si>
    <t>鋼板收邊A+B</t>
    <phoneticPr fontId="1" type="noConversion"/>
  </si>
  <si>
    <t>0.2*2*0.994*724+0.15*2*0.994*13</t>
    <phoneticPr fontId="1" type="noConversion"/>
  </si>
  <si>
    <t>17.6+21.7</t>
    <phoneticPr fontId="1" type="noConversion"/>
  </si>
  <si>
    <t>11.5+10.4+8.2</t>
    <phoneticPr fontId="1" type="noConversion"/>
  </si>
  <si>
    <t>98.2+22.8+52.3</t>
    <phoneticPr fontId="1" type="noConversion"/>
  </si>
  <si>
    <t>5%內放結算</t>
    <phoneticPr fontId="1" type="noConversion"/>
  </si>
  <si>
    <t>道路緣石
RA-12</t>
    <phoneticPr fontId="124" type="noConversion"/>
  </si>
  <si>
    <t>緣石收邊</t>
    <phoneticPr fontId="124" type="noConversion"/>
  </si>
  <si>
    <t>20*20透水磚</t>
    <phoneticPr fontId="124" type="noConversion"/>
  </si>
  <si>
    <t>30*30透水磚</t>
    <phoneticPr fontId="124" type="noConversion"/>
  </si>
  <si>
    <t>40*40透水磚</t>
    <phoneticPr fontId="124" type="noConversion"/>
  </si>
  <si>
    <t>收邊鋼板A</t>
    <phoneticPr fontId="124" type="noConversion"/>
  </si>
  <si>
    <t>收邊鋼板B</t>
    <phoneticPr fontId="124" type="noConversion"/>
  </si>
  <si>
    <t>A合計</t>
    <phoneticPr fontId="124" type="noConversion"/>
  </si>
  <si>
    <t>B合計</t>
    <phoneticPr fontId="124" type="noConversion"/>
  </si>
  <si>
    <t>A+B</t>
    <phoneticPr fontId="124" type="noConversion"/>
  </si>
  <si>
    <t>契約</t>
    <phoneticPr fontId="124" type="noConversion"/>
  </si>
  <si>
    <t>施作長度</t>
    <phoneticPr fontId="1" type="noConversion"/>
  </si>
  <si>
    <t>總重</t>
    <phoneticPr fontId="1" type="noConversion"/>
  </si>
  <si>
    <t>全家對面</t>
    <phoneticPr fontId="1" type="noConversion"/>
  </si>
  <si>
    <r>
      <rPr>
        <sz val="10"/>
        <rFont val="Microsoft JhengHei"/>
        <family val="2"/>
        <charset val="136"/>
      </rPr>
      <t>原座台A主園道</t>
    </r>
    <phoneticPr fontId="1" type="noConversion"/>
  </si>
  <si>
    <r>
      <rPr>
        <sz val="10"/>
        <rFont val="Microsoft JhengHei"/>
        <family val="2"/>
      </rPr>
      <t>欄杆</t>
    </r>
    <r>
      <rPr>
        <sz val="10"/>
        <rFont val="Arial"/>
        <family val="2"/>
      </rPr>
      <t>b(H</t>
    </r>
    <r>
      <rPr>
        <sz val="10"/>
        <rFont val="Microsoft JhengHei"/>
        <family val="2"/>
      </rPr>
      <t>不同</t>
    </r>
    <r>
      <rPr>
        <sz val="10"/>
        <rFont val="Arial"/>
        <family val="2"/>
      </rPr>
      <t>)</t>
    </r>
    <phoneticPr fontId="1" type="noConversion"/>
  </si>
  <si>
    <t>80*10*480</t>
    <phoneticPr fontId="1" type="noConversion"/>
  </si>
  <si>
    <t>50*4.5*480</t>
    <phoneticPr fontId="1" type="noConversion"/>
  </si>
  <si>
    <t>希冀橋上游</t>
    <phoneticPr fontId="1" type="noConversion"/>
  </si>
  <si>
    <t>希冀橋下游</t>
    <phoneticPr fontId="1" type="noConversion"/>
  </si>
  <si>
    <t>A</t>
    <phoneticPr fontId="1" type="noConversion"/>
  </si>
  <si>
    <t>B</t>
    <phoneticPr fontId="1" type="noConversion"/>
  </si>
  <si>
    <t>格柵鋪面B、鋼板收邊AB、座椅ACD、高程控制牌、導覽牌、三合祠入口意象、垃圾筒、水位警示設施</t>
    <phoneticPr fontId="1" type="noConversion"/>
  </si>
  <si>
    <t>230.74+114.92+3.95+70.63+228.89+13.68+123.71+1835.99+2260.8+532.75+231.73+343.55</t>
    <phoneticPr fontId="1" type="noConversion"/>
  </si>
  <si>
    <r>
      <rPr>
        <sz val="10"/>
        <rFont val="Microsoft JhengHei"/>
        <family val="2"/>
      </rPr>
      <t>樓梯</t>
    </r>
    <r>
      <rPr>
        <sz val="10"/>
        <rFont val="Arial"/>
        <family val="2"/>
      </rPr>
      <t>G</t>
    </r>
    <phoneticPr fontId="1" type="noConversion"/>
  </si>
  <si>
    <r>
      <rPr>
        <sz val="10"/>
        <rFont val="Microsoft JhengHei"/>
        <family val="2"/>
      </rPr>
      <t>樓梯</t>
    </r>
    <r>
      <rPr>
        <sz val="10"/>
        <rFont val="Arial"/>
        <family val="2"/>
      </rPr>
      <t>J</t>
    </r>
    <phoneticPr fontId="1" type="noConversion"/>
  </si>
  <si>
    <t>三合橋南側變更</t>
    <phoneticPr fontId="1" type="noConversion"/>
  </si>
  <si>
    <t>希冀廣場+三合橋頭南側(變更)</t>
    <phoneticPr fontId="1" type="noConversion"/>
  </si>
  <si>
    <t>原合約數量為三合橋，上溢做的</t>
    <phoneticPr fontId="1" type="noConversion"/>
  </si>
  <si>
    <t>有變更減速區+槽化線+邊線</t>
    <phoneticPr fontId="1" type="noConversion"/>
  </si>
  <si>
    <t>CAD跟發包圖都沒找到</t>
    <phoneticPr fontId="1" type="noConversion"/>
  </si>
  <si>
    <t>三合橋頭南側(有變更可能取消)</t>
    <phoneticPr fontId="1" type="noConversion"/>
  </si>
  <si>
    <t>用景觀排水外參算</t>
    <phoneticPr fontId="1" type="noConversion"/>
  </si>
  <si>
    <t>12.7995+12.1839+8.8285+3.3687+4.8485+12.9075+5.4303+22.0926+11.5443+11.114+15.1074+14.3396</t>
    <phoneticPr fontId="1" type="noConversion"/>
  </si>
  <si>
    <r>
      <rPr>
        <sz val="10"/>
        <color rgb="FFFF0000"/>
        <rFont val="Arial"/>
        <family val="2"/>
      </rPr>
      <t>20.3384</t>
    </r>
    <r>
      <rPr>
        <sz val="10"/>
        <rFont val="Arial"/>
        <family val="2"/>
      </rPr>
      <t>+</t>
    </r>
    <r>
      <rPr>
        <sz val="10"/>
        <color rgb="FFFF0000"/>
        <rFont val="Arial"/>
        <family val="2"/>
      </rPr>
      <t>29.2024</t>
    </r>
    <r>
      <rPr>
        <sz val="10"/>
        <rFont val="Arial"/>
        <family val="2"/>
      </rPr>
      <t>+9.5844+</t>
    </r>
    <r>
      <rPr>
        <sz val="10"/>
        <color rgb="FFFF0000"/>
        <rFont val="Arial"/>
        <family val="2"/>
      </rPr>
      <t>26.0361</t>
    </r>
    <r>
      <rPr>
        <sz val="10"/>
        <rFont val="Arial"/>
        <family val="2"/>
      </rPr>
      <t>+</t>
    </r>
    <r>
      <rPr>
        <sz val="10"/>
        <color theme="1"/>
        <rFont val="Arial"/>
        <family val="2"/>
      </rPr>
      <t>23.8328</t>
    </r>
    <r>
      <rPr>
        <sz val="10"/>
        <rFont val="Arial"/>
        <family val="2"/>
      </rPr>
      <t>+81.6726+</t>
    </r>
    <r>
      <rPr>
        <sz val="10"/>
        <color rgb="FFFF0000"/>
        <rFont val="Arial"/>
        <family val="2"/>
      </rPr>
      <t>14.9693+19.0143</t>
    </r>
    <r>
      <rPr>
        <sz val="10"/>
        <rFont val="Arial"/>
        <family val="2"/>
      </rPr>
      <t>+</t>
    </r>
    <r>
      <rPr>
        <sz val="10"/>
        <color rgb="FFFF0000"/>
        <rFont val="Arial"/>
        <family val="2"/>
      </rPr>
      <t>14.4405+14.4147+14.3993</t>
    </r>
    <r>
      <rPr>
        <sz val="10"/>
        <rFont val="Arial"/>
        <family val="2"/>
      </rPr>
      <t>+</t>
    </r>
    <r>
      <rPr>
        <sz val="10"/>
        <color rgb="FFFF0000"/>
        <rFont val="Arial"/>
        <family val="2"/>
      </rPr>
      <t>24.0158</t>
    </r>
    <phoneticPr fontId="1" type="noConversion"/>
  </si>
  <si>
    <r>
      <rPr>
        <sz val="10"/>
        <rFont val="Microsoft JhengHei"/>
        <family val="2"/>
      </rPr>
      <t>紅字算</t>
    </r>
    <r>
      <rPr>
        <sz val="10"/>
        <rFont val="Arial"/>
        <family val="2"/>
      </rPr>
      <t>3"</t>
    </r>
    <phoneticPr fontId="1" type="noConversion"/>
  </si>
  <si>
    <r>
      <t>+3"</t>
    </r>
    <r>
      <rPr>
        <sz val="10"/>
        <rFont val="Microsoft JhengHei"/>
        <family val="2"/>
      </rPr>
      <t>黑字</t>
    </r>
    <phoneticPr fontId="1" type="noConversion"/>
  </si>
  <si>
    <t>只算紅字</t>
    <phoneticPr fontId="1" type="noConversion"/>
  </si>
  <si>
    <t>20.34+29.2+26.04+14.97+19+14.44+14.4+14.4+24</t>
    <phoneticPr fontId="1" type="noConversion"/>
  </si>
  <si>
    <t>12.8+12.18+8.83+3.37+4.85+12.9+5.43+22.09+11.54+11.11+15.11+14.34+9.58+23.83+81.67</t>
    <phoneticPr fontId="1" type="noConversion"/>
  </si>
  <si>
    <t>0.3+1.98+2.24+2.3</t>
    <phoneticPr fontId="1" type="noConversion"/>
  </si>
  <si>
    <t>醉池亭</t>
    <phoneticPr fontId="1" type="noConversion"/>
  </si>
  <si>
    <t>原4B改用12"鐵管</t>
    <phoneticPr fontId="1" type="noConversion"/>
  </si>
  <si>
    <r>
      <t>8+2.2+0.8+4.5+</t>
    </r>
    <r>
      <rPr>
        <sz val="12"/>
        <color rgb="FFFF0000"/>
        <rFont val="標楷體"/>
        <family val="4"/>
        <charset val="136"/>
      </rPr>
      <t>5.9+0.5</t>
    </r>
    <r>
      <rPr>
        <sz val="12"/>
        <color indexed="8"/>
        <rFont val="標楷體"/>
        <family val="4"/>
        <charset val="136"/>
      </rPr>
      <t>+5.4+0.8+1.3+4+0.7+0.4+0.4+1.1+1.3+1+1+4.9</t>
    </r>
    <phoneticPr fontId="1" type="noConversion"/>
  </si>
  <si>
    <t>A0K+080</t>
    <phoneticPr fontId="1" type="noConversion"/>
  </si>
  <si>
    <t>A0K+120</t>
    <phoneticPr fontId="1" type="noConversion"/>
  </si>
  <si>
    <t>N0K+110</t>
    <phoneticPr fontId="1" type="noConversion"/>
  </si>
  <si>
    <t>晶化地坪</t>
    <phoneticPr fontId="1" type="noConversion"/>
  </si>
  <si>
    <t>2.57*34.6*0.1</t>
    <phoneticPr fontId="1" type="noConversion"/>
  </si>
  <si>
    <t>三合祠新基礎</t>
    <phoneticPr fontId="1" type="noConversion"/>
  </si>
  <si>
    <t>三合祠舊基礎加固(遷移前)</t>
    <phoneticPr fontId="1" type="noConversion"/>
  </si>
  <si>
    <t>8+4.5+15</t>
    <phoneticPr fontId="1" type="noConversion"/>
  </si>
  <si>
    <t>地坪、鋪面、緣石底層</t>
    <phoneticPr fontId="1" type="noConversion"/>
  </si>
  <si>
    <t>雨水積磚回填</t>
    <phoneticPr fontId="1" type="noConversion"/>
  </si>
  <si>
    <t>三合祠入口意象</t>
    <phoneticPr fontId="1" type="noConversion"/>
  </si>
  <si>
    <t>(0.5*4*7+0.9*16)*1.25*14</t>
    <phoneticPr fontId="1" type="noConversion"/>
  </si>
  <si>
    <t>希冀橋</t>
    <phoneticPr fontId="1" type="noConversion"/>
  </si>
  <si>
    <t>契約數量含基樁</t>
    <phoneticPr fontId="1" type="noConversion"/>
  </si>
  <si>
    <t>透空步道踏階</t>
    <phoneticPr fontId="1" type="noConversion"/>
  </si>
  <si>
    <t>44*2</t>
    <phoneticPr fontId="1" type="noConversion"/>
  </si>
  <si>
    <t>(7.95*8*3.05+(9.45+6.15)*4*1.56+1.1*191*2.25)*2</t>
    <phoneticPr fontId="1" type="noConversion"/>
  </si>
  <si>
    <t>希冀橋翼板+透空步道+耐候鋼扶手</t>
    <phoneticPr fontId="1" type="noConversion"/>
  </si>
  <si>
    <t>1925.12+2779.79+2803.34+1517.1+824.04+2572.48+1526.53+11706.6</t>
    <phoneticPr fontId="1" type="noConversion"/>
  </si>
  <si>
    <t>希冀橋欄杆B+引道扶手</t>
    <phoneticPr fontId="1" type="noConversion"/>
  </si>
  <si>
    <t>2.4*(6+1.5+6)+(2.5*3.62)+8.9*1.6+4.72*2.12+34.3</t>
    <phoneticPr fontId="1" type="noConversion"/>
  </si>
  <si>
    <t>希冀橋平台+引道+樓梯</t>
    <phoneticPr fontId="1" type="noConversion"/>
  </si>
  <si>
    <t>全工區面積</t>
    <phoneticPr fontId="1" type="noConversion"/>
  </si>
  <si>
    <t>希冀橋引道+樓梯</t>
    <phoneticPr fontId="1" type="noConversion"/>
  </si>
  <si>
    <t>希冀橋上</t>
    <phoneticPr fontId="1" type="noConversion"/>
  </si>
  <si>
    <t>4.8*2</t>
    <phoneticPr fontId="1" type="noConversion"/>
  </si>
  <si>
    <t>1+1</t>
    <phoneticPr fontId="1" type="noConversion"/>
  </si>
  <si>
    <t>左右各1</t>
    <phoneticPr fontId="1" type="noConversion"/>
  </si>
  <si>
    <t>22+302+1177.9</t>
    <phoneticPr fontId="1" type="noConversion"/>
  </si>
  <si>
    <t>改用280二型</t>
    <phoneticPr fontId="1" type="noConversion"/>
  </si>
  <si>
    <t>((0.2+0.6+0.4)/3+0.25+0.25)*103.8</t>
    <phoneticPr fontId="1" type="noConversion"/>
  </si>
  <si>
    <t>護岸三欄杆基礎</t>
    <phoneticPr fontId="1" type="noConversion"/>
  </si>
  <si>
    <t>前次漏算</t>
    <phoneticPr fontId="1" type="noConversion"/>
  </si>
  <si>
    <t>(1.8*33.5*2+1.8*11.5*2+1.8*10*3*2+1.8*16*2*2)+1.8*3*190.8+1.8*4*60</t>
    <phoneticPr fontId="1" type="noConversion"/>
  </si>
  <si>
    <t>RCP管、過路段鐵管上方回填</t>
    <phoneticPr fontId="1" type="noConversion"/>
  </si>
  <si>
    <t>磺港路南北向</t>
    <phoneticPr fontId="1" type="noConversion"/>
  </si>
  <si>
    <t>5%內放結算</t>
    <phoneticPr fontId="1" type="noConversion"/>
  </si>
  <si>
    <t>景石A*12景石B*19景石C*35景石D*46共112顆</t>
    <phoneticPr fontId="1" type="noConversion"/>
  </si>
  <si>
    <t>(0.8+0.2)*731.4*0.05+(1.1*1.3*0.05*57)</t>
    <phoneticPr fontId="1" type="noConversion"/>
  </si>
  <si>
    <t>崇仁路155-157巷既有擋牆修復</t>
    <phoneticPr fontId="1" type="noConversion"/>
  </si>
  <si>
    <t>崇仁路157-159巷既有擋牆修復</t>
    <phoneticPr fontId="1" type="noConversion"/>
  </si>
  <si>
    <t>25*1+1*0.1*2</t>
    <phoneticPr fontId="1" type="noConversion"/>
  </si>
  <si>
    <t>追加:雨水積磚3上方</t>
    <phoneticPr fontId="1" type="noConversion"/>
  </si>
  <si>
    <t>10.93+5.5</t>
    <phoneticPr fontId="1" type="noConversion"/>
  </si>
  <si>
    <t>5%內，結算</t>
    <phoneticPr fontId="1" type="noConversion"/>
  </si>
  <si>
    <t>透水磚地坪</t>
    <phoneticPr fontId="1" type="noConversion"/>
  </si>
  <si>
    <t>梯形磚地坪</t>
    <phoneticPr fontId="1" type="noConversion"/>
  </si>
  <si>
    <t>欄杆B'</t>
    <phoneticPr fontId="1" type="noConversion"/>
  </si>
  <si>
    <t>3854.23*0.15/2</t>
    <phoneticPr fontId="1" type="noConversion"/>
  </si>
  <si>
    <t>462.9*0.15</t>
    <phoneticPr fontId="1" type="noConversion"/>
  </si>
  <si>
    <t>(3854.23+462.9+18.76+1254.13+44.64)*0.3</t>
    <phoneticPr fontId="1" type="noConversion"/>
  </si>
  <si>
    <r>
      <rPr>
        <sz val="10"/>
        <rFont val="Microsoft JhengHei"/>
        <family val="2"/>
      </rPr>
      <t>欄杆</t>
    </r>
    <r>
      <rPr>
        <sz val="10"/>
        <rFont val="Arial"/>
        <family val="2"/>
      </rPr>
      <t>B</t>
    </r>
    <r>
      <rPr>
        <sz val="10"/>
        <rFont val="Microsoft JhengHei"/>
        <family val="2"/>
      </rPr>
      <t>基礎</t>
    </r>
    <r>
      <rPr>
        <sz val="10"/>
        <rFont val="Arial"/>
        <family val="2"/>
      </rPr>
      <t>(</t>
    </r>
    <r>
      <rPr>
        <sz val="10"/>
        <rFont val="Microsoft JhengHei"/>
        <family val="2"/>
      </rPr>
      <t>每進行米重量</t>
    </r>
    <r>
      <rPr>
        <sz val="10"/>
        <rFont val="Arial"/>
        <family val="2"/>
      </rPr>
      <t>)</t>
    </r>
    <phoneticPr fontId="1" type="noConversion"/>
  </si>
  <si>
    <t>三合橋左岸欄杆B'基礎</t>
    <phoneticPr fontId="1" type="noConversion"/>
  </si>
  <si>
    <t>7+16+23+9+8+3</t>
    <phoneticPr fontId="1" type="noConversion"/>
  </si>
  <si>
    <r>
      <rPr>
        <sz val="10"/>
        <rFont val="標楷體"/>
        <family val="2"/>
        <charset val="136"/>
      </rPr>
      <t>箱涵挖方減少</t>
    </r>
    <r>
      <rPr>
        <sz val="10"/>
        <rFont val="Arial"/>
        <family val="2"/>
      </rPr>
      <t xml:space="preserve">
</t>
    </r>
    <phoneticPr fontId="1" type="noConversion"/>
  </si>
  <si>
    <t>瀝青混凝土面層刨除，厚5cm，刨除機1.2m寬，含瀝青鋪面打毛(未含運費)</t>
    <phoneticPr fontId="1" type="noConversion"/>
  </si>
  <si>
    <t>瀝青混凝土面層刨除，厚10cm，刨除機2.2m寬，未含運費</t>
    <phoneticPr fontId="1" type="noConversion"/>
  </si>
  <si>
    <t>機械拆除，瀝青混凝土+瀝青混凝土面層刨除，厚5cm+瀝青混凝土面層刨除，厚10cm</t>
    <phoneticPr fontId="1" type="noConversion"/>
  </si>
  <si>
    <t>322/30*35(不計入計價數量)</t>
    <phoneticPr fontId="1" type="noConversion"/>
  </si>
  <si>
    <t>((3.96*11.5*2+7.48*12.9)*0.5)+((3.96*2+11.5*2)*2*0.7*1.5)+((7.48*2+12.9*2)*0.7*1.5)-(1*1*0.5*3)</t>
    <phoneticPr fontId="1" type="noConversion"/>
  </si>
  <si>
    <t>3.25+3.49+0.23+2.43+2.78+0.09+0.48+9.63+33.7+22.11+5.04+1.55+1.58+2.23+0.34+0.89+0.55+0.85+1.21+0.45+0.65+0.93+0.77+1.16+0.19+0.46+8.85+15.2+1.91+1.21+0.21+9.74+83.93+119.56+3.23+21+5.08+29.69+5.54</t>
    <phoneticPr fontId="1" type="noConversion"/>
  </si>
  <si>
    <t>計算書數量計算有誤</t>
    <phoneticPr fontId="1" type="noConversion"/>
  </si>
  <si>
    <t>道路高程變更加高</t>
    <phoneticPr fontId="1" type="noConversion"/>
  </si>
  <si>
    <t>鄰房側水溝施工需要</t>
    <phoneticPr fontId="1" type="noConversion"/>
  </si>
  <si>
    <t>雨水積磚變更無PC改用清碎石</t>
    <phoneticPr fontId="1" type="noConversion"/>
  </si>
  <si>
    <r>
      <t>雨水積磚變更無</t>
    </r>
    <r>
      <rPr>
        <sz val="10"/>
        <rFont val="Arial"/>
        <family val="2"/>
      </rPr>
      <t>PC</t>
    </r>
    <r>
      <rPr>
        <sz val="10"/>
        <rFont val="細明體"/>
        <family val="3"/>
        <charset val="136"/>
      </rPr>
      <t>改用清碎石</t>
    </r>
  </si>
  <si>
    <t>放結算5%內</t>
    <phoneticPr fontId="1" type="noConversion"/>
  </si>
  <si>
    <t>地坪.座椅.座台.擋牆.樓梯.指示牌基礎.截水溝.陰井等</t>
    <phoneticPr fontId="1" type="noConversion"/>
  </si>
  <si>
    <t>緣石不能再算模板</t>
    <phoneticPr fontId="1" type="noConversion"/>
  </si>
  <si>
    <t>116.01+43.82+3.3+29.87+31.26+52.98</t>
    <phoneticPr fontId="1" type="noConversion"/>
  </si>
  <si>
    <t>數量計算表.護欄b</t>
    <phoneticPr fontId="1" type="noConversion"/>
  </si>
  <si>
    <t>C'</t>
    <phoneticPr fontId="1" type="noConversion"/>
  </si>
  <si>
    <t>變更欄杆</t>
    <phoneticPr fontId="1" type="noConversion"/>
  </si>
  <si>
    <r>
      <rPr>
        <sz val="10"/>
        <rFont val="Microsoft JhengHei"/>
        <family val="2"/>
      </rPr>
      <t>樓梯</t>
    </r>
    <r>
      <rPr>
        <sz val="10"/>
        <rFont val="Arial"/>
        <family val="2"/>
      </rPr>
      <t>M</t>
    </r>
    <phoneticPr fontId="1" type="noConversion"/>
  </si>
  <si>
    <t>三合祠入口意象</t>
    <phoneticPr fontId="1" type="noConversion"/>
  </si>
  <si>
    <t>(1.8*4*19.8*1.05)+(2.1*10*19.8*1.05)+((4.4+0.5+0.5)*2*9.63*1.2)+((4.4+0.5+0.5)*5*9.63*1.2)</t>
    <phoneticPr fontId="1" type="noConversion"/>
  </si>
  <si>
    <t>((0.35*0.35*78.5)+((0.06+0.03)*0.075*4*78.5))*14</t>
    <phoneticPr fontId="1" type="noConversion"/>
  </si>
  <si>
    <t>5.7+51.6</t>
    <phoneticPr fontId="1" type="noConversion"/>
  </si>
  <si>
    <t>鋪面、緣石、座台、座椅PC</t>
    <phoneticPr fontId="1" type="noConversion"/>
  </si>
  <si>
    <t>18.2+16+3.25</t>
    <phoneticPr fontId="1" type="noConversion"/>
  </si>
  <si>
    <t>磺港橋.樓梯M</t>
    <phoneticPr fontId="1" type="noConversion"/>
  </si>
  <si>
    <t>26.07+66.19+187.34+1.45+15.65+34.14+206.4+15.91+22.5+37.31+115.12+31.35</t>
    <phoneticPr fontId="1" type="noConversion"/>
  </si>
  <si>
    <t>追加道路邊線</t>
    <phoneticPr fontId="1" type="noConversion"/>
  </si>
  <si>
    <t>(36.78+10.38+16.99+10.87+7.7+6.05+138.14+64.59+143.89+48.17+61.28+50.89+24.6+31.5+6+98.4+28.24+28.2)*0.1</t>
    <phoneticPr fontId="1" type="noConversion"/>
  </si>
  <si>
    <t>追加槽化線.減速平台.網狀線</t>
    <phoneticPr fontId="1" type="noConversion"/>
  </si>
  <si>
    <t>72.8+7+6+6+7+6.5*4+16.7+0.3*22+26.2</t>
    <phoneticPr fontId="1" type="noConversion"/>
  </si>
  <si>
    <t>1.75*1.1*0.7*2.65*12+1.1*0.7*0.6*2.65*19+0.8*0.5*0.3*2.65*35+0.4*0.4*0.3*2.65*46</t>
    <phoneticPr fontId="1" type="noConversion"/>
  </si>
  <si>
    <t>依選石數量計算，大小數量異動</t>
    <phoneticPr fontId="1" type="noConversion"/>
  </si>
  <si>
    <t>雨水積磚3上+1</t>
    <phoneticPr fontId="1" type="noConversion"/>
  </si>
  <si>
    <t>11.2+21.2+9.2+11.1</t>
    <phoneticPr fontId="1" type="noConversion"/>
  </si>
  <si>
    <t>工區一取消</t>
    <phoneticPr fontId="1" type="noConversion"/>
  </si>
  <si>
    <t>14.35+17.21</t>
    <phoneticPr fontId="1" type="noConversion"/>
  </si>
  <si>
    <t>取消施作</t>
    <phoneticPr fontId="1" type="noConversion"/>
  </si>
  <si>
    <t>25+1</t>
    <phoneticPr fontId="1" type="noConversion"/>
  </si>
  <si>
    <t>臨溪側+公園+雨水積磚3上面</t>
    <phoneticPr fontId="1" type="noConversion"/>
  </si>
  <si>
    <t>放結算</t>
    <phoneticPr fontId="1" type="noConversion"/>
  </si>
  <si>
    <t>工區1減作1個</t>
    <phoneticPr fontId="1" type="noConversion"/>
  </si>
  <si>
    <r>
      <rPr>
        <sz val="10"/>
        <rFont val="Microsoft JhengHei"/>
        <family val="2"/>
      </rPr>
      <t>工區</t>
    </r>
    <r>
      <rPr>
        <sz val="10"/>
        <rFont val="Arial"/>
        <family val="2"/>
      </rPr>
      <t>1</t>
    </r>
    <r>
      <rPr>
        <sz val="10"/>
        <rFont val="Microsoft JhengHei"/>
        <family val="2"/>
      </rPr>
      <t>減作</t>
    </r>
    <phoneticPr fontId="1" type="noConversion"/>
  </si>
  <si>
    <r>
      <rPr>
        <sz val="10"/>
        <rFont val="Microsoft JhengHei"/>
        <family val="2"/>
      </rPr>
      <t>工區</t>
    </r>
    <r>
      <rPr>
        <sz val="10"/>
        <rFont val="Arial"/>
        <family val="2"/>
      </rPr>
      <t>1</t>
    </r>
    <r>
      <rPr>
        <sz val="10"/>
        <rFont val="Microsoft JhengHei"/>
        <family val="2"/>
      </rPr>
      <t>減作</t>
    </r>
    <r>
      <rPr>
        <sz val="10"/>
        <rFont val="Arial"/>
        <family val="2"/>
      </rPr>
      <t>.</t>
    </r>
    <r>
      <rPr>
        <sz val="10"/>
        <rFont val="Microsoft JhengHei"/>
        <family val="2"/>
        <charset val="136"/>
      </rPr>
      <t>雨水積磚</t>
    </r>
    <r>
      <rPr>
        <sz val="10"/>
        <rFont val="Arial"/>
        <family val="2"/>
      </rPr>
      <t>3</t>
    </r>
    <r>
      <rPr>
        <sz val="10"/>
        <rFont val="細明體"/>
        <family val="2"/>
        <charset val="136"/>
      </rPr>
      <t>上面新增</t>
    </r>
    <phoneticPr fontId="1" type="noConversion"/>
  </si>
  <si>
    <r>
      <t>雨水積磚</t>
    </r>
    <r>
      <rPr>
        <sz val="10"/>
        <rFont val="Arial"/>
        <family val="2"/>
      </rPr>
      <t>3</t>
    </r>
    <r>
      <rPr>
        <sz val="10"/>
        <rFont val="細明體"/>
        <family val="3"/>
        <charset val="136"/>
      </rPr>
      <t>上面新增</t>
    </r>
  </si>
  <si>
    <t>因叫料都叫4"B管(厚)誤植，已經有計價5.95M，施作位置為上面紅字標示</t>
    <phoneticPr fontId="1" type="noConversion"/>
  </si>
  <si>
    <t>三合橋南向鄰房側變更</t>
    <phoneticPr fontId="1" type="noConversion"/>
  </si>
  <si>
    <t>(1.2*2.05+3*16.8+1.76*9.35)*0.1</t>
    <phoneticPr fontId="1" type="noConversion"/>
  </si>
  <si>
    <t>挪項</t>
    <phoneticPr fontId="1" type="noConversion"/>
  </si>
  <si>
    <t>晶化地坪用280，引道粉光用210</t>
    <phoneticPr fontId="1" type="noConversion"/>
  </si>
  <si>
    <t>第5次變更設計詳細表(議價前)</t>
    <phoneticPr fontId="1" type="noConversion"/>
  </si>
  <si>
    <t>(1.3+0.6)*25/2</t>
    <phoneticPr fontId="1" type="noConversion"/>
  </si>
  <si>
    <t>(1.3+0.6)*25/2*0.1</t>
    <phoneticPr fontId="1" type="noConversion"/>
  </si>
  <si>
    <t>1.3.41</t>
  </si>
  <si>
    <t>M2</t>
    <phoneticPr fontId="1" type="noConversion"/>
  </si>
  <si>
    <t>1.34*1.47+1.47*18.7/2*2+0.75*9/2+0.7*3.7+4.5*2</t>
    <phoneticPr fontId="1" type="noConversion"/>
  </si>
  <si>
    <t>仿清水模塗料粉刷</t>
    <phoneticPr fontId="1" type="noConversion"/>
  </si>
  <si>
    <t>契約數量含基樁，重複</t>
    <phoneticPr fontId="1" type="noConversion"/>
  </si>
  <si>
    <r>
      <rPr>
        <sz val="10"/>
        <rFont val="細明體"/>
        <family val="2"/>
        <charset val="136"/>
      </rPr>
      <t>希冀橋引道及樓梯新增側牆</t>
    </r>
    <r>
      <rPr>
        <sz val="10"/>
        <rFont val="Arial"/>
        <family val="2"/>
      </rPr>
      <t>(</t>
    </r>
    <r>
      <rPr>
        <sz val="10"/>
        <rFont val="細明體"/>
        <family val="2"/>
        <charset val="136"/>
      </rPr>
      <t>原為懸空</t>
    </r>
    <r>
      <rPr>
        <sz val="10"/>
        <rFont val="Arial"/>
        <family val="2"/>
      </rPr>
      <t>)</t>
    </r>
    <phoneticPr fontId="1" type="noConversion"/>
  </si>
  <si>
    <r>
      <t>+34.17</t>
    </r>
    <r>
      <rPr>
        <sz val="10"/>
        <rFont val="Microsoft JhengHei"/>
        <family val="2"/>
      </rPr>
      <t>放結算</t>
    </r>
    <phoneticPr fontId="1" type="noConversion"/>
  </si>
  <si>
    <r>
      <rPr>
        <sz val="10"/>
        <rFont val="細明體"/>
        <family val="2"/>
        <charset val="136"/>
      </rPr>
      <t>計算數量</t>
    </r>
    <r>
      <rPr>
        <sz val="10"/>
        <rFont val="Arial"/>
        <family val="2"/>
      </rPr>
      <t>588.32</t>
    </r>
    <r>
      <rPr>
        <sz val="10"/>
        <rFont val="細明體"/>
        <family val="2"/>
        <charset val="136"/>
      </rPr>
      <t>，</t>
    </r>
    <r>
      <rPr>
        <sz val="10"/>
        <rFont val="Arial"/>
        <family val="2"/>
      </rPr>
      <t>-68.59</t>
    </r>
    <r>
      <rPr>
        <sz val="10"/>
        <rFont val="細明體"/>
        <family val="2"/>
        <charset val="136"/>
      </rPr>
      <t>先不扣</t>
    </r>
    <phoneticPr fontId="1" type="noConversion"/>
  </si>
  <si>
    <r>
      <t>+3.6</t>
    </r>
    <r>
      <rPr>
        <sz val="10"/>
        <rFont val="細明體"/>
        <family val="2"/>
        <charset val="136"/>
      </rPr>
      <t>，放結算</t>
    </r>
    <phoneticPr fontId="1" type="noConversion"/>
  </si>
  <si>
    <r>
      <t>+12</t>
    </r>
    <r>
      <rPr>
        <sz val="10"/>
        <rFont val="細明體"/>
        <family val="2"/>
        <charset val="136"/>
      </rPr>
      <t>，放結算</t>
    </r>
    <phoneticPr fontId="1" type="noConversion"/>
  </si>
  <si>
    <t>依混凝土數量變動</t>
    <phoneticPr fontId="1" type="noConversion"/>
  </si>
  <si>
    <t>依混凝土數量變動，四變有減140沒減泵送費</t>
    <phoneticPr fontId="1" type="noConversion"/>
  </si>
  <si>
    <t>80.3*0.6+20.1*0.6</t>
    <phoneticPr fontId="1" type="noConversion"/>
  </si>
  <si>
    <t>158*23.5</t>
    <phoneticPr fontId="1" type="noConversion"/>
  </si>
  <si>
    <t>放結算</t>
    <phoneticPr fontId="1" type="noConversion"/>
  </si>
  <si>
    <t>7+5+3+12+11</t>
    <phoneticPr fontId="1" type="noConversion"/>
  </si>
  <si>
    <t>BL17.18.19.20.21.22.23-1.24.25</t>
    <phoneticPr fontId="1" type="noConversion"/>
  </si>
  <si>
    <t>11.1+10+11.2+20.6+17.5+10.7+2.3+6.8+4.8</t>
    <phoneticPr fontId="1" type="noConversion"/>
  </si>
  <si>
    <t>95/2.4</t>
    <phoneticPr fontId="1" type="noConversion"/>
  </si>
  <si>
    <t>0.6*3.14*40</t>
    <phoneticPr fontId="1" type="noConversion"/>
  </si>
  <si>
    <t>BL17.18.19.20.21.22.23-1.
24.25</t>
    <phoneticPr fontId="1" type="noConversion"/>
  </si>
  <si>
    <r>
      <rPr>
        <sz val="10"/>
        <rFont val="Microsoft JhengHei"/>
        <family val="2"/>
      </rPr>
      <t>部份過路段改用鐵管</t>
    </r>
    <r>
      <rPr>
        <sz val="10"/>
        <rFont val="Arial"/>
        <family val="2"/>
      </rPr>
      <t xml:space="preserve">
</t>
    </r>
    <phoneticPr fontId="1" type="noConversion"/>
  </si>
  <si>
    <t>依實際施作數量</t>
    <phoneticPr fontId="1" type="noConversion"/>
  </si>
  <si>
    <r>
      <t>731.4/9</t>
    </r>
    <r>
      <rPr>
        <sz val="12"/>
        <color rgb="FF000000"/>
        <rFont val="標楷體"/>
        <family val="3"/>
        <charset val="136"/>
      </rPr>
      <t>≒</t>
    </r>
    <r>
      <rPr>
        <sz val="12"/>
        <color indexed="8"/>
        <rFont val="標楷體"/>
        <family val="4"/>
        <charset val="136"/>
      </rPr>
      <t>82處，(0.6*2+0.7)*82</t>
    </r>
    <phoneticPr fontId="1" type="noConversion"/>
  </si>
  <si>
    <t>XE049雀榕、E012正榕(凱米颱風樹倒移除)、E032雀榕(康芮颱風樹倒移除)、D029正榕、D030正榕、D035正榕、E168雀榕</t>
    <phoneticPr fontId="1" type="noConversion"/>
  </si>
  <si>
    <r>
      <t xml:space="preserve">E032雀榕康芮颱風傾倒
</t>
    </r>
    <r>
      <rPr>
        <sz val="12"/>
        <color rgb="FFFF0000"/>
        <rFont val="標楷體"/>
        <family val="4"/>
        <charset val="136"/>
      </rPr>
      <t>E012正榕凱米傾倒</t>
    </r>
    <r>
      <rPr>
        <sz val="12"/>
        <color rgb="FFFF0000"/>
        <rFont val="標楷體"/>
        <family val="3"/>
        <charset val="136"/>
      </rPr>
      <t>∮</t>
    </r>
    <r>
      <rPr>
        <sz val="10.45"/>
        <color rgb="FFFF0000"/>
        <rFont val="標楷體"/>
        <family val="4"/>
        <charset val="136"/>
      </rPr>
      <t>59CM</t>
    </r>
    <r>
      <rPr>
        <sz val="12"/>
        <color rgb="FFFF0000"/>
        <rFont val="標楷體"/>
        <family val="4"/>
        <charset val="136"/>
      </rPr>
      <t>(以此項目計算)</t>
    </r>
    <r>
      <rPr>
        <sz val="12"/>
        <color indexed="8"/>
        <rFont val="標楷體"/>
        <family val="4"/>
        <charset val="136"/>
      </rPr>
      <t xml:space="preserve">
E168議員會勘移除</t>
    </r>
    <r>
      <rPr>
        <sz val="12"/>
        <color rgb="FF000000"/>
        <rFont val="標楷體"/>
        <family val="3"/>
        <charset val="136"/>
      </rPr>
      <t>∮</t>
    </r>
    <r>
      <rPr>
        <sz val="9.6"/>
        <color indexed="8"/>
        <rFont val="標楷體"/>
        <family val="4"/>
        <charset val="136"/>
      </rPr>
      <t>78</t>
    </r>
    <r>
      <rPr>
        <sz val="12"/>
        <color indexed="8"/>
        <rFont val="標楷體"/>
        <family val="4"/>
        <charset val="136"/>
      </rPr>
      <t>CM(以此項目計算)</t>
    </r>
    <phoneticPr fontId="1" type="noConversion"/>
  </si>
  <si>
    <r>
      <t>E168</t>
    </r>
    <r>
      <rPr>
        <sz val="10"/>
        <rFont val="細明體"/>
        <family val="3"/>
        <charset val="136"/>
      </rPr>
      <t>議員會勘移除∮</t>
    </r>
    <r>
      <rPr>
        <sz val="10"/>
        <rFont val="Arial"/>
        <family val="2"/>
      </rPr>
      <t>78CM(</t>
    </r>
    <r>
      <rPr>
        <sz val="10"/>
        <rFont val="細明體"/>
        <family val="3"/>
        <charset val="136"/>
      </rPr>
      <t>以此項目計算</t>
    </r>
    <r>
      <rPr>
        <sz val="10"/>
        <rFont val="Arial"/>
        <family val="2"/>
      </rPr>
      <t>)</t>
    </r>
  </si>
  <si>
    <t>受保護樹木編號:3430(F007)、3469(E148)、3470(E154)、3736(E165)共4株</t>
    <phoneticPr fontId="1" type="noConversion"/>
  </si>
  <si>
    <t>工區四.抽水站旁.百齡暫置區各1面</t>
    <phoneticPr fontId="1" type="noConversion"/>
  </si>
  <si>
    <t>四變契約數量</t>
    <phoneticPr fontId="1" type="noConversion"/>
  </si>
  <si>
    <t>共4台，2台112.9.23裝設，1台112.10.23裝設，1台出土期間，工期=730+展延143=873天</t>
    <phoneticPr fontId="1" type="noConversion"/>
  </si>
  <si>
    <t>2*873+1*843+1*100</t>
    <phoneticPr fontId="1" type="noConversion"/>
  </si>
  <si>
    <t>873/30</t>
    <phoneticPr fontId="1" type="noConversion"/>
  </si>
  <si>
    <t>112.9.23-115.2.25</t>
    <phoneticPr fontId="1" type="noConversion"/>
  </si>
  <si>
    <t>29個月*2處</t>
    <phoneticPr fontId="1" type="noConversion"/>
  </si>
  <si>
    <t>工區範圍28448m2，約1185.34m2/月*29個月</t>
    <phoneticPr fontId="1" type="noConversion"/>
  </si>
  <si>
    <t>1185.34*29</t>
    <phoneticPr fontId="1" type="noConversion"/>
  </si>
  <si>
    <t>工區第1及2階段+暫置區+第3-1.3-2、第4.5階段</t>
    <phoneticPr fontId="1" type="noConversion"/>
  </si>
  <si>
    <t>255+20*2+60</t>
    <phoneticPr fontId="1" type="noConversion"/>
  </si>
  <si>
    <t>磺港橋A1A2橋台+雙孔破堤處+希冀橋A1A2橋台+護岸三堤牆+低水護岸綠坡+工區四+工區六+工區七</t>
    <phoneticPr fontId="1" type="noConversion"/>
  </si>
  <si>
    <t>(32.3*2+41.5+16+30.5*2)+(53.5+25.2)+(18.5*2+21)+(65.2*2)+(246.5+36+27.6)+58+(63.2*2)+(45.5*2)+(180.3*2)</t>
    <phoneticPr fontId="1" type="noConversion"/>
  </si>
  <si>
    <t>385+80</t>
    <phoneticPr fontId="1" type="noConversion"/>
  </si>
  <si>
    <t>9*30*4+(730-8*30)*1</t>
    <phoneticPr fontId="1" type="noConversion"/>
  </si>
  <si>
    <t>29*2</t>
    <phoneticPr fontId="1" type="noConversion"/>
  </si>
  <si>
    <t>112.9.23-115.2.25約29個月(873天)</t>
    <phoneticPr fontId="1" type="noConversion"/>
  </si>
  <si>
    <t>27+50</t>
    <phoneticPr fontId="1" type="noConversion"/>
  </si>
  <si>
    <t>希冀橋</t>
    <phoneticPr fontId="1" type="noConversion"/>
  </si>
  <si>
    <t>8+67</t>
    <phoneticPr fontId="1" type="noConversion"/>
  </si>
  <si>
    <t>4+5+6</t>
    <phoneticPr fontId="1" type="noConversion"/>
  </si>
  <si>
    <r>
      <rPr>
        <sz val="10"/>
        <color rgb="FFFF0000"/>
        <rFont val="細明體"/>
        <family val="2"/>
        <charset val="136"/>
      </rPr>
      <t>但是有計價</t>
    </r>
    <r>
      <rPr>
        <sz val="10"/>
        <color rgb="FFFF0000"/>
        <rFont val="Arial"/>
        <family val="2"/>
      </rPr>
      <t>5.95M</t>
    </r>
    <r>
      <rPr>
        <sz val="10"/>
        <color rgb="FFFF0000"/>
        <rFont val="細明體"/>
        <family val="2"/>
        <charset val="136"/>
      </rPr>
      <t>因為用厚管</t>
    </r>
    <phoneticPr fontId="1" type="noConversion"/>
  </si>
  <si>
    <t>低水護岸坡面</t>
    <phoneticPr fontId="1" type="noConversion"/>
  </si>
  <si>
    <t>依圖說數量.1個在A標</t>
    <phoneticPr fontId="1" type="noConversion"/>
  </si>
  <si>
    <t>變更樹徑</t>
    <phoneticPr fontId="1" type="noConversion"/>
  </si>
  <si>
    <t>變更樹種</t>
    <phoneticPr fontId="1" type="noConversion"/>
  </si>
  <si>
    <t>工期展延</t>
  </si>
  <si>
    <t>工期展延</t>
    <phoneticPr fontId="1" type="noConversion"/>
  </si>
  <si>
    <t>將依議價總金額調整</t>
    <phoneticPr fontId="1" type="noConversion"/>
  </si>
  <si>
    <t>受保護樹木編號:3430(F007)、3469(E148)、3470(E154)、3736(E165)共4株，移植喬木46株</t>
    <phoneticPr fontId="1" type="noConversion"/>
  </si>
  <si>
    <t>4*4+46*4</t>
    <phoneticPr fontId="1" type="noConversion"/>
  </si>
  <si>
    <t>保護樹D058.E011.E012.E109.E148.E154.F007+移植喬木46株</t>
    <phoneticPr fontId="1" type="noConversion"/>
  </si>
  <si>
    <t>數量異動原因</t>
    <phoneticPr fontId="1" type="noConversion"/>
  </si>
  <si>
    <r>
      <rPr>
        <sz val="10"/>
        <rFont val="細明體"/>
        <family val="2"/>
        <charset val="136"/>
      </rPr>
      <t>磺港橋</t>
    </r>
    <r>
      <rPr>
        <sz val="10"/>
        <rFont val="Arial"/>
        <family val="2"/>
      </rPr>
      <t>30*30</t>
    </r>
    <r>
      <rPr>
        <sz val="10"/>
        <rFont val="細明體"/>
        <family val="2"/>
        <charset val="136"/>
      </rPr>
      <t>改</t>
    </r>
    <r>
      <rPr>
        <sz val="10"/>
        <rFont val="Arial"/>
        <family val="2"/>
      </rPr>
      <t>20*20</t>
    </r>
    <phoneticPr fontId="1" type="noConversion"/>
  </si>
  <si>
    <r>
      <rPr>
        <sz val="10"/>
        <rFont val="Microsoft JhengHei"/>
        <family val="2"/>
      </rPr>
      <t>工區七綠帶改</t>
    </r>
    <r>
      <rPr>
        <sz val="10"/>
        <rFont val="Arial"/>
        <family val="2"/>
      </rPr>
      <t>30*30</t>
    </r>
    <phoneticPr fontId="1" type="noConversion"/>
  </si>
  <si>
    <t>三合橋側上溢做的</t>
    <phoneticPr fontId="1" type="noConversion"/>
  </si>
  <si>
    <t>30.7+32.88+38.64+26.21+2.68+84.45+17.44+67.02+80.48+24.95+36.48+150.42+21.26+63.27</t>
    <phoneticPr fontId="1" type="noConversion"/>
  </si>
  <si>
    <t>60.71+569.24+68.14+34.37+144.52+212.78+250.7+29.22+32.96</t>
    <phoneticPr fontId="1" type="noConversion"/>
  </si>
  <si>
    <t>48.47+248.51+13.01+27.39+21.79+13.82+185.14+85.29+16.74+165.79</t>
    <phoneticPr fontId="1" type="noConversion"/>
  </si>
  <si>
    <r>
      <rPr>
        <sz val="10"/>
        <rFont val="細明體"/>
        <family val="2"/>
        <charset val="136"/>
      </rPr>
      <t>崇仁路</t>
    </r>
    <r>
      <rPr>
        <sz val="10"/>
        <rFont val="Arial"/>
        <family val="2"/>
      </rPr>
      <t>155</t>
    </r>
    <r>
      <rPr>
        <sz val="10"/>
        <rFont val="細明體"/>
        <family val="2"/>
        <charset val="136"/>
      </rPr>
      <t>巷</t>
    </r>
    <phoneticPr fontId="1" type="noConversion"/>
  </si>
  <si>
    <t>欄杆B'(左岸+右岸+三合祠旁)</t>
    <phoneticPr fontId="1" type="noConversion"/>
  </si>
  <si>
    <t>0.3*2*(103.8+31)</t>
    <phoneticPr fontId="1" type="noConversion"/>
  </si>
  <si>
    <t>計算式</t>
    <phoneticPr fontId="1" type="noConversion"/>
  </si>
  <si>
    <t>5.81+1.8+1.5+3.92+4+2.62+2.88+6.7+4.22+3.79+3.7+11.81+2.5+6.55+7.43+1.5+1.5+2.42+1.5+1.5+8.67+1.5+7.16+1.5+2+2+12.18+11.13+7.13</t>
    <phoneticPr fontId="1" type="noConversion"/>
  </si>
  <si>
    <t>1.6*0.8*16+1.2*0.6*12</t>
    <phoneticPr fontId="1" type="noConversion"/>
  </si>
  <si>
    <t>景觀排水追加雨水積磚(3)上方</t>
    <phoneticPr fontId="1" type="noConversion"/>
  </si>
  <si>
    <t>5%內，結算</t>
    <phoneticPr fontId="1" type="noConversion"/>
  </si>
  <si>
    <t>三合橋南側斜坡道變更-矮牆L=20M</t>
    <phoneticPr fontId="1" type="noConversion"/>
  </si>
  <si>
    <t>(0.6*0.2+0.95*0.2)*20</t>
    <phoneticPr fontId="1" type="noConversion"/>
  </si>
  <si>
    <t>三合橋南側斜坡道變更-斜坡道L=11.8M</t>
    <phoneticPr fontId="1" type="noConversion"/>
  </si>
  <si>
    <t>三合橋南側斜坡道變更-矮牆H=1.28~0.2M</t>
    <phoneticPr fontId="1" type="noConversion"/>
  </si>
  <si>
    <t>(1.15+0.95+0.2)*20</t>
    <phoneticPr fontId="1" type="noConversion"/>
  </si>
  <si>
    <t>三合橋南側斜坡道變更-斜坡道</t>
    <phoneticPr fontId="1" type="noConversion"/>
  </si>
  <si>
    <t>(0.75+0.3+0.55+0.63+0.1)*11.8</t>
    <phoneticPr fontId="1" type="noConversion"/>
  </si>
  <si>
    <t>三合橋南側斜坡道變更-矮牆</t>
    <phoneticPr fontId="1" type="noConversion"/>
  </si>
  <si>
    <t>(1.1*79+24*11.8+79*2.7)*0.994</t>
    <phoneticPr fontId="1" type="noConversion"/>
  </si>
  <si>
    <t>(20*15+0.5*268+1.2*134)*0.994</t>
    <phoneticPr fontId="1" type="noConversion"/>
  </si>
  <si>
    <t>0.55*2*11*2</t>
    <phoneticPr fontId="1" type="noConversion"/>
  </si>
  <si>
    <t>5%內放結算</t>
    <phoneticPr fontId="1" type="noConversion"/>
  </si>
  <si>
    <t>5+11+1</t>
    <phoneticPr fontId="1" type="noConversion"/>
  </si>
  <si>
    <t>131.14+254.62+417.96+36.21+195.63+68.72+108.92+286.5+72.15+5.93+15.11</t>
    <phoneticPr fontId="1" type="noConversion"/>
  </si>
  <si>
    <t>5%內結算</t>
    <phoneticPr fontId="1" type="noConversion"/>
  </si>
  <si>
    <t>20+3.48+5.39+33+6+5+62+103.8+51.6+3.35+160.7</t>
    <phoneticPr fontId="1" type="noConversion"/>
  </si>
  <si>
    <r>
      <rPr>
        <sz val="10"/>
        <rFont val="Microsoft JhengHei"/>
        <family val="2"/>
      </rPr>
      <t>護岸</t>
    </r>
    <r>
      <rPr>
        <sz val="10"/>
        <rFont val="Arial"/>
        <family val="2"/>
      </rPr>
      <t>3</t>
    </r>
    <r>
      <rPr>
        <sz val="10"/>
        <rFont val="Microsoft JhengHei"/>
        <family val="2"/>
      </rPr>
      <t>左岸</t>
    </r>
    <phoneticPr fontId="1" type="noConversion"/>
  </si>
  <si>
    <t>臨溪側=86.5+74.2右岸</t>
    <phoneticPr fontId="1" type="noConversion"/>
  </si>
  <si>
    <r>
      <rPr>
        <sz val="10"/>
        <rFont val="Microsoft JhengHei"/>
        <family val="2"/>
      </rPr>
      <t>左右各</t>
    </r>
    <r>
      <rPr>
        <sz val="10"/>
        <rFont val="Arial"/>
        <family val="2"/>
      </rPr>
      <t>1</t>
    </r>
    <r>
      <rPr>
        <sz val="10"/>
        <rFont val="Microsoft JhengHei"/>
        <family val="2"/>
      </rPr>
      <t>座</t>
    </r>
    <phoneticPr fontId="1" type="noConversion"/>
  </si>
  <si>
    <t>合約數量有誤(沒算溝蓋)</t>
    <phoneticPr fontId="1" type="noConversion"/>
  </si>
  <si>
    <t>4589*0.3</t>
    <phoneticPr fontId="1" type="noConversion"/>
  </si>
  <si>
    <t>6280.6+400</t>
    <phoneticPr fontId="1" type="noConversion"/>
  </si>
  <si>
    <t>632.77*5+33.17+11.76</t>
    <phoneticPr fontId="1" type="noConversion"/>
  </si>
  <si>
    <t>台北市北投區崇仁路一段155巷2號-12號1~5樓</t>
    <phoneticPr fontId="1" type="noConversion"/>
  </si>
  <si>
    <t>(0.75*0.6+0.63*0.2+0.2*0.1)*11.8</t>
    <phoneticPr fontId="1" type="noConversion"/>
  </si>
  <si>
    <r>
      <t>2</t>
    </r>
    <r>
      <rPr>
        <sz val="10"/>
        <rFont val="細明體"/>
        <family val="2"/>
        <charset val="136"/>
      </rPr>
      <t>號公園</t>
    </r>
    <r>
      <rPr>
        <sz val="10"/>
        <rFont val="Arial"/>
        <family val="2"/>
      </rPr>
      <t>+</t>
    </r>
    <r>
      <rPr>
        <sz val="10"/>
        <rFont val="細明體"/>
        <family val="2"/>
        <charset val="136"/>
      </rPr>
      <t>清江公園</t>
    </r>
    <r>
      <rPr>
        <sz val="10"/>
        <rFont val="Arial"/>
        <family val="2"/>
      </rPr>
      <t xml:space="preserve">
</t>
    </r>
    <phoneticPr fontId="1" type="noConversion"/>
  </si>
  <si>
    <t>5+3+2+2+5+4+3</t>
    <phoneticPr fontId="1" type="noConversion"/>
  </si>
  <si>
    <t>(57.22+103.8+33)*42.84</t>
    <phoneticPr fontId="1" type="noConversion"/>
  </si>
  <si>
    <t>1:3水泥砂漿粉光</t>
    <phoneticPr fontId="1" type="noConversion"/>
  </si>
  <si>
    <t>((1.28+0.2)/2+0.1+0.53)*11.8</t>
    <phoneticPr fontId="1" type="noConversion"/>
  </si>
  <si>
    <t>不知道做在哪</t>
    <phoneticPr fontId="1" type="noConversion"/>
  </si>
  <si>
    <t>不知道是保護樹?或新植?</t>
    <phoneticPr fontId="1" type="noConversion"/>
  </si>
  <si>
    <t>單臂號誌*5.行人燈*11.控制箱*1(含配管配線.手孔等)</t>
    <phoneticPr fontId="1" type="noConversion"/>
  </si>
  <si>
    <t>1+1</t>
    <phoneticPr fontId="1" type="noConversion"/>
  </si>
  <si>
    <t>希冀橋、磺港橋各1</t>
    <phoneticPr fontId="1" type="noConversion"/>
  </si>
  <si>
    <t>磺港橋樁+希冀橋樁+護岸三堤牆樁及基礎+低水護岸基礎+工區四+工區六+工區七</t>
    <phoneticPr fontId="1" type="noConversion"/>
  </si>
  <si>
    <t>3"4"各1</t>
    <phoneticPr fontId="1" type="noConversion"/>
  </si>
  <si>
    <t>(22.5+31.5*2+13.6*2)+(156.2+233.5+72+31.5)+(51.7+18.9)+86.2+(95.2+45+22.5)+(62.3+38.5+22.5)+304.7+286.4+269+509+81</t>
    <phoneticPr fontId="1" type="noConversion"/>
  </si>
  <si>
    <t>25*200</t>
    <phoneticPr fontId="1" type="noConversion"/>
  </si>
  <si>
    <t>共6次每次3孔</t>
    <phoneticPr fontId="1" type="noConversion"/>
  </si>
  <si>
    <t>世壯運帆布，放結算</t>
    <phoneticPr fontId="1" type="noConversion"/>
  </si>
  <si>
    <r>
      <t>5%</t>
    </r>
    <r>
      <rPr>
        <sz val="10"/>
        <rFont val="Microsoft JhengHei"/>
        <family val="2"/>
      </rPr>
      <t>內放結算</t>
    </r>
    <phoneticPr fontId="1" type="noConversion"/>
  </si>
  <si>
    <t>三合祠棚架及地坪</t>
    <phoneticPr fontId="1" type="noConversion"/>
  </si>
  <si>
    <t>114.10.1截止</t>
    <phoneticPr fontId="1" type="noConversion"/>
  </si>
  <si>
    <t>希冀橋A1橋台及人行引道下回填</t>
    <phoneticPr fontId="1" type="noConversion"/>
  </si>
  <si>
    <t>清江公園側=36.8+67</t>
    <phoneticPr fontId="1" type="noConversion"/>
  </si>
  <si>
    <t>磺港橋頭=5+6</t>
    <phoneticPr fontId="1" type="noConversion"/>
  </si>
  <si>
    <t>((0.2+0.6+0.4)/3+0.25+0.25)*(57.22+3.6+1.22)</t>
    <phoneticPr fontId="1" type="noConversion"/>
  </si>
  <si>
    <t>H=49</t>
    <phoneticPr fontId="1" type="noConversion"/>
  </si>
  <si>
    <t>差值</t>
    <phoneticPr fontId="1" type="noConversion"/>
  </si>
  <si>
    <r>
      <rPr>
        <sz val="10"/>
        <rFont val="微軟正黑體"/>
        <family val="2"/>
        <charset val="136"/>
      </rPr>
      <t>場鑄</t>
    </r>
    <r>
      <rPr>
        <sz val="10"/>
        <rFont val="Microsoft JhengHei"/>
        <family val="2"/>
      </rPr>
      <t>緣石</t>
    </r>
    <phoneticPr fontId="124" type="noConversion"/>
  </si>
  <si>
    <t xml:space="preserve">2個大門各派2人預估施作700日每日義交指揮時間(7-18時)11小時2*2*700*11=30800
</t>
    <phoneticPr fontId="1" type="noConversion"/>
  </si>
  <si>
    <t>導覽牌面陰刻，上漆填色</t>
    <phoneticPr fontId="1" type="noConversion"/>
  </si>
  <si>
    <t>全區導覽牌P186.P191</t>
    <phoneticPr fontId="1" type="noConversion"/>
  </si>
  <si>
    <t>1.2.94</t>
  </si>
  <si>
    <t>1+1</t>
    <phoneticPr fontId="1" type="noConversion"/>
  </si>
  <si>
    <t>品質管理，材料設備檢驗費，盤式支承(單向活動型)滑動摩擦係數試驗</t>
    <phoneticPr fontId="1" type="noConversion"/>
  </si>
  <si>
    <t>個</t>
    <phoneticPr fontId="1" type="noConversion"/>
  </si>
  <si>
    <t>氣密式人孔蓋</t>
    <phoneticPr fontId="1" type="noConversion"/>
  </si>
  <si>
    <t>清江公園</t>
  </si>
  <si>
    <t>清江公園(30*30)</t>
    <phoneticPr fontId="1" type="noConversion"/>
  </si>
  <si>
    <t>22.43+22.05+39.8</t>
    <phoneticPr fontId="1" type="noConversion"/>
  </si>
  <si>
    <t>112.10.23-114.10.1=710天*3人*15H(07-22時)
112.10.23-114.10.1調度管理費每日0.5時*710天</t>
    <phoneticPr fontId="1" type="noConversion"/>
  </si>
  <si>
    <t>412.5+1409+1907+1456+1377+1457+1410+1457+1410+1361+1457+1410+1311.5+1410+1455+1457+1316+1457+1410+1457+1410</t>
    <phoneticPr fontId="1" type="noConversion"/>
  </si>
  <si>
    <t>依義交協勤費用領用清冊統計(自112.10.23-114.6.30)日間時數</t>
    <phoneticPr fontId="1" type="noConversion"/>
  </si>
  <si>
    <t>依義交協勤費用領用清冊統計(自112.10.23-114.6.30)夜間時數</t>
    <phoneticPr fontId="1" type="noConversion"/>
  </si>
  <si>
    <t>32+240+536+248+344+248+240+248+240+226+248+239.5+218+240+248+248+224+248+240+248+240</t>
    <phoneticPr fontId="1" type="noConversion"/>
  </si>
  <si>
    <t>(26.7+162+38.2+16.7+58+10+12+85.8+30+66.5+104.5+88+175+82.8)+(85.9+69.2+36)+(31.5+29.1+37.6+28+21.5)</t>
    <phoneticPr fontId="1" type="noConversion"/>
  </si>
  <si>
    <t>依112.10.23-114.6.30實際執勤時數計算，義交日夜班單價不同</t>
    <phoneticPr fontId="1" type="noConversion"/>
  </si>
  <si>
    <t>三合祠後方花台</t>
    <phoneticPr fontId="1" type="noConversion"/>
  </si>
  <si>
    <t>10+5+9+6+5</t>
    <phoneticPr fontId="1" type="noConversion"/>
  </si>
  <si>
    <r>
      <rPr>
        <sz val="10"/>
        <rFont val="Microsoft JhengHei"/>
        <family val="2"/>
      </rPr>
      <t>崇仁路</t>
    </r>
    <r>
      <rPr>
        <sz val="10"/>
        <rFont val="Arial"/>
        <family val="2"/>
      </rPr>
      <t>155-159</t>
    </r>
    <r>
      <rPr>
        <sz val="10"/>
        <rFont val="Microsoft JhengHei"/>
        <family val="2"/>
      </rPr>
      <t>巷</t>
    </r>
    <r>
      <rPr>
        <sz val="10"/>
        <rFont val="Arial"/>
        <family val="2"/>
      </rPr>
      <t>30*30</t>
    </r>
    <r>
      <rPr>
        <sz val="10"/>
        <rFont val="Microsoft JhengHei"/>
        <family val="2"/>
      </rPr>
      <t>改</t>
    </r>
    <r>
      <rPr>
        <sz val="10"/>
        <rFont val="Arial"/>
        <family val="2"/>
      </rPr>
      <t>20*20</t>
    </r>
    <phoneticPr fontId="1" type="noConversion"/>
  </si>
  <si>
    <r>
      <t>+</t>
    </r>
    <r>
      <rPr>
        <sz val="10"/>
        <rFont val="微軟正黑體"/>
        <family val="2"/>
        <charset val="136"/>
      </rPr>
      <t>清江公園</t>
    </r>
    <phoneticPr fontId="1" type="noConversion"/>
  </si>
  <si>
    <t>1.2.95</t>
  </si>
  <si>
    <t>112.9.8北市工水工字第1126049522號函，結論57</t>
    <phoneticPr fontId="1" type="noConversion"/>
  </si>
  <si>
    <t>磺港路崇仁路口</t>
    <phoneticPr fontId="1" type="noConversion"/>
  </si>
  <si>
    <t>放結算</t>
    <phoneticPr fontId="1" type="noConversion"/>
  </si>
  <si>
    <r>
      <t>112.9.8</t>
    </r>
    <r>
      <rPr>
        <sz val="10"/>
        <rFont val="Microsoft JhengHei"/>
        <family val="2"/>
        <charset val="136"/>
      </rPr>
      <t>北市工水工字第</t>
    </r>
    <r>
      <rPr>
        <sz val="10"/>
        <rFont val="Arial"/>
        <family val="2"/>
      </rPr>
      <t>1126049522</t>
    </r>
    <r>
      <rPr>
        <sz val="10"/>
        <rFont val="Microsoft JhengHei"/>
        <family val="2"/>
        <charset val="136"/>
      </rPr>
      <t>號函，結論</t>
    </r>
    <r>
      <rPr>
        <sz val="10"/>
        <rFont val="Arial"/>
        <family val="2"/>
      </rPr>
      <t>75</t>
    </r>
    <phoneticPr fontId="1" type="noConversion"/>
  </si>
  <si>
    <t>112.9.8北市工水工字第1126049522號函，結論75</t>
    <phoneticPr fontId="1" type="noConversion"/>
  </si>
  <si>
    <t>式</t>
    <phoneticPr fontId="1" type="noConversion"/>
  </si>
  <si>
    <t>6.20</t>
  </si>
  <si>
    <t>113.3.8北市工水工字第1136016678號，結論(2)</t>
    <phoneticPr fontId="1" type="noConversion"/>
  </si>
  <si>
    <t>水位尺</t>
    <phoneticPr fontId="1" type="noConversion"/>
  </si>
  <si>
    <t>既有水位計移設</t>
    <phoneticPr fontId="1" type="noConversion"/>
  </si>
  <si>
    <t>1.2.96</t>
  </si>
  <si>
    <t>雙孔箱涵出口中隔牆</t>
    <phoneticPr fontId="1" type="noConversion"/>
  </si>
  <si>
    <t>奇岩外閘</t>
    <phoneticPr fontId="1" type="noConversion"/>
  </si>
  <si>
    <t>114.3.20北市工水工字第1146019959號，結論(2)</t>
    <phoneticPr fontId="1" type="noConversion"/>
  </si>
  <si>
    <t>2.1*32.6+2.25*2.3+2.25*0.4</t>
    <phoneticPr fontId="1" type="noConversion"/>
  </si>
  <si>
    <t>1.7.81</t>
  </si>
  <si>
    <t>褐根病防治</t>
    <phoneticPr fontId="1" type="noConversion"/>
  </si>
  <si>
    <t>垂榕</t>
    <phoneticPr fontId="1" type="noConversion"/>
  </si>
  <si>
    <r>
      <t>113.4.1</t>
    </r>
    <r>
      <rPr>
        <sz val="10"/>
        <rFont val="Microsoft JhengHei"/>
        <family val="2"/>
      </rPr>
      <t>北市工水工字第</t>
    </r>
    <r>
      <rPr>
        <sz val="10"/>
        <rFont val="Arial"/>
        <family val="2"/>
      </rPr>
      <t>1136021104</t>
    </r>
    <r>
      <rPr>
        <sz val="10"/>
        <rFont val="Microsoft JhengHei"/>
        <family val="2"/>
      </rPr>
      <t>號，結論</t>
    </r>
    <r>
      <rPr>
        <sz val="10"/>
        <rFont val="Arial"/>
        <family val="2"/>
      </rPr>
      <t>2</t>
    </r>
    <phoneticPr fontId="1" type="noConversion"/>
  </si>
  <si>
    <t>114.3.3北市工水工字第1146017097號</t>
    <phoneticPr fontId="1" type="noConversion"/>
  </si>
  <si>
    <t>部分因需施作水溝沒辦法只刨5CM
工區七未定案，先不扣</t>
    <phoneticPr fontId="1" type="noConversion"/>
  </si>
  <si>
    <t>N0K+180座椅B因人行道線型修改取消施作</t>
    <phoneticPr fontId="1" type="noConversion"/>
  </si>
  <si>
    <t>113.8.20北市工水工字第1136047137號，結論8</t>
    <phoneticPr fontId="1" type="noConversion"/>
  </si>
  <si>
    <t>114.4.28北市工水工字第1146028259號，結論1</t>
    <phoneticPr fontId="1" type="noConversion"/>
  </si>
  <si>
    <r>
      <t>113.10.23</t>
    </r>
    <r>
      <rPr>
        <sz val="10"/>
        <rFont val="Microsoft JhengHei"/>
        <family val="2"/>
      </rPr>
      <t>禾拓備忘錄</t>
    </r>
    <phoneticPr fontId="1" type="noConversion"/>
  </si>
  <si>
    <t>依鄰房既有水溝現況取消施作</t>
    <phoneticPr fontId="1" type="noConversion"/>
  </si>
  <si>
    <r>
      <t>114.5.12</t>
    </r>
    <r>
      <rPr>
        <sz val="10"/>
        <rFont val="Microsoft JhengHei"/>
        <family val="2"/>
      </rPr>
      <t>禾拓備忘錄</t>
    </r>
    <r>
      <rPr>
        <sz val="10"/>
        <rFont val="Arial"/>
        <family val="2"/>
      </rPr>
      <t xml:space="preserve">
114.5.15</t>
    </r>
    <r>
      <rPr>
        <sz val="10"/>
        <rFont val="細明體"/>
        <family val="2"/>
        <charset val="136"/>
      </rPr>
      <t>北市工水工字第</t>
    </r>
    <r>
      <rPr>
        <sz val="10"/>
        <rFont val="Arial"/>
        <family val="2"/>
      </rPr>
      <t>11460317122</t>
    </r>
    <r>
      <rPr>
        <sz val="10"/>
        <rFont val="細明體"/>
        <family val="2"/>
        <charset val="136"/>
      </rPr>
      <t>號</t>
    </r>
    <phoneticPr fontId="1" type="noConversion"/>
  </si>
  <si>
    <r>
      <rPr>
        <sz val="10"/>
        <rFont val="Microsoft JhengHei"/>
        <family val="2"/>
      </rPr>
      <t>工區</t>
    </r>
    <r>
      <rPr>
        <sz val="10"/>
        <rFont val="Arial"/>
        <family val="2"/>
      </rPr>
      <t>1</t>
    </r>
    <r>
      <rPr>
        <sz val="10"/>
        <rFont val="Microsoft JhengHei"/>
        <family val="2"/>
      </rPr>
      <t>減作</t>
    </r>
    <r>
      <rPr>
        <sz val="10"/>
        <rFont val="Arial"/>
        <family val="2"/>
      </rPr>
      <t>1</t>
    </r>
    <r>
      <rPr>
        <sz val="10"/>
        <rFont val="Microsoft JhengHei"/>
        <family val="2"/>
      </rPr>
      <t>個</t>
    </r>
    <phoneticPr fontId="1" type="noConversion"/>
  </si>
  <si>
    <r>
      <t>112.10.23</t>
    </r>
    <r>
      <rPr>
        <sz val="10"/>
        <rFont val="細明體"/>
        <family val="2"/>
        <charset val="136"/>
      </rPr>
      <t>北市工水工字第</t>
    </r>
    <r>
      <rPr>
        <sz val="10"/>
        <rFont val="Arial"/>
        <family val="2"/>
      </rPr>
      <t>1126058216</t>
    </r>
    <r>
      <rPr>
        <sz val="10"/>
        <rFont val="細明體"/>
        <family val="2"/>
        <charset val="136"/>
      </rPr>
      <t>號，結論</t>
    </r>
    <r>
      <rPr>
        <sz val="10"/>
        <rFont val="Arial"/>
        <family val="2"/>
      </rPr>
      <t>1
114.5.19</t>
    </r>
    <r>
      <rPr>
        <sz val="10"/>
        <rFont val="細明體"/>
        <family val="2"/>
        <charset val="136"/>
      </rPr>
      <t>北市工水工字第</t>
    </r>
    <r>
      <rPr>
        <sz val="10"/>
        <rFont val="Arial"/>
        <family val="2"/>
      </rPr>
      <t>1146031730</t>
    </r>
    <r>
      <rPr>
        <sz val="10"/>
        <rFont val="細明體"/>
        <family val="2"/>
        <charset val="136"/>
      </rPr>
      <t>號，結論</t>
    </r>
    <r>
      <rPr>
        <sz val="10"/>
        <rFont val="Arial"/>
        <family val="2"/>
      </rPr>
      <t>1</t>
    </r>
    <phoneticPr fontId="1" type="noConversion"/>
  </si>
  <si>
    <t>磺港路崇仁路口既有號誌拆除</t>
    <phoneticPr fontId="1" type="noConversion"/>
  </si>
  <si>
    <t>出流井格柵</t>
    <phoneticPr fontId="1" type="noConversion"/>
  </si>
  <si>
    <t>113.7.2北市工水工字第1136038674號，疑義7
113.8.13北市工水工字第1136046685號</t>
    <phoneticPr fontId="1" type="noConversion"/>
  </si>
  <si>
    <t>113.7.2北市工水工字第1136038674號，疑義17</t>
    <phoneticPr fontId="1" type="noConversion"/>
  </si>
  <si>
    <t>按圖說僅磺港橋2側</t>
    <phoneticPr fontId="1" type="noConversion"/>
  </si>
  <si>
    <t>結構用混凝土，預拌，210kgf/cm2</t>
    <phoneticPr fontId="1" type="noConversion"/>
  </si>
  <si>
    <t>0.3*0.3*(103.8+33)</t>
    <phoneticPr fontId="1" type="noConversion"/>
  </si>
  <si>
    <t>113.4.22北市工水工字第1136025097號，結論1</t>
    <phoneticPr fontId="1" type="noConversion"/>
  </si>
  <si>
    <r>
      <t>114.5.12</t>
    </r>
    <r>
      <rPr>
        <sz val="10"/>
        <rFont val="Microsoft JhengHei"/>
        <family val="2"/>
      </rPr>
      <t>台北市議會市民服務中心協調陳情會勘紀錄結論</t>
    </r>
    <r>
      <rPr>
        <sz val="10"/>
        <rFont val="Arial"/>
        <family val="2"/>
      </rPr>
      <t>2</t>
    </r>
    <phoneticPr fontId="1" type="noConversion"/>
  </si>
  <si>
    <t>114.4.24議秘服字第11419091020號結論
114.4.28北市工水工字第1146028259號，結論1
114.5.12台北市議會市民服務中心協調陳情會勘紀錄結論2</t>
    <phoneticPr fontId="1" type="noConversion"/>
  </si>
  <si>
    <t xml:space="preserve">114.4.24議秘服字第11419091020號結論
114.4.28北市工水工字第1146028259號，結論1
</t>
    <phoneticPr fontId="1" type="noConversion"/>
  </si>
  <si>
    <r>
      <t>114.4.1</t>
    </r>
    <r>
      <rPr>
        <sz val="10"/>
        <rFont val="細明體"/>
        <family val="2"/>
        <charset val="136"/>
      </rPr>
      <t>忠義新村既有喬木移除</t>
    </r>
    <r>
      <rPr>
        <sz val="10"/>
        <rFont val="Arial"/>
        <family val="2"/>
      </rPr>
      <t>(E168)</t>
    </r>
    <r>
      <rPr>
        <sz val="10"/>
        <rFont val="細明體"/>
        <family val="2"/>
        <charset val="136"/>
      </rPr>
      <t>會勘</t>
    </r>
    <r>
      <rPr>
        <sz val="10"/>
        <rFont val="Arial"/>
        <family val="2"/>
      </rPr>
      <t>(</t>
    </r>
    <r>
      <rPr>
        <sz val="10"/>
        <rFont val="細明體"/>
        <family val="2"/>
        <charset val="136"/>
      </rPr>
      <t>陳重文議員</t>
    </r>
    <r>
      <rPr>
        <sz val="10"/>
        <rFont val="Arial"/>
        <family val="2"/>
      </rPr>
      <t>)</t>
    </r>
    <phoneticPr fontId="1" type="noConversion"/>
  </si>
  <si>
    <t>114.5.15北市工水工字第1146031710號</t>
    <phoneticPr fontId="1" type="noConversion"/>
  </si>
  <si>
    <t>47258+49346.35</t>
    <phoneticPr fontId="1" type="noConversion"/>
  </si>
  <si>
    <t>希冀橋施工需求，造型翼板焊接、銹轉化劑噴漆</t>
    <phoneticPr fontId="1" type="noConversion"/>
  </si>
  <si>
    <t>欄杆B'追加清江公園側及155巷</t>
    <phoneticPr fontId="1" type="noConversion"/>
  </si>
  <si>
    <t>清江公園側護欄B'基礎</t>
    <phoneticPr fontId="1" type="noConversion"/>
  </si>
  <si>
    <t>圖說有，未編列塗料粉刷的錢</t>
    <phoneticPr fontId="1" type="noConversion"/>
  </si>
  <si>
    <r>
      <rPr>
        <sz val="10"/>
        <rFont val="Microsoft JhengHei"/>
        <family val="2"/>
      </rPr>
      <t>保護樹</t>
    </r>
    <r>
      <rPr>
        <sz val="10"/>
        <rFont val="Arial"/>
        <family val="2"/>
      </rPr>
      <t>A</t>
    </r>
    <r>
      <rPr>
        <sz val="10"/>
        <rFont val="細明體"/>
        <family val="2"/>
        <charset val="136"/>
      </rPr>
      <t>、</t>
    </r>
    <r>
      <rPr>
        <sz val="10"/>
        <rFont val="Arial"/>
        <family val="2"/>
      </rPr>
      <t>B</t>
    </r>
    <r>
      <rPr>
        <sz val="10"/>
        <rFont val="Microsoft JhengHei"/>
        <family val="2"/>
      </rPr>
      <t>改砌石減做</t>
    </r>
    <phoneticPr fontId="1" type="noConversion"/>
  </si>
  <si>
    <r>
      <t>113.2.7</t>
    </r>
    <r>
      <rPr>
        <sz val="10"/>
        <rFont val="細明體"/>
        <family val="2"/>
        <charset val="136"/>
      </rPr>
      <t>北市工水工字第</t>
    </r>
    <r>
      <rPr>
        <sz val="10"/>
        <rFont val="Arial"/>
        <family val="2"/>
      </rPr>
      <t>1136012436</t>
    </r>
    <r>
      <rPr>
        <sz val="10"/>
        <rFont val="細明體"/>
        <family val="2"/>
        <charset val="136"/>
      </rPr>
      <t>號函結論</t>
    </r>
    <r>
      <rPr>
        <sz val="10"/>
        <rFont val="Arial"/>
        <family val="2"/>
      </rPr>
      <t>3</t>
    </r>
    <phoneticPr fontId="1" type="noConversion"/>
  </si>
  <si>
    <t>140*2.210*41.280*9.280水*9(有6組*3).280II*13.CLSM*12(1組6個).210方塊*5.350方塊*4.420無收縮混凝土*6</t>
    <phoneticPr fontId="1" type="noConversion"/>
  </si>
  <si>
    <r>
      <t>2*5+41*5+9*5+6*3+3*5+13*5+12*6+5*3+4*3+6*3+</t>
    </r>
    <r>
      <rPr>
        <sz val="12"/>
        <color rgb="FFFF0000"/>
        <rFont val="標楷體"/>
        <family val="4"/>
        <charset val="136"/>
      </rPr>
      <t>4*5
預計景觀結構.鋪面再取樣3組*5個</t>
    </r>
    <phoneticPr fontId="1" type="noConversion"/>
  </si>
  <si>
    <r>
      <t>2+41+9+9+13+12+6</t>
    </r>
    <r>
      <rPr>
        <sz val="12"/>
        <color rgb="FFFF0000"/>
        <rFont val="標楷體"/>
        <family val="4"/>
        <charset val="136"/>
      </rPr>
      <t>+3
預計景觀結構.鋪面再取樣3組</t>
    </r>
    <phoneticPr fontId="1" type="noConversion"/>
  </si>
  <si>
    <t>依實際取樣個數計算</t>
    <phoneticPr fontId="1" type="noConversion"/>
  </si>
  <si>
    <t>依實際取樣組數計算</t>
    <phoneticPr fontId="1" type="noConversion"/>
  </si>
  <si>
    <t>依實際取樣次數計算</t>
    <phoneticPr fontId="1" type="noConversion"/>
  </si>
  <si>
    <r>
      <rPr>
        <sz val="10"/>
        <rFont val="Microsoft JhengHei"/>
        <family val="2"/>
      </rPr>
      <t>焊接鋼線網</t>
    </r>
    <r>
      <rPr>
        <sz val="10"/>
        <rFont val="Arial"/>
        <family val="2"/>
      </rPr>
      <t>*1</t>
    </r>
    <r>
      <rPr>
        <sz val="10"/>
        <rFont val="Microsoft JhengHei"/>
        <family val="2"/>
      </rPr>
      <t>、鍍鋅焊接鋼線網</t>
    </r>
    <r>
      <rPr>
        <sz val="10"/>
        <rFont val="Arial"/>
        <family val="2"/>
      </rPr>
      <t>*4</t>
    </r>
    <phoneticPr fontId="1" type="noConversion"/>
  </si>
  <si>
    <t>木棧道更新*1、座椅預計取1</t>
    <phoneticPr fontId="1" type="noConversion"/>
  </si>
  <si>
    <r>
      <rPr>
        <sz val="10"/>
        <rFont val="Microsoft JhengHei"/>
        <family val="2"/>
      </rPr>
      <t>木棧道</t>
    </r>
    <r>
      <rPr>
        <sz val="10"/>
        <rFont val="Arial"/>
        <family val="2"/>
      </rPr>
      <t>*1</t>
    </r>
    <r>
      <rPr>
        <sz val="10"/>
        <rFont val="Microsoft JhengHei"/>
        <family val="2"/>
      </rPr>
      <t>、座椅</t>
    </r>
    <r>
      <rPr>
        <sz val="10"/>
        <rFont val="Arial"/>
        <family val="2"/>
      </rPr>
      <t>*1</t>
    </r>
    <phoneticPr fontId="1" type="noConversion"/>
  </si>
  <si>
    <t>#8-4、#4-11</t>
    <phoneticPr fontId="1" type="noConversion"/>
  </si>
  <si>
    <t>客土</t>
    <phoneticPr fontId="1" type="noConversion"/>
  </si>
  <si>
    <t>20*20-1、30*30-2、40*40-1</t>
    <phoneticPr fontId="1" type="noConversion"/>
  </si>
  <si>
    <r>
      <t>D25*4</t>
    </r>
    <r>
      <rPr>
        <sz val="10"/>
        <rFont val="細明體"/>
        <family val="2"/>
        <charset val="136"/>
      </rPr>
      <t>、</t>
    </r>
    <r>
      <rPr>
        <sz val="10"/>
        <rFont val="Arial"/>
        <family val="2"/>
      </rPr>
      <t xml:space="preserve">D13*11
</t>
    </r>
    <phoneticPr fontId="1" type="noConversion"/>
  </si>
  <si>
    <t>6*3</t>
    <phoneticPr fontId="1" type="noConversion"/>
  </si>
  <si>
    <t>道路高程變更加高A0K+120-220</t>
    <phoneticPr fontId="1" type="noConversion"/>
  </si>
  <si>
    <t>樓梯M</t>
    <phoneticPr fontId="1" type="noConversion"/>
  </si>
  <si>
    <t>契約漏列</t>
    <phoneticPr fontId="1" type="noConversion"/>
  </si>
  <si>
    <t>(0.3+0.3+(1.5-0.3*2)+0.9*2)*0.05</t>
    <phoneticPr fontId="1" type="noConversion"/>
  </si>
  <si>
    <t>∮12"排水鋼管</t>
    <phoneticPr fontId="1" type="noConversion"/>
  </si>
  <si>
    <t>(0.12*1.2*2+0.394*2*0.24*2+1.2*0.24)*2</t>
    <phoneticPr fontId="1" type="noConversion"/>
  </si>
  <si>
    <t>百齡暫置場土方暫置面積</t>
    <phoneticPr fontId="1" type="noConversion"/>
  </si>
  <si>
    <t>5217.7*0.15</t>
    <phoneticPr fontId="1" type="noConversion"/>
  </si>
  <si>
    <t>含加工、安裝</t>
    <phoneticPr fontId="1" type="noConversion"/>
  </si>
  <si>
    <r>
      <t>113.1.15</t>
    </r>
    <r>
      <rPr>
        <sz val="10"/>
        <rFont val="Microsoft JhengHei"/>
        <family val="2"/>
      </rPr>
      <t>北市工水工字第</t>
    </r>
    <r>
      <rPr>
        <sz val="10"/>
        <rFont val="Arial"/>
        <family val="2"/>
      </rPr>
      <t>1136007935</t>
    </r>
    <r>
      <rPr>
        <sz val="10"/>
        <rFont val="Microsoft JhengHei"/>
        <family val="2"/>
      </rPr>
      <t>號結論</t>
    </r>
    <r>
      <rPr>
        <sz val="10"/>
        <rFont val="Arial"/>
        <family val="2"/>
      </rPr>
      <t>3</t>
    </r>
    <phoneticPr fontId="1" type="noConversion"/>
  </si>
  <si>
    <t>新河道底部+基礎臨河道側回填</t>
    <phoneticPr fontId="1" type="noConversion"/>
  </si>
  <si>
    <r>
      <t>+13.88</t>
    </r>
    <r>
      <rPr>
        <sz val="10"/>
        <rFont val="細明體"/>
        <family val="2"/>
        <charset val="136"/>
      </rPr>
      <t>，</t>
    </r>
    <r>
      <rPr>
        <sz val="10"/>
        <rFont val="Microsoft JhengHei"/>
        <family val="2"/>
        <charset val="136"/>
      </rPr>
      <t>實作數量，</t>
    </r>
    <r>
      <rPr>
        <sz val="10"/>
        <rFont val="細明體"/>
        <family val="2"/>
        <charset val="136"/>
      </rPr>
      <t>放結算</t>
    </r>
    <phoneticPr fontId="1" type="noConversion"/>
  </si>
  <si>
    <t>(246*(4+18+4)+20*4)+(25*6)+(73*5)</t>
    <phoneticPr fontId="1" type="noConversion"/>
  </si>
  <si>
    <t>(40*5.9*10)+(240*1*10)+(280*4*2)+(246*(4+18+4)+20*4)+(25*6)+(73*5)</t>
    <phoneticPr fontId="1" type="noConversion"/>
  </si>
  <si>
    <t>蜂巢格框內0+280-240全+格框臨水1M0+240-000+抗沖蝕網上下端+受保護樹木AB+護岸一.二.三堤牆頂、分層植栽區(尚未完成)</t>
    <phoneticPr fontId="1" type="noConversion"/>
  </si>
  <si>
    <t>單、雙孔箱涵中間、管路、RCP回填CLSM</t>
    <phoneticPr fontId="1" type="noConversion"/>
  </si>
  <si>
    <r>
      <rPr>
        <sz val="10"/>
        <rFont val="細明體"/>
        <family val="2"/>
        <charset val="136"/>
      </rPr>
      <t>雙孔箱涵臨溪側</t>
    </r>
    <r>
      <rPr>
        <sz val="10"/>
        <rFont val="Microsoft JhengHei"/>
        <family val="2"/>
        <charset val="136"/>
      </rPr>
      <t>以土方回填，</t>
    </r>
    <r>
      <rPr>
        <sz val="10"/>
        <rFont val="Microsoft JhengHei"/>
        <family val="2"/>
      </rPr>
      <t>未回填</t>
    </r>
    <r>
      <rPr>
        <sz val="10"/>
        <rFont val="Arial"/>
        <family val="2"/>
      </rPr>
      <t>CLSM</t>
    </r>
    <phoneticPr fontId="1" type="noConversion"/>
  </si>
  <si>
    <t>集水井PC數量有誤</t>
    <phoneticPr fontId="1" type="noConversion"/>
  </si>
  <si>
    <t>電源供應器 100W 含IP68防水外箱</t>
    <phoneticPr fontId="1" type="noConversion"/>
  </si>
  <si>
    <t>鋼線網*1、鍍鋅鋼線網*5</t>
    <phoneticPr fontId="1" type="noConversion"/>
  </si>
  <si>
    <t>1+5</t>
    <phoneticPr fontId="1" type="noConversion"/>
  </si>
  <si>
    <r>
      <rPr>
        <sz val="10"/>
        <rFont val="細明體"/>
        <family val="2"/>
        <charset val="136"/>
      </rPr>
      <t>依實做</t>
    </r>
    <r>
      <rPr>
        <sz val="10"/>
        <rFont val="Microsoft JhengHei"/>
        <family val="2"/>
      </rPr>
      <t>數量</t>
    </r>
    <phoneticPr fontId="1" type="noConversion"/>
  </si>
  <si>
    <t>含既有地墊拆除、運棄</t>
    <phoneticPr fontId="1" type="noConversion"/>
  </si>
  <si>
    <t>D030 垂榕</t>
    <phoneticPr fontId="1" type="noConversion"/>
  </si>
  <si>
    <t>傾卸貨車，總重8-8.9t(災後)</t>
    <phoneticPr fontId="1" type="noConversion"/>
  </si>
  <si>
    <t>含搬運、安裝</t>
    <phoneticPr fontId="1" type="noConversion"/>
  </si>
  <si>
    <t>(0.35+0.05)*0.3*4*1.8*2+0.15*1.8*4</t>
    <phoneticPr fontId="1" type="noConversion"/>
  </si>
  <si>
    <t>((0.25*2+0.2*2)*12*2+(0.2+1.8+0.2)*12+(8+15)*1.8+(0.15+0.25+0.3)*4*12)*0.994</t>
    <phoneticPr fontId="1" type="noConversion"/>
  </si>
  <si>
    <t>樓梯M(W=1.8M，6踏)</t>
    <phoneticPr fontId="1" type="noConversion"/>
  </si>
  <si>
    <t>0.3*0.35*1.8*2+0.15*1.8*1.2+0.15*1.8*4</t>
    <phoneticPr fontId="1" type="noConversion"/>
  </si>
  <si>
    <t>單位</t>
    <phoneticPr fontId="1" type="noConversion"/>
  </si>
  <si>
    <t>契 約
單 價</t>
    <phoneticPr fontId="1" type="noConversion"/>
  </si>
  <si>
    <t>1.3.38</t>
    <phoneticPr fontId="1" type="noConversion"/>
  </si>
  <si>
    <t>5.2</t>
    <phoneticPr fontId="1" type="noConversion"/>
  </si>
  <si>
    <r>
      <rPr>
        <sz val="10"/>
        <rFont val="Microsoft JhengHei"/>
        <family val="2"/>
      </rPr>
      <t>三合祠面積</t>
    </r>
    <r>
      <rPr>
        <sz val="10"/>
        <rFont val="Arial"/>
        <family val="2"/>
      </rPr>
      <t>=3.4*4.2M</t>
    </r>
    <r>
      <rPr>
        <sz val="10"/>
        <rFont val="Microsoft JhengHei"/>
        <family val="2"/>
      </rPr>
      <t>，以</t>
    </r>
    <r>
      <rPr>
        <sz val="10"/>
        <rFont val="Arial"/>
        <family val="2"/>
      </rPr>
      <t>0.5M</t>
    </r>
    <r>
      <rPr>
        <sz val="10"/>
        <rFont val="Microsoft JhengHei"/>
        <family val="2"/>
      </rPr>
      <t>切一刀，</t>
    </r>
    <r>
      <rPr>
        <sz val="10"/>
        <rFont val="Arial"/>
        <family val="2"/>
      </rPr>
      <t>3.4*9+4.2*7=60M</t>
    </r>
    <phoneticPr fontId="1" type="noConversion"/>
  </si>
  <si>
    <t>追加數量</t>
    <phoneticPr fontId="1" type="noConversion"/>
  </si>
  <si>
    <t>金額</t>
    <phoneticPr fontId="1" type="noConversion"/>
  </si>
  <si>
    <t>85.9+36=121.9M</t>
    <phoneticPr fontId="1" type="noConversion"/>
  </si>
  <si>
    <t>三合祠基礎周長4.2+3.4+4.1+3.3=15</t>
    <phoneticPr fontId="1" type="noConversion"/>
  </si>
  <si>
    <t>15+13+11+9+7+5+3=63</t>
    <phoneticPr fontId="1" type="noConversion"/>
  </si>
  <si>
    <t>三合祠移設</t>
    <phoneticPr fontId="1" type="noConversion"/>
  </si>
  <si>
    <t>V1</t>
    <phoneticPr fontId="1" type="noConversion"/>
  </si>
  <si>
    <r>
      <rPr>
        <sz val="10"/>
        <rFont val="Microsoft JhengHei"/>
        <family val="2"/>
      </rPr>
      <t>三合祠面積</t>
    </r>
    <r>
      <rPr>
        <sz val="10"/>
        <rFont val="Arial"/>
        <family val="2"/>
      </rPr>
      <t>=3.4*4.2M</t>
    </r>
    <r>
      <rPr>
        <sz val="10"/>
        <rFont val="Microsoft JhengHei"/>
        <family val="2"/>
      </rPr>
      <t>，以</t>
    </r>
    <r>
      <rPr>
        <sz val="10"/>
        <rFont val="Arial"/>
        <family val="2"/>
      </rPr>
      <t>0.5M</t>
    </r>
    <r>
      <rPr>
        <sz val="10"/>
        <rFont val="Microsoft JhengHei"/>
        <family val="2"/>
      </rPr>
      <t>切一刀，</t>
    </r>
    <r>
      <rPr>
        <sz val="10"/>
        <rFont val="Arial"/>
        <family val="2"/>
      </rPr>
      <t>15+13+11+9+7+5+3+2=65M</t>
    </r>
    <phoneticPr fontId="1" type="noConversion"/>
  </si>
  <si>
    <t>V2</t>
    <phoneticPr fontId="1" type="noConversion"/>
  </si>
  <si>
    <t>暫置區+磺港路北上路側+臨時通道</t>
    <phoneticPr fontId="1" type="noConversion"/>
  </si>
  <si>
    <t>((1.05+0.87)/2)+0.15+0.1)*300</t>
    <phoneticPr fontId="1" type="noConversion"/>
  </si>
  <si>
    <t>5*0.6*0.2+(0.88+0.68)/2*(4.84+0.55)*0.2</t>
    <phoneticPr fontId="1" type="noConversion"/>
  </si>
  <si>
    <t>0.55*0.68*2+4.84*0.78*2</t>
    <phoneticPr fontId="1" type="noConversion"/>
  </si>
  <si>
    <t>(7*5.25+35*0.9+35*0.78+0.55*4+4.84*4)*0.994</t>
    <phoneticPr fontId="1" type="noConversion"/>
  </si>
  <si>
    <t>雙孔箱涵出口</t>
    <phoneticPr fontId="1" type="noConversion"/>
  </si>
  <si>
    <t>磺港橋沖孔飾板</t>
    <phoneticPr fontId="1" type="noConversion"/>
  </si>
  <si>
    <t>4.4+5.4+4+19.75</t>
    <phoneticPr fontId="1" type="noConversion"/>
  </si>
  <si>
    <r>
      <t>462.9*0.05+2.55+0.94+5.95+8.67+0.51+0.28+27.2+9.41+0.33+1.07+0.56+0.25+0.04+0.59+0.48+0.13+1.2+2.33+0.56+0.05+0.34+0.2+0.24+0.35+0.45+0.69+0.8</t>
    </r>
    <r>
      <rPr>
        <sz val="12"/>
        <color theme="1"/>
        <rFont val="標楷體"/>
        <family val="4"/>
        <charset val="136"/>
      </rPr>
      <t>+0.19</t>
    </r>
    <r>
      <rPr>
        <sz val="12"/>
        <color indexed="8"/>
        <rFont val="標楷體"/>
        <family val="4"/>
        <charset val="136"/>
      </rPr>
      <t>+0.12+0.02</t>
    </r>
    <phoneticPr fontId="1" type="noConversion"/>
  </si>
  <si>
    <t>155巷既有樓梯增設欄杆扶手</t>
    <phoneticPr fontId="1" type="noConversion"/>
  </si>
  <si>
    <t>座台、座椅、擋牆b'c'、樓梯EGHJK、草地座階等景觀設施、陰井、截水溝ABC</t>
    <phoneticPr fontId="1" type="noConversion"/>
  </si>
  <si>
    <r>
      <t>132.68+678.85+64.68+717.73+671.73+8.82+24.88+1238.92+404.46+73.57+212.03+69.68+116.46+85.08+48.51+67.62+33.81+28.22+91.73+951.83+</t>
    </r>
    <r>
      <rPr>
        <sz val="12"/>
        <color rgb="FFFF0000"/>
        <rFont val="標楷體"/>
        <family val="4"/>
        <charset val="136"/>
      </rPr>
      <t>429.1</t>
    </r>
    <r>
      <rPr>
        <sz val="12"/>
        <color indexed="8"/>
        <rFont val="標楷體"/>
        <family val="4"/>
        <charset val="136"/>
      </rPr>
      <t>+79.29+18.27</t>
    </r>
    <phoneticPr fontId="1" type="noConversion"/>
  </si>
  <si>
    <t>露骨材地坪.PC地坪.石材鋪面.卵石鋪面.緣石.座台.座椅.樓梯.擋牆.指引牌等基礎.草地座階.入口意象基礎.截水溝</t>
    <phoneticPr fontId="1" type="noConversion"/>
  </si>
  <si>
    <r>
      <t>((233.57+18.76+118.92+173.3)*0.15)+((0.4*0.6+0.15*0.8)*30.1)+1.22+1.32+0.45+0.63+0.32+0.29+1.2+0.32+0.48+0.3+5.04+8.25+1.65+3.72+16.27+13.72+</t>
    </r>
    <r>
      <rPr>
        <sz val="12"/>
        <color rgb="FFFF0000"/>
        <rFont val="標楷體"/>
        <family val="4"/>
        <charset val="136"/>
      </rPr>
      <t>3.35</t>
    </r>
    <r>
      <rPr>
        <sz val="12"/>
        <rFont val="標楷體"/>
        <family val="4"/>
        <charset val="136"/>
      </rPr>
      <t>+0.64+0.08</t>
    </r>
    <phoneticPr fontId="1" type="noConversion"/>
  </si>
  <si>
    <t>油漆標線，路線漆</t>
    <phoneticPr fontId="1" type="noConversion"/>
  </si>
  <si>
    <t>新增緣石上紅線</t>
    <phoneticPr fontId="1" type="noConversion"/>
  </si>
  <si>
    <t>114.02.18北市工水工字第1146014640號，結論2</t>
    <phoneticPr fontId="1" type="noConversion"/>
  </si>
  <si>
    <r>
      <rPr>
        <sz val="10"/>
        <rFont val="Microsoft JhengHei"/>
        <family val="2"/>
      </rPr>
      <t>崇仁路</t>
    </r>
    <r>
      <rPr>
        <sz val="10"/>
        <rFont val="Arial"/>
        <family val="2"/>
      </rPr>
      <t>155</t>
    </r>
    <r>
      <rPr>
        <sz val="10"/>
        <rFont val="Microsoft JhengHei"/>
        <family val="2"/>
      </rPr>
      <t>巷既有樓梯新增扶手</t>
    </r>
    <phoneticPr fontId="1" type="noConversion"/>
  </si>
  <si>
    <r>
      <t>114.4.24</t>
    </r>
    <r>
      <rPr>
        <sz val="10"/>
        <rFont val="細明體"/>
        <family val="2"/>
        <charset val="136"/>
      </rPr>
      <t>議秘服字第</t>
    </r>
    <r>
      <rPr>
        <sz val="10"/>
        <rFont val="Arial"/>
        <family val="2"/>
      </rPr>
      <t>11419091020</t>
    </r>
    <r>
      <rPr>
        <sz val="10"/>
        <rFont val="細明體"/>
        <family val="2"/>
        <charset val="136"/>
      </rPr>
      <t>號結論</t>
    </r>
    <phoneticPr fontId="1" type="noConversion"/>
  </si>
  <si>
    <r>
      <t>113.2.7</t>
    </r>
    <r>
      <rPr>
        <sz val="10"/>
        <rFont val="細明體"/>
        <family val="3"/>
        <charset val="136"/>
      </rPr>
      <t>北市工水工字第</t>
    </r>
    <r>
      <rPr>
        <sz val="10"/>
        <rFont val="Arial"/>
        <family val="2"/>
      </rPr>
      <t>1136012436</t>
    </r>
    <r>
      <rPr>
        <sz val="10"/>
        <rFont val="細明體"/>
        <family val="3"/>
        <charset val="136"/>
      </rPr>
      <t>號，結論3
113.8.20北市工水工字第1136047137號，結論8</t>
    </r>
    <r>
      <rPr>
        <sz val="10"/>
        <rFont val="Arial"/>
        <family val="2"/>
      </rPr>
      <t xml:space="preserve">
</t>
    </r>
    <phoneticPr fontId="1" type="noConversion"/>
  </si>
  <si>
    <t>核對截圖面積4920M2，應該加在1.1.24</t>
    <phoneticPr fontId="1" type="noConversion"/>
  </si>
  <si>
    <t>4920-2150</t>
    <phoneticPr fontId="1" type="noConversion"/>
  </si>
  <si>
    <r>
      <t>112.09.01</t>
    </r>
    <r>
      <rPr>
        <sz val="10"/>
        <rFont val="標楷體"/>
        <family val="2"/>
        <charset val="136"/>
      </rPr>
      <t>北市工水工字第</t>
    </r>
    <r>
      <rPr>
        <sz val="10"/>
        <rFont val="Arial"/>
        <family val="2"/>
      </rPr>
      <t>1126048706</t>
    </r>
    <r>
      <rPr>
        <sz val="10"/>
        <rFont val="標楷體"/>
        <family val="2"/>
        <charset val="136"/>
      </rPr>
      <t>號，結論</t>
    </r>
    <r>
      <rPr>
        <sz val="10"/>
        <rFont val="Arial"/>
        <family val="2"/>
      </rPr>
      <t>2</t>
    </r>
    <r>
      <rPr>
        <sz val="10"/>
        <rFont val="標楷體"/>
        <family val="2"/>
        <charset val="136"/>
      </rPr>
      <t>、</t>
    </r>
    <r>
      <rPr>
        <sz val="10"/>
        <rFont val="Arial"/>
        <family val="2"/>
      </rPr>
      <t>4
113.4.19</t>
    </r>
    <r>
      <rPr>
        <sz val="10"/>
        <rFont val="細明體"/>
        <family val="2"/>
        <charset val="136"/>
      </rPr>
      <t>北市工水工字第</t>
    </r>
    <r>
      <rPr>
        <sz val="10"/>
        <rFont val="Arial"/>
        <family val="2"/>
      </rPr>
      <t>1136025094</t>
    </r>
    <r>
      <rPr>
        <sz val="10"/>
        <rFont val="細明體"/>
        <family val="2"/>
        <charset val="136"/>
      </rPr>
      <t>號</t>
    </r>
    <phoneticPr fontId="1" type="noConversion"/>
  </si>
  <si>
    <t>清江公園體健設施拆除移設、既有堤牆復原*2、搖搖馬拆除繳回、清江公園既有堤牆面清理、三合橋南側鄰房既有U溝修復及牆面、保一門口、</t>
    <phoneticPr fontId="1" type="noConversion"/>
  </si>
  <si>
    <t>僅機械工資</t>
    <phoneticPr fontId="1" type="noConversion"/>
  </si>
  <si>
    <t>僅機械工資</t>
    <phoneticPr fontId="1" type="noConversion"/>
  </si>
  <si>
    <t>自行車道</t>
    <phoneticPr fontId="1" type="noConversion"/>
  </si>
  <si>
    <t>繳回</t>
    <phoneticPr fontId="1" type="noConversion"/>
  </si>
  <si>
    <t>AC回收料繳回</t>
    <phoneticPr fontId="1" type="noConversion"/>
  </si>
  <si>
    <t>契約複價</t>
    <phoneticPr fontId="1" type="noConversion"/>
  </si>
  <si>
    <t>原磺港路北向(公園側)+奇岩社宅前+原公園內自行車道+磺港橋面+新設水溝</t>
    <phoneticPr fontId="1" type="noConversion"/>
  </si>
  <si>
    <t>原磺港路南向(住宅側)+崇仁路1段+抽水站旁+工區六、七-新設水溝面積</t>
    <phoneticPr fontId="1" type="noConversion"/>
  </si>
  <si>
    <t>U15.16.19.20.22.31.32.33.34</t>
    <phoneticPr fontId="1" type="noConversion"/>
  </si>
  <si>
    <t>BL17.20.21.24.25</t>
    <phoneticPr fontId="1" type="noConversion"/>
  </si>
  <si>
    <t>RCP*1</t>
    <phoneticPr fontId="1" type="noConversion"/>
  </si>
  <si>
    <t>M3</t>
    <phoneticPr fontId="1" type="noConversion"/>
  </si>
  <si>
    <t>變更複價</t>
    <phoneticPr fontId="1" type="noConversion"/>
  </si>
  <si>
    <r>
      <rPr>
        <sz val="10"/>
        <rFont val="Microsoft JhengHei"/>
        <family val="2"/>
      </rPr>
      <t>工區</t>
    </r>
    <r>
      <rPr>
        <sz val="10"/>
        <rFont val="Arial"/>
        <family val="2"/>
      </rPr>
      <t>1</t>
    </r>
    <phoneticPr fontId="1" type="noConversion"/>
  </si>
  <si>
    <r>
      <rPr>
        <sz val="10"/>
        <rFont val="Microsoft JhengHei"/>
        <family val="2"/>
      </rPr>
      <t>刨</t>
    </r>
    <r>
      <rPr>
        <sz val="10"/>
        <rFont val="Arial"/>
        <family val="2"/>
      </rPr>
      <t>20 M2</t>
    </r>
    <phoneticPr fontId="1" type="noConversion"/>
  </si>
  <si>
    <r>
      <rPr>
        <sz val="10"/>
        <rFont val="Microsoft JhengHei"/>
        <family val="2"/>
      </rPr>
      <t>刨</t>
    </r>
    <r>
      <rPr>
        <sz val="10"/>
        <rFont val="Arial"/>
        <family val="2"/>
      </rPr>
      <t>5 M2</t>
    </r>
    <phoneticPr fontId="1" type="noConversion"/>
  </si>
  <si>
    <t>水溝</t>
    <phoneticPr fontId="1" type="noConversion"/>
  </si>
  <si>
    <r>
      <rPr>
        <sz val="10"/>
        <rFont val="Microsoft JhengHei"/>
        <family val="2"/>
      </rPr>
      <t>工區</t>
    </r>
    <r>
      <rPr>
        <sz val="10"/>
        <rFont val="Arial"/>
        <family val="2"/>
      </rPr>
      <t>6</t>
    </r>
    <phoneticPr fontId="1" type="noConversion"/>
  </si>
  <si>
    <t>深度</t>
    <phoneticPr fontId="1" type="noConversion"/>
  </si>
  <si>
    <t>機械打除M2</t>
    <phoneticPr fontId="1" type="noConversion"/>
  </si>
  <si>
    <t>1.6.18</t>
  </si>
  <si>
    <t>89.3*9</t>
    <phoneticPr fontId="1" type="noConversion"/>
  </si>
  <si>
    <t>397.1*6</t>
    <phoneticPr fontId="1" type="noConversion"/>
  </si>
  <si>
    <t>119.9*9</t>
    <phoneticPr fontId="1" type="noConversion"/>
  </si>
  <si>
    <t>93.7*25</t>
    <phoneticPr fontId="1" type="noConversion"/>
  </si>
  <si>
    <t>179.4*36</t>
    <phoneticPr fontId="1" type="noConversion"/>
  </si>
  <si>
    <t>315.7*25</t>
    <phoneticPr fontId="1" type="noConversion"/>
  </si>
  <si>
    <t>205.1*25</t>
    <phoneticPr fontId="1" type="noConversion"/>
  </si>
  <si>
    <t>598.3*25</t>
    <phoneticPr fontId="1" type="noConversion"/>
  </si>
  <si>
    <t>196.6*25</t>
    <phoneticPr fontId="1" type="noConversion"/>
  </si>
  <si>
    <t>229.5*25</t>
    <phoneticPr fontId="1" type="noConversion"/>
  </si>
  <si>
    <t>紙莎草，30≦枝長&lt;40cm，寬度&lt;10cm</t>
    <phoneticPr fontId="1" type="noConversion"/>
  </si>
  <si>
    <t>218*9</t>
    <phoneticPr fontId="1" type="noConversion"/>
  </si>
  <si>
    <t>66*25</t>
    <phoneticPr fontId="1" type="noConversion"/>
  </si>
  <si>
    <t>67.4*16</t>
    <phoneticPr fontId="1" type="noConversion"/>
  </si>
  <si>
    <t>每株間距0.5M</t>
    <phoneticPr fontId="1" type="noConversion"/>
  </si>
  <si>
    <t>1.7.82</t>
  </si>
  <si>
    <t>九重葛，120≦高度(枝長)＜150cm(淡粉/淡紫/橙色擇一)</t>
    <phoneticPr fontId="1" type="noConversion"/>
  </si>
  <si>
    <t>65/0.5</t>
    <phoneticPr fontId="1" type="noConversion"/>
  </si>
  <si>
    <r>
      <t>640.07+92.59</t>
    </r>
    <r>
      <rPr>
        <sz val="12"/>
        <color rgb="FFFF0000"/>
        <rFont val="標楷體"/>
        <family val="4"/>
        <charset val="136"/>
      </rPr>
      <t>*2</t>
    </r>
    <r>
      <rPr>
        <sz val="12"/>
        <color rgb="FF000000"/>
        <rFont val="標楷體"/>
        <family val="4"/>
        <charset val="136"/>
      </rPr>
      <t>+51.26+4.13+26.16+38.13+16.73+6.79+1.65+11.2+27.66+10.24+3.72+1.7+3.47+2.71+2.78+5.45+2.72+2.77+7.33+3.7+5.54+0.92+3.08+45.28+96.8+</t>
    </r>
    <r>
      <rPr>
        <sz val="12"/>
        <color rgb="FFFF0000"/>
        <rFont val="標楷體"/>
        <family val="4"/>
        <charset val="136"/>
      </rPr>
      <t>32.21</t>
    </r>
    <r>
      <rPr>
        <sz val="12"/>
        <color rgb="FF000000"/>
        <rFont val="標楷體"/>
        <family val="4"/>
        <charset val="136"/>
      </rPr>
      <t>+5.97+1.64+13.06</t>
    </r>
    <phoneticPr fontId="1" type="noConversion"/>
  </si>
  <si>
    <t>過路段鐵管</t>
    <phoneticPr fontId="1" type="noConversion"/>
  </si>
  <si>
    <t>清江公園</t>
    <phoneticPr fontId="1" type="noConversion"/>
  </si>
  <si>
    <t>400*0.2</t>
    <phoneticPr fontId="1" type="noConversion"/>
  </si>
  <si>
    <t>道路交通標誌</t>
    <phoneticPr fontId="1" type="noConversion"/>
  </si>
  <si>
    <t>1.6.19</t>
  </si>
  <si>
    <t>1.6.20</t>
  </si>
  <si>
    <t>道路緣石上紅線</t>
    <phoneticPr fontId="1" type="noConversion"/>
  </si>
  <si>
    <t>(0.15+0.225)*1254.13+0.15*44.64+0.15*142.26</t>
    <phoneticPr fontId="1" type="noConversion"/>
  </si>
  <si>
    <t>A-1 型(當心行人)、A-2 型(禁止左轉)禁止左轉、B 型(靠右行駛+九聯式反光導標)、限速、路面突起警示牌面</t>
    <phoneticPr fontId="1" type="noConversion"/>
  </si>
  <si>
    <t>3+3+2+2+1+1</t>
    <phoneticPr fontId="1" type="noConversion"/>
  </si>
  <si>
    <t>組</t>
    <phoneticPr fontId="1" type="noConversion"/>
  </si>
  <si>
    <t>A-1型(當心行人)A-2型(禁止左轉)B型(靠右行駛+九聯式反光導標)路面突起、限速</t>
    <phoneticPr fontId="1" type="noConversion"/>
  </si>
  <si>
    <t>瑞健營造有限公司</t>
  </si>
  <si>
    <t>報價單</t>
  </si>
  <si>
    <t>既有木作修復更新</t>
  </si>
  <si>
    <t>單價分析表1</t>
  </si>
  <si>
    <t>既有立柱補強</t>
  </si>
  <si>
    <t>單價分析表2</t>
  </si>
  <si>
    <t>既有木棧道更新，含基礎鋼料更新</t>
  </si>
  <si>
    <t>單價分析表3，工區四</t>
  </si>
  <si>
    <t>園區內木作欄杆修整，含護木漆塗布</t>
  </si>
  <si>
    <t>單價分析表4</t>
  </si>
  <si>
    <t>既有木棧橋鋪面更新，含護木漆塗布</t>
  </si>
  <si>
    <t>單價分析表5</t>
  </si>
  <si>
    <t>.</t>
  </si>
  <si>
    <r>
      <rPr>
        <sz val="10"/>
        <color rgb="FFFF0000"/>
        <rFont val="Microsoft JhengHei"/>
        <family val="2"/>
      </rPr>
      <t>圍籬已有追加項次</t>
    </r>
    <r>
      <rPr>
        <sz val="10"/>
        <color rgb="FFFF0000"/>
        <rFont val="Arial"/>
        <family val="2"/>
      </rPr>
      <t>5.16  H=1.8-2.1M</t>
    </r>
    <r>
      <rPr>
        <sz val="10"/>
        <color rgb="FFFF0000"/>
        <rFont val="細明體"/>
        <family val="2"/>
        <charset val="136"/>
      </rPr>
      <t>，不能再用</t>
    </r>
    <phoneticPr fontId="1" type="noConversion"/>
  </si>
  <si>
    <t>三合祠基礎切割65M+橋梁實做數量差額</t>
    <phoneticPr fontId="1" type="noConversion"/>
  </si>
  <si>
    <t>三合祠遷移36830.5KG</t>
    <phoneticPr fontId="1" type="noConversion"/>
  </si>
  <si>
    <r>
      <rPr>
        <sz val="10"/>
        <color rgb="FFFF0000"/>
        <rFont val="Microsoft JhengHei"/>
        <family val="2"/>
      </rPr>
      <t>僅</t>
    </r>
    <r>
      <rPr>
        <sz val="10"/>
        <color rgb="FFFF0000"/>
        <rFont val="Arial"/>
        <family val="2"/>
      </rPr>
      <t>AC</t>
    </r>
    <r>
      <rPr>
        <sz val="10"/>
        <color rgb="FFFF0000"/>
        <rFont val="Microsoft JhengHei"/>
        <family val="2"/>
      </rPr>
      <t>運棄運費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細明體"/>
        <family val="2"/>
        <charset val="136"/>
      </rPr>
      <t>合約需繳回</t>
    </r>
    <r>
      <rPr>
        <sz val="10"/>
        <color rgb="FFFF0000"/>
        <rFont val="Arial"/>
        <family val="2"/>
      </rPr>
      <t>1767.29M3</t>
    </r>
    <r>
      <rPr>
        <sz val="10"/>
        <color rgb="FFFF0000"/>
        <rFont val="細明體"/>
        <family val="2"/>
        <charset val="136"/>
      </rPr>
      <t>廢料</t>
    </r>
    <r>
      <rPr>
        <sz val="10"/>
        <color rgb="FFFF0000"/>
        <rFont val="Arial"/>
        <family val="2"/>
      </rPr>
      <t>575/M3</t>
    </r>
    <r>
      <rPr>
        <sz val="10"/>
        <color rgb="FFFF0000"/>
        <rFont val="細明體"/>
        <family val="2"/>
        <charset val="136"/>
      </rPr>
      <t>，合約數量計算錯誤</t>
    </r>
    <phoneticPr fontId="1" type="noConversion"/>
  </si>
  <si>
    <t>實做數量</t>
    <phoneticPr fontId="1" type="noConversion"/>
  </si>
  <si>
    <r>
      <rPr>
        <sz val="10"/>
        <rFont val="細明體"/>
        <family val="2"/>
        <charset val="136"/>
      </rPr>
      <t>圖說</t>
    </r>
    <r>
      <rPr>
        <sz val="10"/>
        <rFont val="Microsoft JhengHei"/>
        <family val="2"/>
      </rPr>
      <t>有</t>
    </r>
    <r>
      <rPr>
        <sz val="10"/>
        <rFont val="細明體"/>
        <family val="2"/>
        <charset val="136"/>
      </rPr>
      <t>標示，但數量未計入</t>
    </r>
    <phoneticPr fontId="1" type="noConversion"/>
  </si>
  <si>
    <t>百齡土方暫置區擴大暫置範圍整地</t>
    <phoneticPr fontId="1" type="noConversion"/>
  </si>
  <si>
    <r>
      <rPr>
        <sz val="10"/>
        <rFont val="Microsoft JhengHei"/>
        <family val="2"/>
      </rPr>
      <t>欄杆</t>
    </r>
    <r>
      <rPr>
        <sz val="10"/>
        <rFont val="Arial"/>
        <family val="2"/>
      </rPr>
      <t>B'</t>
    </r>
    <r>
      <rPr>
        <sz val="10"/>
        <rFont val="Microsoft JhengHei"/>
        <family val="2"/>
      </rPr>
      <t>基礎</t>
    </r>
    <r>
      <rPr>
        <sz val="10"/>
        <rFont val="細明體"/>
        <family val="2"/>
        <charset val="136"/>
      </rPr>
      <t>、砌石擋牆</t>
    </r>
    <r>
      <rPr>
        <sz val="10"/>
        <rFont val="Arial"/>
        <family val="2"/>
      </rPr>
      <t>A</t>
    </r>
    <r>
      <rPr>
        <sz val="10"/>
        <rFont val="細明體"/>
        <family val="2"/>
        <charset val="136"/>
      </rPr>
      <t>變更</t>
    </r>
    <r>
      <rPr>
        <sz val="10"/>
        <rFont val="Arial"/>
        <family val="2"/>
      </rPr>
      <t xml:space="preserve">
</t>
    </r>
    <phoneticPr fontId="1" type="noConversion"/>
  </si>
  <si>
    <r>
      <rPr>
        <sz val="10"/>
        <rFont val="細明體"/>
        <family val="2"/>
        <charset val="136"/>
      </rPr>
      <t>樓梯</t>
    </r>
    <r>
      <rPr>
        <sz val="10"/>
        <rFont val="Arial"/>
        <family val="2"/>
      </rPr>
      <t>M</t>
    </r>
    <r>
      <rPr>
        <sz val="10"/>
        <rFont val="細明體"/>
        <family val="2"/>
        <charset val="136"/>
      </rPr>
      <t>漏列</t>
    </r>
    <phoneticPr fontId="1" type="noConversion"/>
  </si>
  <si>
    <t>砌石擋牆B變更型式</t>
    <phoneticPr fontId="1" type="noConversion"/>
  </si>
  <si>
    <t>合約數量少算</t>
  </si>
  <si>
    <t>既有涼亭拆除重建+使照簽證申辦</t>
    <phoneticPr fontId="1" type="noConversion"/>
  </si>
  <si>
    <r>
      <rPr>
        <sz val="10"/>
        <rFont val="Microsoft JhengHei"/>
        <family val="2"/>
      </rPr>
      <t>合約</t>
    </r>
    <r>
      <rPr>
        <sz val="10"/>
        <rFont val="細明體"/>
        <family val="3"/>
        <charset val="136"/>
      </rPr>
      <t>↑</t>
    </r>
    <phoneticPr fontId="1" type="noConversion"/>
  </si>
  <si>
    <t>實作合計</t>
    <phoneticPr fontId="1" type="noConversion"/>
  </si>
  <si>
    <t>依圖說實作數量</t>
    <phoneticPr fontId="1" type="noConversion"/>
  </si>
  <si>
    <t>磺港橋南向(崇仁路)欄杆基礎</t>
    <phoneticPr fontId="1" type="noConversion"/>
  </si>
  <si>
    <t>(1.1+0.1)*14.5/2*2+0.3*14.5+0.1*0.3+1.1*2*2+0.3*2</t>
    <phoneticPr fontId="1" type="noConversion"/>
  </si>
  <si>
    <t>追加欄杆B'基礎抿石</t>
    <phoneticPr fontId="1" type="noConversion"/>
  </si>
  <si>
    <t>三合橋南側斜坡道11.8M+矮牆</t>
    <phoneticPr fontId="1" type="noConversion"/>
  </si>
  <si>
    <t>(0.1+0.2+0.3+0.1)*11.8+(0.87+0.2+0.22+0.1)*8.2</t>
    <phoneticPr fontId="1" type="noConversion"/>
  </si>
  <si>
    <t>(0.3+0.3+0.3)*50</t>
    <phoneticPr fontId="1" type="noConversion"/>
  </si>
  <si>
    <t>保護樹AB欄杆下</t>
    <phoneticPr fontId="1" type="noConversion"/>
  </si>
  <si>
    <t>(0.8+0.4)*35.2+(0.3+0.15)*24.3</t>
    <phoneticPr fontId="1" type="noConversion"/>
  </si>
  <si>
    <t>磺港橋北向擋牆牆面</t>
    <phoneticPr fontId="1" type="noConversion"/>
  </si>
  <si>
    <t>預留數量以防零星抿石</t>
    <phoneticPr fontId="1" type="noConversion"/>
  </si>
  <si>
    <t>(0.3+0.3+0.3)*11</t>
    <phoneticPr fontId="1" type="noConversion"/>
  </si>
  <si>
    <t>清江公園住宅側既有欄杆老舊更新
三合橋南向鄰房側變更追加欄杆B基礎抿石子
砌石擋牆AB欄杆下方抿石</t>
    <phoneticPr fontId="1" type="noConversion"/>
  </si>
  <si>
    <t>應扣截水溝面積</t>
    <phoneticPr fontId="1" type="noConversion"/>
  </si>
  <si>
    <t>暫置區追加堆置區域範圍測量</t>
    <phoneticPr fontId="1" type="noConversion"/>
  </si>
  <si>
    <t>工區四含底部鋼架更新</t>
    <phoneticPr fontId="1" type="noConversion"/>
  </si>
  <si>
    <t>公園內既有破損更新</t>
    <phoneticPr fontId="1" type="noConversion"/>
  </si>
  <si>
    <t>公園內既有破損立柱補強</t>
    <phoneticPr fontId="1" type="noConversion"/>
  </si>
  <si>
    <t>公園內既有木作欄杆修整+護木漆</t>
    <phoneticPr fontId="1" type="noConversion"/>
  </si>
  <si>
    <t>公園內既有木棧橋面更新+護木漆</t>
    <phoneticPr fontId="1" type="noConversion"/>
  </si>
  <si>
    <t>過路段改用12"鐵管，雨水積磚3上面新增</t>
    <phoneticPr fontId="1" type="noConversion"/>
  </si>
  <si>
    <t>雨水積磚3上方新增</t>
    <phoneticPr fontId="1" type="noConversion"/>
  </si>
  <si>
    <t>10.3+7</t>
    <phoneticPr fontId="1" type="noConversion"/>
  </si>
  <si>
    <t>114.6.23北市工水工字第1146037846號，結論二.2</t>
    <phoneticPr fontId="1" type="noConversion"/>
  </si>
  <si>
    <t>暫置區面積(原配面積+新增面積)</t>
    <phoneticPr fontId="1" type="noConversion"/>
  </si>
  <si>
    <r>
      <t>157-159</t>
    </r>
    <r>
      <rPr>
        <sz val="10"/>
        <rFont val="Microsoft JhengHei"/>
        <family val="2"/>
      </rPr>
      <t>巷既有牆面修復，放結算</t>
    </r>
    <r>
      <rPr>
        <sz val="10"/>
        <rFont val="Arial"/>
        <family val="2"/>
      </rPr>
      <t xml:space="preserve">
</t>
    </r>
    <phoneticPr fontId="1" type="noConversion"/>
  </si>
  <si>
    <t>9*2</t>
    <phoneticPr fontId="1" type="noConversion"/>
  </si>
  <si>
    <t>雙孔箱涵出口護岸端牆</t>
    <phoneticPr fontId="1" type="noConversion"/>
  </si>
  <si>
    <t>既有堤牆加高(0+030-磺港橋)</t>
    <phoneticPr fontId="1" type="noConversion"/>
  </si>
  <si>
    <t>7.05/0.2*2</t>
    <phoneticPr fontId="1" type="noConversion"/>
  </si>
  <si>
    <t>18.8/0.2*2</t>
    <phoneticPr fontId="1" type="noConversion"/>
  </si>
  <si>
    <r>
      <t>112.11.23</t>
    </r>
    <r>
      <rPr>
        <sz val="10"/>
        <color rgb="FFFF0000"/>
        <rFont val="細明體"/>
        <family val="2"/>
        <charset val="136"/>
      </rPr>
      <t>北市工水工字第</t>
    </r>
    <r>
      <rPr>
        <sz val="10"/>
        <color rgb="FFFF0000"/>
        <rFont val="Arial"/>
        <family val="2"/>
      </rPr>
      <t>1126063128</t>
    </r>
    <r>
      <rPr>
        <sz val="10"/>
        <color rgb="FFFF0000"/>
        <rFont val="細明體"/>
        <family val="2"/>
        <charset val="136"/>
      </rPr>
      <t>號</t>
    </r>
    <r>
      <rPr>
        <sz val="10"/>
        <color rgb="FFFF0000"/>
        <rFont val="Arial"/>
        <family val="2"/>
      </rPr>
      <t>18</t>
    </r>
    <phoneticPr fontId="1" type="noConversion"/>
  </si>
  <si>
    <r>
      <rPr>
        <sz val="10"/>
        <rFont val="Microsoft JhengHei"/>
        <family val="2"/>
      </rPr>
      <t>箱涵端牆</t>
    </r>
    <r>
      <rPr>
        <sz val="10"/>
        <rFont val="Arial"/>
        <family val="2"/>
      </rPr>
      <t xml:space="preserve">
</t>
    </r>
    <phoneticPr fontId="1" type="noConversion"/>
  </si>
  <si>
    <r>
      <t>堤牆加高</t>
    </r>
    <r>
      <rPr>
        <sz val="10"/>
        <rFont val="Arial"/>
        <family val="2"/>
      </rPr>
      <t>18.8M</t>
    </r>
    <phoneticPr fontId="1" type="noConversion"/>
  </si>
  <si>
    <t>實作數量</t>
    <phoneticPr fontId="1" type="noConversion"/>
  </si>
  <si>
    <t>工區七社宅無障礙坡道</t>
    <phoneticPr fontId="1" type="noConversion"/>
  </si>
  <si>
    <t>3*1.5</t>
    <phoneticPr fontId="1" type="noConversion"/>
  </si>
  <si>
    <t>155-157巷欄杆基礎+157-159巷牆頂(背面既有牆面不抿)</t>
    <phoneticPr fontId="1" type="noConversion"/>
  </si>
  <si>
    <t>希冀橋引道+樓梯側牆牆面</t>
    <phoneticPr fontId="1" type="noConversion"/>
  </si>
  <si>
    <r>
      <t>2</t>
    </r>
    <r>
      <rPr>
        <sz val="10"/>
        <rFont val="細明體"/>
        <family val="2"/>
        <charset val="136"/>
      </rPr>
      <t>變水溝數量多算，</t>
    </r>
    <r>
      <rPr>
        <sz val="10"/>
        <rFont val="Arial"/>
        <family val="2"/>
      </rPr>
      <t>-13.02</t>
    </r>
    <r>
      <rPr>
        <sz val="10"/>
        <rFont val="細明體"/>
        <family val="2"/>
        <charset val="136"/>
      </rPr>
      <t>放結算</t>
    </r>
    <r>
      <rPr>
        <sz val="10"/>
        <rFont val="Arial"/>
        <family val="2"/>
      </rPr>
      <t>5%</t>
    </r>
    <r>
      <rPr>
        <sz val="10"/>
        <rFont val="細明體"/>
        <family val="2"/>
        <charset val="136"/>
      </rPr>
      <t>內</t>
    </r>
    <phoneticPr fontId="1" type="noConversion"/>
  </si>
  <si>
    <t>(0.3+0.3)*(33+26)+0.3*0.3*2*2</t>
    <phoneticPr fontId="1" type="noConversion"/>
  </si>
  <si>
    <r>
      <rPr>
        <sz val="10"/>
        <rFont val="Microsoft JhengHei"/>
        <family val="2"/>
        <charset val="136"/>
      </rPr>
      <t>實作數量</t>
    </r>
    <r>
      <rPr>
        <sz val="10"/>
        <rFont val="細明體"/>
        <family val="2"/>
        <charset val="136"/>
      </rPr>
      <t>，放結算</t>
    </r>
    <phoneticPr fontId="1" type="noConversion"/>
  </si>
  <si>
    <t>工區四木棧道</t>
    <phoneticPr fontId="1" type="noConversion"/>
  </si>
  <si>
    <t>1.2.97</t>
  </si>
  <si>
    <t>1.2.98</t>
  </si>
  <si>
    <t>1.2.99</t>
  </si>
  <si>
    <t>1.2.100</t>
  </si>
  <si>
    <t>641.52才</t>
    <phoneticPr fontId="1" type="noConversion"/>
  </si>
  <si>
    <t>66*48*15台尺</t>
    <phoneticPr fontId="1" type="noConversion"/>
  </si>
  <si>
    <t>木棧橋</t>
    <phoneticPr fontId="1" type="noConversion"/>
  </si>
  <si>
    <t>112.11.23北市工水工字第1126063128號，結論7
114.2.18北市工水工字第1146014640號
114.3.11拓字第1130311001號</t>
    <phoneticPr fontId="1" type="noConversion"/>
  </si>
  <si>
    <t>改道
束縮段減速平台</t>
    <phoneticPr fontId="1" type="noConversion"/>
  </si>
  <si>
    <r>
      <rPr>
        <sz val="10"/>
        <rFont val="Microsoft JhengHei"/>
        <family val="2"/>
      </rPr>
      <t>既有牆面補強、三合街南側</t>
    </r>
    <r>
      <rPr>
        <sz val="10"/>
        <rFont val="Arial"/>
        <family val="2"/>
      </rPr>
      <t>(</t>
    </r>
    <r>
      <rPr>
        <sz val="10"/>
        <rFont val="Microsoft JhengHei"/>
        <family val="2"/>
      </rPr>
      <t>三合橋頭</t>
    </r>
    <r>
      <rPr>
        <sz val="10"/>
        <rFont val="Arial"/>
        <family val="2"/>
      </rPr>
      <t>)</t>
    </r>
    <phoneticPr fontId="1" type="noConversion"/>
  </si>
  <si>
    <t>側溝、集水井鋼筋號數變更部分(46866.85-12810=34056.82KG)
既有牆面補強、三合街南側(三合橋頭)</t>
    <phoneticPr fontId="1" type="noConversion"/>
  </si>
  <si>
    <r>
      <rPr>
        <sz val="10"/>
        <color rgb="FFFF0000"/>
        <rFont val="Microsoft JhengHei"/>
        <family val="2"/>
        <charset val="136"/>
      </rPr>
      <t>以下數量依</t>
    </r>
    <r>
      <rPr>
        <sz val="10"/>
        <color rgb="FFFF0000"/>
        <rFont val="Arial"/>
        <family val="2"/>
      </rPr>
      <t>114.7.3</t>
    </r>
    <r>
      <rPr>
        <sz val="10"/>
        <color rgb="FFFF0000"/>
        <rFont val="細明體"/>
        <family val="2"/>
        <charset val="136"/>
      </rPr>
      <t>北市工水工字第</t>
    </r>
    <r>
      <rPr>
        <sz val="10"/>
        <color rgb="FFFF0000"/>
        <rFont val="Arial"/>
        <family val="2"/>
      </rPr>
      <t>11460407432</t>
    </r>
    <r>
      <rPr>
        <sz val="10"/>
        <color rgb="FFFF0000"/>
        <rFont val="細明體"/>
        <family val="2"/>
        <charset val="136"/>
      </rPr>
      <t>號</t>
    </r>
    <r>
      <rPr>
        <sz val="10"/>
        <color rgb="FFFF0000"/>
        <rFont val="Microsoft JhengHei"/>
        <family val="2"/>
      </rPr>
      <t>提供植栽圖說計算</t>
    </r>
    <r>
      <rPr>
        <sz val="10"/>
        <color rgb="FFFF0000"/>
        <rFont val="Arial"/>
        <family val="2"/>
        <charset val="136"/>
      </rPr>
      <t>(</t>
    </r>
    <r>
      <rPr>
        <sz val="10"/>
        <color rgb="FFFF0000"/>
        <rFont val="Microsoft JhengHei"/>
        <family val="2"/>
      </rPr>
      <t>磺港路喬木於變更前已種植者不再異動</t>
    </r>
    <r>
      <rPr>
        <sz val="10"/>
        <color rgb="FFFF0000"/>
        <rFont val="Arial"/>
        <family val="2"/>
      </rPr>
      <t>)</t>
    </r>
    <phoneticPr fontId="1" type="noConversion"/>
  </si>
  <si>
    <r>
      <t>25+30</t>
    </r>
    <r>
      <rPr>
        <sz val="12"/>
        <color rgb="FFFF0000"/>
        <rFont val="標楷體"/>
        <family val="4"/>
        <charset val="136"/>
      </rPr>
      <t>+3
預計景觀結構114.7.10再取樣3組</t>
    </r>
    <phoneticPr fontId="1" type="noConversion"/>
  </si>
  <si>
    <t>閘門舌閥</t>
    <phoneticPr fontId="1" type="noConversion"/>
  </si>
  <si>
    <t>AB標數量拆分，依現況調整實作實算</t>
    <phoneticPr fontId="1" type="noConversion"/>
  </si>
  <si>
    <t>陳重文議員會勘要求</t>
    <phoneticPr fontId="1" type="noConversion"/>
  </si>
  <si>
    <t>緣石不能再算模板</t>
    <phoneticPr fontId="1" type="noConversion"/>
  </si>
  <si>
    <t>依實作數量</t>
    <phoneticPr fontId="1" type="noConversion"/>
  </si>
  <si>
    <t>追加欄杆</t>
    <phoneticPr fontId="1" type="noConversion"/>
  </si>
  <si>
    <t>既有汙水人孔更新人孔蓋</t>
    <phoneticPr fontId="1" type="noConversion"/>
  </si>
  <si>
    <t>113.8.20北市工水工字第1136047137號，結論8
114.4.28北市工水工字第1146028259號</t>
    <phoneticPr fontId="1" type="noConversion"/>
  </si>
  <si>
    <r>
      <rPr>
        <sz val="10"/>
        <rFont val="Microsoft JhengHei"/>
        <family val="2"/>
      </rPr>
      <t>界面因素由</t>
    </r>
    <r>
      <rPr>
        <sz val="10"/>
        <rFont val="Arial"/>
        <family val="2"/>
      </rPr>
      <t>A</t>
    </r>
    <r>
      <rPr>
        <sz val="10"/>
        <rFont val="細明體"/>
        <family val="2"/>
        <charset val="136"/>
      </rPr>
      <t>標施作</t>
    </r>
    <r>
      <rPr>
        <sz val="10"/>
        <rFont val="Arial"/>
        <family val="2"/>
      </rPr>
      <t>(</t>
    </r>
    <r>
      <rPr>
        <sz val="10"/>
        <rFont val="Microsoft JhengHei"/>
        <family val="2"/>
      </rPr>
      <t>長青大樓旁</t>
    </r>
    <r>
      <rPr>
        <sz val="10"/>
        <rFont val="Arial"/>
        <family val="2"/>
      </rPr>
      <t>)</t>
    </r>
    <phoneticPr fontId="1" type="noConversion"/>
  </si>
  <si>
    <t>追加座台A上方、崇仁路155-157巷、三合橋南側鄰房、清江公園住宅側、磺港橋頭2側</t>
    <phoneticPr fontId="1" type="noConversion"/>
  </si>
  <si>
    <t>改道</t>
    <phoneticPr fontId="1" type="noConversion"/>
  </si>
  <si>
    <t>47.4+13.7</t>
    <phoneticPr fontId="1" type="noConversion"/>
  </si>
  <si>
    <r>
      <rPr>
        <sz val="10"/>
        <rFont val="Microsoft JhengHei"/>
        <family val="2"/>
      </rPr>
      <t>追加道路邊線</t>
    </r>
    <r>
      <rPr>
        <sz val="10"/>
        <rFont val="Arial"/>
        <family val="2"/>
      </rPr>
      <t>.</t>
    </r>
    <r>
      <rPr>
        <sz val="10"/>
        <rFont val="Microsoft JhengHei"/>
        <family val="2"/>
      </rPr>
      <t>槽化線</t>
    </r>
    <r>
      <rPr>
        <sz val="10"/>
        <rFont val="Arial"/>
        <family val="2"/>
      </rPr>
      <t>.</t>
    </r>
    <r>
      <rPr>
        <sz val="10"/>
        <rFont val="Microsoft JhengHei"/>
        <family val="2"/>
      </rPr>
      <t>減速平台</t>
    </r>
    <r>
      <rPr>
        <sz val="10"/>
        <rFont val="細明體"/>
        <family val="2"/>
        <charset val="136"/>
      </rPr>
      <t>，</t>
    </r>
    <r>
      <rPr>
        <sz val="10"/>
        <rFont val="Microsoft JhengHei"/>
        <family val="2"/>
      </rPr>
      <t>磺港路封閉改道</t>
    </r>
    <phoneticPr fontId="1" type="noConversion"/>
  </si>
  <si>
    <r>
      <t>112.11.27</t>
    </r>
    <r>
      <rPr>
        <sz val="10"/>
        <rFont val="細明體"/>
        <family val="2"/>
        <charset val="136"/>
      </rPr>
      <t>北市工水工字第</t>
    </r>
    <r>
      <rPr>
        <sz val="10"/>
        <rFont val="Arial"/>
        <family val="2"/>
      </rPr>
      <t>1126064318</t>
    </r>
    <r>
      <rPr>
        <sz val="10"/>
        <rFont val="細明體"/>
        <family val="2"/>
        <charset val="136"/>
      </rPr>
      <t>號</t>
    </r>
    <r>
      <rPr>
        <sz val="10"/>
        <rFont val="Arial"/>
        <family val="2"/>
      </rPr>
      <t xml:space="preserve">
114.2.18</t>
    </r>
    <r>
      <rPr>
        <sz val="10"/>
        <rFont val="Microsoft JhengHei"/>
        <family val="2"/>
      </rPr>
      <t>北市工水工字第</t>
    </r>
    <r>
      <rPr>
        <sz val="10"/>
        <rFont val="Arial"/>
        <family val="2"/>
      </rPr>
      <t>1146014640</t>
    </r>
    <r>
      <rPr>
        <sz val="10"/>
        <rFont val="Microsoft JhengHei"/>
        <family val="2"/>
      </rPr>
      <t>號，結論</t>
    </r>
    <r>
      <rPr>
        <sz val="10"/>
        <rFont val="Arial"/>
        <family val="2"/>
      </rPr>
      <t>2
114.3.11</t>
    </r>
    <r>
      <rPr>
        <sz val="10"/>
        <rFont val="Microsoft JhengHei"/>
        <family val="2"/>
      </rPr>
      <t>拓字第</t>
    </r>
    <r>
      <rPr>
        <sz val="10"/>
        <rFont val="Arial"/>
        <family val="2"/>
      </rPr>
      <t>1130311001</t>
    </r>
    <phoneticPr fontId="1" type="noConversion"/>
  </si>
  <si>
    <t>依114.7.1交工處現場會勘辦理</t>
    <phoneticPr fontId="1" type="noConversion"/>
  </si>
  <si>
    <r>
      <t>112.9.8</t>
    </r>
    <r>
      <rPr>
        <sz val="10"/>
        <rFont val="細明體"/>
        <family val="2"/>
        <charset val="136"/>
      </rPr>
      <t>北市工水工字第</t>
    </r>
    <r>
      <rPr>
        <sz val="10"/>
        <rFont val="Arial"/>
        <family val="2"/>
      </rPr>
      <t>1126049522</t>
    </r>
    <r>
      <rPr>
        <sz val="10"/>
        <rFont val="細明體"/>
        <family val="2"/>
        <charset val="136"/>
      </rPr>
      <t>號</t>
    </r>
    <r>
      <rPr>
        <sz val="10"/>
        <rFont val="Microsoft JhengHei"/>
        <family val="2"/>
      </rPr>
      <t>結論</t>
    </r>
    <r>
      <rPr>
        <sz val="10"/>
        <rFont val="Arial"/>
        <family val="2"/>
      </rPr>
      <t>31</t>
    </r>
    <phoneticPr fontId="1" type="noConversion"/>
  </si>
  <si>
    <t>交維告示牌、道路封閉改道牌面、宣導警示牌面</t>
    <phoneticPr fontId="1" type="noConversion"/>
  </si>
  <si>
    <t>5+3+3+3+3</t>
    <phoneticPr fontId="1" type="noConversion"/>
  </si>
  <si>
    <t>113.3.13拓字第1130313002號函
113.8.20北市工水工字第1136047137號函結論8
114.4.28北市工水工字第1146028259號函</t>
    <phoneticPr fontId="1" type="noConversion"/>
  </si>
  <si>
    <r>
      <t>112.10.6</t>
    </r>
    <r>
      <rPr>
        <sz val="10"/>
        <rFont val="Microsoft JhengHei"/>
        <family val="2"/>
      </rPr>
      <t>北市工水工字第</t>
    </r>
    <r>
      <rPr>
        <sz val="10"/>
        <rFont val="Arial"/>
        <family val="2"/>
      </rPr>
      <t>1126054480</t>
    </r>
    <r>
      <rPr>
        <sz val="10"/>
        <rFont val="Microsoft JhengHei"/>
        <family val="2"/>
      </rPr>
      <t>號結論</t>
    </r>
    <r>
      <rPr>
        <sz val="10"/>
        <rFont val="Arial"/>
        <family val="2"/>
      </rPr>
      <t>4
113.3.15</t>
    </r>
    <r>
      <rPr>
        <sz val="10"/>
        <rFont val="細明體"/>
        <family val="2"/>
        <charset val="136"/>
      </rPr>
      <t>北市工水工字第</t>
    </r>
    <r>
      <rPr>
        <sz val="10"/>
        <rFont val="Arial"/>
        <family val="2"/>
      </rPr>
      <t>1136018215</t>
    </r>
    <r>
      <rPr>
        <sz val="10"/>
        <rFont val="細明體"/>
        <family val="2"/>
        <charset val="136"/>
      </rPr>
      <t>號</t>
    </r>
    <phoneticPr fontId="1" type="noConversion"/>
  </si>
  <si>
    <r>
      <t>113.2.15</t>
    </r>
    <r>
      <rPr>
        <sz val="10"/>
        <rFont val="細明體"/>
        <family val="2"/>
        <charset val="136"/>
      </rPr>
      <t>北市工水工字第</t>
    </r>
    <r>
      <rPr>
        <sz val="10"/>
        <rFont val="Arial"/>
        <family val="2"/>
      </rPr>
      <t>1136012511</t>
    </r>
    <r>
      <rPr>
        <sz val="10"/>
        <rFont val="細明體"/>
        <family val="2"/>
        <charset val="136"/>
      </rPr>
      <t>號函</t>
    </r>
    <phoneticPr fontId="1" type="noConversion"/>
  </si>
  <si>
    <r>
      <rPr>
        <sz val="10"/>
        <rFont val="Microsoft JhengHei"/>
        <family val="2"/>
      </rPr>
      <t>晶化地坪改用</t>
    </r>
    <r>
      <rPr>
        <sz val="10"/>
        <rFont val="Arial"/>
        <family val="2"/>
      </rPr>
      <t>280(</t>
    </r>
    <r>
      <rPr>
        <sz val="10"/>
        <rFont val="Microsoft JhengHei"/>
        <family val="2"/>
      </rPr>
      <t>新設橋面使用</t>
    </r>
    <r>
      <rPr>
        <sz val="10"/>
        <rFont val="Arial"/>
        <family val="2"/>
      </rPr>
      <t>280</t>
    </r>
    <r>
      <rPr>
        <sz val="10"/>
        <rFont val="細明體"/>
        <family val="2"/>
        <charset val="136"/>
      </rPr>
      <t>混凝土</t>
    </r>
    <r>
      <rPr>
        <sz val="10"/>
        <rFont val="Arial"/>
        <family val="2"/>
      </rPr>
      <t>)</t>
    </r>
    <phoneticPr fontId="1" type="noConversion"/>
  </si>
  <si>
    <t>依實作數量</t>
    <phoneticPr fontId="1" type="noConversion"/>
  </si>
  <si>
    <t>112.12.12北市工水工字第1126067256號函</t>
    <phoneticPr fontId="1" type="noConversion"/>
  </si>
  <si>
    <r>
      <t>112.12.12</t>
    </r>
    <r>
      <rPr>
        <sz val="10"/>
        <color rgb="FFFF0000"/>
        <rFont val="細明體"/>
        <family val="2"/>
        <charset val="136"/>
      </rPr>
      <t>北市工水工字第</t>
    </r>
    <r>
      <rPr>
        <sz val="10"/>
        <color rgb="FFFF0000"/>
        <rFont val="Arial"/>
        <family val="2"/>
      </rPr>
      <t>1126067256</t>
    </r>
    <r>
      <rPr>
        <sz val="10"/>
        <color rgb="FFFF0000"/>
        <rFont val="細明體"/>
        <family val="2"/>
        <charset val="136"/>
      </rPr>
      <t>號</t>
    </r>
    <r>
      <rPr>
        <sz val="10"/>
        <color rgb="FFFF0000"/>
        <rFont val="Arial"/>
        <family val="2"/>
      </rPr>
      <t xml:space="preserve">
114.4.24</t>
    </r>
    <r>
      <rPr>
        <sz val="10"/>
        <color rgb="FFFF0000"/>
        <rFont val="Microsoft JhengHei"/>
        <family val="2"/>
      </rPr>
      <t>北市工水工字第</t>
    </r>
    <r>
      <rPr>
        <sz val="10"/>
        <color rgb="FFFF0000"/>
        <rFont val="Arial"/>
        <family val="2"/>
      </rPr>
      <t>11419091020</t>
    </r>
    <r>
      <rPr>
        <sz val="10"/>
        <color rgb="FFFF0000"/>
        <rFont val="Microsoft JhengHei"/>
        <family val="2"/>
      </rPr>
      <t>號</t>
    </r>
    <phoneticPr fontId="1" type="noConversion"/>
  </si>
  <si>
    <t>堤牆加高、植栽槽
全家對面修復</t>
    <phoneticPr fontId="1" type="noConversion"/>
  </si>
  <si>
    <t>磺港路南北向交維告示牌、道路封閉改道牌面</t>
    <phoneticPr fontId="1" type="noConversion"/>
  </si>
  <si>
    <r>
      <t>112.12.7</t>
    </r>
    <r>
      <rPr>
        <sz val="10"/>
        <rFont val="細明體"/>
        <family val="2"/>
        <charset val="136"/>
      </rPr>
      <t>北市工水工字第</t>
    </r>
    <r>
      <rPr>
        <sz val="10"/>
        <rFont val="Arial"/>
        <family val="2"/>
      </rPr>
      <t>1126066208</t>
    </r>
    <r>
      <rPr>
        <sz val="10"/>
        <rFont val="細明體"/>
        <family val="2"/>
        <charset val="136"/>
      </rPr>
      <t>號</t>
    </r>
    <phoneticPr fontId="1" type="noConversion"/>
  </si>
  <si>
    <t>(736.37+558.6)/2.25+1</t>
    <phoneticPr fontId="1" type="noConversion"/>
  </si>
  <si>
    <t>暫置區臨洲美街警示</t>
    <phoneticPr fontId="1" type="noConversion"/>
  </si>
  <si>
    <t>暫置區臨洲美街側</t>
    <phoneticPr fontId="1" type="noConversion"/>
  </si>
  <si>
    <t>100/2</t>
    <phoneticPr fontId="1" type="noConversion"/>
  </si>
  <si>
    <t>113.3.8北市工水工字第1136016678號，結論1
113.7.2北市工水工字第1136038674號</t>
    <phoneticPr fontId="1" type="noConversion"/>
  </si>
  <si>
    <r>
      <t>界面因素由</t>
    </r>
    <r>
      <rPr>
        <sz val="10"/>
        <rFont val="Arial"/>
        <family val="2"/>
      </rPr>
      <t>A</t>
    </r>
    <r>
      <rPr>
        <sz val="10"/>
        <rFont val="細明體"/>
        <family val="3"/>
        <charset val="136"/>
      </rPr>
      <t>標施作</t>
    </r>
  </si>
  <si>
    <t>樁號</t>
    <phoneticPr fontId="1" type="noConversion"/>
  </si>
  <si>
    <t>樁距</t>
    <phoneticPr fontId="1" type="noConversion"/>
  </si>
  <si>
    <t>寬度</t>
    <phoneticPr fontId="1" type="noConversion"/>
  </si>
  <si>
    <t>平均寬</t>
    <phoneticPr fontId="1" type="noConversion"/>
  </si>
  <si>
    <t>斷面積</t>
    <phoneticPr fontId="1" type="noConversion"/>
  </si>
  <si>
    <t>累計面積</t>
    <phoneticPr fontId="1" type="noConversion"/>
  </si>
  <si>
    <t>道路區域面積-無擾動區域面積-刨5鋪5面積</t>
    <phoneticPr fontId="1" type="noConversion"/>
  </si>
  <si>
    <t>(6245-747.46)*0.05</t>
    <phoneticPr fontId="1" type="noConversion"/>
  </si>
  <si>
    <t>(6245-747.46-1313.8)*0.15</t>
    <phoneticPr fontId="1" type="noConversion"/>
  </si>
  <si>
    <t>6245-747.46-1313.8</t>
    <phoneticPr fontId="1" type="noConversion"/>
  </si>
  <si>
    <t>磺港路南北向(每5CM/1層，2底1面)+減速平台</t>
    <phoneticPr fontId="1" type="noConversion"/>
  </si>
  <si>
    <t>4183.74*2+5497.54+6*4.5</t>
    <phoneticPr fontId="1" type="noConversion"/>
  </si>
  <si>
    <t>265.16+617.85+573.32+53.43+363.71+233.22+408+71.46-((34+37+46.72+40.1+44.1+12.5+51.35)*0.8)</t>
    <phoneticPr fontId="1" type="noConversion"/>
  </si>
  <si>
    <t>((131.8*7.1)+(45.31*6.75)+(6.4*(38.06+44.56))+(45.27*8.65)+(8.5*92.9))*2+(49.44+22.37+85.59+62.94+140.85+28.46+77.51)*2+(79.46*2)+((34+37+46.72+40.1+44.1+12.5+51.35)*0.8*2)+(9*31.1*2.5)</t>
    <phoneticPr fontId="1" type="noConversion"/>
  </si>
  <si>
    <t>719.81+2373.53*0.05+8121.47*0.1</t>
    <phoneticPr fontId="1" type="noConversion"/>
  </si>
  <si>
    <t>補紀錄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</si>
</sst>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76" formatCode="#,##0.00_ "/>
    <numFmt numFmtId="177" formatCode="0.00_ "/>
    <numFmt numFmtId="178" formatCode="0.0000_ "/>
    <numFmt numFmtId="179" formatCode="#,##0.0_ "/>
    <numFmt numFmtId="180" formatCode="#,##0_ "/>
    <numFmt numFmtId="181" formatCode="#,##0.00_ ;[Red]\-#,##0.00\ "/>
    <numFmt numFmtId="182" formatCode="#,##0.00_);[Red]\(#,##0.00\)"/>
    <numFmt numFmtId="183" formatCode="General&quot;單元&quot;"/>
    <numFmt numFmtId="184" formatCode="General&quot;KG&quot;"/>
    <numFmt numFmtId="185" formatCode="General&quot;座&quot;"/>
    <numFmt numFmtId="186" formatCode="0.00_);[Red]\(0.00\)"/>
    <numFmt numFmtId="187" formatCode="0.000_);[Red]\(0.000\)"/>
    <numFmt numFmtId="188" formatCode="General&quot;原圖&quot;"/>
    <numFmt numFmtId="189" formatCode="&quot;第&quot;\ #\ &quot;次估驗詳細表&quot;\ "/>
    <numFmt numFmtId="190" formatCode="[$-404]e&quot;年&quot;m&quot;月&quot;d&quot;日&quot;;@"/>
    <numFmt numFmtId="191" formatCode="0.00_ ;[Red]\-0.00\ "/>
    <numFmt numFmtId="192" formatCode="_-* #,##0.0_-;\-* #,##0.0_-;_-* &quot;-&quot;??_-;_-@_-"/>
    <numFmt numFmtId="193" formatCode="_-* #,##0.00_-;\-* #,##0.00_-;_-* &quot;-&quot;_-;_-@_-"/>
    <numFmt numFmtId="194" formatCode="##,##0.00;\-0.0000;;@"/>
    <numFmt numFmtId="195" formatCode="m&quot;月&quot;d&quot;日&quot;"/>
    <numFmt numFmtId="196" formatCode="0.0"/>
    <numFmt numFmtId="197" formatCode="0_ "/>
  </numFmts>
  <fonts count="138">
    <font>
      <sz val="10"/>
      <name val="Arial"/>
      <family val="2"/>
    </font>
    <font>
      <sz val="9"/>
      <name val="細明體"/>
      <family val="3"/>
      <charset val="136"/>
    </font>
    <font>
      <sz val="11"/>
      <color indexed="8"/>
      <name val="標楷體"/>
      <family val="4"/>
      <charset val="136"/>
    </font>
    <font>
      <sz val="10"/>
      <color indexed="8"/>
      <name val="Arial"/>
      <family val="2"/>
    </font>
    <font>
      <sz val="12"/>
      <name val="標楷體"/>
      <family val="4"/>
      <charset val="136"/>
    </font>
    <font>
      <sz val="12"/>
      <color indexed="8"/>
      <name val="標楷體"/>
      <family val="4"/>
      <charset val="136"/>
    </font>
    <font>
      <sz val="10"/>
      <color indexed="8"/>
      <name val="標楷體"/>
      <family val="4"/>
      <charset val="136"/>
    </font>
    <font>
      <sz val="10"/>
      <name val="標楷體"/>
      <family val="4"/>
      <charset val="136"/>
    </font>
    <font>
      <sz val="11"/>
      <name val="標楷體"/>
      <family val="4"/>
      <charset val="136"/>
    </font>
    <font>
      <sz val="16"/>
      <color indexed="8"/>
      <name val="標楷體"/>
      <family val="4"/>
      <charset val="136"/>
    </font>
    <font>
      <sz val="12"/>
      <color indexed="8"/>
      <name val="新細明體"/>
      <family val="1"/>
      <charset val="136"/>
    </font>
    <font>
      <sz val="14"/>
      <color indexed="8"/>
      <name val="Arial"/>
      <family val="2"/>
    </font>
    <font>
      <sz val="13"/>
      <color indexed="8"/>
      <name val="標楷體"/>
      <family val="4"/>
      <charset val="136"/>
    </font>
    <font>
      <sz val="9"/>
      <color indexed="8"/>
      <name val="Arial"/>
      <family val="2"/>
    </font>
    <font>
      <sz val="16"/>
      <name val="Arial"/>
      <family val="2"/>
      <charset val="136"/>
    </font>
    <font>
      <sz val="16"/>
      <name val="Microsoft JhengHei"/>
      <family val="2"/>
    </font>
    <font>
      <sz val="16"/>
      <name val="Arial"/>
      <family val="2"/>
    </font>
    <font>
      <sz val="16"/>
      <name val="細明體"/>
      <family val="2"/>
      <charset val="136"/>
    </font>
    <font>
      <sz val="16"/>
      <name val="Microsoft JhengHei"/>
      <family val="2"/>
      <charset val="136"/>
    </font>
    <font>
      <sz val="12"/>
      <color rgb="FF000000"/>
      <name val="標楷體"/>
      <family val="4"/>
      <charset val="136"/>
    </font>
    <font>
      <sz val="10"/>
      <name val="Microsoft JhengHei"/>
      <family val="2"/>
    </font>
    <font>
      <sz val="14"/>
      <color indexed="8"/>
      <name val="標楷體"/>
      <family val="4"/>
      <charset val="136"/>
    </font>
    <font>
      <sz val="10"/>
      <name val="Arial"/>
      <family val="2"/>
    </font>
    <font>
      <sz val="12"/>
      <color rgb="FFFF0000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4"/>
      <name val="標楷體"/>
      <family val="4"/>
      <charset val="136"/>
    </font>
    <font>
      <sz val="9"/>
      <color indexed="8"/>
      <name val="標楷體"/>
      <family val="4"/>
      <charset val="136"/>
    </font>
    <font>
      <sz val="9"/>
      <name val="標楷體"/>
      <family val="4"/>
      <charset val="136"/>
    </font>
    <font>
      <b/>
      <sz val="10"/>
      <name val="標楷體"/>
      <family val="4"/>
      <charset val="136"/>
    </font>
    <font>
      <b/>
      <sz val="10"/>
      <color rgb="FFFF0000"/>
      <name val="標楷體"/>
      <family val="4"/>
      <charset val="136"/>
    </font>
    <font>
      <sz val="12"/>
      <color rgb="FFFF0000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6"/>
      <color theme="1"/>
      <name val="新細明體"/>
      <family val="2"/>
      <charset val="136"/>
      <scheme val="minor"/>
    </font>
    <font>
      <sz val="12"/>
      <name val="細明體"/>
      <family val="2"/>
      <charset val="136"/>
    </font>
    <font>
      <sz val="12"/>
      <name val="Arial"/>
      <family val="2"/>
    </font>
    <font>
      <sz val="12"/>
      <name val="新細明體"/>
      <family val="2"/>
      <charset val="136"/>
    </font>
    <font>
      <sz val="12"/>
      <name val="Microsoft JhengHei"/>
      <family val="2"/>
    </font>
    <font>
      <sz val="12"/>
      <name val="Microsoft JhengHei"/>
      <family val="2"/>
      <charset val="136"/>
    </font>
    <font>
      <sz val="10"/>
      <name val="微軟正黑體"/>
      <family val="2"/>
      <charset val="136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sz val="11"/>
      <color indexed="81"/>
      <name val="細明體"/>
      <family val="3"/>
      <charset val="136"/>
    </font>
    <font>
      <sz val="11"/>
      <color rgb="FFFF0000"/>
      <name val="標楷體"/>
      <family val="4"/>
      <charset val="136"/>
    </font>
    <font>
      <sz val="10"/>
      <color rgb="FFFF0000"/>
      <name val="標楷體"/>
      <family val="4"/>
      <charset val="136"/>
    </font>
    <font>
      <sz val="9"/>
      <color rgb="FFFF0000"/>
      <name val="標楷體"/>
      <family val="4"/>
      <charset val="136"/>
    </font>
    <font>
      <sz val="10"/>
      <name val="Microsoft JhengHei"/>
      <family val="2"/>
      <charset val="136"/>
    </font>
    <font>
      <sz val="11"/>
      <color rgb="FF000000"/>
      <name val="標楷體"/>
      <family val="4"/>
      <charset val="136"/>
    </font>
    <font>
      <sz val="10"/>
      <color rgb="FF000000"/>
      <name val="標楷體"/>
      <family val="4"/>
      <charset val="136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sz val="12"/>
      <color rgb="FF000000"/>
      <name val="標楷體"/>
      <family val="1"/>
      <charset val="136"/>
    </font>
    <font>
      <b/>
      <sz val="14"/>
      <color rgb="FFFF0000"/>
      <name val="標楷體"/>
      <family val="4"/>
      <charset val="136"/>
    </font>
    <font>
      <b/>
      <sz val="13"/>
      <color rgb="FFFF0000"/>
      <name val="標楷體"/>
      <family val="4"/>
      <charset val="136"/>
    </font>
    <font>
      <b/>
      <sz val="11"/>
      <color rgb="FFFF0000"/>
      <name val="標楷體"/>
      <family val="4"/>
      <charset val="136"/>
    </font>
    <font>
      <b/>
      <sz val="9"/>
      <color rgb="FFFF0000"/>
      <name val="標楷體"/>
      <family val="4"/>
      <charset val="136"/>
    </font>
    <font>
      <sz val="20"/>
      <name val="標楷體"/>
      <family val="4"/>
    </font>
    <font>
      <sz val="16"/>
      <name val="標楷體"/>
      <family val="4"/>
    </font>
    <font>
      <sz val="12"/>
      <name val="標楷體"/>
      <family val="4"/>
    </font>
    <font>
      <sz val="10"/>
      <name val="標楷體"/>
      <family val="4"/>
    </font>
    <font>
      <sz val="8"/>
      <name val="標楷體"/>
      <family val="4"/>
    </font>
    <font>
      <sz val="8"/>
      <color rgb="FFFF0000"/>
      <name val="標楷體"/>
      <family val="4"/>
    </font>
    <font>
      <sz val="10"/>
      <color rgb="FFFF0000"/>
      <name val="Microsoft JhengHei"/>
      <family val="2"/>
    </font>
    <font>
      <b/>
      <sz val="16"/>
      <color indexed="8"/>
      <name val="標楷體"/>
      <family val="4"/>
      <charset val="136"/>
    </font>
    <font>
      <b/>
      <sz val="18"/>
      <color indexed="8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u/>
      <sz val="9"/>
      <color indexed="8"/>
      <name val="標楷體"/>
      <family val="4"/>
      <charset val="136"/>
    </font>
    <font>
      <b/>
      <sz val="14"/>
      <color indexed="8"/>
      <name val="標楷體"/>
      <family val="4"/>
      <charset val="136"/>
    </font>
    <font>
      <b/>
      <sz val="12"/>
      <color indexed="8"/>
      <name val="新細明體"/>
      <family val="1"/>
      <charset val="136"/>
    </font>
    <font>
      <sz val="12"/>
      <color indexed="8"/>
      <name val="Arial"/>
      <family val="2"/>
    </font>
    <font>
      <sz val="12"/>
      <color rgb="FFFF0000"/>
      <name val="Arial"/>
      <family val="2"/>
    </font>
    <font>
      <b/>
      <sz val="10"/>
      <color indexed="8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sz val="9"/>
      <color rgb="FFFF0000"/>
      <name val="Arial"/>
      <family val="2"/>
    </font>
    <font>
      <sz val="9"/>
      <name val="Arial"/>
      <family val="2"/>
    </font>
    <font>
      <sz val="12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9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  <font>
      <sz val="9"/>
      <color rgb="FFFF0000"/>
      <name val="新細明體"/>
      <family val="2"/>
      <charset val="136"/>
      <scheme val="minor"/>
    </font>
    <font>
      <sz val="8"/>
      <name val="新細明體"/>
      <family val="1"/>
      <charset val="136"/>
      <scheme val="minor"/>
    </font>
    <font>
      <sz val="12"/>
      <color rgb="FFFF0000"/>
      <name val="新細明體"/>
      <family val="1"/>
      <charset val="136"/>
    </font>
    <font>
      <sz val="8"/>
      <color rgb="FFFF0000"/>
      <name val="新細明體"/>
      <family val="1"/>
      <charset val="136"/>
      <scheme val="minor"/>
    </font>
    <font>
      <sz val="9"/>
      <color rgb="FFFF0000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  <font>
      <sz val="8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name val="新細明體"/>
      <family val="2"/>
      <charset val="136"/>
      <scheme val="minor"/>
    </font>
    <font>
      <sz val="6"/>
      <color theme="1"/>
      <name val="新細明體"/>
      <family val="2"/>
      <charset val="136"/>
      <scheme val="minor"/>
    </font>
    <font>
      <sz val="9"/>
      <color theme="1"/>
      <name val="Arial"/>
      <family val="2"/>
    </font>
    <font>
      <sz val="10"/>
      <color theme="1"/>
      <name val="標楷體"/>
      <family val="4"/>
      <charset val="136"/>
    </font>
    <font>
      <sz val="12"/>
      <color rgb="FFFF0000"/>
      <name val="細明體"/>
      <family val="3"/>
      <charset val="136"/>
    </font>
    <font>
      <sz val="10.45"/>
      <color rgb="FFFF0000"/>
      <name val="標楷體"/>
      <family val="4"/>
      <charset val="136"/>
    </font>
    <font>
      <sz val="16"/>
      <color rgb="FFFF0000"/>
      <name val="標楷體"/>
      <family val="4"/>
      <charset val="136"/>
    </font>
    <font>
      <b/>
      <sz val="16"/>
      <color rgb="FFFF0000"/>
      <name val="標楷體"/>
      <family val="4"/>
      <charset val="136"/>
    </font>
    <font>
      <sz val="16"/>
      <color rgb="FFFF0000"/>
      <name val="Wingdings 2"/>
      <family val="1"/>
      <charset val="2"/>
    </font>
    <font>
      <sz val="12"/>
      <color rgb="FFFF0000"/>
      <name val="標楷體"/>
      <family val="4"/>
    </font>
    <font>
      <sz val="10"/>
      <color rgb="FFFF0000"/>
      <name val="標楷體"/>
      <family val="4"/>
    </font>
    <font>
      <sz val="10"/>
      <name val="細明體"/>
      <family val="3"/>
      <charset val="136"/>
    </font>
    <font>
      <sz val="10"/>
      <color rgb="FFFF0000"/>
      <name val="新細明體"/>
      <family val="1"/>
      <charset val="136"/>
      <scheme val="minor"/>
    </font>
    <font>
      <sz val="12"/>
      <color theme="1"/>
      <name val="Arial"/>
      <family val="2"/>
    </font>
    <font>
      <sz val="10"/>
      <name val="Arial"/>
      <family val="2"/>
      <charset val="136"/>
    </font>
    <font>
      <sz val="10"/>
      <name val="細明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9"/>
      <color rgb="FF000000"/>
      <name val="新細明體"/>
      <family val="1"/>
      <charset val="136"/>
    </font>
    <font>
      <sz val="10"/>
      <name val="新細明體"/>
      <family val="2"/>
      <charset val="136"/>
    </font>
    <font>
      <sz val="9"/>
      <color rgb="FFFF0000"/>
      <name val="新細明體"/>
      <family val="1"/>
      <charset val="136"/>
    </font>
    <font>
      <sz val="10"/>
      <name val="Arial"/>
      <family val="3"/>
      <charset val="136"/>
    </font>
    <font>
      <sz val="12"/>
      <color rgb="FF00B0F0"/>
      <name val="標楷體"/>
      <family val="4"/>
      <charset val="136"/>
    </font>
    <font>
      <b/>
      <sz val="16"/>
      <name val="標楷體"/>
      <family val="4"/>
    </font>
    <font>
      <sz val="12"/>
      <name val="新細明體"/>
      <family val="1"/>
    </font>
    <font>
      <b/>
      <sz val="18"/>
      <color indexed="8"/>
      <name val="標楷體"/>
      <family val="4"/>
    </font>
    <font>
      <u/>
      <sz val="9"/>
      <name val="標楷體"/>
      <family val="4"/>
    </font>
    <font>
      <u/>
      <sz val="9"/>
      <name val="新細明體"/>
      <family val="1"/>
    </font>
    <font>
      <b/>
      <sz val="14"/>
      <name val="標楷體"/>
      <family val="4"/>
    </font>
    <font>
      <b/>
      <sz val="12"/>
      <name val="新細明體"/>
      <family val="1"/>
    </font>
    <font>
      <b/>
      <sz val="10"/>
      <name val="新細明體"/>
      <family val="1"/>
    </font>
    <font>
      <sz val="14"/>
      <name val="Wingdings 2"/>
      <family val="1"/>
      <charset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name val="標楷體"/>
      <family val="2"/>
      <charset val="136"/>
    </font>
    <font>
      <sz val="10"/>
      <color theme="1"/>
      <name val="Arial"/>
      <family val="2"/>
    </font>
    <font>
      <sz val="10"/>
      <name val="標楷體"/>
      <family val="2"/>
      <charset val="136"/>
    </font>
    <font>
      <sz val="12"/>
      <color theme="1"/>
      <name val="標楷體"/>
      <family val="2"/>
      <charset val="136"/>
    </font>
    <font>
      <sz val="9.6"/>
      <color indexed="8"/>
      <name val="標楷體"/>
      <family val="4"/>
      <charset val="136"/>
    </font>
    <font>
      <sz val="12"/>
      <color rgb="FF000000"/>
      <name val="標楷體"/>
      <family val="3"/>
      <charset val="136"/>
    </font>
    <font>
      <sz val="12"/>
      <color rgb="FFFF0000"/>
      <name val="標楷體"/>
      <family val="3"/>
      <charset val="136"/>
    </font>
    <font>
      <sz val="10"/>
      <color rgb="FFFF0000"/>
      <name val="Arial"/>
      <family val="2"/>
      <charset val="136"/>
    </font>
    <font>
      <sz val="10"/>
      <color rgb="FFFF0000"/>
      <name val="細明體"/>
      <family val="2"/>
      <charset val="136"/>
    </font>
    <font>
      <sz val="9"/>
      <color indexed="81"/>
      <name val="細明體"/>
      <family val="3"/>
      <charset val="136"/>
    </font>
    <font>
      <sz val="10"/>
      <color rgb="FFFF0000"/>
      <name val="Microsoft JhengHei"/>
      <family val="2"/>
      <charset val="136"/>
    </font>
    <font>
      <sz val="12"/>
      <color rgb="FFEE0000"/>
      <name val="標楷體"/>
      <family val="4"/>
      <charset val="136"/>
    </font>
    <font>
      <sz val="9"/>
      <color rgb="FFEE0000"/>
      <name val="標楷體"/>
      <family val="4"/>
      <charset val="136"/>
    </font>
    <font>
      <sz val="10"/>
      <color theme="1"/>
      <name val="標楷體"/>
      <family val="4"/>
    </font>
  </fonts>
  <fills count="2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66FF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3" fillId="0" borderId="0"/>
    <xf numFmtId="43" fontId="22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/>
    <xf numFmtId="0" fontId="77" fillId="0" borderId="0"/>
  </cellStyleXfs>
  <cellXfs count="1066">
    <xf numFmtId="0" fontId="0" fillId="0" borderId="0" xfId="0"/>
    <xf numFmtId="0" fontId="10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4" fontId="5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shrinkToFit="1"/>
    </xf>
    <xf numFmtId="0" fontId="2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 shrinkToFit="1"/>
    </xf>
    <xf numFmtId="176" fontId="13" fillId="0" borderId="4" xfId="0" applyNumberFormat="1" applyFont="1" applyBorder="1" applyAlignment="1">
      <alignment horizontal="right" vertical="center" shrinkToFit="1"/>
    </xf>
    <xf numFmtId="0" fontId="6" fillId="0" borderId="4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2" fillId="0" borderId="4" xfId="0" applyFont="1" applyBorder="1" applyAlignment="1">
      <alignment horizontal="right" vertical="center" shrinkToFit="1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vertical="center"/>
    </xf>
    <xf numFmtId="0" fontId="0" fillId="2" borderId="0" xfId="0" applyFill="1"/>
    <xf numFmtId="0" fontId="10" fillId="3" borderId="0" xfId="0" applyFont="1" applyFill="1" applyAlignment="1">
      <alignment vertical="center" wrapText="1"/>
    </xf>
    <xf numFmtId="0" fontId="10" fillId="3" borderId="0" xfId="0" applyFont="1" applyFill="1" applyAlignment="1">
      <alignment vertical="center"/>
    </xf>
    <xf numFmtId="0" fontId="0" fillId="3" borderId="0" xfId="0" applyFill="1"/>
    <xf numFmtId="0" fontId="3" fillId="0" borderId="0" xfId="0" applyFont="1" applyAlignment="1">
      <alignment vertical="center" wrapText="1"/>
    </xf>
    <xf numFmtId="14" fontId="0" fillId="0" borderId="0" xfId="0" applyNumberFormat="1"/>
    <xf numFmtId="0" fontId="21" fillId="0" borderId="0" xfId="0" applyFont="1" applyAlignment="1">
      <alignment horizontal="centerContinuous" vertical="center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Continuous" vertical="center"/>
    </xf>
    <xf numFmtId="0" fontId="21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/>
    <xf numFmtId="0" fontId="2" fillId="0" borderId="0" xfId="0" applyFont="1" applyAlignment="1">
      <alignment horizontal="centerContinuous"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shrinkToFit="1"/>
    </xf>
    <xf numFmtId="0" fontId="24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8" fillId="0" borderId="0" xfId="0" applyFont="1"/>
    <xf numFmtId="176" fontId="5" fillId="0" borderId="4" xfId="0" applyNumberFormat="1" applyFont="1" applyBorder="1" applyAlignment="1">
      <alignment horizontal="right" vertical="center" shrinkToFit="1"/>
    </xf>
    <xf numFmtId="176" fontId="5" fillId="0" borderId="4" xfId="0" applyNumberFormat="1" applyFont="1" applyBorder="1" applyAlignment="1">
      <alignment horizontal="left" vertical="center" wrapText="1" shrinkToFit="1"/>
    </xf>
    <xf numFmtId="0" fontId="5" fillId="0" borderId="4" xfId="0" applyFont="1" applyBorder="1" applyAlignment="1">
      <alignment vertical="center" wrapText="1"/>
    </xf>
    <xf numFmtId="176" fontId="5" fillId="0" borderId="4" xfId="0" quotePrefix="1" applyNumberFormat="1" applyFont="1" applyBorder="1" applyAlignment="1">
      <alignment horizontal="left" vertical="center" wrapText="1" shrinkToFit="1"/>
    </xf>
    <xf numFmtId="176" fontId="5" fillId="0" borderId="4" xfId="0" applyNumberFormat="1" applyFont="1" applyBorder="1" applyAlignment="1">
      <alignment vertical="center" wrapText="1"/>
    </xf>
    <xf numFmtId="43" fontId="24" fillId="0" borderId="0" xfId="0" applyNumberFormat="1" applyFont="1" applyAlignment="1">
      <alignment vertical="center"/>
    </xf>
    <xf numFmtId="176" fontId="23" fillId="0" borderId="4" xfId="0" applyNumberFormat="1" applyFont="1" applyBorder="1" applyAlignment="1">
      <alignment horizontal="left" vertical="center" wrapText="1" shrinkToFit="1"/>
    </xf>
    <xf numFmtId="176" fontId="23" fillId="0" borderId="4" xfId="0" quotePrefix="1" applyNumberFormat="1" applyFont="1" applyBorder="1" applyAlignment="1">
      <alignment horizontal="left" vertical="center" wrapText="1" shrinkToFit="1"/>
    </xf>
    <xf numFmtId="176" fontId="2" fillId="0" borderId="4" xfId="0" quotePrefix="1" applyNumberFormat="1" applyFont="1" applyBorder="1" applyAlignment="1">
      <alignment horizontal="left" vertical="center" wrapText="1" shrinkToFit="1"/>
    </xf>
    <xf numFmtId="0" fontId="26" fillId="0" borderId="4" xfId="0" applyFont="1" applyBorder="1" applyAlignment="1">
      <alignment vertical="center" wrapText="1"/>
    </xf>
    <xf numFmtId="176" fontId="23" fillId="0" borderId="4" xfId="0" applyNumberFormat="1" applyFont="1" applyBorder="1" applyAlignment="1">
      <alignment horizontal="right" vertical="center" shrinkToFit="1"/>
    </xf>
    <xf numFmtId="176" fontId="4" fillId="0" borderId="4" xfId="0" applyNumberFormat="1" applyFont="1" applyBorder="1" applyAlignment="1">
      <alignment horizontal="right" vertical="center" shrinkToFit="1"/>
    </xf>
    <xf numFmtId="176" fontId="4" fillId="0" borderId="4" xfId="0" applyNumberFormat="1" applyFont="1" applyBorder="1" applyAlignment="1">
      <alignment horizontal="left" vertical="center" wrapText="1" shrinkToFit="1"/>
    </xf>
    <xf numFmtId="0" fontId="6" fillId="0" borderId="4" xfId="0" applyFont="1" applyBorder="1" applyAlignment="1">
      <alignment horizontal="right" vertical="center" shrinkToFit="1"/>
    </xf>
    <xf numFmtId="176" fontId="6" fillId="0" borderId="4" xfId="0" applyNumberFormat="1" applyFont="1" applyBorder="1" applyAlignment="1">
      <alignment horizontal="right" vertical="center" shrinkToFit="1"/>
    </xf>
    <xf numFmtId="176" fontId="6" fillId="0" borderId="4" xfId="0" applyNumberFormat="1" applyFont="1" applyBorder="1" applyAlignment="1">
      <alignment horizontal="left" vertical="center" wrapText="1" shrinkToFit="1"/>
    </xf>
    <xf numFmtId="0" fontId="6" fillId="0" borderId="0" xfId="0" applyFont="1" applyAlignment="1">
      <alignment vertical="center"/>
    </xf>
    <xf numFmtId="43" fontId="29" fillId="0" borderId="0" xfId="0" applyNumberFormat="1" applyFont="1" applyAlignment="1">
      <alignment vertical="center"/>
    </xf>
    <xf numFmtId="176" fontId="24" fillId="0" borderId="4" xfId="0" applyNumberFormat="1" applyFont="1" applyBorder="1" applyAlignment="1">
      <alignment vertical="center" wrapText="1"/>
    </xf>
    <xf numFmtId="176" fontId="4" fillId="0" borderId="4" xfId="0" applyNumberFormat="1" applyFont="1" applyBorder="1" applyAlignment="1">
      <alignment vertical="center" wrapText="1"/>
    </xf>
    <xf numFmtId="0" fontId="23" fillId="0" borderId="4" xfId="0" applyFont="1" applyBorder="1" applyAlignment="1">
      <alignment vertical="center" wrapText="1"/>
    </xf>
    <xf numFmtId="0" fontId="24" fillId="0" borderId="0" xfId="0" applyFont="1"/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 shrinkToFit="1"/>
    </xf>
    <xf numFmtId="176" fontId="24" fillId="0" borderId="4" xfId="0" applyNumberFormat="1" applyFont="1" applyBorder="1" applyAlignment="1">
      <alignment horizontal="left" vertical="center" wrapText="1" shrinkToFit="1"/>
    </xf>
    <xf numFmtId="176" fontId="23" fillId="0" borderId="4" xfId="0" applyNumberFormat="1" applyFont="1" applyBorder="1" applyAlignment="1">
      <alignment vertical="center" wrapText="1"/>
    </xf>
    <xf numFmtId="176" fontId="5" fillId="0" borderId="4" xfId="0" applyNumberFormat="1" applyFont="1" applyBorder="1" applyAlignment="1">
      <alignment horizontal="right" vertical="center" wrapText="1" shrinkToFit="1"/>
    </xf>
    <xf numFmtId="0" fontId="8" fillId="0" borderId="4" xfId="0" applyFont="1" applyBorder="1" applyAlignment="1">
      <alignment vertical="center" wrapText="1"/>
    </xf>
    <xf numFmtId="176" fontId="19" fillId="0" borderId="4" xfId="0" applyNumberFormat="1" applyFont="1" applyBorder="1" applyAlignment="1">
      <alignment horizontal="left" vertical="center" wrapText="1" shrinkToFit="1"/>
    </xf>
    <xf numFmtId="0" fontId="2" fillId="0" borderId="4" xfId="0" applyFont="1" applyBorder="1" applyAlignment="1">
      <alignment horizontal="center" vertical="center" wrapText="1" shrinkToFit="1"/>
    </xf>
    <xf numFmtId="0" fontId="26" fillId="0" borderId="0" xfId="0" applyFont="1" applyAlignment="1">
      <alignment vertical="center"/>
    </xf>
    <xf numFmtId="0" fontId="27" fillId="0" borderId="0" xfId="0" applyFont="1"/>
    <xf numFmtId="176" fontId="2" fillId="0" borderId="4" xfId="0" applyNumberFormat="1" applyFont="1" applyBorder="1" applyAlignment="1">
      <alignment horizontal="left" vertical="center" wrapText="1" shrinkToFit="1"/>
    </xf>
    <xf numFmtId="0" fontId="5" fillId="0" borderId="4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176" fontId="31" fillId="0" borderId="4" xfId="0" applyNumberFormat="1" applyFont="1" applyBorder="1" applyAlignment="1">
      <alignment horizontal="right" vertical="center" shrinkToFit="1"/>
    </xf>
    <xf numFmtId="176" fontId="31" fillId="0" borderId="4" xfId="0" applyNumberFormat="1" applyFont="1" applyBorder="1" applyAlignment="1">
      <alignment horizontal="left" vertical="center" wrapText="1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2" fontId="0" fillId="7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24" fillId="0" borderId="9" xfId="0" applyFont="1" applyBorder="1" applyAlignment="1">
      <alignment vertical="center"/>
    </xf>
    <xf numFmtId="176" fontId="0" fillId="0" borderId="9" xfId="0" applyNumberFormat="1" applyBorder="1" applyAlignment="1">
      <alignment horizontal="right" vertical="center"/>
    </xf>
    <xf numFmtId="181" fontId="0" fillId="0" borderId="0" xfId="0" applyNumberFormat="1" applyAlignment="1">
      <alignment vertical="center"/>
    </xf>
    <xf numFmtId="0" fontId="0" fillId="7" borderId="9" xfId="0" applyFill="1" applyBorder="1" applyAlignment="1">
      <alignment horizontal="center" vertical="center"/>
    </xf>
    <xf numFmtId="176" fontId="0" fillId="7" borderId="9" xfId="0" applyNumberFormat="1" applyFill="1" applyBorder="1" applyAlignment="1">
      <alignment horizontal="right" vertical="center"/>
    </xf>
    <xf numFmtId="181" fontId="0" fillId="7" borderId="0" xfId="0" applyNumberFormat="1" applyFill="1" applyAlignment="1">
      <alignment vertical="center"/>
    </xf>
    <xf numFmtId="0" fontId="0" fillId="7" borderId="0" xfId="0" applyFill="1" applyAlignment="1">
      <alignment vertical="center"/>
    </xf>
    <xf numFmtId="179" fontId="0" fillId="0" borderId="9" xfId="0" applyNumberFormat="1" applyBorder="1" applyAlignment="1">
      <alignment horizontal="right" vertical="center"/>
    </xf>
    <xf numFmtId="176" fontId="0" fillId="0" borderId="9" xfId="0" applyNumberFormat="1" applyBorder="1" applyAlignment="1">
      <alignment horizontal="center" vertical="center"/>
    </xf>
    <xf numFmtId="176" fontId="0" fillId="0" borderId="0" xfId="0" applyNumberFormat="1" applyAlignment="1">
      <alignment vertical="center"/>
    </xf>
    <xf numFmtId="0" fontId="0" fillId="0" borderId="11" xfId="0" applyBorder="1" applyAlignment="1">
      <alignment horizontal="center" vertical="center"/>
    </xf>
    <xf numFmtId="176" fontId="0" fillId="7" borderId="0" xfId="0" applyNumberFormat="1" applyFill="1" applyAlignment="1">
      <alignment vertical="center"/>
    </xf>
    <xf numFmtId="176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0" fillId="7" borderId="0" xfId="0" applyFill="1" applyAlignment="1">
      <alignment horizontal="center" vertical="center"/>
    </xf>
    <xf numFmtId="176" fontId="0" fillId="7" borderId="0" xfId="0" applyNumberFormat="1" applyFill="1" applyAlignment="1">
      <alignment horizontal="center" vertical="center"/>
    </xf>
    <xf numFmtId="176" fontId="19" fillId="0" borderId="13" xfId="0" applyNumberFormat="1" applyFont="1" applyBorder="1" applyAlignment="1">
      <alignment horizontal="right" vertical="center" shrinkToFit="1"/>
    </xf>
    <xf numFmtId="176" fontId="19" fillId="0" borderId="15" xfId="0" applyNumberFormat="1" applyFont="1" applyBorder="1" applyAlignment="1">
      <alignment horizontal="right" vertical="center" shrinkToFit="1"/>
    </xf>
    <xf numFmtId="43" fontId="25" fillId="0" borderId="0" xfId="2" applyFont="1" applyAlignment="1">
      <alignment vertical="center"/>
    </xf>
    <xf numFmtId="43" fontId="4" fillId="0" borderId="0" xfId="2" applyFont="1" applyAlignment="1">
      <alignment vertical="center"/>
    </xf>
    <xf numFmtId="43" fontId="5" fillId="0" borderId="0" xfId="2" applyFont="1" applyAlignment="1">
      <alignment horizontal="center" vertical="center"/>
    </xf>
    <xf numFmtId="43" fontId="28" fillId="0" borderId="0" xfId="2" applyFont="1" applyAlignment="1">
      <alignment vertical="center" wrapText="1"/>
    </xf>
    <xf numFmtId="0" fontId="2" fillId="9" borderId="4" xfId="0" applyFont="1" applyFill="1" applyBorder="1" applyAlignment="1">
      <alignment vertical="center" shrinkToFit="1"/>
    </xf>
    <xf numFmtId="0" fontId="2" fillId="9" borderId="4" xfId="0" applyFont="1" applyFill="1" applyBorder="1" applyAlignment="1">
      <alignment vertical="center" wrapText="1"/>
    </xf>
    <xf numFmtId="0" fontId="6" fillId="9" borderId="4" xfId="0" applyFont="1" applyFill="1" applyBorder="1" applyAlignment="1">
      <alignment horizontal="center" vertical="center" wrapText="1" shrinkToFit="1"/>
    </xf>
    <xf numFmtId="176" fontId="5" fillId="9" borderId="4" xfId="0" applyNumberFormat="1" applyFont="1" applyFill="1" applyBorder="1" applyAlignment="1">
      <alignment horizontal="right" vertical="center" shrinkToFit="1"/>
    </xf>
    <xf numFmtId="176" fontId="5" fillId="9" borderId="4" xfId="0" applyNumberFormat="1" applyFont="1" applyFill="1" applyBorder="1" applyAlignment="1">
      <alignment horizontal="left" vertical="center" wrapText="1" shrinkToFit="1"/>
    </xf>
    <xf numFmtId="0" fontId="5" fillId="9" borderId="4" xfId="0" applyFont="1" applyFill="1" applyBorder="1" applyAlignment="1">
      <alignment vertical="center" wrapText="1"/>
    </xf>
    <xf numFmtId="176" fontId="5" fillId="2" borderId="4" xfId="0" applyNumberFormat="1" applyFont="1" applyFill="1" applyBorder="1" applyAlignment="1">
      <alignment horizontal="left" vertical="center" wrapText="1" shrinkToFit="1"/>
    </xf>
    <xf numFmtId="176" fontId="5" fillId="2" borderId="4" xfId="0" applyNumberFormat="1" applyFont="1" applyFill="1" applyBorder="1" applyAlignment="1">
      <alignment horizontal="right" vertical="center" shrinkToFit="1"/>
    </xf>
    <xf numFmtId="43" fontId="7" fillId="0" borderId="0" xfId="2" applyFont="1" applyAlignment="1">
      <alignment vertical="center"/>
    </xf>
    <xf numFmtId="43" fontId="24" fillId="0" borderId="0" xfId="2" applyFont="1" applyAlignment="1">
      <alignment vertical="center"/>
    </xf>
    <xf numFmtId="176" fontId="23" fillId="2" borderId="4" xfId="0" applyNumberFormat="1" applyFont="1" applyFill="1" applyBorder="1" applyAlignment="1">
      <alignment horizontal="left" vertical="center" wrapText="1" shrinkToFit="1"/>
    </xf>
    <xf numFmtId="0" fontId="2" fillId="10" borderId="4" xfId="0" applyFont="1" applyFill="1" applyBorder="1" applyAlignment="1">
      <alignment horizontal="right" vertical="center" shrinkToFit="1"/>
    </xf>
    <xf numFmtId="0" fontId="2" fillId="10" borderId="4" xfId="0" applyFont="1" applyFill="1" applyBorder="1" applyAlignment="1">
      <alignment vertical="center" wrapText="1"/>
    </xf>
    <xf numFmtId="0" fontId="6" fillId="10" borderId="4" xfId="0" applyFont="1" applyFill="1" applyBorder="1" applyAlignment="1">
      <alignment horizontal="center" vertical="center" wrapText="1" shrinkToFit="1"/>
    </xf>
    <xf numFmtId="176" fontId="5" fillId="10" borderId="4" xfId="0" applyNumberFormat="1" applyFont="1" applyFill="1" applyBorder="1" applyAlignment="1">
      <alignment horizontal="right" vertical="center" shrinkToFit="1"/>
    </xf>
    <xf numFmtId="176" fontId="5" fillId="10" borderId="4" xfId="0" applyNumberFormat="1" applyFont="1" applyFill="1" applyBorder="1" applyAlignment="1">
      <alignment horizontal="left" vertical="center" wrapText="1" shrinkToFit="1"/>
    </xf>
    <xf numFmtId="176" fontId="24" fillId="10" borderId="4" xfId="0" applyNumberFormat="1" applyFont="1" applyFill="1" applyBorder="1" applyAlignment="1">
      <alignment vertical="center" wrapText="1"/>
    </xf>
    <xf numFmtId="0" fontId="6" fillId="10" borderId="4" xfId="0" applyFont="1" applyFill="1" applyBorder="1" applyAlignment="1">
      <alignment vertical="center" wrapText="1"/>
    </xf>
    <xf numFmtId="176" fontId="4" fillId="10" borderId="4" xfId="0" applyNumberFormat="1" applyFont="1" applyFill="1" applyBorder="1" applyAlignment="1">
      <alignment horizontal="left" vertical="center" wrapText="1" shrinkToFit="1"/>
    </xf>
    <xf numFmtId="43" fontId="24" fillId="4" borderId="0" xfId="2" applyFont="1" applyFill="1" applyAlignment="1">
      <alignment vertical="center"/>
    </xf>
    <xf numFmtId="43" fontId="24" fillId="4" borderId="0" xfId="0" applyNumberFormat="1" applyFont="1" applyFill="1" applyAlignment="1">
      <alignment vertical="center"/>
    </xf>
    <xf numFmtId="176" fontId="24" fillId="10" borderId="4" xfId="0" applyNumberFormat="1" applyFont="1" applyFill="1" applyBorder="1" applyAlignment="1">
      <alignment horizontal="left" vertical="center" wrapText="1" shrinkToFit="1"/>
    </xf>
    <xf numFmtId="176" fontId="5" fillId="2" borderId="4" xfId="0" quotePrefix="1" applyNumberFormat="1" applyFont="1" applyFill="1" applyBorder="1" applyAlignment="1">
      <alignment horizontal="left" vertical="center" wrapText="1" shrinkToFit="1"/>
    </xf>
    <xf numFmtId="43" fontId="7" fillId="0" borderId="0" xfId="2" applyFont="1" applyAlignment="1"/>
    <xf numFmtId="0" fontId="8" fillId="9" borderId="4" xfId="0" applyFont="1" applyFill="1" applyBorder="1" applyAlignment="1">
      <alignment vertical="center" wrapText="1"/>
    </xf>
    <xf numFmtId="0" fontId="7" fillId="9" borderId="4" xfId="0" applyFont="1" applyFill="1" applyBorder="1" applyAlignment="1">
      <alignment horizontal="center" vertical="center" wrapText="1" shrinkToFit="1"/>
    </xf>
    <xf numFmtId="176" fontId="4" fillId="9" borderId="4" xfId="0" applyNumberFormat="1" applyFont="1" applyFill="1" applyBorder="1" applyAlignment="1">
      <alignment horizontal="right" vertical="center" shrinkToFit="1"/>
    </xf>
    <xf numFmtId="0" fontId="5" fillId="9" borderId="0" xfId="0" applyFont="1" applyFill="1" applyAlignment="1">
      <alignment vertical="center"/>
    </xf>
    <xf numFmtId="43" fontId="4" fillId="9" borderId="0" xfId="2" applyFont="1" applyFill="1" applyAlignment="1">
      <alignment vertical="center"/>
    </xf>
    <xf numFmtId="0" fontId="7" fillId="9" borderId="0" xfId="0" applyFont="1" applyFill="1"/>
    <xf numFmtId="176" fontId="23" fillId="3" borderId="4" xfId="0" applyNumberFormat="1" applyFont="1" applyFill="1" applyBorder="1" applyAlignment="1">
      <alignment horizontal="left" vertical="center" wrapText="1" shrinkToFit="1"/>
    </xf>
    <xf numFmtId="176" fontId="23" fillId="3" borderId="4" xfId="0" applyNumberFormat="1" applyFont="1" applyFill="1" applyBorder="1" applyAlignment="1">
      <alignment horizontal="right" vertical="center" shrinkToFit="1"/>
    </xf>
    <xf numFmtId="0" fontId="6" fillId="9" borderId="4" xfId="0" applyFont="1" applyFill="1" applyBorder="1" applyAlignment="1">
      <alignment vertical="center" wrapText="1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82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right" vertical="center"/>
    </xf>
    <xf numFmtId="182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 wrapText="1"/>
    </xf>
    <xf numFmtId="182" fontId="0" fillId="3" borderId="1" xfId="0" applyNumberFormat="1" applyFill="1" applyBorder="1" applyAlignment="1">
      <alignment vertical="center"/>
    </xf>
    <xf numFmtId="0" fontId="0" fillId="0" borderId="0" xfId="0" applyAlignment="1">
      <alignment horizontal="centerContinuous" vertical="center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vertical="center"/>
    </xf>
    <xf numFmtId="183" fontId="0" fillId="0" borderId="0" xfId="0" applyNumberFormat="1" applyAlignment="1">
      <alignment vertical="center"/>
    </xf>
    <xf numFmtId="184" fontId="0" fillId="0" borderId="0" xfId="0" applyNumberFormat="1" applyAlignment="1">
      <alignment vertical="center"/>
    </xf>
    <xf numFmtId="185" fontId="0" fillId="0" borderId="0" xfId="0" applyNumberFormat="1" applyAlignment="1">
      <alignment vertical="center"/>
    </xf>
    <xf numFmtId="0" fontId="35" fillId="0" borderId="0" xfId="0" applyFont="1"/>
    <xf numFmtId="0" fontId="36" fillId="0" borderId="0" xfId="0" applyFont="1"/>
    <xf numFmtId="0" fontId="38" fillId="0" borderId="0" xfId="0" applyFont="1"/>
    <xf numFmtId="0" fontId="39" fillId="0" borderId="0" xfId="0" applyFont="1"/>
    <xf numFmtId="0" fontId="36" fillId="11" borderId="0" xfId="0" applyFont="1" applyFill="1"/>
    <xf numFmtId="0" fontId="36" fillId="12" borderId="0" xfId="0" applyFont="1" applyFill="1"/>
    <xf numFmtId="43" fontId="25" fillId="0" borderId="0" xfId="2" applyFont="1" applyFill="1" applyAlignment="1">
      <alignment vertical="center"/>
    </xf>
    <xf numFmtId="43" fontId="4" fillId="0" borderId="0" xfId="2" applyFont="1" applyFill="1" applyAlignment="1">
      <alignment vertical="center"/>
    </xf>
    <xf numFmtId="43" fontId="5" fillId="0" borderId="0" xfId="2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8" fillId="0" borderId="0" xfId="2" applyFont="1" applyFill="1" applyAlignment="1">
      <alignment vertical="center" wrapText="1"/>
    </xf>
    <xf numFmtId="43" fontId="24" fillId="0" borderId="0" xfId="2" applyFont="1" applyFill="1" applyAlignment="1">
      <alignment vertical="center"/>
    </xf>
    <xf numFmtId="43" fontId="7" fillId="0" borderId="0" xfId="2" applyFont="1" applyFill="1" applyAlignment="1"/>
    <xf numFmtId="176" fontId="23" fillId="8" borderId="4" xfId="0" applyNumberFormat="1" applyFont="1" applyFill="1" applyBorder="1" applyAlignment="1">
      <alignment horizontal="left" vertical="center" wrapText="1" shrinkToFit="1"/>
    </xf>
    <xf numFmtId="0" fontId="2" fillId="0" borderId="26" xfId="0" applyFont="1" applyBorder="1" applyAlignment="1">
      <alignment horizontal="right" vertical="center" shrinkToFit="1"/>
    </xf>
    <xf numFmtId="0" fontId="2" fillId="0" borderId="26" xfId="0" applyFont="1" applyBorder="1" applyAlignment="1">
      <alignment vertical="center" wrapText="1"/>
    </xf>
    <xf numFmtId="0" fontId="6" fillId="0" borderId="26" xfId="0" applyFont="1" applyBorder="1" applyAlignment="1">
      <alignment horizontal="center" vertical="center" wrapText="1" shrinkToFit="1"/>
    </xf>
    <xf numFmtId="176" fontId="5" fillId="0" borderId="26" xfId="0" applyNumberFormat="1" applyFont="1" applyBorder="1" applyAlignment="1">
      <alignment horizontal="right" vertical="center" shrinkToFit="1"/>
    </xf>
    <xf numFmtId="176" fontId="5" fillId="0" borderId="26" xfId="0" applyNumberFormat="1" applyFont="1" applyBorder="1" applyAlignment="1">
      <alignment horizontal="left" vertical="center" wrapText="1" shrinkToFit="1"/>
    </xf>
    <xf numFmtId="176" fontId="23" fillId="0" borderId="26" xfId="0" applyNumberFormat="1" applyFont="1" applyBorder="1" applyAlignment="1">
      <alignment horizontal="left" vertical="center" wrapText="1" shrinkToFit="1"/>
    </xf>
    <xf numFmtId="0" fontId="20" fillId="0" borderId="1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4" borderId="0" xfId="0" quotePrefix="1" applyFill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vertical="center" wrapText="1"/>
    </xf>
    <xf numFmtId="176" fontId="5" fillId="0" borderId="28" xfId="0" applyNumberFormat="1" applyFont="1" applyBorder="1" applyAlignment="1">
      <alignment vertical="center" wrapText="1"/>
    </xf>
    <xf numFmtId="176" fontId="24" fillId="0" borderId="28" xfId="0" applyNumberFormat="1" applyFont="1" applyBorder="1" applyAlignment="1">
      <alignment vertical="center" wrapText="1"/>
    </xf>
    <xf numFmtId="176" fontId="4" fillId="0" borderId="28" xfId="0" applyNumberFormat="1" applyFont="1" applyBorder="1" applyAlignment="1">
      <alignment vertical="center" wrapText="1"/>
    </xf>
    <xf numFmtId="0" fontId="23" fillId="0" borderId="28" xfId="0" applyFont="1" applyBorder="1" applyAlignment="1">
      <alignment vertical="center" wrapText="1"/>
    </xf>
    <xf numFmtId="176" fontId="23" fillId="0" borderId="28" xfId="0" applyNumberFormat="1" applyFont="1" applyBorder="1" applyAlignment="1">
      <alignment vertical="center" wrapText="1"/>
    </xf>
    <xf numFmtId="176" fontId="5" fillId="0" borderId="28" xfId="0" applyNumberFormat="1" applyFont="1" applyBorder="1" applyAlignment="1">
      <alignment horizontal="right" vertical="center" wrapText="1" shrinkToFit="1"/>
    </xf>
    <xf numFmtId="176" fontId="5" fillId="0" borderId="28" xfId="0" applyNumberFormat="1" applyFont="1" applyBorder="1" applyAlignment="1">
      <alignment horizontal="right" vertical="center" shrinkToFit="1"/>
    </xf>
    <xf numFmtId="0" fontId="5" fillId="0" borderId="28" xfId="0" applyFont="1" applyBorder="1" applyAlignment="1">
      <alignment vertical="center"/>
    </xf>
    <xf numFmtId="0" fontId="24" fillId="0" borderId="29" xfId="0" applyFont="1" applyBorder="1" applyAlignment="1">
      <alignment vertical="center"/>
    </xf>
    <xf numFmtId="0" fontId="0" fillId="0" borderId="30" xfId="0" applyBorder="1" applyAlignment="1">
      <alignment horizontal="right" vertical="center"/>
    </xf>
    <xf numFmtId="0" fontId="0" fillId="0" borderId="31" xfId="0" applyBorder="1" applyAlignment="1">
      <alignment vertical="center"/>
    </xf>
    <xf numFmtId="0" fontId="0" fillId="0" borderId="29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33" fillId="0" borderId="33" xfId="0" applyFont="1" applyBorder="1" applyAlignment="1">
      <alignment horizontal="center" vertical="center" wrapText="1"/>
    </xf>
    <xf numFmtId="0" fontId="33" fillId="0" borderId="31" xfId="0" applyFont="1" applyBorder="1" applyAlignment="1">
      <alignment horizontal="center" vertical="center" wrapText="1"/>
    </xf>
    <xf numFmtId="0" fontId="0" fillId="0" borderId="34" xfId="0" applyBorder="1" applyAlignment="1">
      <alignment horizontal="right"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horizontal="left" vertical="center"/>
    </xf>
    <xf numFmtId="0" fontId="0" fillId="0" borderId="29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5" xfId="0" applyBorder="1" applyAlignment="1">
      <alignment vertical="center"/>
    </xf>
    <xf numFmtId="2" fontId="0" fillId="0" borderId="29" xfId="0" applyNumberFormat="1" applyBorder="1" applyAlignment="1">
      <alignment horizontal="right" vertical="center"/>
    </xf>
    <xf numFmtId="0" fontId="0" fillId="0" borderId="3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30" fillId="0" borderId="31" xfId="0" applyFont="1" applyBorder="1" applyAlignment="1">
      <alignment horizontal="left" vertical="center"/>
    </xf>
    <xf numFmtId="0" fontId="30" fillId="0" borderId="29" xfId="0" applyFont="1" applyBorder="1" applyAlignment="1">
      <alignment vertical="center"/>
    </xf>
    <xf numFmtId="0" fontId="30" fillId="0" borderId="29" xfId="0" applyFont="1" applyBorder="1" applyAlignment="1">
      <alignment horizontal="center" vertical="center"/>
    </xf>
    <xf numFmtId="2" fontId="0" fillId="6" borderId="29" xfId="0" applyNumberFormat="1" applyFill="1" applyBorder="1" applyAlignment="1">
      <alignment horizontal="center" vertical="center"/>
    </xf>
    <xf numFmtId="2" fontId="0" fillId="7" borderId="29" xfId="0" applyNumberFormat="1" applyFill="1" applyBorder="1" applyAlignment="1">
      <alignment horizontal="center" vertical="center"/>
    </xf>
    <xf numFmtId="2" fontId="0" fillId="7" borderId="32" xfId="0" applyNumberFormat="1" applyFill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0" fontId="2" fillId="0" borderId="36" xfId="0" applyFont="1" applyBorder="1" applyAlignment="1">
      <alignment horizontal="right" vertical="center" shrinkToFit="1"/>
    </xf>
    <xf numFmtId="0" fontId="2" fillId="0" borderId="36" xfId="0" applyFont="1" applyBorder="1" applyAlignment="1">
      <alignment vertical="center" wrapText="1"/>
    </xf>
    <xf numFmtId="0" fontId="6" fillId="0" borderId="36" xfId="0" applyFont="1" applyBorder="1" applyAlignment="1">
      <alignment horizontal="center" vertical="center" wrapText="1" shrinkToFit="1"/>
    </xf>
    <xf numFmtId="176" fontId="5" fillId="0" borderId="36" xfId="0" applyNumberFormat="1" applyFont="1" applyBorder="1" applyAlignment="1">
      <alignment horizontal="right" vertical="center" shrinkToFit="1"/>
    </xf>
    <xf numFmtId="176" fontId="5" fillId="0" borderId="36" xfId="0" applyNumberFormat="1" applyFont="1" applyBorder="1" applyAlignment="1">
      <alignment horizontal="left" vertical="center" wrapText="1" shrinkToFit="1"/>
    </xf>
    <xf numFmtId="0" fontId="6" fillId="0" borderId="36" xfId="0" applyFont="1" applyBorder="1" applyAlignment="1">
      <alignment vertical="center" wrapText="1"/>
    </xf>
    <xf numFmtId="176" fontId="31" fillId="0" borderId="36" xfId="0" applyNumberFormat="1" applyFont="1" applyBorder="1" applyAlignment="1">
      <alignment horizontal="left" vertical="center" wrapText="1" shrinkToFit="1"/>
    </xf>
    <xf numFmtId="176" fontId="4" fillId="0" borderId="36" xfId="0" applyNumberFormat="1" applyFont="1" applyBorder="1" applyAlignment="1">
      <alignment horizontal="left" vertical="center" wrapText="1" shrinkToFit="1"/>
    </xf>
    <xf numFmtId="0" fontId="45" fillId="0" borderId="36" xfId="0" applyFont="1" applyBorder="1" applyAlignment="1">
      <alignment vertical="center" wrapText="1"/>
    </xf>
    <xf numFmtId="176" fontId="23" fillId="0" borderId="36" xfId="0" applyNumberFormat="1" applyFont="1" applyBorder="1" applyAlignment="1">
      <alignment horizontal="left" vertical="center" wrapText="1" shrinkToFit="1"/>
    </xf>
    <xf numFmtId="0" fontId="44" fillId="0" borderId="36" xfId="0" applyFont="1" applyBorder="1" applyAlignment="1">
      <alignment horizontal="right" vertical="center" shrinkToFit="1"/>
    </xf>
    <xf numFmtId="176" fontId="23" fillId="0" borderId="36" xfId="0" applyNumberFormat="1" applyFont="1" applyBorder="1" applyAlignment="1">
      <alignment horizontal="right" vertical="center" shrinkToFit="1"/>
    </xf>
    <xf numFmtId="176" fontId="23" fillId="0" borderId="26" xfId="0" applyNumberFormat="1" applyFont="1" applyBorder="1" applyAlignment="1">
      <alignment horizontal="right" vertical="center" shrinkToFit="1"/>
    </xf>
    <xf numFmtId="0" fontId="44" fillId="0" borderId="4" xfId="0" applyFont="1" applyBorder="1" applyAlignment="1">
      <alignment horizontal="right" vertical="center" shrinkToFit="1"/>
    </xf>
    <xf numFmtId="0" fontId="0" fillId="8" borderId="0" xfId="0" applyFill="1" applyAlignment="1">
      <alignment vertical="center"/>
    </xf>
    <xf numFmtId="0" fontId="5" fillId="0" borderId="37" xfId="0" applyFont="1" applyBorder="1" applyAlignment="1">
      <alignment vertical="center" wrapText="1"/>
    </xf>
    <xf numFmtId="183" fontId="0" fillId="0" borderId="0" xfId="0" applyNumberFormat="1" applyAlignment="1">
      <alignment horizontal="center" vertical="center"/>
    </xf>
    <xf numFmtId="186" fontId="0" fillId="0" borderId="0" xfId="0" applyNumberFormat="1" applyAlignment="1">
      <alignment vertical="center"/>
    </xf>
    <xf numFmtId="187" fontId="0" fillId="0" borderId="0" xfId="0" applyNumberFormat="1" applyAlignment="1">
      <alignment vertical="center"/>
    </xf>
    <xf numFmtId="0" fontId="47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176" fontId="5" fillId="0" borderId="37" xfId="0" applyNumberFormat="1" applyFont="1" applyBorder="1" applyAlignment="1">
      <alignment horizontal="right" vertical="center" shrinkToFit="1"/>
    </xf>
    <xf numFmtId="0" fontId="0" fillId="3" borderId="0" xfId="0" applyFill="1" applyAlignment="1">
      <alignment horizontal="center" vertical="center"/>
    </xf>
    <xf numFmtId="176" fontId="5" fillId="0" borderId="37" xfId="0" applyNumberFormat="1" applyFont="1" applyBorder="1" applyAlignment="1">
      <alignment vertical="center" wrapText="1"/>
    </xf>
    <xf numFmtId="0" fontId="44" fillId="0" borderId="12" xfId="0" applyFont="1" applyBorder="1" applyAlignment="1">
      <alignment horizontal="right" vertical="center" shrinkToFit="1"/>
    </xf>
    <xf numFmtId="0" fontId="48" fillId="0" borderId="13" xfId="0" applyFont="1" applyBorder="1" applyAlignment="1">
      <alignment vertical="center" wrapText="1"/>
    </xf>
    <xf numFmtId="0" fontId="49" fillId="0" borderId="13" xfId="0" applyFont="1" applyBorder="1" applyAlignment="1">
      <alignment horizontal="center" vertical="center" wrapText="1" shrinkToFit="1"/>
    </xf>
    <xf numFmtId="176" fontId="23" fillId="0" borderId="13" xfId="0" applyNumberFormat="1" applyFont="1" applyBorder="1" applyAlignment="1">
      <alignment horizontal="left" vertical="center" wrapText="1" shrinkToFit="1"/>
    </xf>
    <xf numFmtId="0" fontId="44" fillId="0" borderId="14" xfId="0" applyFont="1" applyBorder="1" applyAlignment="1">
      <alignment horizontal="right" vertical="center" shrinkToFit="1"/>
    </xf>
    <xf numFmtId="0" fontId="48" fillId="0" borderId="15" xfId="0" applyFont="1" applyBorder="1" applyAlignment="1">
      <alignment vertical="center" wrapText="1"/>
    </xf>
    <xf numFmtId="0" fontId="49" fillId="0" borderId="15" xfId="0" applyFont="1" applyBorder="1" applyAlignment="1">
      <alignment horizontal="center" vertical="center" wrapText="1" shrinkToFit="1"/>
    </xf>
    <xf numFmtId="176" fontId="23" fillId="0" borderId="15" xfId="0" applyNumberFormat="1" applyFont="1" applyBorder="1" applyAlignment="1">
      <alignment horizontal="left" vertical="center" wrapText="1" shrinkToFit="1"/>
    </xf>
    <xf numFmtId="188" fontId="0" fillId="0" borderId="0" xfId="0" applyNumberFormat="1" applyAlignment="1">
      <alignment horizontal="center" vertical="center"/>
    </xf>
    <xf numFmtId="0" fontId="50" fillId="3" borderId="0" xfId="0" applyFont="1" applyFill="1" applyAlignment="1">
      <alignment horizontal="center" vertical="center"/>
    </xf>
    <xf numFmtId="0" fontId="50" fillId="0" borderId="0" xfId="0" applyFont="1" applyAlignment="1">
      <alignment wrapText="1"/>
    </xf>
    <xf numFmtId="0" fontId="2" fillId="0" borderId="39" xfId="0" applyFont="1" applyBorder="1" applyAlignment="1">
      <alignment horizontal="right" vertical="center" shrinkToFit="1"/>
    </xf>
    <xf numFmtId="0" fontId="2" fillId="0" borderId="39" xfId="0" applyFont="1" applyBorder="1" applyAlignment="1">
      <alignment vertical="center" wrapText="1"/>
    </xf>
    <xf numFmtId="0" fontId="6" fillId="0" borderId="39" xfId="0" applyFont="1" applyBorder="1" applyAlignment="1">
      <alignment horizontal="center" vertical="center" wrapText="1" shrinkToFit="1"/>
    </xf>
    <xf numFmtId="176" fontId="5" fillId="0" borderId="39" xfId="0" applyNumberFormat="1" applyFont="1" applyBorder="1" applyAlignment="1">
      <alignment horizontal="right" vertical="center" shrinkToFit="1"/>
    </xf>
    <xf numFmtId="176" fontId="5" fillId="0" borderId="39" xfId="0" applyNumberFormat="1" applyFont="1" applyBorder="1" applyAlignment="1">
      <alignment horizontal="left" vertical="center" wrapText="1" shrinkToFit="1"/>
    </xf>
    <xf numFmtId="0" fontId="48" fillId="0" borderId="12" xfId="0" applyFont="1" applyBorder="1" applyAlignment="1">
      <alignment vertical="center" wrapText="1"/>
    </xf>
    <xf numFmtId="0" fontId="49" fillId="0" borderId="12" xfId="0" applyFont="1" applyBorder="1" applyAlignment="1">
      <alignment horizontal="center" vertical="center" wrapText="1" shrinkToFit="1"/>
    </xf>
    <xf numFmtId="176" fontId="19" fillId="0" borderId="12" xfId="0" applyNumberFormat="1" applyFont="1" applyBorder="1" applyAlignment="1">
      <alignment horizontal="right" vertical="center" shrinkToFit="1"/>
    </xf>
    <xf numFmtId="0" fontId="2" fillId="0" borderId="41" xfId="0" applyFont="1" applyBorder="1" applyAlignment="1">
      <alignment horizontal="right" vertical="center" shrinkToFit="1"/>
    </xf>
    <xf numFmtId="0" fontId="2" fillId="0" borderId="41" xfId="0" applyFont="1" applyBorder="1" applyAlignment="1">
      <alignment vertical="center" wrapText="1"/>
    </xf>
    <xf numFmtId="0" fontId="6" fillId="0" borderId="41" xfId="0" applyFont="1" applyBorder="1" applyAlignment="1">
      <alignment horizontal="center" vertical="center" wrapText="1" shrinkToFit="1"/>
    </xf>
    <xf numFmtId="176" fontId="5" fillId="0" borderId="41" xfId="0" applyNumberFormat="1" applyFont="1" applyBorder="1" applyAlignment="1">
      <alignment horizontal="right" vertical="center" shrinkToFit="1"/>
    </xf>
    <xf numFmtId="176" fontId="5" fillId="0" borderId="41" xfId="0" applyNumberFormat="1" applyFont="1" applyBorder="1" applyAlignment="1">
      <alignment horizontal="left" vertical="center" wrapText="1" shrinkToFit="1"/>
    </xf>
    <xf numFmtId="0" fontId="5" fillId="0" borderId="8" xfId="0" applyFont="1" applyBorder="1" applyAlignment="1">
      <alignment vertical="center" wrapText="1"/>
    </xf>
    <xf numFmtId="176" fontId="31" fillId="0" borderId="28" xfId="0" applyNumberFormat="1" applyFont="1" applyBorder="1" applyAlignment="1">
      <alignment vertical="center" wrapText="1"/>
    </xf>
    <xf numFmtId="0" fontId="53" fillId="0" borderId="0" xfId="0" applyFont="1" applyAlignment="1">
      <alignment vertical="center"/>
    </xf>
    <xf numFmtId="0" fontId="54" fillId="0" borderId="0" xfId="0" applyFont="1" applyAlignment="1">
      <alignment horizontal="center" vertical="center"/>
    </xf>
    <xf numFmtId="0" fontId="55" fillId="0" borderId="29" xfId="0" applyFont="1" applyBorder="1" applyAlignment="1">
      <alignment vertical="center"/>
    </xf>
    <xf numFmtId="176" fontId="24" fillId="0" borderId="29" xfId="0" applyNumberFormat="1" applyFont="1" applyBorder="1" applyAlignment="1">
      <alignment vertical="center"/>
    </xf>
    <xf numFmtId="0" fontId="24" fillId="0" borderId="38" xfId="0" applyFont="1" applyBorder="1" applyAlignment="1">
      <alignment vertical="center"/>
    </xf>
    <xf numFmtId="181" fontId="24" fillId="0" borderId="29" xfId="0" applyNumberFormat="1" applyFont="1" applyBorder="1" applyAlignment="1">
      <alignment vertical="center"/>
    </xf>
    <xf numFmtId="0" fontId="56" fillId="0" borderId="29" xfId="0" applyFont="1" applyBorder="1" applyAlignment="1">
      <alignment vertical="center"/>
    </xf>
    <xf numFmtId="0" fontId="0" fillId="0" borderId="0" xfId="0" applyAlignment="1">
      <alignment horizontal="center"/>
    </xf>
    <xf numFmtId="176" fontId="5" fillId="0" borderId="8" xfId="0" applyNumberFormat="1" applyFont="1" applyBorder="1" applyAlignment="1">
      <alignment horizontal="right" vertical="center" shrinkToFit="1"/>
    </xf>
    <xf numFmtId="176" fontId="24" fillId="0" borderId="9" xfId="0" applyNumberFormat="1" applyFont="1" applyBorder="1" applyAlignment="1">
      <alignment vertical="center"/>
    </xf>
    <xf numFmtId="0" fontId="48" fillId="0" borderId="12" xfId="0" applyFont="1" applyBorder="1" applyAlignment="1">
      <alignment horizontal="right" vertical="center" shrinkToFit="1"/>
    </xf>
    <xf numFmtId="176" fontId="5" fillId="0" borderId="8" xfId="0" applyNumberFormat="1" applyFont="1" applyBorder="1" applyAlignment="1">
      <alignment vertical="center" wrapText="1"/>
    </xf>
    <xf numFmtId="0" fontId="6" fillId="4" borderId="36" xfId="0" applyFont="1" applyFill="1" applyBorder="1" applyAlignment="1">
      <alignment vertical="center" wrapText="1"/>
    </xf>
    <xf numFmtId="0" fontId="59" fillId="0" borderId="0" xfId="0" applyFont="1" applyAlignment="1">
      <alignment horizontal="right" vertical="center"/>
    </xf>
    <xf numFmtId="0" fontId="59" fillId="0" borderId="45" xfId="0" applyFont="1" applyBorder="1" applyAlignment="1">
      <alignment horizontal="center" vertical="center" wrapText="1"/>
    </xf>
    <xf numFmtId="0" fontId="59" fillId="0" borderId="46" xfId="0" applyFont="1" applyBorder="1" applyAlignment="1">
      <alignment horizontal="center" vertical="center" wrapText="1"/>
    </xf>
    <xf numFmtId="0" fontId="59" fillId="0" borderId="47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60" fillId="0" borderId="48" xfId="0" applyNumberFormat="1" applyFont="1" applyBorder="1" applyAlignment="1">
      <alignment horizontal="center" vertical="center" shrinkToFit="1"/>
    </xf>
    <xf numFmtId="49" fontId="60" fillId="0" borderId="42" xfId="0" applyNumberFormat="1" applyFont="1" applyBorder="1" applyAlignment="1">
      <alignment horizontal="left" vertical="center" wrapText="1"/>
    </xf>
    <xf numFmtId="49" fontId="60" fillId="0" borderId="42" xfId="0" applyNumberFormat="1" applyFont="1" applyBorder="1" applyAlignment="1">
      <alignment horizontal="center" vertical="center" wrapText="1"/>
    </xf>
    <xf numFmtId="176" fontId="22" fillId="0" borderId="42" xfId="0" applyNumberFormat="1" applyFont="1" applyBorder="1" applyAlignment="1">
      <alignment horizontal="right" vertical="center" shrinkToFit="1"/>
    </xf>
    <xf numFmtId="49" fontId="61" fillId="0" borderId="49" xfId="0" applyNumberFormat="1" applyFont="1" applyBorder="1" applyAlignment="1">
      <alignment horizontal="left" vertical="center" wrapText="1"/>
    </xf>
    <xf numFmtId="0" fontId="59" fillId="4" borderId="46" xfId="0" applyFont="1" applyFill="1" applyBorder="1" applyAlignment="1">
      <alignment horizontal="center" vertical="center" wrapText="1"/>
    </xf>
    <xf numFmtId="181" fontId="22" fillId="0" borderId="42" xfId="0" applyNumberFormat="1" applyFont="1" applyBorder="1" applyAlignment="1">
      <alignment horizontal="right" vertical="center" shrinkToFit="1"/>
    </xf>
    <xf numFmtId="49" fontId="62" fillId="0" borderId="49" xfId="0" applyNumberFormat="1" applyFont="1" applyBorder="1" applyAlignment="1">
      <alignment horizontal="left" vertical="center" wrapText="1"/>
    </xf>
    <xf numFmtId="176" fontId="31" fillId="0" borderId="26" xfId="0" applyNumberFormat="1" applyFont="1" applyBorder="1" applyAlignment="1">
      <alignment horizontal="left" vertical="center" wrapText="1" shrinkToFit="1"/>
    </xf>
    <xf numFmtId="176" fontId="31" fillId="0" borderId="26" xfId="0" applyNumberFormat="1" applyFont="1" applyBorder="1" applyAlignment="1">
      <alignment horizontal="right" vertical="center" shrinkToFit="1"/>
    </xf>
    <xf numFmtId="191" fontId="59" fillId="4" borderId="46" xfId="0" applyNumberFormat="1" applyFont="1" applyFill="1" applyBorder="1" applyAlignment="1">
      <alignment horizontal="center" vertical="center" wrapText="1"/>
    </xf>
    <xf numFmtId="191" fontId="22" fillId="0" borderId="42" xfId="0" applyNumberFormat="1" applyFont="1" applyBorder="1" applyAlignment="1">
      <alignment horizontal="right" vertical="center" shrinkToFit="1"/>
    </xf>
    <xf numFmtId="191" fontId="0" fillId="0" borderId="0" xfId="0" applyNumberFormat="1" applyAlignment="1">
      <alignment vertical="center"/>
    </xf>
    <xf numFmtId="0" fontId="0" fillId="11" borderId="0" xfId="0" applyFill="1" applyAlignment="1">
      <alignment vertical="center"/>
    </xf>
    <xf numFmtId="0" fontId="20" fillId="11" borderId="0" xfId="0" applyFont="1" applyFill="1" applyAlignment="1">
      <alignment vertical="center"/>
    </xf>
    <xf numFmtId="0" fontId="47" fillId="11" borderId="0" xfId="0" applyFont="1" applyFill="1" applyAlignment="1">
      <alignment horizontal="center" vertical="center"/>
    </xf>
    <xf numFmtId="0" fontId="47" fillId="11" borderId="0" xfId="0" applyFont="1" applyFill="1" applyAlignment="1">
      <alignment vertical="center"/>
    </xf>
    <xf numFmtId="0" fontId="36" fillId="13" borderId="0" xfId="0" applyFont="1" applyFill="1"/>
    <xf numFmtId="0" fontId="0" fillId="13" borderId="0" xfId="0" applyFill="1" applyAlignment="1">
      <alignment vertical="center"/>
    </xf>
    <xf numFmtId="186" fontId="0" fillId="13" borderId="0" xfId="0" applyNumberFormat="1" applyFill="1" applyAlignment="1">
      <alignment vertical="center"/>
    </xf>
    <xf numFmtId="0" fontId="0" fillId="13" borderId="0" xfId="0" applyFill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191" fontId="0" fillId="0" borderId="9" xfId="0" applyNumberFormat="1" applyBorder="1" applyAlignment="1">
      <alignment vertical="center"/>
    </xf>
    <xf numFmtId="0" fontId="20" fillId="0" borderId="9" xfId="0" applyFont="1" applyBorder="1" applyAlignment="1">
      <alignment vertical="center"/>
    </xf>
    <xf numFmtId="176" fontId="0" fillId="0" borderId="9" xfId="0" applyNumberFormat="1" applyBorder="1" applyAlignment="1">
      <alignment vertical="center"/>
    </xf>
    <xf numFmtId="176" fontId="20" fillId="0" borderId="9" xfId="0" applyNumberFormat="1" applyFont="1" applyBorder="1" applyAlignment="1">
      <alignment horizontal="center" vertical="center"/>
    </xf>
    <xf numFmtId="181" fontId="0" fillId="0" borderId="9" xfId="0" applyNumberFormat="1" applyBorder="1" applyAlignment="1">
      <alignment vertical="center"/>
    </xf>
    <xf numFmtId="0" fontId="78" fillId="0" borderId="53" xfId="3" applyFont="1" applyFill="1" applyBorder="1" applyAlignment="1">
      <alignment vertical="center" wrapText="1"/>
    </xf>
    <xf numFmtId="0" fontId="6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6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/>
    </xf>
    <xf numFmtId="0" fontId="69" fillId="0" borderId="0" xfId="0" applyFont="1" applyAlignment="1">
      <alignment vertical="center"/>
    </xf>
    <xf numFmtId="176" fontId="66" fillId="0" borderId="0" xfId="0" applyNumberFormat="1" applyFont="1" applyAlignment="1">
      <alignment vertical="center" wrapText="1"/>
    </xf>
    <xf numFmtId="0" fontId="5" fillId="0" borderId="8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6" fillId="0" borderId="51" xfId="0" applyFont="1" applyBorder="1" applyAlignment="1">
      <alignment vertical="center" wrapText="1"/>
    </xf>
    <xf numFmtId="0" fontId="72" fillId="0" borderId="0" xfId="0" applyFont="1" applyAlignment="1">
      <alignment vertical="center"/>
    </xf>
    <xf numFmtId="0" fontId="6" fillId="0" borderId="36" xfId="0" applyFont="1" applyBorder="1" applyAlignment="1">
      <alignment horizontal="center" vertical="center" shrinkToFit="1"/>
    </xf>
    <xf numFmtId="0" fontId="6" fillId="0" borderId="36" xfId="0" applyFont="1" applyBorder="1" applyAlignment="1">
      <alignment horizontal="left" vertical="center" wrapText="1"/>
    </xf>
    <xf numFmtId="0" fontId="6" fillId="0" borderId="36" xfId="0" applyFont="1" applyBorder="1" applyAlignment="1">
      <alignment horizontal="center" vertical="center" wrapText="1"/>
    </xf>
    <xf numFmtId="176" fontId="13" fillId="0" borderId="36" xfId="0" applyNumberFormat="1" applyFont="1" applyBorder="1" applyAlignment="1">
      <alignment vertical="center" shrinkToFit="1"/>
    </xf>
    <xf numFmtId="176" fontId="74" fillId="0" borderId="36" xfId="0" applyNumberFormat="1" applyFont="1" applyBorder="1" applyAlignment="1">
      <alignment vertical="center" shrinkToFit="1"/>
    </xf>
    <xf numFmtId="176" fontId="66" fillId="0" borderId="52" xfId="0" applyNumberFormat="1" applyFont="1" applyBorder="1" applyAlignment="1">
      <alignment vertical="center" wrapText="1"/>
    </xf>
    <xf numFmtId="0" fontId="66" fillId="0" borderId="53" xfId="0" applyFont="1" applyBorder="1" applyAlignment="1">
      <alignment vertical="center" wrapText="1"/>
    </xf>
    <xf numFmtId="176" fontId="75" fillId="0" borderId="36" xfId="0" applyNumberFormat="1" applyFont="1" applyBorder="1" applyAlignment="1">
      <alignment vertical="center" shrinkToFit="1"/>
    </xf>
    <xf numFmtId="0" fontId="66" fillId="0" borderId="52" xfId="0" applyFont="1" applyBorder="1" applyAlignment="1">
      <alignment vertical="center" wrapText="1"/>
    </xf>
    <xf numFmtId="0" fontId="66" fillId="0" borderId="0" xfId="0" applyFont="1" applyAlignment="1">
      <alignment vertical="center"/>
    </xf>
    <xf numFmtId="0" fontId="7" fillId="0" borderId="36" xfId="0" applyFont="1" applyBorder="1" applyAlignment="1">
      <alignment horizontal="center" vertical="center" shrinkToFit="1"/>
    </xf>
    <xf numFmtId="0" fontId="7" fillId="0" borderId="36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36" xfId="0" applyFont="1" applyBorder="1" applyAlignment="1">
      <alignment vertical="center" wrapText="1"/>
    </xf>
    <xf numFmtId="0" fontId="76" fillId="0" borderId="0" xfId="0" applyFont="1" applyAlignment="1">
      <alignment vertical="center" wrapText="1"/>
    </xf>
    <xf numFmtId="0" fontId="78" fillId="0" borderId="52" xfId="4" applyFont="1" applyBorder="1" applyAlignment="1">
      <alignment horizontal="left" vertical="center" wrapText="1"/>
    </xf>
    <xf numFmtId="0" fontId="78" fillId="0" borderId="53" xfId="0" applyFont="1" applyBorder="1" applyAlignment="1">
      <alignment vertical="center" wrapText="1"/>
    </xf>
    <xf numFmtId="0" fontId="27" fillId="0" borderId="36" xfId="0" applyFont="1" applyBorder="1" applyAlignment="1">
      <alignment vertical="center" wrapText="1"/>
    </xf>
    <xf numFmtId="0" fontId="79" fillId="0" borderId="53" xfId="0" applyFont="1" applyBorder="1" applyAlignment="1">
      <alignment vertical="center" wrapText="1"/>
    </xf>
    <xf numFmtId="0" fontId="30" fillId="0" borderId="0" xfId="0" applyFont="1" applyAlignment="1">
      <alignment vertical="center"/>
    </xf>
    <xf numFmtId="0" fontId="80" fillId="0" borderId="0" xfId="0" applyFont="1" applyAlignment="1">
      <alignment vertical="center"/>
    </xf>
    <xf numFmtId="0" fontId="78" fillId="0" borderId="52" xfId="0" applyFont="1" applyBorder="1" applyAlignment="1">
      <alignment vertical="center" wrapText="1"/>
    </xf>
    <xf numFmtId="0" fontId="81" fillId="0" borderId="52" xfId="0" applyFont="1" applyBorder="1" applyAlignment="1">
      <alignment vertical="center" wrapText="1"/>
    </xf>
    <xf numFmtId="0" fontId="81" fillId="0" borderId="0" xfId="0" applyFont="1" applyAlignment="1">
      <alignment vertical="center"/>
    </xf>
    <xf numFmtId="0" fontId="82" fillId="0" borderId="0" xfId="0" applyFont="1" applyAlignment="1">
      <alignment vertical="center" wrapText="1"/>
    </xf>
    <xf numFmtId="0" fontId="78" fillId="0" borderId="0" xfId="0" applyFont="1" applyAlignment="1">
      <alignment vertical="center"/>
    </xf>
    <xf numFmtId="0" fontId="83" fillId="0" borderId="0" xfId="0" applyFont="1" applyAlignment="1">
      <alignment vertical="center"/>
    </xf>
    <xf numFmtId="0" fontId="84" fillId="0" borderId="53" xfId="0" applyFont="1" applyBorder="1" applyAlignment="1">
      <alignment vertical="center" wrapText="1"/>
    </xf>
    <xf numFmtId="0" fontId="80" fillId="0" borderId="0" xfId="0" applyFont="1" applyAlignment="1">
      <alignment vertical="center" wrapText="1"/>
    </xf>
    <xf numFmtId="0" fontId="32" fillId="0" borderId="0" xfId="0" applyFont="1" applyAlignment="1">
      <alignment vertical="center"/>
    </xf>
    <xf numFmtId="0" fontId="85" fillId="0" borderId="0" xfId="0" applyFont="1" applyAlignment="1">
      <alignment vertical="center"/>
    </xf>
    <xf numFmtId="0" fontId="86" fillId="0" borderId="52" xfId="0" applyFont="1" applyBorder="1" applyAlignment="1">
      <alignment vertical="center" wrapText="1"/>
    </xf>
    <xf numFmtId="0" fontId="33" fillId="0" borderId="53" xfId="0" applyFont="1" applyBorder="1" applyAlignment="1">
      <alignment vertical="center" wrapText="1"/>
    </xf>
    <xf numFmtId="0" fontId="87" fillId="0" borderId="53" xfId="0" applyFont="1" applyBorder="1" applyAlignment="1">
      <alignment vertical="center" wrapText="1"/>
    </xf>
    <xf numFmtId="0" fontId="32" fillId="0" borderId="0" xfId="0" applyFont="1" applyAlignment="1">
      <alignment vertical="center" wrapText="1"/>
    </xf>
    <xf numFmtId="0" fontId="86" fillId="0" borderId="0" xfId="0" applyFont="1" applyAlignment="1">
      <alignment vertical="center"/>
    </xf>
    <xf numFmtId="0" fontId="86" fillId="0" borderId="0" xfId="0" applyFont="1" applyAlignment="1">
      <alignment vertical="center" wrapText="1"/>
    </xf>
    <xf numFmtId="0" fontId="88" fillId="0" borderId="53" xfId="0" applyFont="1" applyBorder="1" applyAlignment="1">
      <alignment vertical="center" wrapText="1"/>
    </xf>
    <xf numFmtId="0" fontId="81" fillId="0" borderId="0" xfId="0" applyFont="1" applyAlignment="1">
      <alignment vertical="center" wrapText="1"/>
    </xf>
    <xf numFmtId="0" fontId="87" fillId="0" borderId="0" xfId="0" applyFont="1" applyAlignment="1">
      <alignment vertical="center"/>
    </xf>
    <xf numFmtId="0" fontId="33" fillId="0" borderId="53" xfId="0" applyFont="1" applyBorder="1" applyAlignment="1">
      <alignment vertical="center"/>
    </xf>
    <xf numFmtId="0" fontId="83" fillId="0" borderId="0" xfId="0" applyFont="1" applyAlignment="1">
      <alignment vertical="center" wrapText="1"/>
    </xf>
    <xf numFmtId="0" fontId="78" fillId="0" borderId="0" xfId="0" applyFont="1" applyAlignment="1">
      <alignment vertical="center" wrapText="1"/>
    </xf>
    <xf numFmtId="0" fontId="46" fillId="0" borderId="36" xfId="0" applyFont="1" applyBorder="1" applyAlignment="1">
      <alignment vertical="center" wrapText="1"/>
    </xf>
    <xf numFmtId="0" fontId="84" fillId="0" borderId="52" xfId="4" applyFont="1" applyBorder="1" applyAlignment="1">
      <alignment horizontal="left" vertical="center" wrapText="1"/>
    </xf>
    <xf numFmtId="0" fontId="33" fillId="0" borderId="0" xfId="0" applyFont="1" applyAlignment="1">
      <alignment vertical="center" wrapText="1"/>
    </xf>
    <xf numFmtId="0" fontId="89" fillId="0" borderId="0" xfId="0" applyFont="1" applyAlignment="1">
      <alignment vertical="center" wrapText="1"/>
    </xf>
    <xf numFmtId="0" fontId="66" fillId="0" borderId="54" xfId="0" applyFont="1" applyBorder="1" applyAlignment="1">
      <alignment vertical="center" wrapText="1"/>
    </xf>
    <xf numFmtId="0" fontId="66" fillId="0" borderId="55" xfId="0" applyFont="1" applyBorder="1" applyAlignment="1">
      <alignment vertical="center" wrapText="1"/>
    </xf>
    <xf numFmtId="0" fontId="6" fillId="8" borderId="36" xfId="0" applyFont="1" applyFill="1" applyBorder="1" applyAlignment="1">
      <alignment horizontal="center" vertical="center" shrinkToFit="1"/>
    </xf>
    <xf numFmtId="0" fontId="6" fillId="8" borderId="36" xfId="0" applyFont="1" applyFill="1" applyBorder="1" applyAlignment="1">
      <alignment horizontal="left" vertical="center" wrapText="1"/>
    </xf>
    <xf numFmtId="0" fontId="6" fillId="8" borderId="36" xfId="0" applyFont="1" applyFill="1" applyBorder="1" applyAlignment="1">
      <alignment horizontal="center" vertical="center" wrapText="1"/>
    </xf>
    <xf numFmtId="176" fontId="13" fillId="8" borderId="36" xfId="0" applyNumberFormat="1" applyFont="1" applyFill="1" applyBorder="1" applyAlignment="1">
      <alignment vertical="center" shrinkToFit="1"/>
    </xf>
    <xf numFmtId="0" fontId="6" fillId="8" borderId="36" xfId="0" applyFont="1" applyFill="1" applyBorder="1" applyAlignment="1">
      <alignment vertical="center" wrapText="1"/>
    </xf>
    <xf numFmtId="0" fontId="5" fillId="0" borderId="8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180" fontId="71" fillId="0" borderId="17" xfId="0" applyNumberFormat="1" applyFont="1" applyBorder="1" applyAlignment="1">
      <alignment horizontal="left" vertical="center"/>
    </xf>
    <xf numFmtId="193" fontId="13" fillId="0" borderId="36" xfId="0" applyNumberFormat="1" applyFont="1" applyBorder="1" applyAlignment="1">
      <alignment vertical="center" shrinkToFit="1"/>
    </xf>
    <xf numFmtId="193" fontId="13" fillId="8" borderId="36" xfId="0" applyNumberFormat="1" applyFont="1" applyFill="1" applyBorder="1" applyAlignment="1">
      <alignment vertical="center" shrinkToFit="1"/>
    </xf>
    <xf numFmtId="0" fontId="0" fillId="0" borderId="42" xfId="0" applyBorder="1" applyAlignment="1">
      <alignment vertical="center"/>
    </xf>
    <xf numFmtId="49" fontId="60" fillId="8" borderId="48" xfId="0" applyNumberFormat="1" applyFont="1" applyFill="1" applyBorder="1" applyAlignment="1">
      <alignment horizontal="center" vertical="center" shrinkToFit="1"/>
    </xf>
    <xf numFmtId="49" fontId="60" fillId="8" borderId="42" xfId="0" applyNumberFormat="1" applyFont="1" applyFill="1" applyBorder="1" applyAlignment="1">
      <alignment horizontal="left" vertical="center" wrapText="1"/>
    </xf>
    <xf numFmtId="49" fontId="60" fillId="8" borderId="42" xfId="0" applyNumberFormat="1" applyFont="1" applyFill="1" applyBorder="1" applyAlignment="1">
      <alignment horizontal="center" vertical="center" wrapText="1"/>
    </xf>
    <xf numFmtId="176" fontId="22" fillId="8" borderId="42" xfId="0" applyNumberFormat="1" applyFont="1" applyFill="1" applyBorder="1" applyAlignment="1">
      <alignment horizontal="right" vertical="center" shrinkToFit="1"/>
    </xf>
    <xf numFmtId="191" fontId="22" fillId="8" borderId="42" xfId="0" applyNumberFormat="1" applyFont="1" applyFill="1" applyBorder="1" applyAlignment="1">
      <alignment horizontal="right" vertical="center" shrinkToFit="1"/>
    </xf>
    <xf numFmtId="49" fontId="61" fillId="8" borderId="49" xfId="0" applyNumberFormat="1" applyFont="1" applyFill="1" applyBorder="1" applyAlignment="1">
      <alignment horizontal="left" vertical="center" wrapText="1"/>
    </xf>
    <xf numFmtId="0" fontId="0" fillId="8" borderId="0" xfId="0" applyFill="1" applyAlignment="1">
      <alignment vertical="center" wrapText="1"/>
    </xf>
    <xf numFmtId="49" fontId="62" fillId="8" borderId="49" xfId="0" applyNumberFormat="1" applyFont="1" applyFill="1" applyBorder="1" applyAlignment="1">
      <alignment horizontal="left" vertical="center" wrapText="1"/>
    </xf>
    <xf numFmtId="176" fontId="0" fillId="8" borderId="0" xfId="0" applyNumberFormat="1" applyFill="1" applyAlignment="1">
      <alignment vertical="center"/>
    </xf>
    <xf numFmtId="0" fontId="8" fillId="0" borderId="36" xfId="0" applyFont="1" applyBorder="1" applyAlignment="1">
      <alignment vertical="center" wrapText="1"/>
    </xf>
    <xf numFmtId="0" fontId="7" fillId="0" borderId="36" xfId="0" applyFont="1" applyBorder="1" applyAlignment="1">
      <alignment horizontal="center" vertical="center" wrapText="1" shrinkToFit="1"/>
    </xf>
    <xf numFmtId="176" fontId="4" fillId="0" borderId="36" xfId="0" applyNumberFormat="1" applyFont="1" applyBorder="1" applyAlignment="1">
      <alignment horizontal="right" vertical="center" shrinkToFit="1"/>
    </xf>
    <xf numFmtId="181" fontId="13" fillId="8" borderId="36" xfId="0" applyNumberFormat="1" applyFont="1" applyFill="1" applyBorder="1" applyAlignment="1">
      <alignment vertical="center" shrinkToFit="1"/>
    </xf>
    <xf numFmtId="0" fontId="6" fillId="4" borderId="36" xfId="0" applyFont="1" applyFill="1" applyBorder="1" applyAlignment="1">
      <alignment horizontal="center" vertical="center" shrinkToFit="1"/>
    </xf>
    <xf numFmtId="0" fontId="6" fillId="4" borderId="36" xfId="0" applyFont="1" applyFill="1" applyBorder="1" applyAlignment="1">
      <alignment horizontal="left" vertical="center" wrapText="1"/>
    </xf>
    <xf numFmtId="0" fontId="6" fillId="4" borderId="36" xfId="0" applyFont="1" applyFill="1" applyBorder="1" applyAlignment="1">
      <alignment horizontal="center" vertical="center" wrapText="1"/>
    </xf>
    <xf numFmtId="176" fontId="13" fillId="4" borderId="36" xfId="0" applyNumberFormat="1" applyFont="1" applyFill="1" applyBorder="1" applyAlignment="1">
      <alignment vertical="center" shrinkToFit="1"/>
    </xf>
    <xf numFmtId="193" fontId="13" fillId="4" borderId="36" xfId="0" applyNumberFormat="1" applyFont="1" applyFill="1" applyBorder="1" applyAlignment="1">
      <alignment vertical="center" shrinkToFit="1"/>
    </xf>
    <xf numFmtId="176" fontId="75" fillId="4" borderId="36" xfId="0" applyNumberFormat="1" applyFont="1" applyFill="1" applyBorder="1" applyAlignment="1">
      <alignment vertical="center" shrinkToFit="1"/>
    </xf>
    <xf numFmtId="0" fontId="7" fillId="8" borderId="36" xfId="0" applyFont="1" applyFill="1" applyBorder="1" applyAlignment="1">
      <alignment horizontal="center" vertical="center" shrinkToFit="1"/>
    </xf>
    <xf numFmtId="0" fontId="7" fillId="8" borderId="36" xfId="0" applyFont="1" applyFill="1" applyBorder="1" applyAlignment="1">
      <alignment horizontal="left" vertical="center" wrapText="1"/>
    </xf>
    <xf numFmtId="0" fontId="7" fillId="8" borderId="36" xfId="0" applyFont="1" applyFill="1" applyBorder="1" applyAlignment="1">
      <alignment horizontal="center" vertical="center" wrapText="1"/>
    </xf>
    <xf numFmtId="176" fontId="75" fillId="8" borderId="36" xfId="0" applyNumberFormat="1" applyFont="1" applyFill="1" applyBorder="1" applyAlignment="1">
      <alignment vertical="center" shrinkToFit="1"/>
    </xf>
    <xf numFmtId="0" fontId="45" fillId="8" borderId="36" xfId="0" quotePrefix="1" applyFont="1" applyFill="1" applyBorder="1" applyAlignment="1">
      <alignment vertical="center" wrapText="1"/>
    </xf>
    <xf numFmtId="193" fontId="74" fillId="8" borderId="36" xfId="0" applyNumberFormat="1" applyFont="1" applyFill="1" applyBorder="1" applyAlignment="1">
      <alignment vertical="center" shrinkToFit="1"/>
    </xf>
    <xf numFmtId="193" fontId="74" fillId="0" borderId="36" xfId="0" applyNumberFormat="1" applyFont="1" applyBorder="1" applyAlignment="1">
      <alignment vertical="center" shrinkToFit="1"/>
    </xf>
    <xf numFmtId="176" fontId="90" fillId="0" borderId="36" xfId="0" applyNumberFormat="1" applyFont="1" applyBorder="1" applyAlignment="1">
      <alignment vertical="center" shrinkToFit="1"/>
    </xf>
    <xf numFmtId="176" fontId="90" fillId="8" borderId="36" xfId="0" applyNumberFormat="1" applyFont="1" applyFill="1" applyBorder="1" applyAlignment="1">
      <alignment vertical="center" shrinkToFit="1"/>
    </xf>
    <xf numFmtId="176" fontId="74" fillId="8" borderId="36" xfId="0" applyNumberFormat="1" applyFont="1" applyFill="1" applyBorder="1" applyAlignment="1">
      <alignment vertical="center" shrinkToFit="1"/>
    </xf>
    <xf numFmtId="0" fontId="7" fillId="8" borderId="36" xfId="0" applyFont="1" applyFill="1" applyBorder="1" applyAlignment="1">
      <alignment vertical="center" wrapText="1"/>
    </xf>
    <xf numFmtId="0" fontId="91" fillId="0" borderId="36" xfId="0" applyFont="1" applyBorder="1" applyAlignment="1">
      <alignment horizontal="center" vertical="center" shrinkToFit="1"/>
    </xf>
    <xf numFmtId="0" fontId="91" fillId="0" borderId="36" xfId="0" applyFont="1" applyBorder="1" applyAlignment="1">
      <alignment horizontal="left" vertical="center" wrapText="1"/>
    </xf>
    <xf numFmtId="0" fontId="91" fillId="0" borderId="36" xfId="0" applyFont="1" applyBorder="1" applyAlignment="1">
      <alignment horizontal="center" vertical="center" wrapText="1"/>
    </xf>
    <xf numFmtId="193" fontId="90" fillId="0" borderId="36" xfId="0" applyNumberFormat="1" applyFont="1" applyBorder="1" applyAlignment="1">
      <alignment vertical="center" shrinkToFit="1"/>
    </xf>
    <xf numFmtId="0" fontId="6" fillId="0" borderId="41" xfId="0" applyFont="1" applyBorder="1" applyAlignment="1">
      <alignment horizontal="center" vertical="center" shrinkToFit="1"/>
    </xf>
    <xf numFmtId="0" fontId="6" fillId="0" borderId="41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center" vertical="center" wrapText="1"/>
    </xf>
    <xf numFmtId="176" fontId="13" fillId="0" borderId="41" xfId="0" applyNumberFormat="1" applyFont="1" applyBorder="1" applyAlignment="1">
      <alignment vertical="center" shrinkToFit="1"/>
    </xf>
    <xf numFmtId="193" fontId="13" fillId="0" borderId="41" xfId="0" applyNumberFormat="1" applyFont="1" applyBorder="1" applyAlignment="1">
      <alignment vertical="center" shrinkToFit="1"/>
    </xf>
    <xf numFmtId="0" fontId="6" fillId="0" borderId="41" xfId="0" applyFont="1" applyBorder="1" applyAlignment="1">
      <alignment vertical="center" wrapText="1"/>
    </xf>
    <xf numFmtId="0" fontId="94" fillId="0" borderId="0" xfId="0" applyFont="1" applyAlignment="1">
      <alignment vertical="center"/>
    </xf>
    <xf numFmtId="0" fontId="94" fillId="0" borderId="0" xfId="0" applyFont="1" applyAlignment="1">
      <alignment horizontal="center" vertical="center"/>
    </xf>
    <xf numFmtId="0" fontId="95" fillId="0" borderId="0" xfId="0" applyFont="1" applyAlignment="1">
      <alignment vertical="center"/>
    </xf>
    <xf numFmtId="0" fontId="96" fillId="0" borderId="0" xfId="0" applyFont="1" applyAlignment="1">
      <alignment vertical="center"/>
    </xf>
    <xf numFmtId="191" fontId="5" fillId="0" borderId="0" xfId="0" applyNumberFormat="1" applyFont="1" applyAlignment="1">
      <alignment horizontal="center" vertical="center"/>
    </xf>
    <xf numFmtId="191" fontId="10" fillId="0" borderId="0" xfId="0" applyNumberFormat="1" applyFont="1" applyAlignment="1">
      <alignment vertical="center"/>
    </xf>
    <xf numFmtId="191" fontId="71" fillId="0" borderId="16" xfId="0" applyNumberFormat="1" applyFont="1" applyBorder="1" applyAlignment="1">
      <alignment horizontal="left" vertical="center"/>
    </xf>
    <xf numFmtId="191" fontId="74" fillId="0" borderId="36" xfId="0" applyNumberFormat="1" applyFont="1" applyBorder="1" applyAlignment="1">
      <alignment vertical="center" shrinkToFit="1"/>
    </xf>
    <xf numFmtId="191" fontId="75" fillId="4" borderId="36" xfId="0" applyNumberFormat="1" applyFont="1" applyFill="1" applyBorder="1" applyAlignment="1">
      <alignment vertical="center" shrinkToFit="1"/>
    </xf>
    <xf numFmtId="191" fontId="13" fillId="0" borderId="36" xfId="0" applyNumberFormat="1" applyFont="1" applyBorder="1" applyAlignment="1">
      <alignment vertical="center" shrinkToFit="1"/>
    </xf>
    <xf numFmtId="191" fontId="13" fillId="8" borderId="36" xfId="0" applyNumberFormat="1" applyFont="1" applyFill="1" applyBorder="1" applyAlignment="1">
      <alignment vertical="center" shrinkToFit="1"/>
    </xf>
    <xf numFmtId="191" fontId="13" fillId="4" borderId="36" xfId="0" applyNumberFormat="1" applyFont="1" applyFill="1" applyBorder="1" applyAlignment="1">
      <alignment vertical="center" shrinkToFit="1"/>
    </xf>
    <xf numFmtId="191" fontId="74" fillId="4" borderId="36" xfId="0" applyNumberFormat="1" applyFont="1" applyFill="1" applyBorder="1" applyAlignment="1">
      <alignment vertical="center" shrinkToFit="1"/>
    </xf>
    <xf numFmtId="191" fontId="74" fillId="8" borderId="36" xfId="0" applyNumberFormat="1" applyFont="1" applyFill="1" applyBorder="1" applyAlignment="1">
      <alignment vertical="center" shrinkToFit="1"/>
    </xf>
    <xf numFmtId="0" fontId="45" fillId="8" borderId="36" xfId="0" applyFont="1" applyFill="1" applyBorder="1" applyAlignment="1">
      <alignment vertical="center" wrapText="1"/>
    </xf>
    <xf numFmtId="176" fontId="90" fillId="4" borderId="36" xfId="0" applyNumberFormat="1" applyFont="1" applyFill="1" applyBorder="1" applyAlignment="1">
      <alignment vertical="center" shrinkToFit="1"/>
    </xf>
    <xf numFmtId="191" fontId="90" fillId="4" borderId="36" xfId="0" applyNumberFormat="1" applyFont="1" applyFill="1" applyBorder="1" applyAlignment="1">
      <alignment vertical="center" shrinkToFit="1"/>
    </xf>
    <xf numFmtId="176" fontId="23" fillId="0" borderId="0" xfId="0" applyNumberFormat="1" applyFont="1" applyAlignment="1">
      <alignment vertical="center"/>
    </xf>
    <xf numFmtId="181" fontId="74" fillId="8" borderId="36" xfId="0" applyNumberFormat="1" applyFont="1" applyFill="1" applyBorder="1" applyAlignment="1">
      <alignment vertical="center" shrinkToFit="1"/>
    </xf>
    <xf numFmtId="181" fontId="74" fillId="4" borderId="36" xfId="0" applyNumberFormat="1" applyFont="1" applyFill="1" applyBorder="1" applyAlignment="1">
      <alignment vertical="center" shrinkToFit="1"/>
    </xf>
    <xf numFmtId="181" fontId="74" fillId="0" borderId="36" xfId="0" applyNumberFormat="1" applyFont="1" applyBorder="1" applyAlignment="1">
      <alignment vertical="center" shrinkToFit="1"/>
    </xf>
    <xf numFmtId="181" fontId="75" fillId="4" borderId="36" xfId="0" applyNumberFormat="1" applyFont="1" applyFill="1" applyBorder="1" applyAlignment="1">
      <alignment vertical="center" shrinkToFit="1"/>
    </xf>
    <xf numFmtId="0" fontId="20" fillId="0" borderId="0" xfId="0" applyFont="1"/>
    <xf numFmtId="0" fontId="0" fillId="0" borderId="0" xfId="0" quotePrefix="1" applyAlignment="1">
      <alignment horizontal="center"/>
    </xf>
    <xf numFmtId="49" fontId="97" fillId="0" borderId="49" xfId="0" applyNumberFormat="1" applyFont="1" applyBorder="1" applyAlignment="1">
      <alignment horizontal="left" vertical="center" wrapText="1"/>
    </xf>
    <xf numFmtId="49" fontId="23" fillId="0" borderId="49" xfId="0" applyNumberFormat="1" applyFont="1" applyBorder="1" applyAlignment="1">
      <alignment horizontal="left" vertical="center" wrapText="1"/>
    </xf>
    <xf numFmtId="181" fontId="22" fillId="8" borderId="42" xfId="0" applyNumberFormat="1" applyFont="1" applyFill="1" applyBorder="1" applyAlignment="1">
      <alignment horizontal="right" vertical="center" shrinkToFit="1"/>
    </xf>
    <xf numFmtId="49" fontId="98" fillId="0" borderId="49" xfId="0" applyNumberFormat="1" applyFont="1" applyBorder="1" applyAlignment="1">
      <alignment horizontal="left" vertical="center" wrapText="1"/>
    </xf>
    <xf numFmtId="49" fontId="97" fillId="8" borderId="49" xfId="0" applyNumberFormat="1" applyFont="1" applyFill="1" applyBorder="1" applyAlignment="1">
      <alignment horizontal="left" vertical="center" wrapText="1"/>
    </xf>
    <xf numFmtId="176" fontId="44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6" fillId="3" borderId="36" xfId="0" applyFont="1" applyFill="1" applyBorder="1" applyAlignment="1">
      <alignment horizontal="left" vertical="center" wrapText="1"/>
    </xf>
    <xf numFmtId="176" fontId="19" fillId="3" borderId="13" xfId="0" applyNumberFormat="1" applyFont="1" applyFill="1" applyBorder="1" applyAlignment="1">
      <alignment horizontal="left" vertical="center" wrapText="1" shrinkToFit="1"/>
    </xf>
    <xf numFmtId="0" fontId="20" fillId="3" borderId="0" xfId="0" applyFont="1" applyFill="1" applyAlignment="1">
      <alignment horizontal="center" vertical="center"/>
    </xf>
    <xf numFmtId="0" fontId="20" fillId="14" borderId="0" xfId="0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88" fontId="0" fillId="8" borderId="0" xfId="0" applyNumberFormat="1" applyFill="1" applyAlignment="1">
      <alignment horizontal="center" vertical="center"/>
    </xf>
    <xf numFmtId="0" fontId="50" fillId="8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84" fillId="0" borderId="52" xfId="0" applyFont="1" applyBorder="1" applyAlignment="1">
      <alignment vertical="center" wrapText="1"/>
    </xf>
    <xf numFmtId="0" fontId="84" fillId="0" borderId="0" xfId="0" applyFont="1" applyAlignment="1">
      <alignment vertical="center" wrapText="1"/>
    </xf>
    <xf numFmtId="176" fontId="84" fillId="0" borderId="0" xfId="0" applyNumberFormat="1" applyFont="1" applyAlignment="1">
      <alignment vertical="center" wrapText="1"/>
    </xf>
    <xf numFmtId="0" fontId="84" fillId="0" borderId="51" xfId="0" applyFont="1" applyBorder="1" applyAlignment="1">
      <alignment vertical="center" wrapText="1"/>
    </xf>
    <xf numFmtId="176" fontId="84" fillId="0" borderId="52" xfId="0" applyNumberFormat="1" applyFont="1" applyBorder="1" applyAlignment="1">
      <alignment vertical="center" wrapText="1"/>
    </xf>
    <xf numFmtId="0" fontId="83" fillId="0" borderId="52" xfId="0" applyFont="1" applyBorder="1" applyAlignment="1">
      <alignment vertical="center" wrapText="1"/>
    </xf>
    <xf numFmtId="0" fontId="84" fillId="0" borderId="54" xfId="0" applyFont="1" applyBorder="1" applyAlignment="1">
      <alignment vertical="center" wrapText="1"/>
    </xf>
    <xf numFmtId="14" fontId="47" fillId="0" borderId="0" xfId="0" applyNumberFormat="1" applyFont="1"/>
    <xf numFmtId="14" fontId="20" fillId="0" borderId="0" xfId="0" applyNumberFormat="1" applyFont="1"/>
    <xf numFmtId="14" fontId="99" fillId="0" borderId="0" xfId="0" applyNumberFormat="1" applyFont="1"/>
    <xf numFmtId="0" fontId="20" fillId="0" borderId="0" xfId="0" applyFont="1" applyAlignment="1">
      <alignment horizontal="center"/>
    </xf>
    <xf numFmtId="0" fontId="26" fillId="0" borderId="41" xfId="0" applyFont="1" applyBorder="1" applyAlignment="1">
      <alignment vertical="center" wrapText="1"/>
    </xf>
    <xf numFmtId="0" fontId="23" fillId="0" borderId="0" xfId="0" quotePrefix="1" applyFont="1" applyAlignment="1">
      <alignment vertical="center"/>
    </xf>
    <xf numFmtId="49" fontId="60" fillId="0" borderId="9" xfId="0" applyNumberFormat="1" applyFont="1" applyBorder="1" applyAlignment="1">
      <alignment horizontal="left" vertical="center" wrapText="1"/>
    </xf>
    <xf numFmtId="49" fontId="60" fillId="0" borderId="9" xfId="0" applyNumberFormat="1" applyFont="1" applyBorder="1" applyAlignment="1">
      <alignment horizontal="center" vertical="center" wrapText="1"/>
    </xf>
    <xf numFmtId="176" fontId="22" fillId="0" borderId="9" xfId="0" applyNumberFormat="1" applyFont="1" applyBorder="1" applyAlignment="1">
      <alignment horizontal="right" vertical="center" shrinkToFit="1"/>
    </xf>
    <xf numFmtId="191" fontId="22" fillId="0" borderId="9" xfId="0" applyNumberFormat="1" applyFont="1" applyBorder="1" applyAlignment="1">
      <alignment horizontal="right" vertical="center" shrinkToFit="1"/>
    </xf>
    <xf numFmtId="0" fontId="7" fillId="0" borderId="7" xfId="0" applyFont="1" applyBorder="1" applyAlignment="1">
      <alignment horizontal="center" vertical="center" wrapText="1"/>
    </xf>
    <xf numFmtId="176" fontId="75" fillId="0" borderId="7" xfId="0" applyNumberFormat="1" applyFont="1" applyBorder="1" applyAlignment="1">
      <alignment vertical="center" shrinkToFit="1"/>
    </xf>
    <xf numFmtId="0" fontId="7" fillId="0" borderId="9" xfId="0" applyFont="1" applyBorder="1" applyAlignment="1">
      <alignment horizontal="left" vertical="center" wrapText="1"/>
    </xf>
    <xf numFmtId="176" fontId="75" fillId="0" borderId="9" xfId="0" applyNumberFormat="1" applyFont="1" applyBorder="1" applyAlignment="1">
      <alignment vertical="center" shrinkToFit="1"/>
    </xf>
    <xf numFmtId="0" fontId="7" fillId="0" borderId="41" xfId="0" applyFont="1" applyBorder="1" applyAlignment="1">
      <alignment horizontal="center" vertical="center" shrinkToFit="1"/>
    </xf>
    <xf numFmtId="0" fontId="7" fillId="0" borderId="41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center" vertical="center" wrapText="1"/>
    </xf>
    <xf numFmtId="176" fontId="75" fillId="0" borderId="41" xfId="0" applyNumberFormat="1" applyFont="1" applyBorder="1" applyAlignment="1">
      <alignment vertical="center" shrinkToFit="1"/>
    </xf>
    <xf numFmtId="0" fontId="7" fillId="0" borderId="41" xfId="0" applyFont="1" applyBorder="1" applyAlignment="1">
      <alignment vertical="center" wrapText="1"/>
    </xf>
    <xf numFmtId="176" fontId="75" fillId="0" borderId="42" xfId="0" applyNumberFormat="1" applyFont="1" applyBorder="1" applyAlignment="1">
      <alignment vertical="center" shrinkToFit="1"/>
    </xf>
    <xf numFmtId="176" fontId="75" fillId="0" borderId="11" xfId="0" applyNumberFormat="1" applyFont="1" applyBorder="1" applyAlignment="1">
      <alignment vertical="center" shrinkToFit="1"/>
    </xf>
    <xf numFmtId="181" fontId="13" fillId="0" borderId="36" xfId="0" applyNumberFormat="1" applyFont="1" applyBorder="1" applyAlignment="1">
      <alignment vertical="center" shrinkToFit="1"/>
    </xf>
    <xf numFmtId="0" fontId="6" fillId="11" borderId="36" xfId="0" applyFont="1" applyFill="1" applyBorder="1" applyAlignment="1">
      <alignment horizontal="center" vertical="center" shrinkToFit="1"/>
    </xf>
    <xf numFmtId="0" fontId="6" fillId="11" borderId="36" xfId="0" applyFont="1" applyFill="1" applyBorder="1" applyAlignment="1">
      <alignment horizontal="left" vertical="center" wrapText="1"/>
    </xf>
    <xf numFmtId="0" fontId="6" fillId="11" borderId="36" xfId="0" applyFont="1" applyFill="1" applyBorder="1" applyAlignment="1">
      <alignment horizontal="center" vertical="center" wrapText="1"/>
    </xf>
    <xf numFmtId="176" fontId="13" fillId="11" borderId="36" xfId="0" applyNumberFormat="1" applyFont="1" applyFill="1" applyBorder="1" applyAlignment="1">
      <alignment vertical="center" shrinkToFit="1"/>
    </xf>
    <xf numFmtId="193" fontId="13" fillId="11" borderId="36" xfId="0" applyNumberFormat="1" applyFont="1" applyFill="1" applyBorder="1" applyAlignment="1">
      <alignment vertical="center" shrinkToFit="1"/>
    </xf>
    <xf numFmtId="0" fontId="6" fillId="11" borderId="36" xfId="0" applyFont="1" applyFill="1" applyBorder="1" applyAlignment="1">
      <alignment vertical="center" wrapText="1"/>
    </xf>
    <xf numFmtId="176" fontId="74" fillId="11" borderId="36" xfId="0" applyNumberFormat="1" applyFont="1" applyFill="1" applyBorder="1" applyAlignment="1">
      <alignment vertical="center" shrinkToFit="1"/>
    </xf>
    <xf numFmtId="181" fontId="13" fillId="11" borderId="36" xfId="0" applyNumberFormat="1" applyFont="1" applyFill="1" applyBorder="1" applyAlignment="1">
      <alignment vertical="center" shrinkToFit="1"/>
    </xf>
    <xf numFmtId="176" fontId="13" fillId="11" borderId="41" xfId="0" applyNumberFormat="1" applyFont="1" applyFill="1" applyBorder="1" applyAlignment="1">
      <alignment vertical="center" shrinkToFit="1"/>
    </xf>
    <xf numFmtId="0" fontId="7" fillId="11" borderId="36" xfId="0" applyFont="1" applyFill="1" applyBorder="1" applyAlignment="1">
      <alignment horizontal="center" vertical="center" shrinkToFit="1"/>
    </xf>
    <xf numFmtId="0" fontId="7" fillId="11" borderId="36" xfId="0" applyFont="1" applyFill="1" applyBorder="1" applyAlignment="1">
      <alignment horizontal="left" vertical="center" wrapText="1"/>
    </xf>
    <xf numFmtId="0" fontId="7" fillId="11" borderId="36" xfId="0" applyFont="1" applyFill="1" applyBorder="1" applyAlignment="1">
      <alignment horizontal="center" vertical="center" wrapText="1"/>
    </xf>
    <xf numFmtId="176" fontId="75" fillId="11" borderId="36" xfId="0" applyNumberFormat="1" applyFont="1" applyFill="1" applyBorder="1" applyAlignment="1">
      <alignment vertical="center" shrinkToFit="1"/>
    </xf>
    <xf numFmtId="0" fontId="45" fillId="11" borderId="36" xfId="0" quotePrefix="1" applyFont="1" applyFill="1" applyBorder="1" applyAlignment="1">
      <alignment vertical="center" wrapText="1"/>
    </xf>
    <xf numFmtId="0" fontId="100" fillId="0" borderId="52" xfId="0" applyFont="1" applyBorder="1" applyAlignment="1">
      <alignment vertical="center" wrapText="1"/>
    </xf>
    <xf numFmtId="0" fontId="0" fillId="15" borderId="0" xfId="0" applyFill="1"/>
    <xf numFmtId="181" fontId="74" fillId="11" borderId="36" xfId="0" applyNumberFormat="1" applyFont="1" applyFill="1" applyBorder="1" applyAlignment="1">
      <alignment vertical="center" shrinkToFit="1"/>
    </xf>
    <xf numFmtId="0" fontId="45" fillId="11" borderId="36" xfId="0" applyFont="1" applyFill="1" applyBorder="1" applyAlignment="1">
      <alignment vertical="center" wrapText="1"/>
    </xf>
    <xf numFmtId="49" fontId="60" fillId="11" borderId="48" xfId="0" applyNumberFormat="1" applyFont="1" applyFill="1" applyBorder="1" applyAlignment="1">
      <alignment horizontal="center" vertical="center" shrinkToFit="1"/>
    </xf>
    <xf numFmtId="49" fontId="60" fillId="11" borderId="42" xfId="0" applyNumberFormat="1" applyFont="1" applyFill="1" applyBorder="1" applyAlignment="1">
      <alignment horizontal="left" vertical="center" wrapText="1"/>
    </xf>
    <xf numFmtId="49" fontId="60" fillId="11" borderId="42" xfId="0" applyNumberFormat="1" applyFont="1" applyFill="1" applyBorder="1" applyAlignment="1">
      <alignment horizontal="center" vertical="center" wrapText="1"/>
    </xf>
    <xf numFmtId="176" fontId="22" fillId="11" borderId="42" xfId="0" applyNumberFormat="1" applyFont="1" applyFill="1" applyBorder="1" applyAlignment="1">
      <alignment horizontal="right" vertical="center" shrinkToFit="1"/>
    </xf>
    <xf numFmtId="191" fontId="22" fillId="11" borderId="42" xfId="0" applyNumberFormat="1" applyFont="1" applyFill="1" applyBorder="1" applyAlignment="1">
      <alignment horizontal="right" vertical="center" shrinkToFit="1"/>
    </xf>
    <xf numFmtId="49" fontId="61" fillId="11" borderId="49" xfId="0" applyNumberFormat="1" applyFont="1" applyFill="1" applyBorder="1" applyAlignment="1">
      <alignment horizontal="left" vertical="center" wrapText="1"/>
    </xf>
    <xf numFmtId="0" fontId="27" fillId="11" borderId="36" xfId="0" applyFont="1" applyFill="1" applyBorder="1" applyAlignment="1">
      <alignment vertical="center" wrapText="1"/>
    </xf>
    <xf numFmtId="0" fontId="7" fillId="11" borderId="36" xfId="0" applyFont="1" applyFill="1" applyBorder="1" applyAlignment="1">
      <alignment vertical="center" wrapText="1"/>
    </xf>
    <xf numFmtId="0" fontId="6" fillId="11" borderId="41" xfId="0" applyFont="1" applyFill="1" applyBorder="1" applyAlignment="1">
      <alignment vertical="center" wrapText="1"/>
    </xf>
    <xf numFmtId="176" fontId="75" fillId="11" borderId="42" xfId="0" applyNumberFormat="1" applyFont="1" applyFill="1" applyBorder="1" applyAlignment="1">
      <alignment vertical="center" shrinkToFit="1"/>
    </xf>
    <xf numFmtId="181" fontId="5" fillId="0" borderId="0" xfId="0" applyNumberFormat="1" applyFont="1" applyAlignment="1">
      <alignment horizontal="center" vertical="center"/>
    </xf>
    <xf numFmtId="181" fontId="10" fillId="0" borderId="0" xfId="0" applyNumberFormat="1" applyFont="1" applyAlignment="1">
      <alignment vertical="center"/>
    </xf>
    <xf numFmtId="181" fontId="13" fillId="11" borderId="41" xfId="0" applyNumberFormat="1" applyFont="1" applyFill="1" applyBorder="1" applyAlignment="1">
      <alignment vertical="center" shrinkToFit="1"/>
    </xf>
    <xf numFmtId="181" fontId="13" fillId="4" borderId="36" xfId="0" applyNumberFormat="1" applyFont="1" applyFill="1" applyBorder="1" applyAlignment="1">
      <alignment vertical="center" shrinkToFit="1"/>
    </xf>
    <xf numFmtId="181" fontId="90" fillId="4" borderId="36" xfId="0" applyNumberFormat="1" applyFont="1" applyFill="1" applyBorder="1" applyAlignment="1">
      <alignment vertical="center" shrinkToFit="1"/>
    </xf>
    <xf numFmtId="181" fontId="13" fillId="0" borderId="41" xfId="0" applyNumberFormat="1" applyFont="1" applyBorder="1" applyAlignment="1">
      <alignment vertical="center" shrinkToFit="1"/>
    </xf>
    <xf numFmtId="182" fontId="5" fillId="0" borderId="0" xfId="0" applyNumberFormat="1" applyFont="1" applyAlignment="1">
      <alignment horizontal="right" vertical="center"/>
    </xf>
    <xf numFmtId="182" fontId="5" fillId="0" borderId="16" xfId="0" applyNumberFormat="1" applyFont="1" applyBorder="1" applyAlignment="1">
      <alignment vertical="center"/>
    </xf>
    <xf numFmtId="182" fontId="5" fillId="0" borderId="16" xfId="0" applyNumberFormat="1" applyFont="1" applyBorder="1" applyAlignment="1">
      <alignment horizontal="right" vertical="center"/>
    </xf>
    <xf numFmtId="182" fontId="90" fillId="0" borderId="36" xfId="0" applyNumberFormat="1" applyFont="1" applyBorder="1" applyAlignment="1">
      <alignment vertical="center" shrinkToFit="1"/>
    </xf>
    <xf numFmtId="182" fontId="75" fillId="4" borderId="36" xfId="0" applyNumberFormat="1" applyFont="1" applyFill="1" applyBorder="1" applyAlignment="1">
      <alignment vertical="center" shrinkToFit="1"/>
    </xf>
    <xf numFmtId="182" fontId="13" fillId="4" borderId="36" xfId="0" applyNumberFormat="1" applyFont="1" applyFill="1" applyBorder="1" applyAlignment="1">
      <alignment vertical="center" shrinkToFit="1"/>
    </xf>
    <xf numFmtId="182" fontId="90" fillId="4" borderId="36" xfId="0" applyNumberFormat="1" applyFont="1" applyFill="1" applyBorder="1" applyAlignment="1">
      <alignment vertical="center" shrinkToFit="1"/>
    </xf>
    <xf numFmtId="182" fontId="13" fillId="0" borderId="36" xfId="0" applyNumberFormat="1" applyFont="1" applyBorder="1" applyAlignment="1">
      <alignment vertical="center" shrinkToFit="1"/>
    </xf>
    <xf numFmtId="182" fontId="0" fillId="0" borderId="0" xfId="0" applyNumberFormat="1" applyAlignment="1">
      <alignment vertical="center"/>
    </xf>
    <xf numFmtId="194" fontId="13" fillId="0" borderId="36" xfId="0" applyNumberFormat="1" applyFont="1" applyBorder="1" applyAlignment="1">
      <alignment vertical="center" shrinkToFit="1"/>
    </xf>
    <xf numFmtId="194" fontId="13" fillId="11" borderId="36" xfId="0" applyNumberFormat="1" applyFont="1" applyFill="1" applyBorder="1" applyAlignment="1">
      <alignment vertical="center" shrinkToFit="1"/>
    </xf>
    <xf numFmtId="176" fontId="23" fillId="0" borderId="41" xfId="0" applyNumberFormat="1" applyFont="1" applyBorder="1" applyAlignment="1">
      <alignment horizontal="right" vertical="center" shrinkToFit="1"/>
    </xf>
    <xf numFmtId="176" fontId="23" fillId="11" borderId="36" xfId="0" applyNumberFormat="1" applyFont="1" applyFill="1" applyBorder="1" applyAlignment="1">
      <alignment horizontal="left" vertical="center" wrapText="1" shrinkToFit="1"/>
    </xf>
    <xf numFmtId="176" fontId="5" fillId="11" borderId="4" xfId="0" applyNumberFormat="1" applyFont="1" applyFill="1" applyBorder="1" applyAlignment="1">
      <alignment horizontal="left" vertical="center" wrapText="1" shrinkToFit="1"/>
    </xf>
    <xf numFmtId="176" fontId="5" fillId="11" borderId="4" xfId="0" applyNumberFormat="1" applyFont="1" applyFill="1" applyBorder="1" applyAlignment="1">
      <alignment horizontal="right" vertical="center" shrinkToFit="1"/>
    </xf>
    <xf numFmtId="176" fontId="23" fillId="11" borderId="36" xfId="0" applyNumberFormat="1" applyFont="1" applyFill="1" applyBorder="1" applyAlignment="1">
      <alignment horizontal="right" vertical="center" shrinkToFit="1"/>
    </xf>
    <xf numFmtId="176" fontId="5" fillId="16" borderId="4" xfId="0" applyNumberFormat="1" applyFont="1" applyFill="1" applyBorder="1" applyAlignment="1">
      <alignment horizontal="left" vertical="center" wrapText="1" shrinkToFit="1"/>
    </xf>
    <xf numFmtId="0" fontId="20" fillId="0" borderId="9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02" fillId="0" borderId="0" xfId="0" applyFont="1" applyAlignment="1">
      <alignment vertical="center"/>
    </xf>
    <xf numFmtId="0" fontId="0" fillId="17" borderId="0" xfId="0" applyFill="1" applyAlignment="1">
      <alignment vertical="center"/>
    </xf>
    <xf numFmtId="0" fontId="0" fillId="17" borderId="9" xfId="0" applyFill="1" applyBorder="1" applyAlignment="1">
      <alignment vertical="center"/>
    </xf>
    <xf numFmtId="0" fontId="0" fillId="17" borderId="9" xfId="0" applyFill="1" applyBorder="1" applyAlignment="1">
      <alignment vertical="center" wrapText="1"/>
    </xf>
    <xf numFmtId="0" fontId="20" fillId="17" borderId="9" xfId="0" applyFont="1" applyFill="1" applyBorder="1" applyAlignment="1">
      <alignment vertical="center"/>
    </xf>
    <xf numFmtId="0" fontId="0" fillId="8" borderId="9" xfId="0" applyFill="1" applyBorder="1" applyAlignment="1">
      <alignment vertical="center"/>
    </xf>
    <xf numFmtId="0" fontId="0" fillId="8" borderId="9" xfId="0" applyFill="1" applyBorder="1" applyAlignment="1">
      <alignment vertical="center" wrapText="1"/>
    </xf>
    <xf numFmtId="0" fontId="20" fillId="8" borderId="9" xfId="0" applyFont="1" applyFill="1" applyBorder="1" applyAlignment="1">
      <alignment vertical="center"/>
    </xf>
    <xf numFmtId="0" fontId="0" fillId="7" borderId="9" xfId="0" applyFill="1" applyBorder="1" applyAlignment="1">
      <alignment vertical="center"/>
    </xf>
    <xf numFmtId="0" fontId="0" fillId="7" borderId="9" xfId="0" applyFill="1" applyBorder="1" applyAlignment="1">
      <alignment vertical="center" wrapText="1"/>
    </xf>
    <xf numFmtId="0" fontId="23" fillId="0" borderId="8" xfId="0" applyFont="1" applyBorder="1" applyAlignment="1">
      <alignment vertical="center"/>
    </xf>
    <xf numFmtId="0" fontId="23" fillId="0" borderId="16" xfId="0" applyFont="1" applyBorder="1" applyAlignment="1">
      <alignment vertical="center"/>
    </xf>
    <xf numFmtId="0" fontId="23" fillId="0" borderId="17" xfId="0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0" fontId="47" fillId="0" borderId="0" xfId="0" applyFont="1" applyAlignment="1">
      <alignment horizontal="right" vertical="center"/>
    </xf>
    <xf numFmtId="2" fontId="0" fillId="0" borderId="0" xfId="0" applyNumberFormat="1" applyAlignment="1">
      <alignment vertical="center"/>
    </xf>
    <xf numFmtId="0" fontId="20" fillId="8" borderId="0" xfId="0" applyFont="1" applyFill="1" applyAlignment="1">
      <alignment vertical="center"/>
    </xf>
    <xf numFmtId="0" fontId="0" fillId="18" borderId="0" xfId="0" applyFill="1" applyAlignment="1">
      <alignment horizontal="center" vertical="center"/>
    </xf>
    <xf numFmtId="0" fontId="0" fillId="18" borderId="0" xfId="0" applyFill="1" applyAlignment="1">
      <alignment vertical="center"/>
    </xf>
    <xf numFmtId="0" fontId="102" fillId="0" borderId="9" xfId="0" applyFont="1" applyBorder="1" applyAlignment="1">
      <alignment vertical="center"/>
    </xf>
    <xf numFmtId="176" fontId="19" fillId="3" borderId="56" xfId="0" applyNumberFormat="1" applyFont="1" applyFill="1" applyBorder="1" applyAlignment="1">
      <alignment horizontal="left" vertical="center" wrapText="1" shrinkToFit="1"/>
    </xf>
    <xf numFmtId="176" fontId="19" fillId="3" borderId="56" xfId="0" applyNumberFormat="1" applyFont="1" applyFill="1" applyBorder="1" applyAlignment="1">
      <alignment horizontal="right" vertical="center" shrinkToFit="1"/>
    </xf>
    <xf numFmtId="0" fontId="23" fillId="0" borderId="57" xfId="0" applyFont="1" applyBorder="1" applyAlignment="1">
      <alignment vertical="center" wrapText="1"/>
    </xf>
    <xf numFmtId="0" fontId="24" fillId="0" borderId="58" xfId="0" applyFont="1" applyBorder="1" applyAlignment="1">
      <alignment vertical="center"/>
    </xf>
    <xf numFmtId="0" fontId="5" fillId="0" borderId="59" xfId="0" applyFont="1" applyBorder="1" applyAlignment="1">
      <alignment vertical="center" wrapText="1"/>
    </xf>
    <xf numFmtId="0" fontId="24" fillId="0" borderId="60" xfId="0" applyFont="1" applyBorder="1" applyAlignment="1">
      <alignment vertical="center"/>
    </xf>
    <xf numFmtId="176" fontId="19" fillId="0" borderId="41" xfId="0" applyNumberFormat="1" applyFont="1" applyBorder="1" applyAlignment="1">
      <alignment horizontal="left" vertical="center" wrapText="1" shrinkToFit="1"/>
    </xf>
    <xf numFmtId="0" fontId="23" fillId="0" borderId="41" xfId="0" applyFont="1" applyBorder="1" applyAlignment="1">
      <alignment vertical="center" wrapText="1"/>
    </xf>
    <xf numFmtId="0" fontId="24" fillId="0" borderId="41" xfId="0" applyFont="1" applyBorder="1" applyAlignment="1">
      <alignment vertical="center"/>
    </xf>
    <xf numFmtId="176" fontId="19" fillId="0" borderId="41" xfId="0" applyNumberFormat="1" applyFont="1" applyBorder="1" applyAlignment="1">
      <alignment horizontal="right" vertical="center" shrinkToFit="1"/>
    </xf>
    <xf numFmtId="0" fontId="20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91" fillId="0" borderId="0" xfId="0" applyFont="1" applyAlignment="1">
      <alignment horizontal="center" vertical="center"/>
    </xf>
    <xf numFmtId="0" fontId="91" fillId="0" borderId="0" xfId="0" applyFont="1" applyAlignment="1">
      <alignment vertical="center"/>
    </xf>
    <xf numFmtId="0" fontId="91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2" fontId="91" fillId="0" borderId="0" xfId="0" applyNumberFormat="1" applyFont="1" applyAlignment="1">
      <alignment vertical="center"/>
    </xf>
    <xf numFmtId="0" fontId="91" fillId="11" borderId="0" xfId="0" applyFont="1" applyFill="1" applyAlignment="1">
      <alignment vertical="center"/>
    </xf>
    <xf numFmtId="0" fontId="91" fillId="5" borderId="0" xfId="0" applyFont="1" applyFill="1" applyAlignment="1">
      <alignment vertical="center"/>
    </xf>
    <xf numFmtId="182" fontId="91" fillId="0" borderId="0" xfId="0" applyNumberFormat="1" applyFont="1" applyAlignment="1">
      <alignment vertical="center"/>
    </xf>
    <xf numFmtId="182" fontId="91" fillId="0" borderId="0" xfId="0" applyNumberFormat="1" applyFont="1" applyAlignment="1">
      <alignment vertical="center" wrapText="1"/>
    </xf>
    <xf numFmtId="182" fontId="91" fillId="0" borderId="0" xfId="0" applyNumberFormat="1" applyFont="1" applyAlignment="1">
      <alignment horizontal="right" vertical="center"/>
    </xf>
    <xf numFmtId="0" fontId="91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 wrapText="1"/>
    </xf>
    <xf numFmtId="0" fontId="91" fillId="0" borderId="0" xfId="0" applyFont="1" applyAlignment="1">
      <alignment vertical="center" wrapText="1"/>
    </xf>
    <xf numFmtId="182" fontId="7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left" vertical="center"/>
    </xf>
    <xf numFmtId="43" fontId="0" fillId="0" borderId="0" xfId="0" applyNumberFormat="1" applyAlignment="1">
      <alignment vertical="center"/>
    </xf>
    <xf numFmtId="43" fontId="0" fillId="11" borderId="0" xfId="0" applyNumberFormat="1" applyFill="1" applyAlignment="1">
      <alignment vertical="center"/>
    </xf>
    <xf numFmtId="181" fontId="0" fillId="11" borderId="0" xfId="0" applyNumberFormat="1" applyFill="1" applyAlignment="1">
      <alignment vertical="center"/>
    </xf>
    <xf numFmtId="193" fontId="0" fillId="0" borderId="0" xfId="0" applyNumberFormat="1" applyAlignment="1">
      <alignment vertical="center"/>
    </xf>
    <xf numFmtId="0" fontId="6" fillId="18" borderId="36" xfId="0" applyFont="1" applyFill="1" applyBorder="1" applyAlignment="1">
      <alignment horizontal="center" vertical="center" shrinkToFit="1"/>
    </xf>
    <xf numFmtId="0" fontId="6" fillId="18" borderId="36" xfId="0" applyFont="1" applyFill="1" applyBorder="1" applyAlignment="1">
      <alignment horizontal="left" vertical="center" wrapText="1"/>
    </xf>
    <xf numFmtId="0" fontId="6" fillId="18" borderId="36" xfId="0" applyFont="1" applyFill="1" applyBorder="1" applyAlignment="1">
      <alignment horizontal="center" vertical="center" wrapText="1"/>
    </xf>
    <xf numFmtId="176" fontId="13" fillId="18" borderId="36" xfId="0" applyNumberFormat="1" applyFont="1" applyFill="1" applyBorder="1" applyAlignment="1">
      <alignment vertical="center" shrinkToFit="1"/>
    </xf>
    <xf numFmtId="193" fontId="13" fillId="18" borderId="36" xfId="0" applyNumberFormat="1" applyFont="1" applyFill="1" applyBorder="1" applyAlignment="1">
      <alignment vertical="center" shrinkToFit="1"/>
    </xf>
    <xf numFmtId="194" fontId="13" fillId="18" borderId="36" xfId="0" applyNumberFormat="1" applyFont="1" applyFill="1" applyBorder="1" applyAlignment="1">
      <alignment vertical="center" shrinkToFit="1"/>
    </xf>
    <xf numFmtId="181" fontId="13" fillId="18" borderId="36" xfId="0" applyNumberFormat="1" applyFont="1" applyFill="1" applyBorder="1" applyAlignment="1">
      <alignment vertical="center" shrinkToFit="1"/>
    </xf>
    <xf numFmtId="0" fontId="6" fillId="18" borderId="36" xfId="0" applyFont="1" applyFill="1" applyBorder="1" applyAlignment="1">
      <alignment vertical="center" wrapText="1"/>
    </xf>
    <xf numFmtId="0" fontId="6" fillId="19" borderId="36" xfId="0" applyFont="1" applyFill="1" applyBorder="1" applyAlignment="1">
      <alignment horizontal="center" vertical="center" shrinkToFit="1"/>
    </xf>
    <xf numFmtId="0" fontId="6" fillId="19" borderId="36" xfId="0" applyFont="1" applyFill="1" applyBorder="1" applyAlignment="1">
      <alignment horizontal="left" vertical="center" wrapText="1"/>
    </xf>
    <xf numFmtId="0" fontId="6" fillId="19" borderId="36" xfId="0" applyFont="1" applyFill="1" applyBorder="1" applyAlignment="1">
      <alignment horizontal="center" vertical="center" wrapText="1"/>
    </xf>
    <xf numFmtId="176" fontId="13" fillId="19" borderId="36" xfId="0" applyNumberFormat="1" applyFont="1" applyFill="1" applyBorder="1" applyAlignment="1">
      <alignment vertical="center" shrinkToFit="1"/>
    </xf>
    <xf numFmtId="193" fontId="13" fillId="19" borderId="36" xfId="0" applyNumberFormat="1" applyFont="1" applyFill="1" applyBorder="1" applyAlignment="1">
      <alignment vertical="center" shrinkToFit="1"/>
    </xf>
    <xf numFmtId="194" fontId="13" fillId="19" borderId="36" xfId="0" applyNumberFormat="1" applyFont="1" applyFill="1" applyBorder="1" applyAlignment="1">
      <alignment vertical="center" shrinkToFit="1"/>
    </xf>
    <xf numFmtId="181" fontId="74" fillId="19" borderId="36" xfId="0" applyNumberFormat="1" applyFont="1" applyFill="1" applyBorder="1" applyAlignment="1">
      <alignment vertical="center" shrinkToFit="1"/>
    </xf>
    <xf numFmtId="0" fontId="6" fillId="19" borderId="36" xfId="0" applyFont="1" applyFill="1" applyBorder="1" applyAlignment="1">
      <alignment vertical="center" wrapText="1"/>
    </xf>
    <xf numFmtId="181" fontId="13" fillId="19" borderId="36" xfId="0" applyNumberFormat="1" applyFont="1" applyFill="1" applyBorder="1" applyAlignment="1">
      <alignment vertical="center" shrinkToFit="1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 wrapText="1"/>
    </xf>
    <xf numFmtId="176" fontId="13" fillId="0" borderId="0" xfId="0" applyNumberFormat="1" applyFont="1" applyAlignment="1">
      <alignment vertical="center" shrinkToFit="1"/>
    </xf>
    <xf numFmtId="193" fontId="13" fillId="0" borderId="0" xfId="0" applyNumberFormat="1" applyFont="1" applyAlignment="1">
      <alignment vertical="center" shrinkToFit="1"/>
    </xf>
    <xf numFmtId="182" fontId="13" fillId="0" borderId="0" xfId="0" applyNumberFormat="1" applyFont="1" applyAlignment="1">
      <alignment vertical="center" shrinkToFit="1"/>
    </xf>
    <xf numFmtId="181" fontId="13" fillId="0" borderId="0" xfId="0" applyNumberFormat="1" applyFont="1" applyAlignment="1">
      <alignment vertical="center" shrinkToFit="1"/>
    </xf>
    <xf numFmtId="0" fontId="6" fillId="17" borderId="36" xfId="0" applyFont="1" applyFill="1" applyBorder="1" applyAlignment="1">
      <alignment horizontal="center" vertical="center" shrinkToFit="1"/>
    </xf>
    <xf numFmtId="0" fontId="6" fillId="17" borderId="36" xfId="0" applyFont="1" applyFill="1" applyBorder="1" applyAlignment="1">
      <alignment horizontal="left" vertical="center" wrapText="1"/>
    </xf>
    <xf numFmtId="0" fontId="6" fillId="17" borderId="36" xfId="0" applyFont="1" applyFill="1" applyBorder="1" applyAlignment="1">
      <alignment horizontal="center" vertical="center" wrapText="1"/>
    </xf>
    <xf numFmtId="176" fontId="13" fillId="17" borderId="36" xfId="0" applyNumberFormat="1" applyFont="1" applyFill="1" applyBorder="1" applyAlignment="1">
      <alignment vertical="center" shrinkToFit="1"/>
    </xf>
    <xf numFmtId="193" fontId="13" fillId="17" borderId="36" xfId="0" applyNumberFormat="1" applyFont="1" applyFill="1" applyBorder="1" applyAlignment="1">
      <alignment vertical="center" shrinkToFit="1"/>
    </xf>
    <xf numFmtId="194" fontId="13" fillId="17" borderId="36" xfId="0" applyNumberFormat="1" applyFont="1" applyFill="1" applyBorder="1" applyAlignment="1">
      <alignment vertical="center" shrinkToFit="1"/>
    </xf>
    <xf numFmtId="181" fontId="13" fillId="17" borderId="36" xfId="0" applyNumberFormat="1" applyFont="1" applyFill="1" applyBorder="1" applyAlignment="1">
      <alignment vertical="center" shrinkToFit="1"/>
    </xf>
    <xf numFmtId="0" fontId="6" fillId="17" borderId="36" xfId="0" applyFont="1" applyFill="1" applyBorder="1" applyAlignment="1">
      <alignment vertical="center" wrapText="1"/>
    </xf>
    <xf numFmtId="181" fontId="74" fillId="17" borderId="36" xfId="0" applyNumberFormat="1" applyFont="1" applyFill="1" applyBorder="1" applyAlignment="1">
      <alignment vertical="center" shrinkToFit="1"/>
    </xf>
    <xf numFmtId="0" fontId="45" fillId="17" borderId="36" xfId="0" applyFont="1" applyFill="1" applyBorder="1" applyAlignment="1">
      <alignment vertical="center" wrapText="1"/>
    </xf>
    <xf numFmtId="0" fontId="6" fillId="6" borderId="36" xfId="0" applyFont="1" applyFill="1" applyBorder="1" applyAlignment="1">
      <alignment horizontal="center" vertical="center" shrinkToFit="1"/>
    </xf>
    <xf numFmtId="0" fontId="6" fillId="6" borderId="36" xfId="0" applyFont="1" applyFill="1" applyBorder="1" applyAlignment="1">
      <alignment horizontal="left" vertical="center" wrapText="1"/>
    </xf>
    <xf numFmtId="0" fontId="6" fillId="6" borderId="36" xfId="0" applyFont="1" applyFill="1" applyBorder="1" applyAlignment="1">
      <alignment horizontal="center" vertical="center" wrapText="1"/>
    </xf>
    <xf numFmtId="176" fontId="13" fillId="6" borderId="36" xfId="0" applyNumberFormat="1" applyFont="1" applyFill="1" applyBorder="1" applyAlignment="1">
      <alignment vertical="center" shrinkToFit="1"/>
    </xf>
    <xf numFmtId="193" fontId="13" fillId="6" borderId="36" xfId="0" applyNumberFormat="1" applyFont="1" applyFill="1" applyBorder="1" applyAlignment="1">
      <alignment vertical="center" shrinkToFit="1"/>
    </xf>
    <xf numFmtId="194" fontId="13" fillId="6" borderId="36" xfId="0" applyNumberFormat="1" applyFont="1" applyFill="1" applyBorder="1" applyAlignment="1">
      <alignment vertical="center" shrinkToFit="1"/>
    </xf>
    <xf numFmtId="181" fontId="13" fillId="6" borderId="36" xfId="0" applyNumberFormat="1" applyFont="1" applyFill="1" applyBorder="1" applyAlignment="1">
      <alignment vertical="center" shrinkToFit="1"/>
    </xf>
    <xf numFmtId="0" fontId="6" fillId="6" borderId="36" xfId="0" applyFont="1" applyFill="1" applyBorder="1" applyAlignment="1">
      <alignment vertical="center" wrapText="1"/>
    </xf>
    <xf numFmtId="181" fontId="74" fillId="6" borderId="36" xfId="0" applyNumberFormat="1" applyFont="1" applyFill="1" applyBorder="1" applyAlignment="1">
      <alignment vertical="center" shrinkToFit="1"/>
    </xf>
    <xf numFmtId="0" fontId="45" fillId="6" borderId="36" xfId="0" applyFont="1" applyFill="1" applyBorder="1" applyAlignment="1">
      <alignment vertical="center" wrapText="1"/>
    </xf>
    <xf numFmtId="0" fontId="6" fillId="10" borderId="36" xfId="0" applyFont="1" applyFill="1" applyBorder="1" applyAlignment="1">
      <alignment horizontal="center" vertical="center" shrinkToFit="1"/>
    </xf>
    <xf numFmtId="0" fontId="6" fillId="10" borderId="36" xfId="0" applyFont="1" applyFill="1" applyBorder="1" applyAlignment="1">
      <alignment horizontal="left" vertical="center" wrapText="1"/>
    </xf>
    <xf numFmtId="0" fontId="6" fillId="10" borderId="36" xfId="0" applyFont="1" applyFill="1" applyBorder="1" applyAlignment="1">
      <alignment horizontal="center" vertical="center" wrapText="1"/>
    </xf>
    <xf numFmtId="176" fontId="13" fillId="10" borderId="36" xfId="0" applyNumberFormat="1" applyFont="1" applyFill="1" applyBorder="1" applyAlignment="1">
      <alignment vertical="center" shrinkToFit="1"/>
    </xf>
    <xf numFmtId="193" fontId="13" fillId="10" borderId="36" xfId="0" applyNumberFormat="1" applyFont="1" applyFill="1" applyBorder="1" applyAlignment="1">
      <alignment vertical="center" shrinkToFit="1"/>
    </xf>
    <xf numFmtId="194" fontId="13" fillId="10" borderId="36" xfId="0" applyNumberFormat="1" applyFont="1" applyFill="1" applyBorder="1" applyAlignment="1">
      <alignment vertical="center" shrinkToFit="1"/>
    </xf>
    <xf numFmtId="181" fontId="13" fillId="10" borderId="36" xfId="0" applyNumberFormat="1" applyFont="1" applyFill="1" applyBorder="1" applyAlignment="1">
      <alignment vertical="center" shrinkToFit="1"/>
    </xf>
    <xf numFmtId="0" fontId="6" fillId="10" borderId="36" xfId="0" applyFont="1" applyFill="1" applyBorder="1" applyAlignment="1">
      <alignment vertical="center" wrapText="1"/>
    </xf>
    <xf numFmtId="176" fontId="75" fillId="10" borderId="36" xfId="0" applyNumberFormat="1" applyFont="1" applyFill="1" applyBorder="1" applyAlignment="1">
      <alignment vertical="center" shrinkToFit="1"/>
    </xf>
    <xf numFmtId="0" fontId="6" fillId="7" borderId="36" xfId="0" applyFont="1" applyFill="1" applyBorder="1" applyAlignment="1">
      <alignment horizontal="center" vertical="center" shrinkToFit="1"/>
    </xf>
    <xf numFmtId="0" fontId="6" fillId="7" borderId="36" xfId="0" applyFont="1" applyFill="1" applyBorder="1" applyAlignment="1">
      <alignment horizontal="left" vertical="center" wrapText="1"/>
    </xf>
    <xf numFmtId="0" fontId="6" fillId="7" borderId="36" xfId="0" applyFont="1" applyFill="1" applyBorder="1" applyAlignment="1">
      <alignment horizontal="center" vertical="center" wrapText="1"/>
    </xf>
    <xf numFmtId="176" fontId="13" fillId="7" borderId="36" xfId="0" applyNumberFormat="1" applyFont="1" applyFill="1" applyBorder="1" applyAlignment="1">
      <alignment vertical="center" shrinkToFit="1"/>
    </xf>
    <xf numFmtId="193" fontId="13" fillId="7" borderId="36" xfId="0" applyNumberFormat="1" applyFont="1" applyFill="1" applyBorder="1" applyAlignment="1">
      <alignment vertical="center" shrinkToFit="1"/>
    </xf>
    <xf numFmtId="194" fontId="13" fillId="7" borderId="36" xfId="0" applyNumberFormat="1" applyFont="1" applyFill="1" applyBorder="1" applyAlignment="1">
      <alignment vertical="center" shrinkToFit="1"/>
    </xf>
    <xf numFmtId="181" fontId="13" fillId="7" borderId="36" xfId="0" applyNumberFormat="1" applyFont="1" applyFill="1" applyBorder="1" applyAlignment="1">
      <alignment vertical="center" shrinkToFit="1"/>
    </xf>
    <xf numFmtId="0" fontId="6" fillId="7" borderId="36" xfId="0" applyFont="1" applyFill="1" applyBorder="1" applyAlignment="1">
      <alignment vertical="center" wrapText="1"/>
    </xf>
    <xf numFmtId="0" fontId="103" fillId="0" borderId="0" xfId="0" applyFont="1" applyAlignment="1">
      <alignment horizontal="right" vertical="center"/>
    </xf>
    <xf numFmtId="176" fontId="23" fillId="0" borderId="41" xfId="0" applyNumberFormat="1" applyFont="1" applyBorder="1" applyAlignment="1">
      <alignment horizontal="left" vertical="center" wrapText="1" shrinkToFit="1"/>
    </xf>
    <xf numFmtId="0" fontId="2" fillId="12" borderId="4" xfId="0" applyFont="1" applyFill="1" applyBorder="1" applyAlignment="1">
      <alignment horizontal="right" vertical="center" shrinkToFit="1"/>
    </xf>
    <xf numFmtId="176" fontId="24" fillId="12" borderId="4" xfId="0" applyNumberFormat="1" applyFont="1" applyFill="1" applyBorder="1" applyAlignment="1">
      <alignment horizontal="left" vertical="center" wrapText="1" shrinkToFit="1"/>
    </xf>
    <xf numFmtId="176" fontId="5" fillId="12" borderId="28" xfId="0" applyNumberFormat="1" applyFont="1" applyFill="1" applyBorder="1" applyAlignment="1">
      <alignment vertical="center" wrapText="1"/>
    </xf>
    <xf numFmtId="0" fontId="24" fillId="12" borderId="29" xfId="0" applyFont="1" applyFill="1" applyBorder="1" applyAlignment="1">
      <alignment vertical="center"/>
    </xf>
    <xf numFmtId="0" fontId="2" fillId="12" borderId="36" xfId="0" applyFont="1" applyFill="1" applyBorder="1" applyAlignment="1">
      <alignment horizontal="right" vertical="center" shrinkToFit="1"/>
    </xf>
    <xf numFmtId="0" fontId="6" fillId="12" borderId="36" xfId="0" applyFont="1" applyFill="1" applyBorder="1" applyAlignment="1">
      <alignment vertical="center" wrapText="1"/>
    </xf>
    <xf numFmtId="0" fontId="6" fillId="12" borderId="36" xfId="0" applyFont="1" applyFill="1" applyBorder="1" applyAlignment="1">
      <alignment horizontal="center" vertical="center" wrapText="1" shrinkToFit="1"/>
    </xf>
    <xf numFmtId="176" fontId="5" fillId="12" borderId="36" xfId="0" applyNumberFormat="1" applyFont="1" applyFill="1" applyBorder="1" applyAlignment="1">
      <alignment horizontal="right" vertical="center" shrinkToFit="1"/>
    </xf>
    <xf numFmtId="176" fontId="23" fillId="12" borderId="36" xfId="0" applyNumberFormat="1" applyFont="1" applyFill="1" applyBorder="1" applyAlignment="1">
      <alignment horizontal="left" vertical="center" wrapText="1" shrinkToFit="1"/>
    </xf>
    <xf numFmtId="176" fontId="5" fillId="12" borderId="37" xfId="0" applyNumberFormat="1" applyFont="1" applyFill="1" applyBorder="1" applyAlignment="1">
      <alignment horizontal="right" vertical="center" shrinkToFit="1"/>
    </xf>
    <xf numFmtId="0" fontId="24" fillId="12" borderId="38" xfId="0" applyFont="1" applyFill="1" applyBorder="1" applyAlignment="1">
      <alignment vertical="center"/>
    </xf>
    <xf numFmtId="176" fontId="23" fillId="12" borderId="36" xfId="0" applyNumberFormat="1" applyFont="1" applyFill="1" applyBorder="1" applyAlignment="1">
      <alignment horizontal="right" vertical="center" shrinkToFit="1"/>
    </xf>
    <xf numFmtId="0" fontId="44" fillId="12" borderId="4" xfId="0" applyFont="1" applyFill="1" applyBorder="1" applyAlignment="1">
      <alignment vertical="center" wrapText="1"/>
    </xf>
    <xf numFmtId="0" fontId="45" fillId="12" borderId="4" xfId="0" applyFont="1" applyFill="1" applyBorder="1" applyAlignment="1">
      <alignment horizontal="center" vertical="center" wrapText="1" shrinkToFit="1"/>
    </xf>
    <xf numFmtId="176" fontId="23" fillId="12" borderId="4" xfId="0" applyNumberFormat="1" applyFont="1" applyFill="1" applyBorder="1" applyAlignment="1">
      <alignment horizontal="right" vertical="center" shrinkToFit="1"/>
    </xf>
    <xf numFmtId="176" fontId="23" fillId="12" borderId="4" xfId="0" applyNumberFormat="1" applyFont="1" applyFill="1" applyBorder="1" applyAlignment="1">
      <alignment horizontal="left" vertical="center" wrapText="1" shrinkToFit="1"/>
    </xf>
    <xf numFmtId="49" fontId="0" fillId="0" borderId="9" xfId="0" applyNumberFormat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195" fontId="0" fillId="17" borderId="0" xfId="0" quotePrefix="1" applyNumberFormat="1" applyFill="1" applyAlignment="1">
      <alignment horizontal="center" vertical="center"/>
    </xf>
    <xf numFmtId="0" fontId="0" fillId="6" borderId="0" xfId="0" quotePrefix="1" applyFill="1" applyAlignment="1">
      <alignment horizontal="center" vertical="center"/>
    </xf>
    <xf numFmtId="0" fontId="0" fillId="17" borderId="9" xfId="0" applyFill="1" applyBorder="1" applyAlignment="1">
      <alignment horizontal="center" vertical="center"/>
    </xf>
    <xf numFmtId="0" fontId="0" fillId="13" borderId="0" xfId="0" quotePrefix="1" applyFill="1" applyAlignment="1">
      <alignment horizontal="center" vertical="center"/>
    </xf>
    <xf numFmtId="0" fontId="0" fillId="16" borderId="0" xfId="0" quotePrefix="1" applyFill="1" applyAlignment="1">
      <alignment horizontal="center" vertical="center"/>
    </xf>
    <xf numFmtId="0" fontId="0" fillId="16" borderId="9" xfId="0" applyFill="1" applyBorder="1" applyAlignment="1">
      <alignment horizontal="center" vertical="center"/>
    </xf>
    <xf numFmtId="0" fontId="0" fillId="16" borderId="0" xfId="0" applyFill="1" applyAlignment="1">
      <alignment vertical="center"/>
    </xf>
    <xf numFmtId="0" fontId="0" fillId="12" borderId="0" xfId="0" quotePrefix="1" applyFill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20" borderId="0" xfId="0" applyFill="1" applyAlignment="1">
      <alignment vertical="center"/>
    </xf>
    <xf numFmtId="0" fontId="0" fillId="2" borderId="0" xfId="0" quotePrefix="1" applyFill="1" applyAlignment="1">
      <alignment horizontal="center" vertical="center"/>
    </xf>
    <xf numFmtId="0" fontId="0" fillId="20" borderId="0" xfId="0" quotePrefix="1" applyFill="1" applyAlignment="1">
      <alignment horizontal="center" vertical="center"/>
    </xf>
    <xf numFmtId="0" fontId="0" fillId="21" borderId="9" xfId="0" applyFill="1" applyBorder="1" applyAlignment="1">
      <alignment horizontal="center" vertical="center"/>
    </xf>
    <xf numFmtId="0" fontId="0" fillId="21" borderId="0" xfId="0" applyFill="1" applyAlignment="1">
      <alignment vertical="center"/>
    </xf>
    <xf numFmtId="0" fontId="0" fillId="21" borderId="0" xfId="0" quotePrefix="1" applyFill="1" applyAlignment="1">
      <alignment horizontal="center" vertical="center"/>
    </xf>
    <xf numFmtId="0" fontId="0" fillId="22" borderId="0" xfId="0" quotePrefix="1" applyFill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0" fillId="12" borderId="9" xfId="0" applyFill="1" applyBorder="1" applyAlignment="1">
      <alignment horizontal="center" vertical="center"/>
    </xf>
    <xf numFmtId="0" fontId="0" fillId="12" borderId="0" xfId="0" applyFill="1" applyAlignment="1">
      <alignment vertical="center"/>
    </xf>
    <xf numFmtId="0" fontId="0" fillId="2" borderId="9" xfId="0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104" fillId="0" borderId="9" xfId="0" applyFont="1" applyBorder="1" applyAlignment="1">
      <alignment horizontal="center" vertical="center"/>
    </xf>
    <xf numFmtId="0" fontId="104" fillId="13" borderId="9" xfId="0" applyFont="1" applyFill="1" applyBorder="1" applyAlignment="1">
      <alignment horizontal="center" vertical="center"/>
    </xf>
    <xf numFmtId="49" fontId="104" fillId="0" borderId="9" xfId="0" applyNumberFormat="1" applyFont="1" applyBorder="1" applyAlignment="1">
      <alignment horizontal="center" vertical="center"/>
    </xf>
    <xf numFmtId="0" fontId="104" fillId="16" borderId="9" xfId="0" applyFont="1" applyFill="1" applyBorder="1" applyAlignment="1">
      <alignment horizontal="center" vertical="center"/>
    </xf>
    <xf numFmtId="0" fontId="104" fillId="17" borderId="9" xfId="0" applyFont="1" applyFill="1" applyBorder="1" applyAlignment="1">
      <alignment horizontal="center" vertical="center"/>
    </xf>
    <xf numFmtId="0" fontId="104" fillId="20" borderId="9" xfId="0" applyFont="1" applyFill="1" applyBorder="1" applyAlignment="1">
      <alignment horizontal="center" vertical="center"/>
    </xf>
    <xf numFmtId="0" fontId="104" fillId="22" borderId="9" xfId="0" applyFont="1" applyFill="1" applyBorder="1" applyAlignment="1">
      <alignment horizontal="center" vertical="center"/>
    </xf>
    <xf numFmtId="0" fontId="0" fillId="22" borderId="0" xfId="0" applyFill="1" applyAlignment="1">
      <alignment vertical="center"/>
    </xf>
    <xf numFmtId="0" fontId="104" fillId="0" borderId="9" xfId="0" applyFont="1" applyBorder="1" applyAlignment="1">
      <alignment vertical="center"/>
    </xf>
    <xf numFmtId="196" fontId="104" fillId="0" borderId="9" xfId="0" applyNumberFormat="1" applyFont="1" applyBorder="1" applyAlignment="1">
      <alignment horizontal="center" vertical="center"/>
    </xf>
    <xf numFmtId="0" fontId="105" fillId="0" borderId="9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12" borderId="9" xfId="0" applyFont="1" applyFill="1" applyBorder="1" applyAlignment="1">
      <alignment horizontal="center" vertical="center"/>
    </xf>
    <xf numFmtId="0" fontId="30" fillId="0" borderId="9" xfId="0" applyFont="1" applyBorder="1" applyAlignment="1">
      <alignment vertical="center"/>
    </xf>
    <xf numFmtId="0" fontId="105" fillId="0" borderId="9" xfId="0" applyFont="1" applyBorder="1" applyAlignment="1">
      <alignment vertical="center"/>
    </xf>
    <xf numFmtId="0" fontId="0" fillId="2" borderId="7" xfId="0" applyFill="1" applyBorder="1" applyAlignment="1">
      <alignment horizontal="right" vertical="center"/>
    </xf>
    <xf numFmtId="0" fontId="30" fillId="17" borderId="9" xfId="0" applyFont="1" applyFill="1" applyBorder="1" applyAlignment="1">
      <alignment horizontal="center" vertical="center"/>
    </xf>
    <xf numFmtId="0" fontId="30" fillId="16" borderId="9" xfId="0" applyFont="1" applyFill="1" applyBorder="1" applyAlignment="1">
      <alignment horizontal="center" vertical="center"/>
    </xf>
    <xf numFmtId="0" fontId="30" fillId="6" borderId="9" xfId="0" applyFont="1" applyFill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49" fontId="0" fillId="3" borderId="9" xfId="0" applyNumberFormat="1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106" fillId="0" borderId="0" xfId="0" applyFont="1" applyAlignment="1">
      <alignment vertical="center"/>
    </xf>
    <xf numFmtId="0" fontId="106" fillId="0" borderId="9" xfId="0" applyFont="1" applyBorder="1" applyAlignment="1">
      <alignment horizontal="center" vertical="center"/>
    </xf>
    <xf numFmtId="0" fontId="102" fillId="0" borderId="9" xfId="0" applyFont="1" applyBorder="1" applyAlignment="1">
      <alignment horizontal="center" vertical="center"/>
    </xf>
    <xf numFmtId="0" fontId="104" fillId="0" borderId="60" xfId="0" applyFont="1" applyBorder="1" applyAlignment="1">
      <alignment horizontal="center" vertical="center"/>
    </xf>
    <xf numFmtId="0" fontId="0" fillId="18" borderId="9" xfId="0" applyFill="1" applyBorder="1" applyAlignment="1">
      <alignment horizontal="center" vertical="center"/>
    </xf>
    <xf numFmtId="0" fontId="0" fillId="23" borderId="0" xfId="0" applyFill="1" applyAlignment="1">
      <alignment vertical="center"/>
    </xf>
    <xf numFmtId="0" fontId="0" fillId="23" borderId="9" xfId="0" applyFill="1" applyBorder="1" applyAlignment="1">
      <alignment horizontal="center" vertical="center"/>
    </xf>
    <xf numFmtId="0" fontId="26" fillId="16" borderId="4" xfId="0" applyFont="1" applyFill="1" applyBorder="1" applyAlignment="1">
      <alignment vertical="center" wrapText="1"/>
    </xf>
    <xf numFmtId="0" fontId="6" fillId="16" borderId="4" xfId="0" applyFont="1" applyFill="1" applyBorder="1" applyAlignment="1">
      <alignment horizontal="center" vertical="center" wrapText="1" shrinkToFit="1"/>
    </xf>
    <xf numFmtId="176" fontId="5" fillId="16" borderId="4" xfId="0" applyNumberFormat="1" applyFont="1" applyFill="1" applyBorder="1" applyAlignment="1">
      <alignment horizontal="right" vertical="center" shrinkToFit="1"/>
    </xf>
    <xf numFmtId="0" fontId="2" fillId="16" borderId="4" xfId="0" applyFont="1" applyFill="1" applyBorder="1" applyAlignment="1">
      <alignment vertical="center" wrapText="1"/>
    </xf>
    <xf numFmtId="0" fontId="6" fillId="16" borderId="4" xfId="0" applyFont="1" applyFill="1" applyBorder="1" applyAlignment="1">
      <alignment vertical="center" wrapText="1"/>
    </xf>
    <xf numFmtId="0" fontId="102" fillId="0" borderId="0" xfId="0" applyFont="1" applyAlignment="1">
      <alignment vertical="center" wrapText="1"/>
    </xf>
    <xf numFmtId="176" fontId="94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41" xfId="0" applyFont="1" applyBorder="1" applyAlignment="1">
      <alignment vertical="center"/>
    </xf>
    <xf numFmtId="176" fontId="13" fillId="11" borderId="36" xfId="0" applyNumberFormat="1" applyFont="1" applyFill="1" applyBorder="1" applyAlignment="1">
      <alignment horizontal="right" vertical="center" shrinkToFit="1"/>
    </xf>
    <xf numFmtId="0" fontId="66" fillId="0" borderId="53" xfId="0" applyFont="1" applyBorder="1" applyAlignment="1">
      <alignment horizontal="left" vertical="center" wrapText="1"/>
    </xf>
    <xf numFmtId="0" fontId="47" fillId="0" borderId="0" xfId="0" applyFont="1" applyAlignment="1">
      <alignment vertical="center" wrapText="1"/>
    </xf>
    <xf numFmtId="0" fontId="107" fillId="0" borderId="52" xfId="0" applyFont="1" applyBorder="1" applyAlignment="1">
      <alignment vertical="center" wrapText="1"/>
    </xf>
    <xf numFmtId="0" fontId="107" fillId="0" borderId="53" xfId="0" applyFont="1" applyBorder="1" applyAlignment="1">
      <alignment vertical="center" wrapText="1"/>
    </xf>
    <xf numFmtId="0" fontId="99" fillId="0" borderId="0" xfId="0" applyFont="1" applyAlignment="1">
      <alignment vertical="center" wrapText="1"/>
    </xf>
    <xf numFmtId="0" fontId="45" fillId="0" borderId="36" xfId="0" quotePrefix="1" applyFont="1" applyBorder="1" applyAlignment="1">
      <alignment vertical="center" wrapText="1"/>
    </xf>
    <xf numFmtId="0" fontId="108" fillId="0" borderId="0" xfId="0" applyFont="1" applyAlignment="1">
      <alignment vertical="center" wrapText="1"/>
    </xf>
    <xf numFmtId="176" fontId="66" fillId="0" borderId="53" xfId="0" applyNumberFormat="1" applyFont="1" applyBorder="1" applyAlignment="1">
      <alignment vertical="center" wrapText="1"/>
    </xf>
    <xf numFmtId="182" fontId="13" fillId="11" borderId="36" xfId="0" applyNumberFormat="1" applyFont="1" applyFill="1" applyBorder="1" applyAlignment="1">
      <alignment vertical="center" shrinkToFit="1"/>
    </xf>
    <xf numFmtId="176" fontId="23" fillId="0" borderId="41" xfId="0" quotePrefix="1" applyNumberFormat="1" applyFont="1" applyBorder="1" applyAlignment="1">
      <alignment horizontal="left" vertical="center" wrapText="1" shrinkToFit="1"/>
    </xf>
    <xf numFmtId="197" fontId="91" fillId="0" borderId="0" xfId="0" applyNumberFormat="1" applyFont="1" applyAlignment="1">
      <alignment horizontal="right" vertical="center"/>
    </xf>
    <xf numFmtId="176" fontId="23" fillId="0" borderId="4" xfId="0" quotePrefix="1" applyNumberFormat="1" applyFont="1" applyBorder="1" applyAlignment="1">
      <alignment horizontal="left" vertical="center" shrinkToFit="1"/>
    </xf>
    <xf numFmtId="0" fontId="91" fillId="10" borderId="0" xfId="0" applyFont="1" applyFill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 wrapText="1"/>
    </xf>
    <xf numFmtId="176" fontId="23" fillId="16" borderId="4" xfId="0" applyNumberFormat="1" applyFont="1" applyFill="1" applyBorder="1" applyAlignment="1">
      <alignment horizontal="left" vertical="center" wrapText="1" shrinkToFit="1"/>
    </xf>
    <xf numFmtId="2" fontId="94" fillId="0" borderId="0" xfId="0" applyNumberFormat="1" applyFont="1" applyAlignment="1">
      <alignment vertical="center"/>
    </xf>
    <xf numFmtId="0" fontId="45" fillId="11" borderId="41" xfId="0" applyFont="1" applyFill="1" applyBorder="1" applyAlignment="1">
      <alignment vertical="center" wrapText="1"/>
    </xf>
    <xf numFmtId="0" fontId="109" fillId="0" borderId="52" xfId="0" applyFont="1" applyBorder="1" applyAlignment="1">
      <alignment vertical="center" wrapText="1"/>
    </xf>
    <xf numFmtId="0" fontId="105" fillId="0" borderId="53" xfId="0" applyFont="1" applyBorder="1" applyAlignment="1">
      <alignment vertical="center" wrapText="1"/>
    </xf>
    <xf numFmtId="0" fontId="73" fillId="0" borderId="0" xfId="0" applyFont="1" applyAlignment="1">
      <alignment vertical="center" wrapText="1"/>
    </xf>
    <xf numFmtId="0" fontId="40" fillId="0" borderId="9" xfId="0" applyFont="1" applyBorder="1" applyAlignment="1">
      <alignment horizontal="center" vertical="center"/>
    </xf>
    <xf numFmtId="0" fontId="94" fillId="0" borderId="0" xfId="0" applyFont="1" applyAlignment="1">
      <alignment vertical="center" wrapText="1"/>
    </xf>
    <xf numFmtId="182" fontId="66" fillId="0" borderId="0" xfId="0" applyNumberFormat="1" applyFont="1" applyAlignment="1">
      <alignment vertical="center" wrapText="1"/>
    </xf>
    <xf numFmtId="0" fontId="47" fillId="0" borderId="0" xfId="0" applyFont="1"/>
    <xf numFmtId="0" fontId="20" fillId="0" borderId="0" xfId="0" applyFont="1" applyAlignment="1">
      <alignment wrapText="1"/>
    </xf>
    <xf numFmtId="0" fontId="20" fillId="0" borderId="0" xfId="0" applyFont="1" applyAlignment="1">
      <alignment horizontal="center" vertical="center" wrapText="1"/>
    </xf>
    <xf numFmtId="0" fontId="99" fillId="0" borderId="0" xfId="0" applyFont="1" applyAlignment="1">
      <alignment horizontal="center" vertical="center"/>
    </xf>
    <xf numFmtId="0" fontId="103" fillId="0" borderId="0" xfId="0" applyFont="1"/>
    <xf numFmtId="0" fontId="102" fillId="0" borderId="0" xfId="0" applyFont="1"/>
    <xf numFmtId="0" fontId="110" fillId="0" borderId="0" xfId="0" applyFont="1"/>
    <xf numFmtId="0" fontId="20" fillId="0" borderId="0" xfId="0" applyFont="1" applyAlignment="1">
      <alignment horizontal="left" vertical="center"/>
    </xf>
    <xf numFmtId="176" fontId="23" fillId="10" borderId="41" xfId="0" applyNumberFormat="1" applyFont="1" applyFill="1" applyBorder="1" applyAlignment="1">
      <alignment horizontal="left" vertical="center" wrapText="1" shrinkToFit="1"/>
    </xf>
    <xf numFmtId="176" fontId="23" fillId="10" borderId="41" xfId="0" applyNumberFormat="1" applyFont="1" applyFill="1" applyBorder="1" applyAlignment="1">
      <alignment horizontal="right" vertical="center" shrinkToFit="1"/>
    </xf>
    <xf numFmtId="176" fontId="104" fillId="0" borderId="52" xfId="0" applyNumberFormat="1" applyFont="1" applyBorder="1" applyAlignment="1">
      <alignment vertical="center" wrapText="1"/>
    </xf>
    <xf numFmtId="0" fontId="104" fillId="0" borderId="52" xfId="0" applyFont="1" applyBorder="1" applyAlignment="1">
      <alignment vertical="center" wrapText="1"/>
    </xf>
    <xf numFmtId="176" fontId="23" fillId="8" borderId="4" xfId="0" applyNumberFormat="1" applyFont="1" applyFill="1" applyBorder="1" applyAlignment="1">
      <alignment horizontal="right" vertical="center" shrinkToFit="1"/>
    </xf>
    <xf numFmtId="176" fontId="23" fillId="8" borderId="28" xfId="0" applyNumberFormat="1" applyFont="1" applyFill="1" applyBorder="1" applyAlignment="1">
      <alignment vertical="center" wrapText="1"/>
    </xf>
    <xf numFmtId="176" fontId="23" fillId="10" borderId="36" xfId="0" applyNumberFormat="1" applyFont="1" applyFill="1" applyBorder="1" applyAlignment="1">
      <alignment horizontal="left" vertical="center" wrapText="1" shrinkToFit="1"/>
    </xf>
    <xf numFmtId="176" fontId="23" fillId="10" borderId="36" xfId="0" applyNumberFormat="1" applyFont="1" applyFill="1" applyBorder="1" applyAlignment="1">
      <alignment horizontal="right" vertical="center" shrinkToFit="1"/>
    </xf>
    <xf numFmtId="43" fontId="4" fillId="0" borderId="0" xfId="2" applyFont="1" applyFill="1" applyAlignment="1">
      <alignment horizontal="right" vertical="center"/>
    </xf>
    <xf numFmtId="176" fontId="19" fillId="0" borderId="39" xfId="0" applyNumberFormat="1" applyFont="1" applyBorder="1" applyAlignment="1">
      <alignment horizontal="left" vertical="center" wrapText="1" shrinkToFit="1"/>
    </xf>
    <xf numFmtId="176" fontId="19" fillId="0" borderId="39" xfId="0" applyNumberFormat="1" applyFont="1" applyBorder="1" applyAlignment="1">
      <alignment horizontal="right" vertical="center" shrinkToFit="1"/>
    </xf>
    <xf numFmtId="0" fontId="48" fillId="0" borderId="63" xfId="0" applyFont="1" applyBorder="1" applyAlignment="1">
      <alignment horizontal="right" vertical="center" shrinkToFit="1"/>
    </xf>
    <xf numFmtId="0" fontId="48" fillId="0" borderId="63" xfId="0" applyFont="1" applyBorder="1" applyAlignment="1">
      <alignment vertical="center" wrapText="1"/>
    </xf>
    <xf numFmtId="0" fontId="49" fillId="0" borderId="63" xfId="0" applyFont="1" applyBorder="1" applyAlignment="1">
      <alignment horizontal="center" vertical="center" wrapText="1" shrinkToFit="1"/>
    </xf>
    <xf numFmtId="176" fontId="19" fillId="0" borderId="63" xfId="0" applyNumberFormat="1" applyFont="1" applyBorder="1" applyAlignment="1">
      <alignment horizontal="right" vertical="center" shrinkToFit="1"/>
    </xf>
    <xf numFmtId="176" fontId="31" fillId="0" borderId="43" xfId="0" applyNumberFormat="1" applyFont="1" applyBorder="1" applyAlignment="1">
      <alignment horizontal="left" vertical="center" wrapText="1" shrinkToFit="1"/>
    </xf>
    <xf numFmtId="176" fontId="4" fillId="0" borderId="39" xfId="0" applyNumberFormat="1" applyFont="1" applyBorder="1" applyAlignment="1">
      <alignment horizontal="left" vertical="center" wrapText="1" shrinkToFit="1"/>
    </xf>
    <xf numFmtId="0" fontId="48" fillId="0" borderId="36" xfId="0" applyFont="1" applyBorder="1" applyAlignment="1">
      <alignment horizontal="right" vertical="center" shrinkToFit="1"/>
    </xf>
    <xf numFmtId="0" fontId="48" fillId="0" borderId="36" xfId="0" applyFont="1" applyBorder="1" applyAlignment="1">
      <alignment vertical="center" wrapText="1"/>
    </xf>
    <xf numFmtId="0" fontId="49" fillId="0" borderId="36" xfId="0" applyFont="1" applyBorder="1" applyAlignment="1">
      <alignment horizontal="center" vertical="center" wrapText="1" shrinkToFit="1"/>
    </xf>
    <xf numFmtId="176" fontId="19" fillId="0" borderId="36" xfId="0" applyNumberFormat="1" applyFont="1" applyBorder="1" applyAlignment="1">
      <alignment horizontal="right" vertical="center" shrinkToFit="1"/>
    </xf>
    <xf numFmtId="43" fontId="24" fillId="0" borderId="0" xfId="0" applyNumberFormat="1" applyFont="1" applyAlignment="1">
      <alignment horizontal="right" vertical="center"/>
    </xf>
    <xf numFmtId="43" fontId="7" fillId="0" borderId="0" xfId="0" applyNumberFormat="1" applyFont="1" applyAlignment="1">
      <alignment horizontal="left" vertical="center"/>
    </xf>
    <xf numFmtId="176" fontId="5" fillId="0" borderId="36" xfId="0" quotePrefix="1" applyNumberFormat="1" applyFont="1" applyBorder="1" applyAlignment="1">
      <alignment horizontal="left" vertical="center" wrapText="1" shrinkToFit="1"/>
    </xf>
    <xf numFmtId="176" fontId="31" fillId="0" borderId="4" xfId="0" quotePrefix="1" applyNumberFormat="1" applyFont="1" applyBorder="1" applyAlignment="1">
      <alignment horizontal="left" vertical="center" wrapText="1" shrinkToFit="1"/>
    </xf>
    <xf numFmtId="0" fontId="35" fillId="21" borderId="0" xfId="0" applyFont="1" applyFill="1"/>
    <xf numFmtId="0" fontId="36" fillId="21" borderId="0" xfId="0" applyFont="1" applyFill="1"/>
    <xf numFmtId="0" fontId="37" fillId="21" borderId="0" xfId="0" applyFont="1" applyFill="1"/>
    <xf numFmtId="0" fontId="0" fillId="21" borderId="0" xfId="0" applyFill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20" fillId="5" borderId="0" xfId="0" applyFont="1" applyFill="1" applyAlignment="1">
      <alignment vertical="center"/>
    </xf>
    <xf numFmtId="0" fontId="0" fillId="5" borderId="0" xfId="0" applyFill="1" applyAlignment="1">
      <alignment horizontal="center" vertical="center"/>
    </xf>
    <xf numFmtId="0" fontId="60" fillId="6" borderId="64" xfId="0" applyFont="1" applyFill="1" applyBorder="1" applyAlignment="1">
      <alignment horizontal="center" vertical="center" shrinkToFit="1"/>
    </xf>
    <xf numFmtId="0" fontId="60" fillId="6" borderId="64" xfId="0" applyFont="1" applyFill="1" applyBorder="1" applyAlignment="1">
      <alignment horizontal="left" vertical="center" wrapText="1"/>
    </xf>
    <xf numFmtId="176" fontId="75" fillId="6" borderId="64" xfId="0" applyNumberFormat="1" applyFont="1" applyFill="1" applyBorder="1" applyAlignment="1">
      <alignment vertical="center" shrinkToFit="1"/>
    </xf>
    <xf numFmtId="0" fontId="60" fillId="6" borderId="64" xfId="0" applyFont="1" applyFill="1" applyBorder="1" applyAlignment="1">
      <alignment vertical="center" wrapText="1"/>
    </xf>
    <xf numFmtId="14" fontId="4" fillId="0" borderId="0" xfId="2" applyNumberFormat="1" applyFont="1" applyFill="1" applyAlignment="1">
      <alignment vertical="center"/>
    </xf>
    <xf numFmtId="176" fontId="75" fillId="6" borderId="9" xfId="0" applyNumberFormat="1" applyFont="1" applyFill="1" applyBorder="1" applyAlignment="1">
      <alignment vertical="center" shrinkToFit="1"/>
    </xf>
    <xf numFmtId="0" fontId="60" fillId="6" borderId="64" xfId="0" applyFont="1" applyFill="1" applyBorder="1" applyAlignment="1">
      <alignment horizontal="center" vertical="center" wrapText="1"/>
    </xf>
    <xf numFmtId="176" fontId="23" fillId="0" borderId="0" xfId="0" applyNumberFormat="1" applyFont="1" applyAlignment="1">
      <alignment horizontal="left" vertical="center" wrapText="1" shrinkToFit="1"/>
    </xf>
    <xf numFmtId="0" fontId="0" fillId="0" borderId="19" xfId="0" applyBorder="1" applyAlignment="1">
      <alignment vertical="center" wrapText="1"/>
    </xf>
    <xf numFmtId="0" fontId="0" fillId="0" borderId="19" xfId="0" applyBorder="1" applyAlignment="1">
      <alignment horizontal="center" vertical="center" wrapText="1"/>
    </xf>
    <xf numFmtId="0" fontId="0" fillId="6" borderId="9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/>
    </xf>
    <xf numFmtId="0" fontId="102" fillId="0" borderId="9" xfId="0" applyFont="1" applyBorder="1" applyAlignment="1">
      <alignment horizontal="center" vertical="center" wrapText="1"/>
    </xf>
    <xf numFmtId="0" fontId="0" fillId="24" borderId="0" xfId="0" applyFill="1" applyAlignment="1">
      <alignment vertical="center"/>
    </xf>
    <xf numFmtId="0" fontId="0" fillId="0" borderId="0" xfId="0" quotePrefix="1" applyAlignment="1">
      <alignment horizontal="center" vertical="center"/>
    </xf>
    <xf numFmtId="9" fontId="0" fillId="0" borderId="0" xfId="0" applyNumberFormat="1" applyAlignment="1">
      <alignment vertical="center"/>
    </xf>
    <xf numFmtId="43" fontId="23" fillId="0" borderId="0" xfId="2" applyFont="1" applyFill="1" applyAlignment="1">
      <alignment vertical="center"/>
    </xf>
    <xf numFmtId="0" fontId="60" fillId="0" borderId="64" xfId="0" applyFont="1" applyBorder="1" applyAlignment="1">
      <alignment horizontal="center" vertical="center" shrinkToFit="1"/>
    </xf>
    <xf numFmtId="0" fontId="60" fillId="0" borderId="64" xfId="0" applyFont="1" applyBorder="1" applyAlignment="1">
      <alignment horizontal="left" vertical="center" wrapText="1"/>
    </xf>
    <xf numFmtId="0" fontId="60" fillId="0" borderId="64" xfId="0" applyFont="1" applyBorder="1" applyAlignment="1">
      <alignment horizontal="center" vertical="center" wrapText="1"/>
    </xf>
    <xf numFmtId="176" fontId="75" fillId="0" borderId="64" xfId="0" applyNumberFormat="1" applyFont="1" applyBorder="1" applyAlignment="1">
      <alignment vertical="center" shrinkToFit="1"/>
    </xf>
    <xf numFmtId="0" fontId="60" fillId="0" borderId="64" xfId="0" applyFont="1" applyBorder="1" applyAlignment="1">
      <alignment vertical="center" wrapText="1"/>
    </xf>
    <xf numFmtId="0" fontId="112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0" fillId="0" borderId="0" xfId="0" applyAlignment="1" applyProtection="1">
      <alignment vertical="center"/>
      <protection locked="0"/>
    </xf>
    <xf numFmtId="0" fontId="59" fillId="0" borderId="0" xfId="0" applyFont="1" applyAlignment="1" applyProtection="1">
      <alignment vertical="center"/>
      <protection locked="0"/>
    </xf>
    <xf numFmtId="0" fontId="118" fillId="0" borderId="0" xfId="0" applyFont="1" applyAlignment="1">
      <alignment vertical="center"/>
    </xf>
    <xf numFmtId="0" fontId="59" fillId="0" borderId="65" xfId="0" applyFont="1" applyBorder="1" applyAlignment="1">
      <alignment vertical="center"/>
    </xf>
    <xf numFmtId="0" fontId="59" fillId="0" borderId="66" xfId="0" applyFont="1" applyBorder="1" applyAlignment="1">
      <alignment vertical="center"/>
    </xf>
    <xf numFmtId="0" fontId="119" fillId="0" borderId="0" xfId="0" applyFont="1" applyAlignment="1">
      <alignment vertical="center"/>
    </xf>
    <xf numFmtId="0" fontId="120" fillId="0" borderId="0" xfId="0" applyFont="1" applyAlignment="1">
      <alignment vertical="center"/>
    </xf>
    <xf numFmtId="0" fontId="40" fillId="0" borderId="0" xfId="0" applyFont="1" applyAlignment="1">
      <alignment vertical="center" wrapText="1"/>
    </xf>
    <xf numFmtId="0" fontId="99" fillId="0" borderId="0" xfId="0" applyFont="1" applyAlignment="1">
      <alignment vertical="center"/>
    </xf>
    <xf numFmtId="0" fontId="59" fillId="0" borderId="0" xfId="0" applyFont="1" applyAlignment="1">
      <alignment vertical="center"/>
    </xf>
    <xf numFmtId="0" fontId="0" fillId="0" borderId="0" xfId="0" quotePrefix="1" applyAlignment="1">
      <alignment vertical="center" wrapText="1"/>
    </xf>
    <xf numFmtId="0" fontId="0" fillId="0" borderId="0" xfId="0" quotePrefix="1" applyAlignment="1">
      <alignment vertical="center"/>
    </xf>
    <xf numFmtId="0" fontId="23" fillId="0" borderId="0" xfId="0" applyFont="1" applyAlignment="1">
      <alignment vertical="center"/>
    </xf>
    <xf numFmtId="0" fontId="60" fillId="17" borderId="64" xfId="0" applyFont="1" applyFill="1" applyBorder="1" applyAlignment="1">
      <alignment horizontal="center" vertical="center" shrinkToFit="1"/>
    </xf>
    <xf numFmtId="0" fontId="60" fillId="17" borderId="64" xfId="0" applyFont="1" applyFill="1" applyBorder="1" applyAlignment="1">
      <alignment horizontal="left" vertical="center" wrapText="1"/>
    </xf>
    <xf numFmtId="0" fontId="60" fillId="17" borderId="64" xfId="0" applyFont="1" applyFill="1" applyBorder="1" applyAlignment="1">
      <alignment horizontal="center" vertical="center" wrapText="1"/>
    </xf>
    <xf numFmtId="176" fontId="75" fillId="17" borderId="64" xfId="0" applyNumberFormat="1" applyFont="1" applyFill="1" applyBorder="1" applyAlignment="1">
      <alignment vertical="center" shrinkToFit="1"/>
    </xf>
    <xf numFmtId="0" fontId="60" fillId="17" borderId="64" xfId="0" applyFont="1" applyFill="1" applyBorder="1" applyAlignment="1">
      <alignment vertical="center" wrapText="1"/>
    </xf>
    <xf numFmtId="0" fontId="131" fillId="0" borderId="0" xfId="0" applyFont="1" applyAlignment="1">
      <alignment vertical="center"/>
    </xf>
    <xf numFmtId="0" fontId="60" fillId="17" borderId="9" xfId="0" applyFont="1" applyFill="1" applyBorder="1" applyAlignment="1">
      <alignment horizontal="center" vertical="center" shrinkToFit="1"/>
    </xf>
    <xf numFmtId="0" fontId="60" fillId="17" borderId="9" xfId="0" applyFont="1" applyFill="1" applyBorder="1" applyAlignment="1">
      <alignment horizontal="left" vertical="center" wrapText="1"/>
    </xf>
    <xf numFmtId="0" fontId="60" fillId="17" borderId="9" xfId="0" applyFont="1" applyFill="1" applyBorder="1" applyAlignment="1">
      <alignment horizontal="center" vertical="center" wrapText="1"/>
    </xf>
    <xf numFmtId="176" fontId="75" fillId="17" borderId="9" xfId="0" applyNumberFormat="1" applyFont="1" applyFill="1" applyBorder="1" applyAlignment="1">
      <alignment vertical="center" shrinkToFit="1"/>
    </xf>
    <xf numFmtId="0" fontId="60" fillId="17" borderId="9" xfId="0" applyFont="1" applyFill="1" applyBorder="1" applyAlignment="1">
      <alignment vertical="center" wrapText="1"/>
    </xf>
    <xf numFmtId="176" fontId="119" fillId="0" borderId="0" xfId="0" applyNumberFormat="1" applyFont="1" applyAlignment="1">
      <alignment vertical="center"/>
    </xf>
    <xf numFmtId="0" fontId="45" fillId="0" borderId="0" xfId="0" applyFont="1" applyAlignment="1">
      <alignment vertical="center" wrapText="1"/>
    </xf>
    <xf numFmtId="14" fontId="94" fillId="0" borderId="0" xfId="0" applyNumberFormat="1" applyFont="1" applyAlignment="1">
      <alignment vertical="center"/>
    </xf>
    <xf numFmtId="0" fontId="5" fillId="0" borderId="36" xfId="0" applyFont="1" applyBorder="1" applyAlignment="1">
      <alignment horizontal="left" vertical="center" wrapText="1"/>
    </xf>
    <xf numFmtId="176" fontId="19" fillId="0" borderId="36" xfId="0" applyNumberFormat="1" applyFont="1" applyBorder="1" applyAlignment="1">
      <alignment horizontal="left" vertical="center" wrapText="1" shrinkToFit="1"/>
    </xf>
    <xf numFmtId="176" fontId="19" fillId="0" borderId="13" xfId="0" applyNumberFormat="1" applyFont="1" applyBorder="1" applyAlignment="1">
      <alignment horizontal="left" vertical="center" wrapText="1" shrinkToFit="1"/>
    </xf>
    <xf numFmtId="176" fontId="19" fillId="0" borderId="56" xfId="0" applyNumberFormat="1" applyFont="1" applyBorder="1" applyAlignment="1">
      <alignment horizontal="left" vertical="center" wrapText="1" shrinkToFit="1"/>
    </xf>
    <xf numFmtId="176" fontId="19" fillId="0" borderId="56" xfId="0" applyNumberFormat="1" applyFont="1" applyBorder="1" applyAlignment="1">
      <alignment horizontal="right" vertical="center" shrinkToFit="1"/>
    </xf>
    <xf numFmtId="0" fontId="48" fillId="0" borderId="39" xfId="0" applyFont="1" applyBorder="1" applyAlignment="1">
      <alignment horizontal="right" vertical="center" shrinkToFit="1"/>
    </xf>
    <xf numFmtId="0" fontId="48" fillId="0" borderId="39" xfId="0" applyFont="1" applyBorder="1" applyAlignment="1">
      <alignment vertical="center" wrapText="1"/>
    </xf>
    <xf numFmtId="0" fontId="49" fillId="0" borderId="39" xfId="0" applyFont="1" applyBorder="1" applyAlignment="1">
      <alignment horizontal="center" vertical="center" wrapText="1" shrinkToFit="1"/>
    </xf>
    <xf numFmtId="176" fontId="127" fillId="0" borderId="39" xfId="0" applyNumberFormat="1" applyFont="1" applyBorder="1" applyAlignment="1">
      <alignment horizontal="left" vertical="center" wrapText="1" shrinkToFit="1"/>
    </xf>
    <xf numFmtId="0" fontId="23" fillId="0" borderId="59" xfId="0" applyFont="1" applyBorder="1" applyAlignment="1">
      <alignment vertical="center" wrapText="1"/>
    </xf>
    <xf numFmtId="176" fontId="5" fillId="0" borderId="59" xfId="0" applyNumberFormat="1" applyFont="1" applyBorder="1" applyAlignment="1">
      <alignment vertical="center" wrapText="1"/>
    </xf>
    <xf numFmtId="176" fontId="24" fillId="0" borderId="41" xfId="0" applyNumberFormat="1" applyFont="1" applyBorder="1" applyAlignment="1">
      <alignment vertical="center"/>
    </xf>
    <xf numFmtId="176" fontId="23" fillId="0" borderId="41" xfId="0" applyNumberFormat="1" applyFont="1" applyBorder="1" applyAlignment="1">
      <alignment horizontal="right" vertical="center" wrapText="1" shrinkToFit="1"/>
    </xf>
    <xf numFmtId="0" fontId="26" fillId="0" borderId="36" xfId="0" applyFont="1" applyBorder="1" applyAlignment="1">
      <alignment vertical="center" wrapText="1"/>
    </xf>
    <xf numFmtId="176" fontId="5" fillId="0" borderId="0" xfId="0" applyNumberFormat="1" applyFont="1" applyAlignment="1">
      <alignment horizontal="right" vertical="center" shrinkToFit="1"/>
    </xf>
    <xf numFmtId="176" fontId="5" fillId="0" borderId="4" xfId="0" applyNumberFormat="1" applyFont="1" applyBorder="1" applyAlignment="1">
      <alignment horizontal="left" vertical="center" shrinkToFit="1"/>
    </xf>
    <xf numFmtId="176" fontId="5" fillId="0" borderId="28" xfId="0" applyNumberFormat="1" applyFont="1" applyBorder="1" applyAlignment="1">
      <alignment horizontal="right" vertical="top" wrapText="1"/>
    </xf>
    <xf numFmtId="176" fontId="5" fillId="0" borderId="4" xfId="0" applyNumberFormat="1" applyFont="1" applyBorder="1" applyAlignment="1">
      <alignment horizontal="left" vertical="top" wrapText="1" shrinkToFit="1"/>
    </xf>
    <xf numFmtId="176" fontId="23" fillId="0" borderId="36" xfId="0" quotePrefix="1" applyNumberFormat="1" applyFont="1" applyBorder="1" applyAlignment="1">
      <alignment horizontal="left" vertical="center" wrapText="1" shrinkToFit="1"/>
    </xf>
    <xf numFmtId="0" fontId="2" fillId="0" borderId="36" xfId="0" applyFont="1" applyBorder="1" applyAlignment="1">
      <alignment horizontal="center" vertical="center" wrapText="1"/>
    </xf>
    <xf numFmtId="0" fontId="20" fillId="0" borderId="36" xfId="0" applyFont="1" applyBorder="1" applyAlignment="1">
      <alignment vertical="center"/>
    </xf>
    <xf numFmtId="0" fontId="44" fillId="0" borderId="4" xfId="0" applyFont="1" applyBorder="1" applyAlignment="1">
      <alignment vertical="center" wrapText="1"/>
    </xf>
    <xf numFmtId="0" fontId="45" fillId="0" borderId="4" xfId="0" applyFont="1" applyBorder="1" applyAlignment="1">
      <alignment horizontal="center" vertical="center" wrapText="1" shrinkToFit="1"/>
    </xf>
    <xf numFmtId="0" fontId="24" fillId="0" borderId="36" xfId="0" applyFont="1" applyBorder="1" applyAlignment="1">
      <alignment vertical="center"/>
    </xf>
    <xf numFmtId="0" fontId="26" fillId="0" borderId="36" xfId="0" applyFont="1" applyBorder="1" applyAlignment="1">
      <alignment horizontal="center" vertical="center" wrapText="1"/>
    </xf>
    <xf numFmtId="176" fontId="56" fillId="0" borderId="29" xfId="0" applyNumberFormat="1" applyFont="1" applyBorder="1" applyAlignment="1">
      <alignment vertical="center"/>
    </xf>
    <xf numFmtId="0" fontId="0" fillId="10" borderId="0" xfId="0" applyFill="1" applyAlignment="1">
      <alignment horizontal="right"/>
    </xf>
    <xf numFmtId="0" fontId="0" fillId="10" borderId="0" xfId="0" applyFill="1"/>
    <xf numFmtId="0" fontId="20" fillId="10" borderId="0" xfId="0" applyFont="1" applyFill="1"/>
    <xf numFmtId="0" fontId="20" fillId="10" borderId="0" xfId="0" applyFont="1" applyFill="1" applyAlignment="1">
      <alignment horizontal="right"/>
    </xf>
    <xf numFmtId="0" fontId="0" fillId="7" borderId="0" xfId="0" applyFill="1" applyAlignment="1">
      <alignment horizontal="right"/>
    </xf>
    <xf numFmtId="0" fontId="0" fillId="7" borderId="0" xfId="0" applyFill="1"/>
    <xf numFmtId="0" fontId="102" fillId="7" borderId="0" xfId="0" applyFont="1" applyFill="1"/>
    <xf numFmtId="0" fontId="20" fillId="7" borderId="0" xfId="0" applyFont="1" applyFill="1"/>
    <xf numFmtId="0" fontId="20" fillId="7" borderId="0" xfId="0" applyFont="1" applyFill="1" applyAlignment="1">
      <alignment horizontal="right"/>
    </xf>
    <xf numFmtId="0" fontId="0" fillId="11" borderId="0" xfId="0" applyFill="1" applyAlignment="1">
      <alignment horizontal="right"/>
    </xf>
    <xf numFmtId="0" fontId="0" fillId="11" borderId="0" xfId="0" applyFill="1"/>
    <xf numFmtId="0" fontId="0" fillId="11" borderId="0" xfId="0" applyFill="1" applyAlignment="1">
      <alignment horizontal="left"/>
    </xf>
    <xf numFmtId="0" fontId="20" fillId="11" borderId="0" xfId="0" applyFont="1" applyFill="1" applyAlignment="1">
      <alignment horizontal="right"/>
    </xf>
    <xf numFmtId="0" fontId="20" fillId="6" borderId="0" xfId="0" applyFont="1" applyFill="1"/>
    <xf numFmtId="0" fontId="0" fillId="6" borderId="0" xfId="0" applyFill="1"/>
    <xf numFmtId="0" fontId="20" fillId="6" borderId="0" xfId="0" applyFont="1" applyFill="1" applyAlignment="1">
      <alignment horizontal="right"/>
    </xf>
    <xf numFmtId="0" fontId="102" fillId="6" borderId="0" xfId="0" applyFont="1" applyFill="1"/>
    <xf numFmtId="0" fontId="102" fillId="11" borderId="0" xfId="0" applyFont="1" applyFill="1"/>
    <xf numFmtId="2" fontId="0" fillId="11" borderId="0" xfId="0" applyNumberFormat="1" applyFill="1"/>
    <xf numFmtId="0" fontId="102" fillId="10" borderId="0" xfId="0" applyFont="1" applyFill="1"/>
    <xf numFmtId="0" fontId="0" fillId="10" borderId="0" xfId="0" applyFill="1" applyAlignment="1">
      <alignment vertical="center"/>
    </xf>
    <xf numFmtId="0" fontId="63" fillId="0" borderId="0" xfId="0" applyFont="1" applyAlignment="1">
      <alignment vertical="center"/>
    </xf>
    <xf numFmtId="0" fontId="7" fillId="0" borderId="0" xfId="0" applyFont="1" applyAlignment="1">
      <alignment wrapText="1"/>
    </xf>
    <xf numFmtId="0" fontId="23" fillId="0" borderId="36" xfId="0" applyFont="1" applyBorder="1" applyAlignment="1">
      <alignment horizontal="left" vertical="center" wrapText="1"/>
    </xf>
    <xf numFmtId="176" fontId="5" fillId="0" borderId="36" xfId="0" applyNumberFormat="1" applyFont="1" applyBorder="1" applyAlignment="1">
      <alignment vertical="center" wrapText="1"/>
    </xf>
    <xf numFmtId="0" fontId="63" fillId="0" borderId="36" xfId="0" applyFont="1" applyBorder="1" applyAlignment="1">
      <alignment vertical="center"/>
    </xf>
    <xf numFmtId="0" fontId="63" fillId="0" borderId="0" xfId="0" applyFont="1" applyAlignment="1">
      <alignment vertical="center" wrapText="1"/>
    </xf>
    <xf numFmtId="0" fontId="131" fillId="0" borderId="0" xfId="0" applyFont="1" applyAlignment="1">
      <alignment vertical="center" wrapText="1"/>
    </xf>
    <xf numFmtId="0" fontId="50" fillId="0" borderId="0" xfId="0" applyFont="1" applyAlignment="1">
      <alignment vertical="center" wrapText="1"/>
    </xf>
    <xf numFmtId="176" fontId="5" fillId="3" borderId="4" xfId="0" applyNumberFormat="1" applyFont="1" applyFill="1" applyBorder="1" applyAlignment="1">
      <alignment horizontal="right" vertical="center" shrinkToFit="1"/>
    </xf>
    <xf numFmtId="176" fontId="23" fillId="0" borderId="68" xfId="0" applyNumberFormat="1" applyFont="1" applyBorder="1" applyAlignment="1">
      <alignment horizontal="left" vertical="center" wrapText="1" shrinkToFit="1"/>
    </xf>
    <xf numFmtId="0" fontId="0" fillId="0" borderId="19" xfId="0" applyBorder="1" applyAlignment="1">
      <alignment horizontal="center" vertical="center"/>
    </xf>
    <xf numFmtId="14" fontId="54" fillId="0" borderId="0" xfId="0" applyNumberFormat="1" applyFont="1" applyAlignment="1">
      <alignment horizontal="center" vertical="center"/>
    </xf>
    <xf numFmtId="182" fontId="0" fillId="0" borderId="0" xfId="0" applyNumberFormat="1"/>
    <xf numFmtId="0" fontId="103" fillId="0" borderId="9" xfId="0" applyFont="1" applyBorder="1" applyAlignment="1">
      <alignment horizontal="center" vertical="center"/>
    </xf>
    <xf numFmtId="182" fontId="0" fillId="0" borderId="9" xfId="0" applyNumberFormat="1" applyBorder="1" applyAlignment="1">
      <alignment vertical="center"/>
    </xf>
    <xf numFmtId="0" fontId="0" fillId="0" borderId="9" xfId="0" applyBorder="1"/>
    <xf numFmtId="0" fontId="20" fillId="0" borderId="9" xfId="0" applyFont="1" applyBorder="1" applyAlignment="1">
      <alignment horizontal="center" vertical="center"/>
    </xf>
    <xf numFmtId="182" fontId="0" fillId="0" borderId="9" xfId="0" applyNumberFormat="1" applyBorder="1"/>
    <xf numFmtId="0" fontId="50" fillId="0" borderId="9" xfId="0" applyFont="1" applyBorder="1" applyAlignment="1">
      <alignment vertical="center"/>
    </xf>
    <xf numFmtId="2" fontId="0" fillId="0" borderId="0" xfId="0" applyNumberFormat="1"/>
    <xf numFmtId="0" fontId="0" fillId="17" borderId="0" xfId="0" applyFill="1"/>
    <xf numFmtId="176" fontId="135" fillId="0" borderId="36" xfId="0" applyNumberFormat="1" applyFont="1" applyBorder="1" applyAlignment="1">
      <alignment horizontal="left" vertical="center" wrapText="1" shrinkToFit="1"/>
    </xf>
    <xf numFmtId="176" fontId="135" fillId="0" borderId="4" xfId="0" applyNumberFormat="1" applyFont="1" applyBorder="1" applyAlignment="1">
      <alignment horizontal="left" vertical="center" wrapText="1" shrinkToFit="1"/>
    </xf>
    <xf numFmtId="0" fontId="136" fillId="0" borderId="4" xfId="0" applyFont="1" applyBorder="1" applyAlignment="1">
      <alignment vertical="center" wrapText="1"/>
    </xf>
    <xf numFmtId="176" fontId="90" fillId="0" borderId="64" xfId="0" applyNumberFormat="1" applyFont="1" applyBorder="1" applyAlignment="1">
      <alignment vertical="center" shrinkToFit="1"/>
    </xf>
    <xf numFmtId="0" fontId="20" fillId="0" borderId="36" xfId="0" applyFont="1" applyBorder="1" applyAlignment="1">
      <alignment vertical="center" wrapText="1"/>
    </xf>
    <xf numFmtId="176" fontId="135" fillId="0" borderId="36" xfId="0" applyNumberFormat="1" applyFont="1" applyBorder="1" applyAlignment="1">
      <alignment horizontal="right" vertical="center" shrinkToFit="1"/>
    </xf>
    <xf numFmtId="176" fontId="74" fillId="17" borderId="9" xfId="0" applyNumberFormat="1" applyFont="1" applyFill="1" applyBorder="1" applyAlignment="1">
      <alignment vertical="center" shrinkToFit="1"/>
    </xf>
    <xf numFmtId="176" fontId="74" fillId="17" borderId="64" xfId="0" applyNumberFormat="1" applyFont="1" applyFill="1" applyBorder="1" applyAlignment="1">
      <alignment vertical="center" shrinkToFit="1"/>
    </xf>
    <xf numFmtId="0" fontId="60" fillId="0" borderId="64" xfId="0" applyFont="1" applyFill="1" applyBorder="1" applyAlignment="1">
      <alignment horizontal="center" vertical="center" shrinkToFit="1"/>
    </xf>
    <xf numFmtId="0" fontId="60" fillId="0" borderId="64" xfId="0" applyFont="1" applyFill="1" applyBorder="1" applyAlignment="1">
      <alignment horizontal="left" vertical="center" wrapText="1"/>
    </xf>
    <xf numFmtId="0" fontId="60" fillId="0" borderId="64" xfId="0" applyFont="1" applyFill="1" applyBorder="1" applyAlignment="1">
      <alignment horizontal="center" vertical="center" wrapText="1"/>
    </xf>
    <xf numFmtId="176" fontId="75" fillId="0" borderId="64" xfId="0" applyNumberFormat="1" applyFont="1" applyFill="1" applyBorder="1" applyAlignment="1">
      <alignment vertical="center" shrinkToFit="1"/>
    </xf>
    <xf numFmtId="0" fontId="60" fillId="0" borderId="64" xfId="0" applyFont="1" applyFill="1" applyBorder="1" applyAlignment="1">
      <alignment vertical="center" wrapText="1"/>
    </xf>
    <xf numFmtId="0" fontId="134" fillId="0" borderId="0" xfId="0" applyFont="1" applyAlignment="1">
      <alignment vertical="center" wrapText="1"/>
    </xf>
    <xf numFmtId="0" fontId="137" fillId="17" borderId="64" xfId="0" applyFont="1" applyFill="1" applyBorder="1" applyAlignment="1">
      <alignment horizontal="left" vertical="center" wrapText="1"/>
    </xf>
    <xf numFmtId="0" fontId="91" fillId="17" borderId="9" xfId="0" applyFont="1" applyFill="1" applyBorder="1" applyAlignment="1">
      <alignment horizontal="left" vertical="center" wrapText="1"/>
    </xf>
    <xf numFmtId="0" fontId="23" fillId="0" borderId="0" xfId="0" applyFont="1" applyAlignment="1">
      <alignment vertical="center" wrapText="1"/>
    </xf>
    <xf numFmtId="0" fontId="103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176" fontId="5" fillId="17" borderId="4" xfId="0" applyNumberFormat="1" applyFont="1" applyFill="1" applyBorder="1" applyAlignment="1">
      <alignment horizontal="left" vertical="center" wrapText="1" shrinkToFit="1"/>
    </xf>
    <xf numFmtId="176" fontId="5" fillId="17" borderId="4" xfId="0" applyNumberFormat="1" applyFont="1" applyFill="1" applyBorder="1" applyAlignment="1">
      <alignment horizontal="right" vertical="center" shrinkToFit="1"/>
    </xf>
    <xf numFmtId="176" fontId="5" fillId="17" borderId="28" xfId="0" applyNumberFormat="1" applyFont="1" applyFill="1" applyBorder="1" applyAlignment="1">
      <alignment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182" fontId="6" fillId="0" borderId="43" xfId="0" applyNumberFormat="1" applyFont="1" applyBorder="1" applyAlignment="1">
      <alignment horizontal="center" vertical="center"/>
    </xf>
    <xf numFmtId="182" fontId="6" fillId="0" borderId="39" xfId="0" applyNumberFormat="1" applyFont="1" applyBorder="1" applyAlignment="1">
      <alignment horizontal="center" vertical="center"/>
    </xf>
    <xf numFmtId="181" fontId="6" fillId="0" borderId="43" xfId="0" applyNumberFormat="1" applyFont="1" applyBorder="1" applyAlignment="1">
      <alignment horizontal="center" vertical="center"/>
    </xf>
    <xf numFmtId="181" fontId="6" fillId="0" borderId="39" xfId="0" applyNumberFormat="1" applyFont="1" applyBorder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6" fillId="0" borderId="52" xfId="0" applyFont="1" applyBorder="1" applyAlignment="1">
      <alignment horizontal="center" vertical="center" wrapText="1"/>
    </xf>
    <xf numFmtId="0" fontId="66" fillId="0" borderId="53" xfId="0" applyFont="1" applyBorder="1" applyAlignment="1">
      <alignment horizontal="center" vertical="center" wrapText="1"/>
    </xf>
    <xf numFmtId="176" fontId="6" fillId="0" borderId="43" xfId="0" applyNumberFormat="1" applyFont="1" applyBorder="1" applyAlignment="1">
      <alignment horizontal="center" vertical="center" wrapText="1"/>
    </xf>
    <xf numFmtId="176" fontId="6" fillId="0" borderId="39" xfId="0" applyNumberFormat="1" applyFont="1" applyBorder="1" applyAlignment="1">
      <alignment horizontal="center" vertical="center" wrapText="1"/>
    </xf>
    <xf numFmtId="0" fontId="31" fillId="0" borderId="8" xfId="0" applyFont="1" applyBorder="1" applyAlignment="1">
      <alignment vertical="center"/>
    </xf>
    <xf numFmtId="0" fontId="31" fillId="0" borderId="16" xfId="0" applyFont="1" applyBorder="1" applyAlignment="1">
      <alignment vertical="center"/>
    </xf>
    <xf numFmtId="0" fontId="31" fillId="0" borderId="17" xfId="0" applyFont="1" applyBorder="1" applyAlignment="1">
      <alignment vertical="center"/>
    </xf>
    <xf numFmtId="180" fontId="70" fillId="0" borderId="16" xfId="0" applyNumberFormat="1" applyFont="1" applyBorder="1" applyAlignment="1">
      <alignment vertical="center"/>
    </xf>
    <xf numFmtId="180" fontId="70" fillId="0" borderId="17" xfId="0" applyNumberFormat="1" applyFont="1" applyBorder="1" applyAlignment="1">
      <alignment vertical="center"/>
    </xf>
    <xf numFmtId="0" fontId="23" fillId="0" borderId="8" xfId="0" applyFont="1" applyBorder="1" applyAlignment="1">
      <alignment vertical="center"/>
    </xf>
    <xf numFmtId="0" fontId="23" fillId="0" borderId="16" xfId="0" applyFont="1" applyBorder="1" applyAlignment="1">
      <alignment vertical="center"/>
    </xf>
    <xf numFmtId="0" fontId="23" fillId="0" borderId="17" xfId="0" applyFont="1" applyBorder="1" applyAlignment="1">
      <alignment vertical="center"/>
    </xf>
    <xf numFmtId="180" fontId="101" fillId="0" borderId="16" xfId="0" applyNumberFormat="1" applyFont="1" applyBorder="1" applyAlignment="1">
      <alignment vertical="center"/>
    </xf>
    <xf numFmtId="180" fontId="101" fillId="0" borderId="17" xfId="0" applyNumberFormat="1" applyFont="1" applyBorder="1" applyAlignment="1">
      <alignment vertical="center"/>
    </xf>
    <xf numFmtId="192" fontId="65" fillId="0" borderId="0" xfId="0" applyNumberFormat="1" applyFont="1" applyAlignment="1">
      <alignment horizontal="center" vertical="center"/>
    </xf>
    <xf numFmtId="0" fontId="67" fillId="0" borderId="0" xfId="0" applyFont="1" applyAlignment="1">
      <alignment vertical="center"/>
    </xf>
    <xf numFmtId="0" fontId="68" fillId="0" borderId="0" xfId="0" applyFont="1" applyAlignment="1">
      <alignment horizontal="center" vertical="center"/>
    </xf>
    <xf numFmtId="0" fontId="5" fillId="0" borderId="50" xfId="0" applyFont="1" applyBorder="1" applyAlignment="1">
      <alignment horizontal="left" vertical="center"/>
    </xf>
    <xf numFmtId="190" fontId="31" fillId="0" borderId="50" xfId="0" applyNumberFormat="1" applyFont="1" applyBorder="1" applyAlignment="1">
      <alignment horizontal="left" vertical="center"/>
    </xf>
    <xf numFmtId="0" fontId="5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89" fontId="58" fillId="0" borderId="0" xfId="0" applyNumberFormat="1" applyFont="1" applyAlignment="1">
      <alignment horizontal="center" vertical="center" wrapText="1"/>
    </xf>
    <xf numFmtId="0" fontId="59" fillId="0" borderId="44" xfId="0" applyFont="1" applyBorder="1" applyAlignment="1">
      <alignment horizontal="left" vertical="center" shrinkToFit="1"/>
    </xf>
    <xf numFmtId="0" fontId="0" fillId="0" borderId="44" xfId="0" applyBorder="1" applyAlignment="1">
      <alignment horizontal="left" vertical="center" shrinkToFit="1"/>
    </xf>
    <xf numFmtId="190" fontId="59" fillId="0" borderId="44" xfId="0" applyNumberFormat="1" applyFont="1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2" fillId="0" borderId="2" xfId="0" applyFont="1" applyBorder="1" applyAlignment="1">
      <alignment vertical="center" shrinkToFit="1"/>
    </xf>
    <xf numFmtId="0" fontId="2" fillId="0" borderId="5" xfId="0" applyFont="1" applyBorder="1" applyAlignment="1">
      <alignment vertical="center" shrinkToFit="1"/>
    </xf>
    <xf numFmtId="0" fontId="2" fillId="0" borderId="6" xfId="0" applyFont="1" applyBorder="1" applyAlignment="1">
      <alignment vertical="center" shrinkToFit="1"/>
    </xf>
    <xf numFmtId="0" fontId="2" fillId="0" borderId="2" xfId="0" applyFont="1" applyBorder="1" applyAlignment="1" applyProtection="1">
      <alignment horizontal="left" vertical="top" wrapText="1" shrinkToFit="1"/>
      <protection locked="0"/>
    </xf>
    <xf numFmtId="0" fontId="2" fillId="0" borderId="5" xfId="0" applyFont="1" applyBorder="1" applyAlignment="1" applyProtection="1">
      <alignment horizontal="left" vertical="top" wrapText="1" shrinkToFit="1"/>
      <protection locked="0"/>
    </xf>
    <xf numFmtId="0" fontId="2" fillId="0" borderId="6" xfId="0" applyFont="1" applyBorder="1" applyAlignment="1" applyProtection="1">
      <alignment horizontal="left" vertical="top" wrapText="1" shrinkToFit="1"/>
      <protection locked="0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shrinkToFit="1"/>
    </xf>
    <xf numFmtId="0" fontId="2" fillId="0" borderId="8" xfId="0" applyFont="1" applyBorder="1" applyAlignment="1">
      <alignment vertical="center" shrinkToFit="1"/>
    </xf>
    <xf numFmtId="0" fontId="2" fillId="0" borderId="16" xfId="0" applyFont="1" applyBorder="1" applyAlignment="1">
      <alignment vertical="center" shrinkToFit="1"/>
    </xf>
    <xf numFmtId="0" fontId="2" fillId="0" borderId="17" xfId="0" applyFont="1" applyBorder="1" applyAlignment="1">
      <alignment vertical="center" shrinkToFit="1"/>
    </xf>
    <xf numFmtId="0" fontId="66" fillId="0" borderId="54" xfId="0" applyFont="1" applyBorder="1" applyAlignment="1">
      <alignment horizontal="center" vertical="center" wrapText="1"/>
    </xf>
    <xf numFmtId="0" fontId="66" fillId="0" borderId="61" xfId="0" applyFont="1" applyBorder="1" applyAlignment="1">
      <alignment horizontal="center" vertical="center" wrapText="1"/>
    </xf>
    <xf numFmtId="0" fontId="66" fillId="0" borderId="54" xfId="0" applyFont="1" applyBorder="1" applyAlignment="1">
      <alignment horizontal="left" vertical="center" wrapText="1"/>
    </xf>
    <xf numFmtId="0" fontId="66" fillId="0" borderId="62" xfId="0" applyFont="1" applyBorder="1" applyAlignment="1">
      <alignment horizontal="left" vertical="center" wrapText="1"/>
    </xf>
    <xf numFmtId="0" fontId="66" fillId="0" borderId="61" xfId="0" applyFont="1" applyBorder="1" applyAlignment="1">
      <alignment horizontal="left" vertical="center" wrapText="1"/>
    </xf>
    <xf numFmtId="0" fontId="10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60" fillId="0" borderId="64" xfId="0" applyFont="1" applyBorder="1" applyAlignment="1">
      <alignment horizontal="center" vertical="center" wrapText="1"/>
    </xf>
    <xf numFmtId="0" fontId="60" fillId="0" borderId="64" xfId="0" applyFont="1" applyBorder="1" applyAlignment="1">
      <alignment horizontal="center" vertical="center"/>
    </xf>
    <xf numFmtId="0" fontId="113" fillId="0" borderId="64" xfId="0" applyFont="1" applyBorder="1" applyAlignment="1">
      <alignment horizontal="center" vertical="center"/>
    </xf>
    <xf numFmtId="0" fontId="59" fillId="0" borderId="64" xfId="0" applyFont="1" applyBorder="1" applyAlignment="1">
      <alignment vertical="center"/>
    </xf>
    <xf numFmtId="0" fontId="113" fillId="0" borderId="64" xfId="0" applyFont="1" applyBorder="1" applyAlignment="1">
      <alignment vertical="center"/>
    </xf>
    <xf numFmtId="180" fontId="36" fillId="0" borderId="66" xfId="0" applyNumberFormat="1" applyFont="1" applyBorder="1" applyAlignment="1">
      <alignment vertical="center"/>
    </xf>
    <xf numFmtId="180" fontId="36" fillId="0" borderId="67" xfId="0" applyNumberFormat="1" applyFont="1" applyBorder="1" applyAlignment="1">
      <alignment vertical="center"/>
    </xf>
    <xf numFmtId="192" fontId="114" fillId="0" borderId="0" xfId="2" applyNumberFormat="1" applyFont="1" applyFill="1" applyAlignment="1">
      <alignment horizontal="center" vertical="center"/>
    </xf>
    <xf numFmtId="0" fontId="115" fillId="0" borderId="0" xfId="0" applyFont="1" applyAlignment="1" applyProtection="1">
      <alignment vertical="center"/>
      <protection locked="0"/>
    </xf>
    <xf numFmtId="0" fontId="116" fillId="0" borderId="0" xfId="0" applyFont="1" applyAlignment="1" applyProtection="1">
      <alignment vertical="center"/>
      <protection locked="0"/>
    </xf>
    <xf numFmtId="0" fontId="117" fillId="0" borderId="0" xfId="0" applyFont="1" applyAlignment="1" applyProtection="1">
      <alignment horizontal="center" vertical="center"/>
      <protection locked="0"/>
    </xf>
    <xf numFmtId="0" fontId="59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190" fontId="59" fillId="0" borderId="10" xfId="0" applyNumberFormat="1" applyFont="1" applyBorder="1" applyAlignment="1">
      <alignment horizontal="left" vertical="center"/>
    </xf>
    <xf numFmtId="190" fontId="113" fillId="0" borderId="10" xfId="0" applyNumberFormat="1" applyFont="1" applyBorder="1" applyAlignment="1">
      <alignment horizontal="left" vertical="center"/>
    </xf>
    <xf numFmtId="0" fontId="60" fillId="0" borderId="58" xfId="0" applyFont="1" applyBorder="1" applyAlignment="1">
      <alignment horizontal="center" vertical="center" wrapText="1"/>
    </xf>
    <xf numFmtId="0" fontId="60" fillId="0" borderId="60" xfId="0" applyFont="1" applyBorder="1" applyAlignment="1">
      <alignment horizontal="center" vertical="center" wrapText="1"/>
    </xf>
    <xf numFmtId="0" fontId="60" fillId="0" borderId="58" xfId="0" applyFont="1" applyBorder="1" applyAlignment="1">
      <alignment horizontal="center" vertical="center"/>
    </xf>
    <xf numFmtId="0" fontId="60" fillId="0" borderId="60" xfId="0" applyFont="1" applyBorder="1" applyAlignment="1">
      <alignment horizontal="center" vertical="center"/>
    </xf>
    <xf numFmtId="176" fontId="60" fillId="0" borderId="64" xfId="0" applyNumberFormat="1" applyFont="1" applyBorder="1" applyAlignment="1">
      <alignment horizontal="center" vertical="center" wrapText="1"/>
    </xf>
    <xf numFmtId="176" fontId="60" fillId="0" borderId="64" xfId="0" applyNumberFormat="1" applyFont="1" applyBorder="1" applyAlignment="1">
      <alignment horizontal="center" vertical="center"/>
    </xf>
    <xf numFmtId="180" fontId="71" fillId="0" borderId="16" xfId="0" applyNumberFormat="1" applyFont="1" applyBorder="1" applyAlignment="1">
      <alignment vertical="center"/>
    </xf>
    <xf numFmtId="180" fontId="71" fillId="0" borderId="17" xfId="0" applyNumberFormat="1" applyFont="1" applyBorder="1" applyAlignment="1">
      <alignment vertical="center"/>
    </xf>
    <xf numFmtId="191" fontId="6" fillId="0" borderId="43" xfId="0" applyNumberFormat="1" applyFont="1" applyBorder="1" applyAlignment="1">
      <alignment horizontal="center" vertical="center"/>
    </xf>
    <xf numFmtId="191" fontId="6" fillId="0" borderId="39" xfId="0" applyNumberFormat="1" applyFont="1" applyBorder="1" applyAlignment="1">
      <alignment horizontal="center" vertical="center"/>
    </xf>
    <xf numFmtId="0" fontId="84" fillId="0" borderId="5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0" fillId="0" borderId="69" xfId="0" applyFont="1" applyBorder="1" applyAlignment="1">
      <alignment horizontal="center"/>
    </xf>
    <xf numFmtId="0" fontId="34" fillId="0" borderId="10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0" fillId="0" borderId="24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14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182" fontId="0" fillId="0" borderId="24" xfId="0" applyNumberFormat="1" applyBorder="1" applyAlignment="1">
      <alignment horizontal="center" vertical="center"/>
    </xf>
    <xf numFmtId="182" fontId="0" fillId="0" borderId="18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10" xfId="0" applyBorder="1" applyAlignment="1">
      <alignment horizontal="right" vertical="center" wrapText="1"/>
    </xf>
    <xf numFmtId="182" fontId="0" fillId="0" borderId="21" xfId="0" applyNumberFormat="1" applyBorder="1" applyAlignment="1">
      <alignment horizontal="center" vertical="center"/>
    </xf>
    <xf numFmtId="182" fontId="0" fillId="0" borderId="22" xfId="0" applyNumberFormat="1" applyBorder="1" applyAlignment="1">
      <alignment horizontal="center" vertical="center"/>
    </xf>
    <xf numFmtId="182" fontId="0" fillId="0" borderId="23" xfId="0" applyNumberFormat="1" applyBorder="1" applyAlignment="1">
      <alignment horizontal="center" vertical="center"/>
    </xf>
    <xf numFmtId="182" fontId="0" fillId="0" borderId="3" xfId="0" applyNumberFormat="1" applyBorder="1" applyAlignment="1">
      <alignment horizontal="center" vertical="center"/>
    </xf>
    <xf numFmtId="182" fontId="0" fillId="0" borderId="19" xfId="0" applyNumberFormat="1" applyBorder="1" applyAlignment="1">
      <alignment horizontal="center" vertical="center"/>
    </xf>
    <xf numFmtId="182" fontId="0" fillId="0" borderId="1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0" fillId="3" borderId="0" xfId="0" applyFont="1" applyFill="1" applyAlignment="1">
      <alignment vertical="center" wrapText="1"/>
    </xf>
    <xf numFmtId="0" fontId="20" fillId="3" borderId="0" xfId="0" applyFont="1" applyFill="1" applyAlignment="1">
      <alignment vertical="center" wrapText="1"/>
    </xf>
    <xf numFmtId="0" fontId="20" fillId="3" borderId="0" xfId="0" applyFont="1" applyFill="1" applyAlignment="1">
      <alignment vertical="center"/>
    </xf>
  </cellXfs>
  <cellStyles count="5">
    <cellStyle name="一般" xfId="0" builtinId="0"/>
    <cellStyle name="一般 2" xfId="1" xr:uid="{00000000-0005-0000-0000-000001000000}"/>
    <cellStyle name="一般 2 2" xfId="4" xr:uid="{151A3C0E-68FA-4624-92F7-E2CAC790D341}"/>
    <cellStyle name="千分位" xfId="2" builtinId="3"/>
    <cellStyle name="超連結" xfId="3" builtinId="8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289</xdr:row>
      <xdr:rowOff>0</xdr:rowOff>
    </xdr:from>
    <xdr:to>
      <xdr:col>14</xdr:col>
      <xdr:colOff>1081878</xdr:colOff>
      <xdr:row>299</xdr:row>
      <xdr:rowOff>332748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03351AD-D4BE-40D4-978C-B8E3E8B30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3941" y="85142294"/>
          <a:ext cx="3379084" cy="34648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335</xdr:row>
      <xdr:rowOff>0</xdr:rowOff>
    </xdr:from>
    <xdr:to>
      <xdr:col>14</xdr:col>
      <xdr:colOff>1081877</xdr:colOff>
      <xdr:row>345</xdr:row>
      <xdr:rowOff>332749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F16A454-791A-4001-AC16-945A29A53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49475" y="98631375"/>
          <a:ext cx="3377403" cy="34569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8</xdr:row>
      <xdr:rowOff>19050</xdr:rowOff>
    </xdr:from>
    <xdr:to>
      <xdr:col>8</xdr:col>
      <xdr:colOff>219075</xdr:colOff>
      <xdr:row>12</xdr:row>
      <xdr:rowOff>85725</xdr:rowOff>
    </xdr:to>
    <xdr:grpSp>
      <xdr:nvGrpSpPr>
        <xdr:cNvPr id="10" name="群組 9">
          <a:extLst>
            <a:ext uri="{FF2B5EF4-FFF2-40B4-BE49-F238E27FC236}">
              <a16:creationId xmlns:a16="http://schemas.microsoft.com/office/drawing/2014/main" id="{667D58D8-6319-4774-36A9-1CC8D2735E95}"/>
            </a:ext>
          </a:extLst>
        </xdr:cNvPr>
        <xdr:cNvGrpSpPr/>
      </xdr:nvGrpSpPr>
      <xdr:grpSpPr>
        <a:xfrm>
          <a:off x="10868025" y="3048000"/>
          <a:ext cx="1381125" cy="1590675"/>
          <a:chOff x="10696575" y="552450"/>
          <a:chExt cx="1381125" cy="1590675"/>
        </a:xfrm>
      </xdr:grpSpPr>
      <xdr:grpSp>
        <xdr:nvGrpSpPr>
          <xdr:cNvPr id="8" name="群組 7">
            <a:extLst>
              <a:ext uri="{FF2B5EF4-FFF2-40B4-BE49-F238E27FC236}">
                <a16:creationId xmlns:a16="http://schemas.microsoft.com/office/drawing/2014/main" id="{866B5C0D-25FC-07AA-1A1C-C7E0C8EAE92F}"/>
              </a:ext>
            </a:extLst>
          </xdr:cNvPr>
          <xdr:cNvGrpSpPr/>
        </xdr:nvGrpSpPr>
        <xdr:grpSpPr>
          <a:xfrm>
            <a:off x="10801349" y="666750"/>
            <a:ext cx="1152525" cy="1295400"/>
            <a:chOff x="10810874" y="9525"/>
            <a:chExt cx="1152525" cy="1295400"/>
          </a:xfrm>
        </xdr:grpSpPr>
        <xdr:sp macro="" textlink="">
          <xdr:nvSpPr>
            <xdr:cNvPr id="2" name="矩形 1">
              <a:extLst>
                <a:ext uri="{FF2B5EF4-FFF2-40B4-BE49-F238E27FC236}">
                  <a16:creationId xmlns:a16="http://schemas.microsoft.com/office/drawing/2014/main" id="{58964C53-191C-981E-4B86-64D4B0E4CDC3}"/>
                </a:ext>
              </a:extLst>
            </xdr:cNvPr>
            <xdr:cNvSpPr/>
          </xdr:nvSpPr>
          <xdr:spPr bwMode="auto">
            <a:xfrm>
              <a:off x="11315700" y="542925"/>
              <a:ext cx="123825" cy="142875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rtlCol="0" anchor="ctr" upright="1"/>
            <a:lstStyle/>
            <a:p>
              <a:pPr algn="l"/>
              <a:endParaRPr lang="zh-TW" altLang="en-US" sz="1100"/>
            </a:p>
          </xdr:txBody>
        </xdr:sp>
        <xdr:sp macro="" textlink="">
          <xdr:nvSpPr>
            <xdr:cNvPr id="3" name="矩形 2">
              <a:extLst>
                <a:ext uri="{FF2B5EF4-FFF2-40B4-BE49-F238E27FC236}">
                  <a16:creationId xmlns:a16="http://schemas.microsoft.com/office/drawing/2014/main" id="{408B5810-9A1E-71C4-D38B-4412CC5DE5BA}"/>
                </a:ext>
              </a:extLst>
            </xdr:cNvPr>
            <xdr:cNvSpPr/>
          </xdr:nvSpPr>
          <xdr:spPr bwMode="auto">
            <a:xfrm>
              <a:off x="11220450" y="438150"/>
              <a:ext cx="314325" cy="361950"/>
            </a:xfrm>
            <a:prstGeom prst="rect">
              <a:avLst/>
            </a:prstGeom>
            <a:noFill/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l"/>
              <a:endParaRPr lang="zh-TW" altLang="en-US" sz="1100"/>
            </a:p>
          </xdr:txBody>
        </xdr:sp>
        <xdr:sp macro="" textlink="">
          <xdr:nvSpPr>
            <xdr:cNvPr id="4" name="矩形 3">
              <a:extLst>
                <a:ext uri="{FF2B5EF4-FFF2-40B4-BE49-F238E27FC236}">
                  <a16:creationId xmlns:a16="http://schemas.microsoft.com/office/drawing/2014/main" id="{BBA7A19F-E6CB-56FB-D039-E44FAB92D47A}"/>
                </a:ext>
              </a:extLst>
            </xdr:cNvPr>
            <xdr:cNvSpPr/>
          </xdr:nvSpPr>
          <xdr:spPr bwMode="auto">
            <a:xfrm>
              <a:off x="11134725" y="295275"/>
              <a:ext cx="504825" cy="647700"/>
            </a:xfrm>
            <a:prstGeom prst="rect">
              <a:avLst/>
            </a:prstGeom>
            <a:noFill/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l"/>
              <a:endParaRPr lang="zh-TW" altLang="en-US" sz="1100"/>
            </a:p>
          </xdr:txBody>
        </xdr:sp>
        <xdr:sp macro="" textlink="">
          <xdr:nvSpPr>
            <xdr:cNvPr id="5" name="矩形 4">
              <a:extLst>
                <a:ext uri="{FF2B5EF4-FFF2-40B4-BE49-F238E27FC236}">
                  <a16:creationId xmlns:a16="http://schemas.microsoft.com/office/drawing/2014/main" id="{B50870F7-C2B9-460A-8C80-553BC94E003D}"/>
                </a:ext>
              </a:extLst>
            </xdr:cNvPr>
            <xdr:cNvSpPr/>
          </xdr:nvSpPr>
          <xdr:spPr bwMode="auto">
            <a:xfrm>
              <a:off x="11039475" y="219074"/>
              <a:ext cx="704850" cy="809626"/>
            </a:xfrm>
            <a:prstGeom prst="rect">
              <a:avLst/>
            </a:prstGeom>
            <a:noFill/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l"/>
              <a:endParaRPr lang="zh-TW" altLang="en-US" sz="1100"/>
            </a:p>
          </xdr:txBody>
        </xdr:sp>
        <xdr:sp macro="" textlink="">
          <xdr:nvSpPr>
            <xdr:cNvPr id="6" name="矩形 5">
              <a:extLst>
                <a:ext uri="{FF2B5EF4-FFF2-40B4-BE49-F238E27FC236}">
                  <a16:creationId xmlns:a16="http://schemas.microsoft.com/office/drawing/2014/main" id="{6C092CE3-0909-483E-8CD2-39F1F5A83507}"/>
                </a:ext>
              </a:extLst>
            </xdr:cNvPr>
            <xdr:cNvSpPr/>
          </xdr:nvSpPr>
          <xdr:spPr bwMode="auto">
            <a:xfrm>
              <a:off x="10925175" y="114300"/>
              <a:ext cx="914400" cy="1028700"/>
            </a:xfrm>
            <a:prstGeom prst="rect">
              <a:avLst/>
            </a:prstGeom>
            <a:noFill/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l"/>
              <a:endParaRPr lang="zh-TW" altLang="en-US" sz="1100"/>
            </a:p>
          </xdr:txBody>
        </xdr:sp>
        <xdr:sp macro="" textlink="">
          <xdr:nvSpPr>
            <xdr:cNvPr id="7" name="矩形 6">
              <a:extLst>
                <a:ext uri="{FF2B5EF4-FFF2-40B4-BE49-F238E27FC236}">
                  <a16:creationId xmlns:a16="http://schemas.microsoft.com/office/drawing/2014/main" id="{10D5FDEB-0C57-4E53-8FCF-D94B5F70AF12}"/>
                </a:ext>
              </a:extLst>
            </xdr:cNvPr>
            <xdr:cNvSpPr/>
          </xdr:nvSpPr>
          <xdr:spPr bwMode="auto">
            <a:xfrm>
              <a:off x="10810874" y="9525"/>
              <a:ext cx="1152525" cy="1295400"/>
            </a:xfrm>
            <a:prstGeom prst="rect">
              <a:avLst/>
            </a:prstGeom>
            <a:noFill/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l"/>
              <a:endParaRPr lang="zh-TW" altLang="en-US" sz="1100"/>
            </a:p>
          </xdr:txBody>
        </xdr:sp>
      </xdr:grpSp>
      <xdr:sp macro="" textlink="">
        <xdr:nvSpPr>
          <xdr:cNvPr id="9" name="矩形 8">
            <a:extLst>
              <a:ext uri="{FF2B5EF4-FFF2-40B4-BE49-F238E27FC236}">
                <a16:creationId xmlns:a16="http://schemas.microsoft.com/office/drawing/2014/main" id="{3E1FAEF7-9B4F-E25E-B781-1C800702DEC7}"/>
              </a:ext>
            </a:extLst>
          </xdr:cNvPr>
          <xdr:cNvSpPr/>
        </xdr:nvSpPr>
        <xdr:spPr bwMode="auto">
          <a:xfrm>
            <a:off x="10696575" y="552450"/>
            <a:ext cx="1381125" cy="1590675"/>
          </a:xfrm>
          <a:prstGeom prst="rect">
            <a:avLst/>
          </a:pr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lang="zh-TW" altLang="en-US" sz="1100"/>
          </a:p>
        </xdr:txBody>
      </xdr:sp>
    </xdr:grpSp>
    <xdr:clientData/>
  </xdr:twoCellAnchor>
  <xdr:twoCellAnchor>
    <xdr:from>
      <xdr:col>0</xdr:col>
      <xdr:colOff>28575</xdr:colOff>
      <xdr:row>1</xdr:row>
      <xdr:rowOff>38100</xdr:rowOff>
    </xdr:from>
    <xdr:to>
      <xdr:col>6</xdr:col>
      <xdr:colOff>4152900</xdr:colOff>
      <xdr:row>5</xdr:row>
      <xdr:rowOff>314325</xdr:rowOff>
    </xdr:to>
    <xdr:cxnSp macro="">
      <xdr:nvCxnSpPr>
        <xdr:cNvPr id="12" name="直線接點 11">
          <a:extLst>
            <a:ext uri="{FF2B5EF4-FFF2-40B4-BE49-F238E27FC236}">
              <a16:creationId xmlns:a16="http://schemas.microsoft.com/office/drawing/2014/main" id="{4EAB705E-2435-CD76-8528-B541D9F6D723}"/>
            </a:ext>
          </a:extLst>
        </xdr:cNvPr>
        <xdr:cNvCxnSpPr/>
      </xdr:nvCxnSpPr>
      <xdr:spPr bwMode="auto">
        <a:xfrm flipH="1">
          <a:off x="28575" y="400050"/>
          <a:ext cx="10668000" cy="180022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19050</xdr:colOff>
      <xdr:row>1</xdr:row>
      <xdr:rowOff>19050</xdr:rowOff>
    </xdr:from>
    <xdr:to>
      <xdr:col>6</xdr:col>
      <xdr:colOff>4133850</xdr:colOff>
      <xdr:row>5</xdr:row>
      <xdr:rowOff>333375</xdr:rowOff>
    </xdr:to>
    <xdr:cxnSp macro="">
      <xdr:nvCxnSpPr>
        <xdr:cNvPr id="14" name="直線接點 13">
          <a:extLst>
            <a:ext uri="{FF2B5EF4-FFF2-40B4-BE49-F238E27FC236}">
              <a16:creationId xmlns:a16="http://schemas.microsoft.com/office/drawing/2014/main" id="{3DD98BBD-4EE0-EBDF-865B-82FF7FE95929}"/>
            </a:ext>
          </a:extLst>
        </xdr:cNvPr>
        <xdr:cNvCxnSpPr/>
      </xdr:nvCxnSpPr>
      <xdr:spPr bwMode="auto">
        <a:xfrm>
          <a:off x="19050" y="381000"/>
          <a:ext cx="10658475" cy="183832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46</xdr:row>
      <xdr:rowOff>104775</xdr:rowOff>
    </xdr:from>
    <xdr:to>
      <xdr:col>16</xdr:col>
      <xdr:colOff>238125</xdr:colOff>
      <xdr:row>69</xdr:row>
      <xdr:rowOff>47625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A846745A-C1A6-FEF9-AD29-9054211EFB17}"/>
            </a:ext>
          </a:extLst>
        </xdr:cNvPr>
        <xdr:cNvCxnSpPr/>
      </xdr:nvCxnSpPr>
      <xdr:spPr bwMode="auto">
        <a:xfrm flipH="1">
          <a:off x="295275" y="8982075"/>
          <a:ext cx="13906500" cy="410527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457200</xdr:colOff>
      <xdr:row>45</xdr:row>
      <xdr:rowOff>161925</xdr:rowOff>
    </xdr:from>
    <xdr:to>
      <xdr:col>16</xdr:col>
      <xdr:colOff>514350</xdr:colOff>
      <xdr:row>68</xdr:row>
      <xdr:rowOff>171450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A1ED84F3-0443-535A-CB05-8E8C0DB91A06}"/>
            </a:ext>
          </a:extLst>
        </xdr:cNvPr>
        <xdr:cNvCxnSpPr/>
      </xdr:nvCxnSpPr>
      <xdr:spPr bwMode="auto">
        <a:xfrm>
          <a:off x="457200" y="8858250"/>
          <a:ext cx="14020800" cy="417195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266700</xdr:colOff>
      <xdr:row>19</xdr:row>
      <xdr:rowOff>133350</xdr:rowOff>
    </xdr:from>
    <xdr:to>
      <xdr:col>16</xdr:col>
      <xdr:colOff>161925</xdr:colOff>
      <xdr:row>41</xdr:row>
      <xdr:rowOff>142875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5B67D912-8124-3A01-16BC-98499139D80C}"/>
            </a:ext>
          </a:extLst>
        </xdr:cNvPr>
        <xdr:cNvCxnSpPr/>
      </xdr:nvCxnSpPr>
      <xdr:spPr bwMode="auto">
        <a:xfrm>
          <a:off x="266700" y="4391025"/>
          <a:ext cx="13858875" cy="37719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161925</xdr:colOff>
      <xdr:row>20</xdr:row>
      <xdr:rowOff>95250</xdr:rowOff>
    </xdr:from>
    <xdr:to>
      <xdr:col>15</xdr:col>
      <xdr:colOff>152400</xdr:colOff>
      <xdr:row>42</xdr:row>
      <xdr:rowOff>38100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EDEBE60C-AF25-D34B-41B2-03A39230A8FF}"/>
            </a:ext>
          </a:extLst>
        </xdr:cNvPr>
        <xdr:cNvCxnSpPr/>
      </xdr:nvCxnSpPr>
      <xdr:spPr bwMode="auto">
        <a:xfrm flipH="1">
          <a:off x="161925" y="4514850"/>
          <a:ext cx="13344525" cy="371475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209341</xdr:colOff>
      <xdr:row>0</xdr:row>
      <xdr:rowOff>41869</xdr:rowOff>
    </xdr:from>
    <xdr:to>
      <xdr:col>6</xdr:col>
      <xdr:colOff>383858</xdr:colOff>
      <xdr:row>34</xdr:row>
      <xdr:rowOff>103682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CF498C44-A16B-A8B5-00D3-D0F70D5D8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341" y="41869"/>
          <a:ext cx="3817044" cy="540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131348</xdr:colOff>
      <xdr:row>11</xdr:row>
      <xdr:rowOff>86847</xdr:rowOff>
    </xdr:from>
    <xdr:to>
      <xdr:col>15</xdr:col>
      <xdr:colOff>377107</xdr:colOff>
      <xdr:row>40</xdr:row>
      <xdr:rowOff>133112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C16EDCB-8FBF-466D-AD99-B5A7E47B6C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1228" t="25709" r="23981" b="23089"/>
        <a:stretch/>
      </xdr:blipFill>
      <xdr:spPr>
        <a:xfrm>
          <a:off x="11685173" y="9173697"/>
          <a:ext cx="5122559" cy="33323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@&#19977;&#21512;&#27211;\2-&#30435;&#36896;\&#38515;&#21191;&#26234;\&#32102;&#21191;&#26234;\&#32102;&#21191;&#26234;-&#22238;&#22635;1130912.xlsx" TargetMode="External"/><Relationship Id="rId1" Type="http://schemas.openxmlformats.org/officeDocument/2006/relationships/externalLinkPath" Target="file:///D:\@&#19977;&#21512;&#27211;\2-&#30435;&#36896;\&#38515;&#21191;&#26234;\&#32102;&#21191;&#26234;\&#32102;&#21191;&#26234;-&#22238;&#22635;11309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130912"/>
      <sheetName val="1130909"/>
      <sheetName val="1130812"/>
      <sheetName val="高程及工密"/>
    </sheetNames>
    <sheetDataSet>
      <sheetData sheetId="0" refreshError="1"/>
      <sheetData sheetId="1" refreshError="1"/>
      <sheetData sheetId="2" refreshError="1"/>
      <sheetData sheetId="3">
        <row r="2">
          <cell r="H2">
            <v>4.0999999999999996</v>
          </cell>
          <cell r="K2">
            <v>6.8</v>
          </cell>
        </row>
        <row r="3">
          <cell r="H3">
            <v>4.1400000000000006</v>
          </cell>
          <cell r="K3">
            <v>6.89</v>
          </cell>
        </row>
        <row r="4">
          <cell r="H4">
            <v>4.45</v>
          </cell>
          <cell r="K4">
            <v>6.56</v>
          </cell>
        </row>
        <row r="5">
          <cell r="H5">
            <v>4.49</v>
          </cell>
          <cell r="K5">
            <v>5.7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健 瑞" id="{73D37375-8D78-430B-AACC-C6707D42A002}" userId="6b96b5403f9436a5" providerId="Windows Live"/>
</personList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53" dT="2024-09-11T02:44:12.94" personId="{73D37375-8D78-430B-AACC-C6707D42A002}" id="{4BE8F794-9C65-4DD8-8FC2-E1E29A25B91C}">
    <text>112.11.13-113.5.31止每日5H*3人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634" dT="2024-09-11T02:44:12.94" personId="{73D37375-8D78-430B-AACC-C6707D42A002}" id="{064C7B3E-620D-492F-AE77-2DDD2A42495B}">
    <text>112.11.13-113.5.31止每日5H*3人
112.11.23北市工水工字第1126063128號(三合橋-檢送1115第2次施工疑義會議紀錄)
112.09.01-北市工水工字第1126048706號-百齡抽水站暫置會勘紀錄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719" dT="2024-09-11T02:44:12.94" personId="{73D37375-8D78-430B-AACC-C6707D42A002}" id="{C1E79C67-9F04-402C-8343-AEF02C7B40B0}">
    <text>112.11.13-113.5.31止每日5H*3人
112.11.23北市工水工字第1126063128號(三合橋-檢送1115第2次施工疑義會議紀錄)
112.09.01-北市工水工字第1126048706號-百齡抽水站暫置會勘紀錄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10" dT="2024-11-21T08:14:55.17" personId="{73D37375-8D78-430B-AACC-C6707D42A002}" id="{86F3637F-E7E0-4D65-93A4-AAA516D62A97}">
    <text>113.11.11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8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3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56A95-7069-4CFE-8BE4-997D61CD3D8C}">
  <sheetPr filterMode="1"/>
  <dimension ref="A1:U482"/>
  <sheetViews>
    <sheetView view="pageBreakPreview" zoomScale="87" zoomScaleNormal="100" zoomScaleSheetLayoutView="87" workbookViewId="0">
      <pane ySplit="8" topLeftCell="A132" activePane="bottomLeft" state="frozen"/>
      <selection pane="bottomLeft" activeCell="I479" sqref="I479"/>
    </sheetView>
  </sheetViews>
  <sheetFormatPr defaultColWidth="9.140625" defaultRowHeight="12.75"/>
  <cols>
    <col min="1" max="1" width="3.28515625" style="82" customWidth="1"/>
    <col min="2" max="2" width="31.140625" style="82" customWidth="1"/>
    <col min="3" max="3" width="4.140625" style="82" customWidth="1"/>
    <col min="4" max="6" width="9.28515625" style="82" customWidth="1"/>
    <col min="7" max="7" width="11.7109375" style="82" customWidth="1"/>
    <col min="8" max="8" width="10.7109375" style="82" customWidth="1"/>
    <col min="9" max="10" width="14.7109375" style="82" customWidth="1"/>
    <col min="11" max="11" width="14.7109375" style="545" customWidth="1"/>
    <col min="12" max="12" width="14.7109375" style="94" customWidth="1"/>
    <col min="13" max="13" width="14.28515625" style="82" customWidth="1"/>
    <col min="14" max="14" width="2.28515625" style="82" customWidth="1"/>
    <col min="15" max="15" width="24.140625" style="325" customWidth="1"/>
    <col min="16" max="16" width="26.42578125" style="325" customWidth="1"/>
    <col min="17" max="17" width="21.7109375" style="82" customWidth="1"/>
    <col min="18" max="18" width="28.5703125" style="82" customWidth="1"/>
    <col min="19" max="19" width="25" style="82" customWidth="1"/>
    <col min="20" max="20" width="16.140625" style="82" customWidth="1"/>
    <col min="21" max="16384" width="9.140625" style="82"/>
  </cols>
  <sheetData>
    <row r="1" spans="1:17" ht="25.5">
      <c r="A1" s="323"/>
      <c r="B1" s="323"/>
      <c r="C1" s="980" t="s">
        <v>230</v>
      </c>
      <c r="D1" s="980"/>
      <c r="E1" s="980"/>
      <c r="F1" s="980"/>
      <c r="G1" s="980"/>
      <c r="H1" s="980"/>
      <c r="I1" s="980"/>
      <c r="J1" s="980"/>
      <c r="K1" s="980"/>
      <c r="L1" s="531"/>
      <c r="M1" s="324"/>
      <c r="N1" s="1"/>
    </row>
    <row r="2" spans="1:17" ht="19.5" hidden="1">
      <c r="A2" s="981" t="s">
        <v>242</v>
      </c>
      <c r="B2" s="981"/>
      <c r="C2" s="982" t="s">
        <v>2603</v>
      </c>
      <c r="D2" s="982"/>
      <c r="E2" s="982"/>
      <c r="F2" s="982"/>
      <c r="G2" s="982"/>
      <c r="H2" s="982"/>
      <c r="I2" s="982"/>
      <c r="J2" s="982"/>
      <c r="K2" s="982"/>
      <c r="L2" s="532"/>
      <c r="M2" s="29"/>
      <c r="N2" s="1"/>
    </row>
    <row r="3" spans="1:17" ht="16.5" hidden="1">
      <c r="A3" s="983" t="s">
        <v>2140</v>
      </c>
      <c r="B3" s="983"/>
      <c r="C3" s="983"/>
      <c r="D3" s="983"/>
      <c r="E3" s="983"/>
      <c r="F3" s="983"/>
      <c r="G3" s="983"/>
      <c r="H3" s="983"/>
      <c r="I3" s="983"/>
      <c r="J3" s="983"/>
      <c r="K3" s="537" t="s">
        <v>2299</v>
      </c>
      <c r="L3" s="984">
        <v>45653</v>
      </c>
      <c r="M3" s="984"/>
      <c r="N3" s="327"/>
      <c r="P3" s="328"/>
    </row>
    <row r="4" spans="1:17" ht="16.5" hidden="1">
      <c r="A4" s="975" t="s">
        <v>2486</v>
      </c>
      <c r="B4" s="976"/>
      <c r="C4" s="976"/>
      <c r="D4" s="976"/>
      <c r="E4" s="976"/>
      <c r="F4" s="976"/>
      <c r="G4" s="976"/>
      <c r="H4" s="976"/>
      <c r="I4" s="977"/>
      <c r="J4" s="329" t="s">
        <v>2300</v>
      </c>
      <c r="K4" s="538"/>
      <c r="L4" s="973">
        <v>257600000</v>
      </c>
      <c r="M4" s="974"/>
      <c r="N4" s="327"/>
      <c r="O4" s="328"/>
    </row>
    <row r="5" spans="1:17" ht="16.5" hidden="1">
      <c r="A5" s="970" t="s">
        <v>2604</v>
      </c>
      <c r="B5" s="971"/>
      <c r="C5" s="971"/>
      <c r="D5" s="971"/>
      <c r="E5" s="971"/>
      <c r="F5" s="971"/>
      <c r="G5" s="971"/>
      <c r="H5" s="971"/>
      <c r="I5" s="972"/>
      <c r="J5" s="387" t="s">
        <v>2301</v>
      </c>
      <c r="K5" s="539"/>
      <c r="L5" s="973">
        <v>308240521</v>
      </c>
      <c r="M5" s="974"/>
      <c r="N5" s="327"/>
    </row>
    <row r="6" spans="1:17" ht="16.5" hidden="1">
      <c r="A6" s="975" t="s">
        <v>2637</v>
      </c>
      <c r="B6" s="976"/>
      <c r="C6" s="976"/>
      <c r="D6" s="976"/>
      <c r="E6" s="976"/>
      <c r="F6" s="976"/>
      <c r="G6" s="976"/>
      <c r="H6" s="976"/>
      <c r="I6" s="977"/>
      <c r="J6" s="329" t="s">
        <v>2302</v>
      </c>
      <c r="K6" s="538"/>
      <c r="L6" s="978" t="e">
        <f>J9</f>
        <v>#VALUE!</v>
      </c>
      <c r="M6" s="979"/>
      <c r="N6" s="327"/>
      <c r="O6" s="331"/>
      <c r="P6" s="331"/>
    </row>
    <row r="7" spans="1:17" ht="14.25" hidden="1" customHeight="1">
      <c r="A7" s="957" t="s">
        <v>235</v>
      </c>
      <c r="B7" s="964" t="s">
        <v>2303</v>
      </c>
      <c r="C7" s="964" t="s">
        <v>237</v>
      </c>
      <c r="D7" s="957" t="s">
        <v>2605</v>
      </c>
      <c r="E7" s="957" t="s">
        <v>2602</v>
      </c>
      <c r="F7" s="968" t="s">
        <v>2305</v>
      </c>
      <c r="G7" s="957" t="s">
        <v>2306</v>
      </c>
      <c r="H7" s="957" t="s">
        <v>2307</v>
      </c>
      <c r="I7" s="957" t="s">
        <v>2308</v>
      </c>
      <c r="J7" s="957" t="s">
        <v>2612</v>
      </c>
      <c r="K7" s="959" t="s">
        <v>2309</v>
      </c>
      <c r="L7" s="961" t="s">
        <v>2310</v>
      </c>
      <c r="M7" s="964" t="s">
        <v>2311</v>
      </c>
      <c r="N7" s="332"/>
      <c r="O7" s="966" t="s">
        <v>2312</v>
      </c>
      <c r="P7" s="967" t="s">
        <v>2313</v>
      </c>
      <c r="Q7" s="963" t="s">
        <v>2314</v>
      </c>
    </row>
    <row r="8" spans="1:17" ht="14.25" hidden="1">
      <c r="A8" s="958"/>
      <c r="B8" s="965"/>
      <c r="C8" s="965"/>
      <c r="D8" s="958"/>
      <c r="E8" s="958"/>
      <c r="F8" s="969"/>
      <c r="G8" s="958"/>
      <c r="H8" s="958"/>
      <c r="I8" s="958"/>
      <c r="J8" s="958"/>
      <c r="K8" s="960"/>
      <c r="L8" s="962"/>
      <c r="M8" s="965"/>
      <c r="N8" s="332"/>
      <c r="O8" s="966"/>
      <c r="P8" s="967"/>
      <c r="Q8" s="963"/>
    </row>
    <row r="9" spans="1:17" ht="33" hidden="1">
      <c r="A9" s="333" t="s">
        <v>10</v>
      </c>
      <c r="B9" s="334" t="s">
        <v>12</v>
      </c>
      <c r="C9" s="335" t="s">
        <v>4</v>
      </c>
      <c r="D9" s="336"/>
      <c r="E9" s="336"/>
      <c r="F9" s="336"/>
      <c r="G9" s="336">
        <f>I9</f>
        <v>308240521.00000006</v>
      </c>
      <c r="H9" s="336"/>
      <c r="I9" s="419">
        <f>I10+I358+I384+I424+I428+I448+I468+I471+I472+I474</f>
        <v>308240521.00000006</v>
      </c>
      <c r="J9" s="419" t="e">
        <f>J10+J358+J384+J424+J428+J448+J468+J471+J472+J474</f>
        <v>#VALUE!</v>
      </c>
      <c r="K9" s="540" t="e">
        <f>K10+K358+K384+K424+K428+K448+K468+K471+K472+K474</f>
        <v>#VALUE!</v>
      </c>
      <c r="L9" s="453" t="e">
        <f>L10+L358+L384+L424+L428+L448+L468+L471+L472+L474</f>
        <v>#VALUE!</v>
      </c>
      <c r="M9" s="419"/>
      <c r="N9" s="11" t="s">
        <v>243</v>
      </c>
      <c r="O9" s="338" t="e">
        <f>K9+L9</f>
        <v>#VALUE!</v>
      </c>
      <c r="P9" s="339"/>
    </row>
    <row r="10" spans="1:17" ht="33" hidden="1">
      <c r="A10" s="333" t="s">
        <v>2152</v>
      </c>
      <c r="B10" s="334" t="s">
        <v>2</v>
      </c>
      <c r="C10" s="335" t="s">
        <v>4</v>
      </c>
      <c r="D10" s="336"/>
      <c r="E10" s="336"/>
      <c r="F10" s="336"/>
      <c r="G10" s="336">
        <f>I10</f>
        <v>232868088.52999997</v>
      </c>
      <c r="H10" s="336"/>
      <c r="I10" s="419">
        <f>I11+I37+I128+I170+I199+I219+I236+I314+I348</f>
        <v>232868088.52999997</v>
      </c>
      <c r="J10" s="419" t="e">
        <f>J11+J37+J128+J170+J199+J219+J236+J314+J348</f>
        <v>#VALUE!</v>
      </c>
      <c r="K10" s="540" t="e">
        <f>K11+K37+K128+K170+K199+K219+K236+K314+K348</f>
        <v>#VALUE!</v>
      </c>
      <c r="L10" s="453" t="e">
        <f>L11+L37+L128+L170+L199+L219+L236+L314+L348</f>
        <v>#VALUE!</v>
      </c>
      <c r="M10" s="231" t="s">
        <v>242</v>
      </c>
      <c r="N10" s="11" t="s">
        <v>243</v>
      </c>
      <c r="O10" s="341"/>
      <c r="P10" s="339"/>
    </row>
    <row r="11" spans="1:17" ht="33" hidden="1">
      <c r="A11" s="406" t="s">
        <v>2153</v>
      </c>
      <c r="B11" s="407" t="s">
        <v>244</v>
      </c>
      <c r="C11" s="408" t="s">
        <v>4</v>
      </c>
      <c r="D11" s="409"/>
      <c r="E11" s="409"/>
      <c r="F11" s="409"/>
      <c r="G11" s="409">
        <v>61233815.539999999</v>
      </c>
      <c r="H11" s="409"/>
      <c r="I11" s="411">
        <f>SUM(I12:I36)</f>
        <v>61233815.539999984</v>
      </c>
      <c r="J11" s="411" t="e">
        <f>SUM(J12:J36)</f>
        <v>#VALUE!</v>
      </c>
      <c r="K11" s="541" t="e">
        <f>SUM(K12:K36)</f>
        <v>#VALUE!</v>
      </c>
      <c r="L11" s="454" t="e">
        <f>SUM(L12:L36)</f>
        <v>#VALUE!</v>
      </c>
      <c r="M11" s="288" t="s">
        <v>242</v>
      </c>
      <c r="N11" s="11" t="s">
        <v>243</v>
      </c>
      <c r="O11" s="338"/>
      <c r="P11" s="339"/>
    </row>
    <row r="12" spans="1:17" ht="33" hidden="1">
      <c r="A12" s="333" t="s">
        <v>2154</v>
      </c>
      <c r="B12" s="334" t="s">
        <v>245</v>
      </c>
      <c r="C12" s="335" t="s">
        <v>6</v>
      </c>
      <c r="D12" s="336">
        <v>720.24</v>
      </c>
      <c r="E12" s="336">
        <f>估驗單!F8</f>
        <v>720.24</v>
      </c>
      <c r="F12" s="390"/>
      <c r="G12" s="336">
        <v>193.11</v>
      </c>
      <c r="H12" s="336"/>
      <c r="I12" s="336">
        <f t="shared" ref="I12:I36" si="0">ROUND(D12*G12,2)</f>
        <v>139085.54999999999</v>
      </c>
      <c r="J12" s="336">
        <f t="shared" ref="J12:J36" si="1">ROUND(E12*G12,2)</f>
        <v>139085.54999999999</v>
      </c>
      <c r="K12" s="546">
        <f>J12-I12</f>
        <v>0</v>
      </c>
      <c r="L12" s="546">
        <f>I12-J12</f>
        <v>0</v>
      </c>
      <c r="M12" s="231" t="s">
        <v>242</v>
      </c>
      <c r="N12" s="11" t="s">
        <v>243</v>
      </c>
      <c r="O12" s="341"/>
      <c r="P12" s="339"/>
    </row>
    <row r="13" spans="1:17" ht="33" hidden="1">
      <c r="A13" s="333" t="s">
        <v>2155</v>
      </c>
      <c r="B13" s="334" t="s">
        <v>247</v>
      </c>
      <c r="C13" s="335" t="s">
        <v>6</v>
      </c>
      <c r="D13" s="336">
        <v>4813.4399999999996</v>
      </c>
      <c r="E13" s="336">
        <f>估驗單!F9</f>
        <v>4813.4399999999996</v>
      </c>
      <c r="F13" s="390"/>
      <c r="G13" s="336">
        <v>1046.1600000000001</v>
      </c>
      <c r="H13" s="336"/>
      <c r="I13" s="336">
        <f t="shared" si="0"/>
        <v>5035628.3899999997</v>
      </c>
      <c r="J13" s="336">
        <f t="shared" si="1"/>
        <v>5035628.3899999997</v>
      </c>
      <c r="K13" s="546">
        <f t="shared" ref="K13:K78" si="2">J13-I13</f>
        <v>0</v>
      </c>
      <c r="L13" s="546">
        <f t="shared" ref="L13:L36" si="3">I13-J13</f>
        <v>0</v>
      </c>
      <c r="M13" s="231" t="s">
        <v>242</v>
      </c>
      <c r="N13" s="11" t="s">
        <v>243</v>
      </c>
      <c r="O13" s="341"/>
      <c r="P13" s="339"/>
    </row>
    <row r="14" spans="1:17" ht="57" hidden="1">
      <c r="A14" s="333" t="s">
        <v>2156</v>
      </c>
      <c r="B14" s="334" t="s">
        <v>249</v>
      </c>
      <c r="C14" s="335" t="s">
        <v>8</v>
      </c>
      <c r="D14" s="336">
        <v>1743</v>
      </c>
      <c r="E14" s="336">
        <f>估驗單!F10</f>
        <v>1743</v>
      </c>
      <c r="F14" s="390"/>
      <c r="G14" s="336">
        <v>6199.66</v>
      </c>
      <c r="H14" s="336"/>
      <c r="I14" s="336">
        <f t="shared" si="0"/>
        <v>10806007.380000001</v>
      </c>
      <c r="J14" s="336">
        <f t="shared" si="1"/>
        <v>10806007.380000001</v>
      </c>
      <c r="K14" s="546">
        <f t="shared" si="2"/>
        <v>0</v>
      </c>
      <c r="L14" s="546">
        <f t="shared" si="3"/>
        <v>0</v>
      </c>
      <c r="M14" s="231" t="s">
        <v>2315</v>
      </c>
      <c r="N14" s="11" t="s">
        <v>243</v>
      </c>
      <c r="O14" s="341"/>
      <c r="P14" s="339"/>
    </row>
    <row r="15" spans="1:17" ht="56.25" hidden="1">
      <c r="A15" s="333" t="s">
        <v>2157</v>
      </c>
      <c r="B15" s="334" t="s">
        <v>194</v>
      </c>
      <c r="C15" s="335" t="s">
        <v>23</v>
      </c>
      <c r="D15" s="336">
        <v>28009.56</v>
      </c>
      <c r="E15" s="336">
        <f>估驗單!F11</f>
        <v>28009.56</v>
      </c>
      <c r="F15" s="390"/>
      <c r="G15" s="336">
        <v>48.28</v>
      </c>
      <c r="H15" s="336"/>
      <c r="I15" s="336">
        <f t="shared" si="0"/>
        <v>1352301.56</v>
      </c>
      <c r="J15" s="336">
        <f t="shared" si="1"/>
        <v>1352301.56</v>
      </c>
      <c r="K15" s="546">
        <f t="shared" si="2"/>
        <v>0</v>
      </c>
      <c r="L15" s="546">
        <f t="shared" si="3"/>
        <v>0</v>
      </c>
      <c r="M15" s="231" t="s">
        <v>242</v>
      </c>
      <c r="N15" s="11" t="s">
        <v>243</v>
      </c>
      <c r="O15" s="341" t="s">
        <v>2316</v>
      </c>
      <c r="P15" s="339" t="s">
        <v>2317</v>
      </c>
      <c r="Q15" s="342" t="s">
        <v>2318</v>
      </c>
    </row>
    <row r="16" spans="1:17" ht="33" hidden="1">
      <c r="A16" s="333" t="s">
        <v>2158</v>
      </c>
      <c r="B16" s="334" t="s">
        <v>252</v>
      </c>
      <c r="C16" s="335" t="s">
        <v>6</v>
      </c>
      <c r="D16" s="336">
        <v>4726.67</v>
      </c>
      <c r="E16" s="336">
        <f>估驗單!F12</f>
        <v>4726.67</v>
      </c>
      <c r="F16" s="390"/>
      <c r="G16" s="336">
        <v>599.71</v>
      </c>
      <c r="H16" s="336"/>
      <c r="I16" s="336">
        <f t="shared" si="0"/>
        <v>2834631.27</v>
      </c>
      <c r="J16" s="336">
        <f t="shared" si="1"/>
        <v>2834631.27</v>
      </c>
      <c r="K16" s="546">
        <f t="shared" si="2"/>
        <v>0</v>
      </c>
      <c r="L16" s="546">
        <f t="shared" si="3"/>
        <v>0</v>
      </c>
      <c r="M16" s="231" t="s">
        <v>242</v>
      </c>
      <c r="N16" s="11" t="s">
        <v>243</v>
      </c>
      <c r="O16" s="341"/>
      <c r="P16" s="339"/>
    </row>
    <row r="17" spans="1:16" ht="33" hidden="1">
      <c r="A17" s="333" t="s">
        <v>2159</v>
      </c>
      <c r="B17" s="334" t="s">
        <v>255</v>
      </c>
      <c r="C17" s="335" t="s">
        <v>6</v>
      </c>
      <c r="D17" s="336">
        <v>13120</v>
      </c>
      <c r="E17" s="336">
        <f>估驗單!F13</f>
        <v>13120</v>
      </c>
      <c r="F17" s="390"/>
      <c r="G17" s="336">
        <v>104.64</v>
      </c>
      <c r="H17" s="336"/>
      <c r="I17" s="336">
        <f t="shared" si="0"/>
        <v>1372876.8</v>
      </c>
      <c r="J17" s="336">
        <f t="shared" si="1"/>
        <v>1372876.8</v>
      </c>
      <c r="K17" s="546">
        <f t="shared" si="2"/>
        <v>0</v>
      </c>
      <c r="L17" s="546">
        <f t="shared" si="3"/>
        <v>0</v>
      </c>
      <c r="M17" s="231" t="s">
        <v>242</v>
      </c>
      <c r="N17" s="11" t="s">
        <v>243</v>
      </c>
      <c r="O17" s="341"/>
      <c r="P17" s="339"/>
    </row>
    <row r="18" spans="1:16" ht="57" hidden="1">
      <c r="A18" s="333" t="s">
        <v>2160</v>
      </c>
      <c r="B18" s="334" t="s">
        <v>258</v>
      </c>
      <c r="C18" s="335" t="s">
        <v>23</v>
      </c>
      <c r="D18" s="336">
        <v>13251</v>
      </c>
      <c r="E18" s="336">
        <f>估驗單!F14</f>
        <v>4994</v>
      </c>
      <c r="F18" s="390"/>
      <c r="G18" s="336">
        <v>1027.3699999999999</v>
      </c>
      <c r="H18" s="336"/>
      <c r="I18" s="336">
        <f t="shared" si="0"/>
        <v>13613679.869999999</v>
      </c>
      <c r="J18" s="336">
        <f t="shared" si="1"/>
        <v>5130685.78</v>
      </c>
      <c r="K18" s="546">
        <f t="shared" si="2"/>
        <v>-8482994.0899999999</v>
      </c>
      <c r="L18" s="546">
        <f t="shared" si="3"/>
        <v>8482994.0899999999</v>
      </c>
      <c r="M18" s="231" t="s">
        <v>2319</v>
      </c>
      <c r="N18" s="11" t="s">
        <v>243</v>
      </c>
      <c r="O18" s="341"/>
      <c r="P18" s="339"/>
    </row>
    <row r="19" spans="1:16" ht="33" hidden="1">
      <c r="A19" s="333" t="s">
        <v>2161</v>
      </c>
      <c r="B19" s="334" t="s">
        <v>261</v>
      </c>
      <c r="C19" s="335" t="s">
        <v>6</v>
      </c>
      <c r="D19" s="336">
        <v>4601.4399999999996</v>
      </c>
      <c r="E19" s="336" t="str">
        <f>估驗單!F15</f>
        <v>0_x000D_</v>
      </c>
      <c r="F19" s="390"/>
      <c r="G19" s="336">
        <v>1084.98</v>
      </c>
      <c r="H19" s="336"/>
      <c r="I19" s="336">
        <f t="shared" si="0"/>
        <v>4992470.37</v>
      </c>
      <c r="J19" s="336" t="e">
        <f t="shared" si="1"/>
        <v>#VALUE!</v>
      </c>
      <c r="K19" s="546" t="e">
        <f t="shared" si="2"/>
        <v>#VALUE!</v>
      </c>
      <c r="L19" s="546" t="e">
        <f t="shared" si="3"/>
        <v>#VALUE!</v>
      </c>
      <c r="M19" s="231" t="s">
        <v>242</v>
      </c>
      <c r="N19" s="11" t="s">
        <v>243</v>
      </c>
      <c r="O19" s="341"/>
      <c r="P19" s="339"/>
    </row>
    <row r="20" spans="1:16" ht="42.75" hidden="1">
      <c r="A20" s="333" t="s">
        <v>2162</v>
      </c>
      <c r="B20" s="334" t="s">
        <v>264</v>
      </c>
      <c r="C20" s="335" t="s">
        <v>13</v>
      </c>
      <c r="D20" s="336">
        <v>2588.5</v>
      </c>
      <c r="E20" s="336">
        <f>估驗單!F16</f>
        <v>2588.5</v>
      </c>
      <c r="F20" s="390"/>
      <c r="G20" s="336">
        <v>30.45</v>
      </c>
      <c r="H20" s="336"/>
      <c r="I20" s="336">
        <f t="shared" si="0"/>
        <v>78819.83</v>
      </c>
      <c r="J20" s="336">
        <f t="shared" si="1"/>
        <v>78819.83</v>
      </c>
      <c r="K20" s="546">
        <f t="shared" si="2"/>
        <v>0</v>
      </c>
      <c r="L20" s="546">
        <f t="shared" si="3"/>
        <v>0</v>
      </c>
      <c r="M20" s="231" t="s">
        <v>2320</v>
      </c>
      <c r="N20" s="11" t="s">
        <v>243</v>
      </c>
      <c r="O20" s="341"/>
      <c r="P20" s="339"/>
    </row>
    <row r="21" spans="1:16" ht="33" hidden="1">
      <c r="A21" s="333" t="s">
        <v>2163</v>
      </c>
      <c r="B21" s="334" t="s">
        <v>267</v>
      </c>
      <c r="C21" s="335" t="s">
        <v>13</v>
      </c>
      <c r="D21" s="336">
        <v>9177</v>
      </c>
      <c r="E21" s="336">
        <f>估驗單!F17</f>
        <v>9177</v>
      </c>
      <c r="F21" s="390"/>
      <c r="G21" s="336">
        <v>28.48</v>
      </c>
      <c r="H21" s="336"/>
      <c r="I21" s="336">
        <f t="shared" si="0"/>
        <v>261360.96</v>
      </c>
      <c r="J21" s="336">
        <f t="shared" si="1"/>
        <v>261360.96</v>
      </c>
      <c r="K21" s="546">
        <f t="shared" si="2"/>
        <v>0</v>
      </c>
      <c r="L21" s="546">
        <f t="shared" si="3"/>
        <v>0</v>
      </c>
      <c r="M21" s="231" t="s">
        <v>242</v>
      </c>
      <c r="N21" s="11" t="s">
        <v>243</v>
      </c>
      <c r="O21" s="341"/>
      <c r="P21" s="339"/>
    </row>
    <row r="22" spans="1:16" ht="33" hidden="1">
      <c r="A22" s="333" t="s">
        <v>2164</v>
      </c>
      <c r="B22" s="334" t="s">
        <v>270</v>
      </c>
      <c r="C22" s="335" t="s">
        <v>8</v>
      </c>
      <c r="D22" s="336">
        <v>162.5</v>
      </c>
      <c r="E22" s="336">
        <f>估驗單!F18</f>
        <v>162.5</v>
      </c>
      <c r="F22" s="390"/>
      <c r="G22" s="336">
        <v>65.400000000000006</v>
      </c>
      <c r="H22" s="336"/>
      <c r="I22" s="336">
        <f t="shared" si="0"/>
        <v>10627.5</v>
      </c>
      <c r="J22" s="336">
        <f t="shared" si="1"/>
        <v>10627.5</v>
      </c>
      <c r="K22" s="546">
        <f t="shared" si="2"/>
        <v>0</v>
      </c>
      <c r="L22" s="546">
        <f t="shared" si="3"/>
        <v>0</v>
      </c>
      <c r="M22" s="231" t="s">
        <v>242</v>
      </c>
      <c r="N22" s="11" t="s">
        <v>243</v>
      </c>
      <c r="O22" s="341"/>
      <c r="P22" s="339"/>
    </row>
    <row r="23" spans="1:16" ht="33" hidden="1">
      <c r="A23" s="333" t="s">
        <v>2165</v>
      </c>
      <c r="B23" s="334" t="s">
        <v>273</v>
      </c>
      <c r="C23" s="335" t="s">
        <v>13</v>
      </c>
      <c r="D23" s="336">
        <v>5217.7</v>
      </c>
      <c r="E23" s="336">
        <f>估驗單!F19</f>
        <v>5217.7</v>
      </c>
      <c r="F23" s="390"/>
      <c r="G23" s="336">
        <v>20.190000000000001</v>
      </c>
      <c r="H23" s="336"/>
      <c r="I23" s="336">
        <f t="shared" si="0"/>
        <v>105345.36</v>
      </c>
      <c r="J23" s="336">
        <f t="shared" si="1"/>
        <v>105345.36</v>
      </c>
      <c r="K23" s="546">
        <f t="shared" si="2"/>
        <v>0</v>
      </c>
      <c r="L23" s="546">
        <f t="shared" si="3"/>
        <v>0</v>
      </c>
      <c r="M23" s="231" t="s">
        <v>242</v>
      </c>
      <c r="N23" s="11" t="s">
        <v>243</v>
      </c>
      <c r="O23" s="341"/>
      <c r="P23" s="339"/>
    </row>
    <row r="24" spans="1:16" ht="33" hidden="1">
      <c r="A24" s="343" t="s">
        <v>2166</v>
      </c>
      <c r="B24" s="344" t="s">
        <v>276</v>
      </c>
      <c r="C24" s="345" t="s">
        <v>6</v>
      </c>
      <c r="D24" s="340">
        <v>782.66</v>
      </c>
      <c r="E24" s="336">
        <f>估驗單!F20</f>
        <v>782.66</v>
      </c>
      <c r="F24" s="390"/>
      <c r="G24" s="340">
        <v>2286.6799999999998</v>
      </c>
      <c r="H24" s="340"/>
      <c r="I24" s="336">
        <f t="shared" si="0"/>
        <v>1789692.97</v>
      </c>
      <c r="J24" s="336">
        <f t="shared" si="1"/>
        <v>1789692.97</v>
      </c>
      <c r="K24" s="546">
        <f t="shared" si="2"/>
        <v>0</v>
      </c>
      <c r="L24" s="546">
        <f t="shared" si="3"/>
        <v>0</v>
      </c>
      <c r="M24" s="346" t="s">
        <v>2321</v>
      </c>
      <c r="N24" s="347" t="s">
        <v>243</v>
      </c>
      <c r="O24" s="348"/>
      <c r="P24" s="349"/>
    </row>
    <row r="25" spans="1:16" ht="33" hidden="1">
      <c r="A25" s="333" t="s">
        <v>2167</v>
      </c>
      <c r="B25" s="334" t="s">
        <v>279</v>
      </c>
      <c r="C25" s="335" t="s">
        <v>14</v>
      </c>
      <c r="D25" s="336">
        <v>425</v>
      </c>
      <c r="E25" s="336">
        <f>估驗單!F21</f>
        <v>425</v>
      </c>
      <c r="F25" s="390"/>
      <c r="G25" s="336">
        <v>521.15</v>
      </c>
      <c r="H25" s="336"/>
      <c r="I25" s="336">
        <f t="shared" si="0"/>
        <v>221488.75</v>
      </c>
      <c r="J25" s="336">
        <f t="shared" si="1"/>
        <v>221488.75</v>
      </c>
      <c r="K25" s="546">
        <f t="shared" si="2"/>
        <v>0</v>
      </c>
      <c r="L25" s="546">
        <f t="shared" si="3"/>
        <v>0</v>
      </c>
      <c r="M25" s="231" t="s">
        <v>2322</v>
      </c>
      <c r="N25" s="11" t="s">
        <v>243</v>
      </c>
      <c r="O25" s="341"/>
      <c r="P25" s="339"/>
    </row>
    <row r="26" spans="1:16" ht="33" hidden="1">
      <c r="A26" s="503" t="s">
        <v>2168</v>
      </c>
      <c r="B26" s="504" t="s">
        <v>282</v>
      </c>
      <c r="C26" s="505" t="s">
        <v>8</v>
      </c>
      <c r="D26" s="506">
        <v>255.5</v>
      </c>
      <c r="E26" s="506">
        <f>估驗單!F22</f>
        <v>415.08000000000004</v>
      </c>
      <c r="F26" s="507">
        <f t="shared" ref="F26:F91" si="4">E26-D26</f>
        <v>159.58000000000004</v>
      </c>
      <c r="G26" s="506">
        <v>289.67</v>
      </c>
      <c r="H26" s="506"/>
      <c r="I26" s="506">
        <f t="shared" si="0"/>
        <v>74010.69</v>
      </c>
      <c r="J26" s="506">
        <f t="shared" si="1"/>
        <v>120236.22</v>
      </c>
      <c r="K26" s="547">
        <f t="shared" si="2"/>
        <v>46225.53</v>
      </c>
      <c r="L26" s="547"/>
      <c r="M26" s="508" t="s">
        <v>242</v>
      </c>
      <c r="N26" s="11" t="s">
        <v>243</v>
      </c>
      <c r="O26" s="341"/>
      <c r="P26" s="339"/>
    </row>
    <row r="27" spans="1:16" ht="33" hidden="1">
      <c r="A27" s="333" t="s">
        <v>2169</v>
      </c>
      <c r="B27" s="334" t="s">
        <v>285</v>
      </c>
      <c r="C27" s="335" t="s">
        <v>286</v>
      </c>
      <c r="D27" s="336">
        <v>2204</v>
      </c>
      <c r="E27" s="336">
        <f>估驗單!F23</f>
        <v>2204</v>
      </c>
      <c r="F27" s="390"/>
      <c r="G27" s="336">
        <v>3082.11</v>
      </c>
      <c r="H27" s="336"/>
      <c r="I27" s="336">
        <f t="shared" si="0"/>
        <v>6792970.4400000004</v>
      </c>
      <c r="J27" s="336">
        <f t="shared" si="1"/>
        <v>6792970.4400000004</v>
      </c>
      <c r="K27" s="546">
        <f t="shared" si="2"/>
        <v>0</v>
      </c>
      <c r="L27" s="546">
        <f t="shared" si="3"/>
        <v>0</v>
      </c>
      <c r="M27" s="231" t="s">
        <v>242</v>
      </c>
      <c r="N27" s="11" t="s">
        <v>243</v>
      </c>
      <c r="O27" s="341"/>
      <c r="P27" s="339"/>
    </row>
    <row r="28" spans="1:16" ht="33" hidden="1">
      <c r="A28" s="333" t="s">
        <v>2170</v>
      </c>
      <c r="B28" s="334" t="s">
        <v>289</v>
      </c>
      <c r="C28" s="335" t="s">
        <v>290</v>
      </c>
      <c r="D28" s="336">
        <v>66</v>
      </c>
      <c r="E28" s="336">
        <f>估驗單!F24</f>
        <v>66</v>
      </c>
      <c r="F28" s="390"/>
      <c r="G28" s="336">
        <v>3311.26</v>
      </c>
      <c r="H28" s="336"/>
      <c r="I28" s="336">
        <f t="shared" si="0"/>
        <v>218543.16</v>
      </c>
      <c r="J28" s="336">
        <f t="shared" si="1"/>
        <v>218543.16</v>
      </c>
      <c r="K28" s="546">
        <f t="shared" si="2"/>
        <v>0</v>
      </c>
      <c r="L28" s="546">
        <f t="shared" si="3"/>
        <v>0</v>
      </c>
      <c r="M28" s="231" t="s">
        <v>2323</v>
      </c>
      <c r="N28" s="11" t="s">
        <v>243</v>
      </c>
      <c r="O28" s="341"/>
      <c r="P28" s="339"/>
    </row>
    <row r="29" spans="1:16" ht="33" hidden="1">
      <c r="A29" s="333" t="s">
        <v>2171</v>
      </c>
      <c r="B29" s="334" t="s">
        <v>293</v>
      </c>
      <c r="C29" s="335" t="s">
        <v>0</v>
      </c>
      <c r="D29" s="336">
        <v>18</v>
      </c>
      <c r="E29" s="336">
        <f>估驗單!F25</f>
        <v>18</v>
      </c>
      <c r="F29" s="390"/>
      <c r="G29" s="336">
        <v>1199.93</v>
      </c>
      <c r="H29" s="336"/>
      <c r="I29" s="336">
        <f t="shared" si="0"/>
        <v>21598.74</v>
      </c>
      <c r="J29" s="336">
        <f t="shared" si="1"/>
        <v>21598.74</v>
      </c>
      <c r="K29" s="546">
        <f t="shared" si="2"/>
        <v>0</v>
      </c>
      <c r="L29" s="546">
        <f t="shared" si="3"/>
        <v>0</v>
      </c>
      <c r="M29" s="231" t="s">
        <v>2323</v>
      </c>
      <c r="N29" s="11" t="s">
        <v>243</v>
      </c>
      <c r="O29" s="341"/>
      <c r="P29" s="339"/>
    </row>
    <row r="30" spans="1:16" ht="33" hidden="1">
      <c r="A30" s="333" t="s">
        <v>2172</v>
      </c>
      <c r="B30" s="334" t="s">
        <v>296</v>
      </c>
      <c r="C30" s="335" t="s">
        <v>0</v>
      </c>
      <c r="D30" s="336">
        <v>4</v>
      </c>
      <c r="E30" s="336">
        <f>估驗單!F26</f>
        <v>4</v>
      </c>
      <c r="F30" s="390"/>
      <c r="G30" s="336">
        <v>2999.84</v>
      </c>
      <c r="H30" s="336"/>
      <c r="I30" s="336">
        <f t="shared" si="0"/>
        <v>11999.36</v>
      </c>
      <c r="J30" s="336">
        <f t="shared" si="1"/>
        <v>11999.36</v>
      </c>
      <c r="K30" s="546">
        <f t="shared" si="2"/>
        <v>0</v>
      </c>
      <c r="L30" s="546">
        <f t="shared" si="3"/>
        <v>0</v>
      </c>
      <c r="M30" s="231" t="s">
        <v>2323</v>
      </c>
      <c r="N30" s="11" t="s">
        <v>243</v>
      </c>
      <c r="O30" s="341"/>
      <c r="P30" s="339"/>
    </row>
    <row r="31" spans="1:16" ht="33" hidden="1">
      <c r="A31" s="333" t="s">
        <v>2173</v>
      </c>
      <c r="B31" s="334" t="s">
        <v>299</v>
      </c>
      <c r="C31" s="335" t="s">
        <v>0</v>
      </c>
      <c r="D31" s="336">
        <v>20</v>
      </c>
      <c r="E31" s="336">
        <f>估驗單!F27</f>
        <v>20</v>
      </c>
      <c r="F31" s="390"/>
      <c r="G31" s="336">
        <v>2999.84</v>
      </c>
      <c r="H31" s="336"/>
      <c r="I31" s="336">
        <f t="shared" si="0"/>
        <v>59996.800000000003</v>
      </c>
      <c r="J31" s="336">
        <f t="shared" si="1"/>
        <v>59996.800000000003</v>
      </c>
      <c r="K31" s="546">
        <f t="shared" si="2"/>
        <v>0</v>
      </c>
      <c r="L31" s="546">
        <f t="shared" si="3"/>
        <v>0</v>
      </c>
      <c r="M31" s="231" t="s">
        <v>2323</v>
      </c>
      <c r="N31" s="11" t="s">
        <v>243</v>
      </c>
      <c r="O31" s="341"/>
      <c r="P31" s="339"/>
    </row>
    <row r="32" spans="1:16" ht="33" hidden="1">
      <c r="A32" s="333" t="s">
        <v>2174</v>
      </c>
      <c r="B32" s="334" t="s">
        <v>302</v>
      </c>
      <c r="C32" s="335" t="s">
        <v>0</v>
      </c>
      <c r="D32" s="336">
        <v>15</v>
      </c>
      <c r="E32" s="336">
        <f>估驗單!F28</f>
        <v>15</v>
      </c>
      <c r="F32" s="390"/>
      <c r="G32" s="336">
        <v>2999.84</v>
      </c>
      <c r="H32" s="336"/>
      <c r="I32" s="336">
        <f t="shared" si="0"/>
        <v>44997.599999999999</v>
      </c>
      <c r="J32" s="336">
        <f t="shared" si="1"/>
        <v>44997.599999999999</v>
      </c>
      <c r="K32" s="546">
        <f t="shared" si="2"/>
        <v>0</v>
      </c>
      <c r="L32" s="546">
        <f t="shared" si="3"/>
        <v>0</v>
      </c>
      <c r="M32" s="231" t="s">
        <v>2323</v>
      </c>
      <c r="N32" s="11" t="s">
        <v>243</v>
      </c>
      <c r="O32" s="341"/>
      <c r="P32" s="339"/>
    </row>
    <row r="33" spans="1:19" ht="33" hidden="1">
      <c r="A33" s="333" t="s">
        <v>2175</v>
      </c>
      <c r="B33" s="334" t="s">
        <v>305</v>
      </c>
      <c r="C33" s="335" t="s">
        <v>4</v>
      </c>
      <c r="D33" s="336">
        <v>1</v>
      </c>
      <c r="E33" s="336">
        <f>估驗單!F29</f>
        <v>1</v>
      </c>
      <c r="F33" s="390"/>
      <c r="G33" s="336">
        <v>399978.19</v>
      </c>
      <c r="H33" s="336"/>
      <c r="I33" s="336">
        <f t="shared" si="0"/>
        <v>399978.19</v>
      </c>
      <c r="J33" s="336">
        <f t="shared" si="1"/>
        <v>399978.19</v>
      </c>
      <c r="K33" s="546">
        <f t="shared" si="2"/>
        <v>0</v>
      </c>
      <c r="L33" s="546">
        <f t="shared" si="3"/>
        <v>0</v>
      </c>
      <c r="M33" s="231" t="s">
        <v>2324</v>
      </c>
      <c r="N33" s="11" t="s">
        <v>243</v>
      </c>
      <c r="O33" s="341"/>
      <c r="P33" s="339"/>
    </row>
    <row r="34" spans="1:19" ht="33" hidden="1">
      <c r="A34" s="333" t="s">
        <v>2177</v>
      </c>
      <c r="B34" s="334" t="s">
        <v>31</v>
      </c>
      <c r="C34" s="335" t="s">
        <v>16</v>
      </c>
      <c r="D34" s="336">
        <v>30800</v>
      </c>
      <c r="E34" s="336">
        <f>估驗單!F30</f>
        <v>30800</v>
      </c>
      <c r="F34" s="390">
        <f t="shared" si="4"/>
        <v>0</v>
      </c>
      <c r="G34" s="336">
        <v>280</v>
      </c>
      <c r="H34" s="336"/>
      <c r="I34" s="336">
        <f t="shared" si="0"/>
        <v>8624000</v>
      </c>
      <c r="J34" s="336">
        <f t="shared" si="1"/>
        <v>8624000</v>
      </c>
      <c r="K34" s="546">
        <f t="shared" si="2"/>
        <v>0</v>
      </c>
      <c r="L34" s="546">
        <f t="shared" si="3"/>
        <v>0</v>
      </c>
      <c r="M34" s="231" t="s">
        <v>2325</v>
      </c>
      <c r="N34" s="11" t="s">
        <v>243</v>
      </c>
      <c r="O34" s="341"/>
      <c r="P34" s="339"/>
    </row>
    <row r="35" spans="1:19" ht="33" hidden="1">
      <c r="A35" s="333" t="s">
        <v>2178</v>
      </c>
      <c r="B35" s="334" t="s">
        <v>1312</v>
      </c>
      <c r="C35" s="335" t="s">
        <v>13</v>
      </c>
      <c r="D35" s="336">
        <v>2150</v>
      </c>
      <c r="E35" s="336">
        <f>估驗單!F31</f>
        <v>2150</v>
      </c>
      <c r="F35" s="390">
        <f t="shared" si="4"/>
        <v>0</v>
      </c>
      <c r="G35" s="336">
        <v>70.56</v>
      </c>
      <c r="H35" s="336"/>
      <c r="I35" s="336">
        <f t="shared" si="0"/>
        <v>151704</v>
      </c>
      <c r="J35" s="336">
        <f t="shared" si="1"/>
        <v>151704</v>
      </c>
      <c r="K35" s="546">
        <f t="shared" si="2"/>
        <v>0</v>
      </c>
      <c r="L35" s="546">
        <f t="shared" si="3"/>
        <v>0</v>
      </c>
      <c r="M35" s="231" t="s">
        <v>2326</v>
      </c>
      <c r="N35" s="11" t="s">
        <v>243</v>
      </c>
      <c r="O35" s="341"/>
      <c r="P35" s="339"/>
    </row>
    <row r="36" spans="1:19" s="352" customFormat="1" ht="33.75" hidden="1">
      <c r="A36" s="343">
        <v>25</v>
      </c>
      <c r="B36" s="344" t="s">
        <v>2327</v>
      </c>
      <c r="C36" s="335" t="s">
        <v>2328</v>
      </c>
      <c r="D36" s="340">
        <v>111</v>
      </c>
      <c r="E36" s="336">
        <f>估驗單!F32</f>
        <v>111</v>
      </c>
      <c r="F36" s="390">
        <f t="shared" si="4"/>
        <v>0</v>
      </c>
      <c r="G36" s="340">
        <v>20000</v>
      </c>
      <c r="H36" s="340"/>
      <c r="I36" s="336">
        <f t="shared" si="0"/>
        <v>2220000</v>
      </c>
      <c r="J36" s="336">
        <f t="shared" si="1"/>
        <v>2220000</v>
      </c>
      <c r="K36" s="546">
        <f t="shared" si="2"/>
        <v>0</v>
      </c>
      <c r="L36" s="546">
        <f t="shared" si="3"/>
        <v>0</v>
      </c>
      <c r="M36" s="350" t="s">
        <v>2329</v>
      </c>
      <c r="N36" s="347" t="s">
        <v>243</v>
      </c>
      <c r="O36" s="348" t="s">
        <v>2330</v>
      </c>
      <c r="P36" s="351" t="s">
        <v>2331</v>
      </c>
      <c r="Q36" s="325" t="s">
        <v>2332</v>
      </c>
      <c r="S36" s="353" t="s">
        <v>2333</v>
      </c>
    </row>
    <row r="37" spans="1:19" ht="33" hidden="1">
      <c r="A37" s="406" t="s">
        <v>2180</v>
      </c>
      <c r="B37" s="407" t="s">
        <v>309</v>
      </c>
      <c r="C37" s="408" t="s">
        <v>4</v>
      </c>
      <c r="D37" s="409"/>
      <c r="E37" s="409">
        <f>估驗單!F33</f>
        <v>0</v>
      </c>
      <c r="F37" s="410">
        <f t="shared" si="4"/>
        <v>0</v>
      </c>
      <c r="G37" s="409">
        <v>30807124.300000001</v>
      </c>
      <c r="H37" s="409"/>
      <c r="I37" s="409">
        <f>SUM(I38:I127)</f>
        <v>30807124.299999997</v>
      </c>
      <c r="J37" s="409">
        <f>SUM(J38:J127)</f>
        <v>32286202.670000002</v>
      </c>
      <c r="K37" s="542">
        <f>SUM(K38:K127)</f>
        <v>3305690.73</v>
      </c>
      <c r="L37" s="452">
        <f>SUM(L38:L127)</f>
        <v>-1826612.36</v>
      </c>
      <c r="M37" s="288" t="s">
        <v>242</v>
      </c>
      <c r="N37" s="11" t="s">
        <v>243</v>
      </c>
      <c r="O37" s="338"/>
      <c r="P37" s="339"/>
    </row>
    <row r="38" spans="1:19" ht="33" hidden="1">
      <c r="A38" s="333" t="s">
        <v>2154</v>
      </c>
      <c r="B38" s="334" t="s">
        <v>310</v>
      </c>
      <c r="C38" s="335" t="s">
        <v>223</v>
      </c>
      <c r="D38" s="336">
        <v>1887.64</v>
      </c>
      <c r="E38" s="336">
        <f>估驗單!F34</f>
        <v>1887.64</v>
      </c>
      <c r="F38" s="390">
        <f t="shared" si="4"/>
        <v>0</v>
      </c>
      <c r="G38" s="336">
        <v>320.72000000000003</v>
      </c>
      <c r="H38" s="336"/>
      <c r="I38" s="336">
        <f t="shared" ref="I38:I103" si="5">ROUND(D38*G38,2)</f>
        <v>605403.9</v>
      </c>
      <c r="J38" s="336">
        <f t="shared" ref="J38:J103" si="6">ROUND(E38*G38,2)</f>
        <v>605403.9</v>
      </c>
      <c r="K38" s="546">
        <f t="shared" si="2"/>
        <v>0</v>
      </c>
      <c r="L38" s="502"/>
      <c r="M38" s="231" t="s">
        <v>242</v>
      </c>
      <c r="N38" s="11" t="s">
        <v>243</v>
      </c>
      <c r="O38" s="341"/>
      <c r="P38" s="339"/>
    </row>
    <row r="39" spans="1:19" ht="33" hidden="1">
      <c r="A39" s="333" t="s">
        <v>2155</v>
      </c>
      <c r="B39" s="334" t="s">
        <v>312</v>
      </c>
      <c r="C39" s="335" t="s">
        <v>223</v>
      </c>
      <c r="D39" s="336">
        <v>402.21</v>
      </c>
      <c r="E39" s="336">
        <f>估驗單!F35</f>
        <v>402.21</v>
      </c>
      <c r="F39" s="390">
        <f t="shared" si="4"/>
        <v>0</v>
      </c>
      <c r="G39" s="336">
        <v>346.06</v>
      </c>
      <c r="H39" s="336"/>
      <c r="I39" s="336">
        <f t="shared" si="5"/>
        <v>139188.79</v>
      </c>
      <c r="J39" s="336">
        <f t="shared" si="6"/>
        <v>139188.79</v>
      </c>
      <c r="K39" s="546">
        <f t="shared" si="2"/>
        <v>0</v>
      </c>
      <c r="L39" s="502"/>
      <c r="M39" s="231" t="s">
        <v>242</v>
      </c>
      <c r="N39" s="11" t="s">
        <v>243</v>
      </c>
      <c r="O39" s="341"/>
      <c r="P39" s="339"/>
    </row>
    <row r="40" spans="1:19" ht="42.75" hidden="1">
      <c r="A40" s="333" t="s">
        <v>2156</v>
      </c>
      <c r="B40" s="334" t="s">
        <v>2730</v>
      </c>
      <c r="C40" s="335" t="s">
        <v>17</v>
      </c>
      <c r="D40" s="336">
        <v>18865.759999999998</v>
      </c>
      <c r="E40" s="336">
        <f>估驗單!F36</f>
        <v>18865.759999999998</v>
      </c>
      <c r="F40" s="390">
        <f t="shared" si="4"/>
        <v>0</v>
      </c>
      <c r="G40" s="336">
        <v>36.4</v>
      </c>
      <c r="H40" s="336"/>
      <c r="I40" s="336">
        <f t="shared" si="5"/>
        <v>686713.66</v>
      </c>
      <c r="J40" s="336">
        <f t="shared" si="6"/>
        <v>686713.66</v>
      </c>
      <c r="K40" s="546">
        <f t="shared" si="2"/>
        <v>0</v>
      </c>
      <c r="L40" s="502"/>
      <c r="M40" s="231" t="s">
        <v>2334</v>
      </c>
      <c r="N40" s="11" t="s">
        <v>243</v>
      </c>
      <c r="O40" s="341"/>
      <c r="P40" s="339"/>
    </row>
    <row r="41" spans="1:19" ht="14.25" customHeight="1">
      <c r="A41" s="957" t="s">
        <v>235</v>
      </c>
      <c r="B41" s="964" t="s">
        <v>2303</v>
      </c>
      <c r="C41" s="964" t="s">
        <v>237</v>
      </c>
      <c r="D41" s="957" t="s">
        <v>2605</v>
      </c>
      <c r="E41" s="957" t="s">
        <v>2602</v>
      </c>
      <c r="F41" s="968" t="s">
        <v>2305</v>
      </c>
      <c r="G41" s="957" t="s">
        <v>2306</v>
      </c>
      <c r="H41" s="957" t="s">
        <v>2307</v>
      </c>
      <c r="I41" s="957" t="s">
        <v>2308</v>
      </c>
      <c r="J41" s="957" t="s">
        <v>2612</v>
      </c>
      <c r="K41" s="959" t="s">
        <v>2309</v>
      </c>
      <c r="L41" s="961" t="s">
        <v>2310</v>
      </c>
      <c r="M41" s="964" t="s">
        <v>2311</v>
      </c>
      <c r="N41" s="332"/>
      <c r="O41" s="966"/>
      <c r="P41" s="967"/>
      <c r="Q41" s="963"/>
    </row>
    <row r="42" spans="1:19" ht="14.25">
      <c r="A42" s="958"/>
      <c r="B42" s="965"/>
      <c r="C42" s="965"/>
      <c r="D42" s="958"/>
      <c r="E42" s="958"/>
      <c r="F42" s="969"/>
      <c r="G42" s="958"/>
      <c r="H42" s="958"/>
      <c r="I42" s="958"/>
      <c r="J42" s="958"/>
      <c r="K42" s="960"/>
      <c r="L42" s="962"/>
      <c r="M42" s="965"/>
      <c r="N42" s="332"/>
      <c r="O42" s="966"/>
      <c r="P42" s="967"/>
      <c r="Q42" s="963"/>
    </row>
    <row r="43" spans="1:19" ht="33">
      <c r="A43" s="631" t="s">
        <v>2157</v>
      </c>
      <c r="B43" s="632" t="s">
        <v>315</v>
      </c>
      <c r="C43" s="633" t="s">
        <v>6</v>
      </c>
      <c r="D43" s="634">
        <v>107.91</v>
      </c>
      <c r="E43" s="634">
        <f>估驗單!F37</f>
        <v>107.91</v>
      </c>
      <c r="F43" s="635">
        <f t="shared" si="4"/>
        <v>0</v>
      </c>
      <c r="G43" s="634">
        <v>3114.97</v>
      </c>
      <c r="H43" s="634"/>
      <c r="I43" s="634">
        <f t="shared" si="5"/>
        <v>336136.41</v>
      </c>
      <c r="J43" s="634">
        <f t="shared" si="6"/>
        <v>336136.41</v>
      </c>
      <c r="K43" s="636">
        <f t="shared" si="2"/>
        <v>0</v>
      </c>
      <c r="L43" s="637"/>
      <c r="M43" s="638" t="s">
        <v>2734</v>
      </c>
      <c r="N43" s="11" t="s">
        <v>243</v>
      </c>
      <c r="O43" s="341"/>
      <c r="P43" s="339"/>
    </row>
    <row r="44" spans="1:19" ht="33">
      <c r="A44" s="641" t="s">
        <v>2158</v>
      </c>
      <c r="B44" s="642" t="s">
        <v>24</v>
      </c>
      <c r="C44" s="643" t="s">
        <v>6</v>
      </c>
      <c r="D44" s="644">
        <v>564.01</v>
      </c>
      <c r="E44" s="644">
        <f>估驗單!F38</f>
        <v>564.01</v>
      </c>
      <c r="F44" s="645">
        <f t="shared" si="4"/>
        <v>0</v>
      </c>
      <c r="G44" s="644">
        <v>3320.96</v>
      </c>
      <c r="H44" s="644"/>
      <c r="I44" s="644">
        <f t="shared" si="5"/>
        <v>1873054.65</v>
      </c>
      <c r="J44" s="644">
        <f t="shared" si="6"/>
        <v>1873054.65</v>
      </c>
      <c r="K44" s="646">
        <f t="shared" si="2"/>
        <v>0</v>
      </c>
      <c r="L44" s="647"/>
      <c r="M44" s="648" t="s">
        <v>2734</v>
      </c>
      <c r="N44" s="11" t="s">
        <v>243</v>
      </c>
      <c r="O44" s="341"/>
      <c r="P44" s="339"/>
    </row>
    <row r="45" spans="1:19" ht="71.25" hidden="1">
      <c r="A45" s="333" t="s">
        <v>2159</v>
      </c>
      <c r="B45" s="334" t="s">
        <v>193</v>
      </c>
      <c r="C45" s="335" t="s">
        <v>13</v>
      </c>
      <c r="D45" s="336">
        <v>1926.87</v>
      </c>
      <c r="E45" s="336">
        <f>估驗單!F39</f>
        <v>1926.87</v>
      </c>
      <c r="F45" s="390">
        <f t="shared" si="4"/>
        <v>0</v>
      </c>
      <c r="G45" s="336">
        <v>533.61</v>
      </c>
      <c r="H45" s="336"/>
      <c r="I45" s="336">
        <f t="shared" si="5"/>
        <v>1028197.1</v>
      </c>
      <c r="J45" s="336">
        <f t="shared" si="6"/>
        <v>1028197.1</v>
      </c>
      <c r="K45" s="546">
        <f t="shared" si="2"/>
        <v>0</v>
      </c>
      <c r="L45" s="502"/>
      <c r="M45" s="231" t="s">
        <v>2335</v>
      </c>
      <c r="N45" s="11" t="s">
        <v>243</v>
      </c>
      <c r="O45" s="341"/>
      <c r="P45" s="339"/>
    </row>
    <row r="46" spans="1:19" ht="42.75" hidden="1">
      <c r="A46" s="333" t="s">
        <v>2160</v>
      </c>
      <c r="B46" s="334" t="s">
        <v>319</v>
      </c>
      <c r="C46" s="335" t="s">
        <v>13</v>
      </c>
      <c r="D46" s="336">
        <v>301.33</v>
      </c>
      <c r="E46" s="336">
        <f>估驗單!F40</f>
        <v>301.33</v>
      </c>
      <c r="F46" s="390">
        <f t="shared" si="4"/>
        <v>0</v>
      </c>
      <c r="G46" s="336">
        <v>1299.82</v>
      </c>
      <c r="H46" s="336"/>
      <c r="I46" s="336">
        <f t="shared" si="5"/>
        <v>391674.76</v>
      </c>
      <c r="J46" s="336">
        <f t="shared" si="6"/>
        <v>391674.76</v>
      </c>
      <c r="K46" s="546">
        <f t="shared" si="2"/>
        <v>0</v>
      </c>
      <c r="L46" s="502"/>
      <c r="M46" s="231" t="s">
        <v>2336</v>
      </c>
      <c r="N46" s="11" t="s">
        <v>243</v>
      </c>
      <c r="O46" s="341"/>
      <c r="P46" s="339"/>
    </row>
    <row r="47" spans="1:19" ht="42.75" hidden="1">
      <c r="A47" s="503" t="s">
        <v>2161</v>
      </c>
      <c r="B47" s="504" t="s">
        <v>321</v>
      </c>
      <c r="C47" s="505" t="s">
        <v>17</v>
      </c>
      <c r="D47" s="506">
        <v>5991.34</v>
      </c>
      <c r="E47" s="506">
        <f>估驗單!F41</f>
        <v>5991.34</v>
      </c>
      <c r="F47" s="507">
        <f t="shared" si="4"/>
        <v>0</v>
      </c>
      <c r="G47" s="506">
        <v>60</v>
      </c>
      <c r="H47" s="506"/>
      <c r="I47" s="506">
        <f t="shared" si="5"/>
        <v>359480.4</v>
      </c>
      <c r="J47" s="506">
        <f t="shared" si="6"/>
        <v>359480.4</v>
      </c>
      <c r="K47" s="547">
        <f t="shared" si="2"/>
        <v>0</v>
      </c>
      <c r="L47" s="510"/>
      <c r="M47" s="508" t="s">
        <v>2337</v>
      </c>
      <c r="N47" s="11" t="s">
        <v>243</v>
      </c>
      <c r="O47" s="341"/>
      <c r="P47" s="339"/>
    </row>
    <row r="48" spans="1:19" ht="33" hidden="1">
      <c r="A48" s="503" t="s">
        <v>2162</v>
      </c>
      <c r="B48" s="504" t="s">
        <v>323</v>
      </c>
      <c r="C48" s="505" t="s">
        <v>17</v>
      </c>
      <c r="D48" s="506">
        <v>5991.34</v>
      </c>
      <c r="E48" s="506">
        <f>估驗單!F42</f>
        <v>5991.34</v>
      </c>
      <c r="F48" s="507">
        <f t="shared" si="4"/>
        <v>0</v>
      </c>
      <c r="G48" s="506">
        <v>31.9</v>
      </c>
      <c r="H48" s="506"/>
      <c r="I48" s="506">
        <f t="shared" si="5"/>
        <v>191123.75</v>
      </c>
      <c r="J48" s="506">
        <f t="shared" si="6"/>
        <v>191123.75</v>
      </c>
      <c r="K48" s="547">
        <f t="shared" si="2"/>
        <v>0</v>
      </c>
      <c r="L48" s="510"/>
      <c r="M48" s="508" t="s">
        <v>242</v>
      </c>
      <c r="N48" s="11" t="s">
        <v>243</v>
      </c>
      <c r="O48" s="341"/>
      <c r="P48" s="339"/>
    </row>
    <row r="49" spans="1:16" ht="57" hidden="1">
      <c r="A49" s="333" t="s">
        <v>2163</v>
      </c>
      <c r="B49" s="334" t="s">
        <v>325</v>
      </c>
      <c r="C49" s="335" t="s">
        <v>17</v>
      </c>
      <c r="D49" s="336">
        <v>1180.03</v>
      </c>
      <c r="E49" s="336">
        <f>估驗單!F43</f>
        <v>1180.03</v>
      </c>
      <c r="F49" s="390">
        <f t="shared" si="4"/>
        <v>0</v>
      </c>
      <c r="G49" s="336">
        <v>107.3</v>
      </c>
      <c r="H49" s="336"/>
      <c r="I49" s="336">
        <f t="shared" si="5"/>
        <v>126617.22</v>
      </c>
      <c r="J49" s="336">
        <f t="shared" si="6"/>
        <v>126617.22</v>
      </c>
      <c r="K49" s="546">
        <f t="shared" si="2"/>
        <v>0</v>
      </c>
      <c r="L49" s="502"/>
      <c r="M49" s="231" t="s">
        <v>2337</v>
      </c>
      <c r="N49" s="11" t="s">
        <v>243</v>
      </c>
      <c r="O49" s="341"/>
      <c r="P49" s="339"/>
    </row>
    <row r="50" spans="1:16" ht="33" hidden="1">
      <c r="A50" s="333" t="s">
        <v>2164</v>
      </c>
      <c r="B50" s="334" t="s">
        <v>327</v>
      </c>
      <c r="C50" s="335" t="s">
        <v>13</v>
      </c>
      <c r="D50" s="336">
        <v>3879.21</v>
      </c>
      <c r="E50" s="336">
        <f>估驗單!F44</f>
        <v>3879.21</v>
      </c>
      <c r="F50" s="390">
        <f t="shared" si="4"/>
        <v>0</v>
      </c>
      <c r="G50" s="336">
        <v>3092.69</v>
      </c>
      <c r="H50" s="336"/>
      <c r="I50" s="336">
        <f t="shared" si="5"/>
        <v>11997193.970000001</v>
      </c>
      <c r="J50" s="336">
        <f t="shared" si="6"/>
        <v>11997193.970000001</v>
      </c>
      <c r="K50" s="546">
        <f t="shared" si="2"/>
        <v>0</v>
      </c>
      <c r="L50" s="502"/>
      <c r="M50" s="231" t="s">
        <v>242</v>
      </c>
      <c r="N50" s="11" t="s">
        <v>243</v>
      </c>
      <c r="O50" s="341"/>
      <c r="P50" s="339"/>
    </row>
    <row r="51" spans="1:16" ht="33" hidden="1">
      <c r="A51" s="333" t="s">
        <v>2165</v>
      </c>
      <c r="B51" s="334" t="s">
        <v>329</v>
      </c>
      <c r="C51" s="335" t="s">
        <v>13</v>
      </c>
      <c r="D51" s="336">
        <v>462.9</v>
      </c>
      <c r="E51" s="336">
        <f>估驗單!F45</f>
        <v>462.9</v>
      </c>
      <c r="F51" s="390">
        <f t="shared" si="4"/>
        <v>0</v>
      </c>
      <c r="G51" s="336">
        <v>3961.37</v>
      </c>
      <c r="H51" s="336"/>
      <c r="I51" s="336">
        <f t="shared" si="5"/>
        <v>1833718.17</v>
      </c>
      <c r="J51" s="336">
        <f t="shared" si="6"/>
        <v>1833718.17</v>
      </c>
      <c r="K51" s="546">
        <f t="shared" si="2"/>
        <v>0</v>
      </c>
      <c r="L51" s="502"/>
      <c r="M51" s="231" t="s">
        <v>242</v>
      </c>
      <c r="N51" s="11" t="s">
        <v>243</v>
      </c>
      <c r="O51" s="341"/>
      <c r="P51" s="339"/>
    </row>
    <row r="52" spans="1:16" ht="33" hidden="1">
      <c r="A52" s="503" t="s">
        <v>2166</v>
      </c>
      <c r="B52" s="504" t="s">
        <v>331</v>
      </c>
      <c r="C52" s="505" t="s">
        <v>13</v>
      </c>
      <c r="D52" s="506">
        <v>5.09</v>
      </c>
      <c r="E52" s="506">
        <f>估驗單!F46</f>
        <v>5.09</v>
      </c>
      <c r="F52" s="507">
        <f t="shared" si="4"/>
        <v>0</v>
      </c>
      <c r="G52" s="506">
        <v>3965.59</v>
      </c>
      <c r="H52" s="506"/>
      <c r="I52" s="506">
        <f t="shared" si="5"/>
        <v>20184.849999999999</v>
      </c>
      <c r="J52" s="506">
        <f t="shared" si="6"/>
        <v>20184.849999999999</v>
      </c>
      <c r="K52" s="547">
        <f t="shared" si="2"/>
        <v>0</v>
      </c>
      <c r="L52" s="510"/>
      <c r="M52" s="508" t="s">
        <v>242</v>
      </c>
      <c r="N52" s="11" t="s">
        <v>243</v>
      </c>
      <c r="O52" s="341" t="s">
        <v>2619</v>
      </c>
      <c r="P52" s="339"/>
    </row>
    <row r="53" spans="1:16" ht="33" hidden="1">
      <c r="A53" s="333" t="s">
        <v>2167</v>
      </c>
      <c r="B53" s="334" t="s">
        <v>333</v>
      </c>
      <c r="C53" s="335" t="s">
        <v>13</v>
      </c>
      <c r="D53" s="336">
        <v>18.760000000000002</v>
      </c>
      <c r="E53" s="336">
        <f>估驗單!F47</f>
        <v>18.760000000000002</v>
      </c>
      <c r="F53" s="390">
        <f t="shared" si="4"/>
        <v>0</v>
      </c>
      <c r="G53" s="336">
        <v>3391.22</v>
      </c>
      <c r="H53" s="336"/>
      <c r="I53" s="336">
        <f t="shared" si="5"/>
        <v>63619.29</v>
      </c>
      <c r="J53" s="336">
        <f t="shared" si="6"/>
        <v>63619.29</v>
      </c>
      <c r="K53" s="546">
        <f t="shared" si="2"/>
        <v>0</v>
      </c>
      <c r="L53" s="502"/>
      <c r="M53" s="231" t="s">
        <v>242</v>
      </c>
      <c r="N53" s="11" t="s">
        <v>243</v>
      </c>
      <c r="O53" s="341"/>
      <c r="P53" s="339"/>
    </row>
    <row r="54" spans="1:16" ht="33" hidden="1">
      <c r="A54" s="333" t="s">
        <v>2168</v>
      </c>
      <c r="B54" s="334" t="s">
        <v>335</v>
      </c>
      <c r="C54" s="335" t="s">
        <v>13</v>
      </c>
      <c r="D54" s="336">
        <v>118.92</v>
      </c>
      <c r="E54" s="336">
        <f>估驗單!F48</f>
        <v>118.92</v>
      </c>
      <c r="F54" s="390">
        <f t="shared" si="4"/>
        <v>0</v>
      </c>
      <c r="G54" s="336">
        <v>773.85</v>
      </c>
      <c r="H54" s="336"/>
      <c r="I54" s="336">
        <f t="shared" si="5"/>
        <v>92026.240000000005</v>
      </c>
      <c r="J54" s="336">
        <f t="shared" si="6"/>
        <v>92026.240000000005</v>
      </c>
      <c r="K54" s="546">
        <f t="shared" si="2"/>
        <v>0</v>
      </c>
      <c r="L54" s="502"/>
      <c r="M54" s="231" t="s">
        <v>242</v>
      </c>
      <c r="N54" s="11" t="s">
        <v>243</v>
      </c>
      <c r="O54" s="341"/>
      <c r="P54" s="339"/>
    </row>
    <row r="55" spans="1:16" ht="33" hidden="1">
      <c r="A55" s="333" t="s">
        <v>2169</v>
      </c>
      <c r="B55" s="334" t="s">
        <v>337</v>
      </c>
      <c r="C55" s="335" t="s">
        <v>13</v>
      </c>
      <c r="D55" s="336">
        <v>173.3</v>
      </c>
      <c r="E55" s="336">
        <f>估驗單!F49</f>
        <v>173.3</v>
      </c>
      <c r="F55" s="390">
        <f t="shared" si="4"/>
        <v>0</v>
      </c>
      <c r="G55" s="336">
        <v>948.34</v>
      </c>
      <c r="H55" s="336"/>
      <c r="I55" s="336">
        <f t="shared" si="5"/>
        <v>164347.32</v>
      </c>
      <c r="J55" s="336">
        <f t="shared" si="6"/>
        <v>164347.32</v>
      </c>
      <c r="K55" s="546">
        <f t="shared" si="2"/>
        <v>0</v>
      </c>
      <c r="L55" s="502"/>
      <c r="M55" s="231" t="s">
        <v>242</v>
      </c>
      <c r="N55" s="11" t="s">
        <v>243</v>
      </c>
      <c r="O55" s="341"/>
      <c r="P55" s="339"/>
    </row>
    <row r="56" spans="1:16" ht="33" hidden="1">
      <c r="A56" s="333" t="s">
        <v>2170</v>
      </c>
      <c r="B56" s="334" t="s">
        <v>339</v>
      </c>
      <c r="C56" s="335" t="s">
        <v>0</v>
      </c>
      <c r="D56" s="336">
        <v>1</v>
      </c>
      <c r="E56" s="336">
        <f>估驗單!F50</f>
        <v>1</v>
      </c>
      <c r="F56" s="390">
        <f t="shared" si="4"/>
        <v>0</v>
      </c>
      <c r="G56" s="336">
        <v>144378.63</v>
      </c>
      <c r="H56" s="336"/>
      <c r="I56" s="336">
        <f t="shared" si="5"/>
        <v>144378.63</v>
      </c>
      <c r="J56" s="336">
        <f t="shared" si="6"/>
        <v>144378.63</v>
      </c>
      <c r="K56" s="546">
        <f t="shared" si="2"/>
        <v>0</v>
      </c>
      <c r="L56" s="502"/>
      <c r="M56" s="231" t="s">
        <v>242</v>
      </c>
      <c r="N56" s="11" t="s">
        <v>243</v>
      </c>
      <c r="O56" s="341"/>
      <c r="P56" s="339"/>
    </row>
    <row r="57" spans="1:16" ht="33" hidden="1">
      <c r="A57" s="333" t="s">
        <v>2171</v>
      </c>
      <c r="B57" s="334" t="s">
        <v>341</v>
      </c>
      <c r="C57" s="335" t="s">
        <v>223</v>
      </c>
      <c r="D57" s="336">
        <v>156.68</v>
      </c>
      <c r="E57" s="336">
        <f>估驗單!F51</f>
        <v>156.68</v>
      </c>
      <c r="F57" s="390">
        <f t="shared" si="4"/>
        <v>0</v>
      </c>
      <c r="G57" s="336">
        <v>145.21</v>
      </c>
      <c r="H57" s="336"/>
      <c r="I57" s="336">
        <f t="shared" si="5"/>
        <v>22751.5</v>
      </c>
      <c r="J57" s="336">
        <f t="shared" si="6"/>
        <v>22751.5</v>
      </c>
      <c r="K57" s="546">
        <f t="shared" si="2"/>
        <v>0</v>
      </c>
      <c r="L57" s="502"/>
      <c r="M57" s="231" t="s">
        <v>242</v>
      </c>
      <c r="N57" s="11" t="s">
        <v>243</v>
      </c>
      <c r="O57" s="341"/>
      <c r="P57" s="339"/>
    </row>
    <row r="58" spans="1:16" ht="33" hidden="1">
      <c r="A58" s="333" t="s">
        <v>2172</v>
      </c>
      <c r="B58" s="334" t="s">
        <v>343</v>
      </c>
      <c r="C58" s="335" t="s">
        <v>8</v>
      </c>
      <c r="D58" s="336">
        <v>689.86</v>
      </c>
      <c r="E58" s="336">
        <f>估驗單!F52</f>
        <v>689.86</v>
      </c>
      <c r="F58" s="390">
        <f t="shared" si="4"/>
        <v>0</v>
      </c>
      <c r="G58" s="336">
        <v>2755.78</v>
      </c>
      <c r="H58" s="336"/>
      <c r="I58" s="336">
        <f t="shared" si="5"/>
        <v>1901102.39</v>
      </c>
      <c r="J58" s="336">
        <f t="shared" si="6"/>
        <v>1901102.39</v>
      </c>
      <c r="K58" s="546">
        <f t="shared" si="2"/>
        <v>0</v>
      </c>
      <c r="L58" s="502"/>
      <c r="M58" s="231" t="s">
        <v>2321</v>
      </c>
      <c r="N58" s="11" t="s">
        <v>243</v>
      </c>
      <c r="O58" s="341"/>
      <c r="P58" s="339"/>
    </row>
    <row r="59" spans="1:16" ht="33" hidden="1">
      <c r="A59" s="333" t="s">
        <v>2173</v>
      </c>
      <c r="B59" s="334" t="s">
        <v>345</v>
      </c>
      <c r="C59" s="335" t="s">
        <v>8</v>
      </c>
      <c r="D59" s="336">
        <v>12.91</v>
      </c>
      <c r="E59" s="336">
        <f>估驗單!F53</f>
        <v>12.91</v>
      </c>
      <c r="F59" s="390">
        <f t="shared" si="4"/>
        <v>0</v>
      </c>
      <c r="G59" s="336">
        <v>576.77</v>
      </c>
      <c r="H59" s="336"/>
      <c r="I59" s="336">
        <f t="shared" si="5"/>
        <v>7446.1</v>
      </c>
      <c r="J59" s="336">
        <f t="shared" si="6"/>
        <v>7446.1</v>
      </c>
      <c r="K59" s="546">
        <f t="shared" si="2"/>
        <v>0</v>
      </c>
      <c r="L59" s="502"/>
      <c r="M59" s="231" t="s">
        <v>2321</v>
      </c>
      <c r="N59" s="11" t="s">
        <v>243</v>
      </c>
      <c r="O59" s="341"/>
      <c r="P59" s="339"/>
    </row>
    <row r="60" spans="1:16" ht="33" hidden="1">
      <c r="A60" s="333" t="s">
        <v>2174</v>
      </c>
      <c r="B60" s="334" t="s">
        <v>347</v>
      </c>
      <c r="C60" s="335" t="s">
        <v>8</v>
      </c>
      <c r="D60" s="336">
        <v>56.09</v>
      </c>
      <c r="E60" s="336">
        <f>估驗單!F54</f>
        <v>56.09</v>
      </c>
      <c r="F60" s="390">
        <f t="shared" si="4"/>
        <v>0</v>
      </c>
      <c r="G60" s="336">
        <v>615.30999999999995</v>
      </c>
      <c r="H60" s="336"/>
      <c r="I60" s="336">
        <f t="shared" si="5"/>
        <v>34512.74</v>
      </c>
      <c r="J60" s="336">
        <f t="shared" si="6"/>
        <v>34512.74</v>
      </c>
      <c r="K60" s="546">
        <f t="shared" si="2"/>
        <v>0</v>
      </c>
      <c r="L60" s="502"/>
      <c r="M60" s="231" t="s">
        <v>242</v>
      </c>
      <c r="N60" s="11" t="s">
        <v>243</v>
      </c>
      <c r="O60" s="341"/>
      <c r="P60" s="339"/>
    </row>
    <row r="61" spans="1:16" ht="33" hidden="1">
      <c r="A61" s="333" t="s">
        <v>2175</v>
      </c>
      <c r="B61" s="334" t="s">
        <v>349</v>
      </c>
      <c r="C61" s="335" t="s">
        <v>8</v>
      </c>
      <c r="D61" s="336">
        <v>656.91</v>
      </c>
      <c r="E61" s="336">
        <f>估驗單!F55</f>
        <v>656.91</v>
      </c>
      <c r="F61" s="390">
        <f t="shared" si="4"/>
        <v>0</v>
      </c>
      <c r="G61" s="336">
        <v>685.27</v>
      </c>
      <c r="H61" s="336"/>
      <c r="I61" s="336">
        <f t="shared" si="5"/>
        <v>450160.72</v>
      </c>
      <c r="J61" s="336">
        <f t="shared" si="6"/>
        <v>450160.72</v>
      </c>
      <c r="K61" s="546">
        <f t="shared" si="2"/>
        <v>0</v>
      </c>
      <c r="L61" s="502"/>
      <c r="M61" s="231" t="s">
        <v>2321</v>
      </c>
      <c r="N61" s="11" t="s">
        <v>243</v>
      </c>
      <c r="O61" s="341"/>
      <c r="P61" s="339"/>
    </row>
    <row r="62" spans="1:16" ht="33" hidden="1">
      <c r="A62" s="333" t="s">
        <v>2177</v>
      </c>
      <c r="B62" s="334" t="s">
        <v>351</v>
      </c>
      <c r="C62" s="335" t="s">
        <v>8</v>
      </c>
      <c r="D62" s="336">
        <v>1254.1300000000001</v>
      </c>
      <c r="E62" s="336">
        <f>估驗單!F56</f>
        <v>1254.1300000000001</v>
      </c>
      <c r="F62" s="390">
        <f t="shared" si="4"/>
        <v>0</v>
      </c>
      <c r="G62" s="336">
        <v>699.69</v>
      </c>
      <c r="H62" s="336"/>
      <c r="I62" s="336">
        <f t="shared" si="5"/>
        <v>877502.22</v>
      </c>
      <c r="J62" s="336">
        <f t="shared" si="6"/>
        <v>877502.22</v>
      </c>
      <c r="K62" s="546">
        <f t="shared" si="2"/>
        <v>0</v>
      </c>
      <c r="L62" s="502"/>
      <c r="M62" s="231" t="s">
        <v>2321</v>
      </c>
      <c r="N62" s="11" t="s">
        <v>243</v>
      </c>
      <c r="O62" s="341"/>
      <c r="P62" s="339"/>
    </row>
    <row r="63" spans="1:16" ht="33" hidden="1">
      <c r="A63" s="333" t="s">
        <v>2178</v>
      </c>
      <c r="B63" s="334" t="s">
        <v>353</v>
      </c>
      <c r="C63" s="335" t="s">
        <v>8</v>
      </c>
      <c r="D63" s="336">
        <v>44.64</v>
      </c>
      <c r="E63" s="336">
        <f>估驗單!F57</f>
        <v>44.64</v>
      </c>
      <c r="F63" s="390">
        <f t="shared" si="4"/>
        <v>0</v>
      </c>
      <c r="G63" s="336">
        <v>1199.27</v>
      </c>
      <c r="H63" s="336"/>
      <c r="I63" s="336">
        <f t="shared" si="5"/>
        <v>53535.41</v>
      </c>
      <c r="J63" s="336">
        <f t="shared" si="6"/>
        <v>53535.41</v>
      </c>
      <c r="K63" s="546">
        <f t="shared" si="2"/>
        <v>0</v>
      </c>
      <c r="L63" s="502"/>
      <c r="M63" s="231" t="s">
        <v>2321</v>
      </c>
      <c r="N63" s="11" t="s">
        <v>243</v>
      </c>
      <c r="O63" s="341"/>
      <c r="P63" s="339"/>
    </row>
    <row r="64" spans="1:16" ht="33" hidden="1">
      <c r="A64" s="333" t="s">
        <v>2179</v>
      </c>
      <c r="B64" s="334" t="s">
        <v>355</v>
      </c>
      <c r="C64" s="335" t="s">
        <v>8</v>
      </c>
      <c r="D64" s="336">
        <v>142.26</v>
      </c>
      <c r="E64" s="336">
        <f>估驗單!F58</f>
        <v>142.26</v>
      </c>
      <c r="F64" s="390">
        <f t="shared" si="4"/>
        <v>0</v>
      </c>
      <c r="G64" s="336">
        <v>57.68</v>
      </c>
      <c r="H64" s="336"/>
      <c r="I64" s="336">
        <f t="shared" si="5"/>
        <v>8205.56</v>
      </c>
      <c r="J64" s="336">
        <f t="shared" si="6"/>
        <v>8205.56</v>
      </c>
      <c r="K64" s="546">
        <f t="shared" si="2"/>
        <v>0</v>
      </c>
      <c r="L64" s="502"/>
      <c r="M64" s="231" t="s">
        <v>2321</v>
      </c>
      <c r="N64" s="11" t="s">
        <v>243</v>
      </c>
      <c r="O64" s="341"/>
      <c r="P64" s="339"/>
    </row>
    <row r="65" spans="1:16" ht="33" hidden="1">
      <c r="A65" s="333" t="s">
        <v>2181</v>
      </c>
      <c r="B65" s="334" t="s">
        <v>357</v>
      </c>
      <c r="C65" s="335" t="s">
        <v>8</v>
      </c>
      <c r="D65" s="336">
        <v>8.5</v>
      </c>
      <c r="E65" s="336">
        <f>估驗單!F59</f>
        <v>8.5</v>
      </c>
      <c r="F65" s="390">
        <f t="shared" si="4"/>
        <v>0</v>
      </c>
      <c r="G65" s="336">
        <v>138.84</v>
      </c>
      <c r="H65" s="336"/>
      <c r="I65" s="336">
        <f t="shared" si="5"/>
        <v>1180.1400000000001</v>
      </c>
      <c r="J65" s="336">
        <f t="shared" si="6"/>
        <v>1180.1400000000001</v>
      </c>
      <c r="K65" s="546">
        <f t="shared" si="2"/>
        <v>0</v>
      </c>
      <c r="L65" s="502"/>
      <c r="M65" s="231" t="s">
        <v>242</v>
      </c>
      <c r="N65" s="11" t="s">
        <v>243</v>
      </c>
      <c r="O65" s="341"/>
      <c r="P65" s="339"/>
    </row>
    <row r="66" spans="1:16" ht="33" hidden="1">
      <c r="A66" s="333" t="s">
        <v>2182</v>
      </c>
      <c r="B66" s="334" t="s">
        <v>359</v>
      </c>
      <c r="C66" s="335" t="s">
        <v>13</v>
      </c>
      <c r="D66" s="336">
        <v>20.48</v>
      </c>
      <c r="E66" s="336">
        <f>估驗單!F60</f>
        <v>20.48</v>
      </c>
      <c r="F66" s="390">
        <f t="shared" si="4"/>
        <v>0</v>
      </c>
      <c r="G66" s="336">
        <v>2145.31</v>
      </c>
      <c r="H66" s="336"/>
      <c r="I66" s="336">
        <f t="shared" si="5"/>
        <v>43935.95</v>
      </c>
      <c r="J66" s="336">
        <f t="shared" si="6"/>
        <v>43935.95</v>
      </c>
      <c r="K66" s="546">
        <f t="shared" si="2"/>
        <v>0</v>
      </c>
      <c r="L66" s="502"/>
      <c r="M66" s="231" t="s">
        <v>2321</v>
      </c>
      <c r="N66" s="11" t="s">
        <v>243</v>
      </c>
      <c r="O66" s="341"/>
      <c r="P66" s="339"/>
    </row>
    <row r="67" spans="1:16" ht="33" hidden="1">
      <c r="A67" s="333" t="s">
        <v>2183</v>
      </c>
      <c r="B67" s="334" t="s">
        <v>361</v>
      </c>
      <c r="C67" s="335" t="s">
        <v>8</v>
      </c>
      <c r="D67" s="336">
        <v>56.1</v>
      </c>
      <c r="E67" s="336">
        <f>估驗單!F61</f>
        <v>56.1</v>
      </c>
      <c r="F67" s="390">
        <f t="shared" si="4"/>
        <v>0</v>
      </c>
      <c r="G67" s="336">
        <v>511.36</v>
      </c>
      <c r="H67" s="336"/>
      <c r="I67" s="336">
        <f t="shared" si="5"/>
        <v>28687.3</v>
      </c>
      <c r="J67" s="336">
        <f t="shared" si="6"/>
        <v>28687.3</v>
      </c>
      <c r="K67" s="546">
        <f t="shared" si="2"/>
        <v>0</v>
      </c>
      <c r="L67" s="502"/>
      <c r="M67" s="231" t="s">
        <v>242</v>
      </c>
      <c r="N67" s="11" t="s">
        <v>243</v>
      </c>
      <c r="O67" s="341"/>
      <c r="P67" s="339"/>
    </row>
    <row r="68" spans="1:16" ht="33" hidden="1">
      <c r="A68" s="333" t="s">
        <v>2184</v>
      </c>
      <c r="B68" s="334" t="s">
        <v>363</v>
      </c>
      <c r="C68" s="335" t="s">
        <v>8</v>
      </c>
      <c r="D68" s="336">
        <v>16.600000000000001</v>
      </c>
      <c r="E68" s="336">
        <f>估驗單!F62</f>
        <v>16.600000000000001</v>
      </c>
      <c r="F68" s="390">
        <f t="shared" si="4"/>
        <v>0</v>
      </c>
      <c r="G68" s="336">
        <v>829.1</v>
      </c>
      <c r="H68" s="336"/>
      <c r="I68" s="336">
        <f t="shared" si="5"/>
        <v>13763.06</v>
      </c>
      <c r="J68" s="336">
        <f t="shared" si="6"/>
        <v>13763.06</v>
      </c>
      <c r="K68" s="546">
        <f t="shared" si="2"/>
        <v>0</v>
      </c>
      <c r="L68" s="502"/>
      <c r="M68" s="231" t="s">
        <v>242</v>
      </c>
      <c r="N68" s="11" t="s">
        <v>243</v>
      </c>
      <c r="O68" s="341"/>
      <c r="P68" s="339"/>
    </row>
    <row r="69" spans="1:16" ht="33" hidden="1">
      <c r="A69" s="333" t="s">
        <v>2185</v>
      </c>
      <c r="B69" s="334" t="s">
        <v>365</v>
      </c>
      <c r="C69" s="335" t="s">
        <v>8</v>
      </c>
      <c r="D69" s="336">
        <v>2</v>
      </c>
      <c r="E69" s="336">
        <f>估驗單!F63</f>
        <v>2</v>
      </c>
      <c r="F69" s="390">
        <f t="shared" si="4"/>
        <v>0</v>
      </c>
      <c r="G69" s="336">
        <v>443.91</v>
      </c>
      <c r="H69" s="336"/>
      <c r="I69" s="336">
        <f t="shared" si="5"/>
        <v>887.82</v>
      </c>
      <c r="J69" s="336">
        <f t="shared" si="6"/>
        <v>887.82</v>
      </c>
      <c r="K69" s="546">
        <f t="shared" si="2"/>
        <v>0</v>
      </c>
      <c r="L69" s="502"/>
      <c r="M69" s="231" t="s">
        <v>242</v>
      </c>
      <c r="N69" s="11" t="s">
        <v>243</v>
      </c>
      <c r="O69" s="341"/>
      <c r="P69" s="339"/>
    </row>
    <row r="70" spans="1:16" ht="33" hidden="1">
      <c r="A70" s="333" t="s">
        <v>2186</v>
      </c>
      <c r="B70" s="334" t="s">
        <v>367</v>
      </c>
      <c r="C70" s="335" t="s">
        <v>0</v>
      </c>
      <c r="D70" s="336">
        <v>7</v>
      </c>
      <c r="E70" s="336">
        <f>估驗單!F64</f>
        <v>7</v>
      </c>
      <c r="F70" s="390">
        <f t="shared" si="4"/>
        <v>0</v>
      </c>
      <c r="G70" s="336">
        <v>26450.3</v>
      </c>
      <c r="H70" s="336"/>
      <c r="I70" s="336">
        <f t="shared" si="5"/>
        <v>185152.1</v>
      </c>
      <c r="J70" s="336">
        <f t="shared" si="6"/>
        <v>185152.1</v>
      </c>
      <c r="K70" s="546">
        <f t="shared" si="2"/>
        <v>0</v>
      </c>
      <c r="L70" s="502"/>
      <c r="M70" s="231" t="s">
        <v>242</v>
      </c>
      <c r="N70" s="11" t="s">
        <v>243</v>
      </c>
      <c r="O70" s="341"/>
      <c r="P70" s="339"/>
    </row>
    <row r="71" spans="1:16" ht="33" hidden="1">
      <c r="A71" s="333" t="s">
        <v>2187</v>
      </c>
      <c r="B71" s="334" t="s">
        <v>369</v>
      </c>
      <c r="C71" s="335" t="s">
        <v>8</v>
      </c>
      <c r="D71" s="336">
        <v>19.2</v>
      </c>
      <c r="E71" s="336">
        <f>估驗單!F65</f>
        <v>19.2</v>
      </c>
      <c r="F71" s="390">
        <f t="shared" si="4"/>
        <v>0</v>
      </c>
      <c r="G71" s="336">
        <v>443.91</v>
      </c>
      <c r="H71" s="336"/>
      <c r="I71" s="336">
        <f t="shared" si="5"/>
        <v>8523.07</v>
      </c>
      <c r="J71" s="336">
        <f t="shared" si="6"/>
        <v>8523.07</v>
      </c>
      <c r="K71" s="546">
        <f t="shared" si="2"/>
        <v>0</v>
      </c>
      <c r="L71" s="502"/>
      <c r="M71" s="231" t="s">
        <v>2321</v>
      </c>
      <c r="N71" s="11" t="s">
        <v>243</v>
      </c>
      <c r="O71" s="341"/>
      <c r="P71" s="339"/>
    </row>
    <row r="72" spans="1:16" ht="33" hidden="1">
      <c r="A72" s="333" t="s">
        <v>2188</v>
      </c>
      <c r="B72" s="334" t="s">
        <v>372</v>
      </c>
      <c r="C72" s="335" t="s">
        <v>0</v>
      </c>
      <c r="D72" s="336">
        <v>2</v>
      </c>
      <c r="E72" s="336">
        <f>估驗單!F66</f>
        <v>2</v>
      </c>
      <c r="F72" s="390">
        <f t="shared" si="4"/>
        <v>0</v>
      </c>
      <c r="G72" s="336">
        <v>23899.56</v>
      </c>
      <c r="H72" s="336"/>
      <c r="I72" s="336">
        <f t="shared" si="5"/>
        <v>47799.12</v>
      </c>
      <c r="J72" s="336">
        <f t="shared" si="6"/>
        <v>47799.12</v>
      </c>
      <c r="K72" s="546">
        <f t="shared" si="2"/>
        <v>0</v>
      </c>
      <c r="L72" s="502"/>
      <c r="M72" s="231" t="s">
        <v>242</v>
      </c>
      <c r="N72" s="11" t="s">
        <v>243</v>
      </c>
      <c r="O72" s="341"/>
      <c r="P72" s="339"/>
    </row>
    <row r="73" spans="1:16" ht="33" hidden="1">
      <c r="A73" s="333" t="s">
        <v>2189</v>
      </c>
      <c r="B73" s="334" t="s">
        <v>374</v>
      </c>
      <c r="C73" s="335" t="s">
        <v>0</v>
      </c>
      <c r="D73" s="336">
        <v>8</v>
      </c>
      <c r="E73" s="336">
        <f>估驗單!F67</f>
        <v>8</v>
      </c>
      <c r="F73" s="390">
        <f t="shared" si="4"/>
        <v>0</v>
      </c>
      <c r="G73" s="336">
        <v>25125.57</v>
      </c>
      <c r="H73" s="336"/>
      <c r="I73" s="336">
        <f t="shared" si="5"/>
        <v>201004.56</v>
      </c>
      <c r="J73" s="336">
        <f t="shared" si="6"/>
        <v>201004.56</v>
      </c>
      <c r="K73" s="546">
        <f t="shared" si="2"/>
        <v>0</v>
      </c>
      <c r="L73" s="502"/>
      <c r="M73" s="231" t="s">
        <v>2321</v>
      </c>
      <c r="N73" s="11" t="s">
        <v>243</v>
      </c>
      <c r="O73" s="341"/>
      <c r="P73" s="339"/>
    </row>
    <row r="74" spans="1:16" ht="33" hidden="1">
      <c r="A74" s="333" t="s">
        <v>2190</v>
      </c>
      <c r="B74" s="334" t="s">
        <v>376</v>
      </c>
      <c r="C74" s="335" t="s">
        <v>0</v>
      </c>
      <c r="D74" s="336">
        <v>3</v>
      </c>
      <c r="E74" s="336">
        <f>估驗單!F68</f>
        <v>3</v>
      </c>
      <c r="F74" s="390">
        <f t="shared" si="4"/>
        <v>0</v>
      </c>
      <c r="G74" s="336">
        <v>24022.04</v>
      </c>
      <c r="H74" s="336"/>
      <c r="I74" s="336">
        <f t="shared" si="5"/>
        <v>72066.12</v>
      </c>
      <c r="J74" s="336">
        <f t="shared" si="6"/>
        <v>72066.12</v>
      </c>
      <c r="K74" s="546">
        <f t="shared" si="2"/>
        <v>0</v>
      </c>
      <c r="L74" s="502"/>
      <c r="M74" s="231" t="s">
        <v>242</v>
      </c>
      <c r="N74" s="11" t="s">
        <v>243</v>
      </c>
      <c r="O74" s="341"/>
      <c r="P74" s="339"/>
    </row>
    <row r="75" spans="1:16" ht="33" hidden="1">
      <c r="A75" s="333" t="s">
        <v>2191</v>
      </c>
      <c r="B75" s="334" t="s">
        <v>378</v>
      </c>
      <c r="C75" s="335" t="s">
        <v>8</v>
      </c>
      <c r="D75" s="336">
        <v>30.1</v>
      </c>
      <c r="E75" s="336">
        <f>估驗單!F69</f>
        <v>30.1</v>
      </c>
      <c r="F75" s="390">
        <f t="shared" si="4"/>
        <v>0</v>
      </c>
      <c r="G75" s="336">
        <v>545.1</v>
      </c>
      <c r="H75" s="336"/>
      <c r="I75" s="336">
        <f t="shared" si="5"/>
        <v>16407.509999999998</v>
      </c>
      <c r="J75" s="336">
        <f t="shared" si="6"/>
        <v>16407.509999999998</v>
      </c>
      <c r="K75" s="546">
        <f t="shared" si="2"/>
        <v>0</v>
      </c>
      <c r="L75" s="502"/>
      <c r="M75" s="231" t="s">
        <v>2321</v>
      </c>
      <c r="N75" s="11" t="s">
        <v>243</v>
      </c>
      <c r="O75" s="341"/>
      <c r="P75" s="339"/>
    </row>
    <row r="76" spans="1:16" ht="33" hidden="1">
      <c r="A76" s="503" t="s">
        <v>2192</v>
      </c>
      <c r="B76" s="504" t="s">
        <v>380</v>
      </c>
      <c r="C76" s="505" t="s">
        <v>8</v>
      </c>
      <c r="D76" s="506">
        <v>31.2</v>
      </c>
      <c r="E76" s="506">
        <f>估驗單!F70</f>
        <v>35.200000000000003</v>
      </c>
      <c r="F76" s="507">
        <f t="shared" si="4"/>
        <v>4.0000000000000036</v>
      </c>
      <c r="G76" s="506">
        <v>8355.11</v>
      </c>
      <c r="H76" s="506"/>
      <c r="I76" s="506">
        <f t="shared" si="5"/>
        <v>260679.43</v>
      </c>
      <c r="J76" s="506">
        <f t="shared" si="6"/>
        <v>294099.87</v>
      </c>
      <c r="K76" s="547">
        <f t="shared" si="2"/>
        <v>33420.44</v>
      </c>
      <c r="L76" s="510"/>
      <c r="M76" s="508" t="s">
        <v>242</v>
      </c>
      <c r="N76" s="11" t="s">
        <v>243</v>
      </c>
      <c r="O76" s="341" t="s">
        <v>2616</v>
      </c>
      <c r="P76" s="339"/>
    </row>
    <row r="77" spans="1:16" ht="33" hidden="1">
      <c r="A77" s="503" t="s">
        <v>2193</v>
      </c>
      <c r="B77" s="504" t="s">
        <v>383</v>
      </c>
      <c r="C77" s="505" t="s">
        <v>8</v>
      </c>
      <c r="D77" s="506">
        <v>17.899999999999999</v>
      </c>
      <c r="E77" s="506">
        <f>估驗單!F71</f>
        <v>24.3</v>
      </c>
      <c r="F77" s="507">
        <f t="shared" si="4"/>
        <v>6.4000000000000021</v>
      </c>
      <c r="G77" s="506">
        <v>5394.64</v>
      </c>
      <c r="H77" s="506"/>
      <c r="I77" s="506">
        <f t="shared" si="5"/>
        <v>96564.06</v>
      </c>
      <c r="J77" s="506">
        <f t="shared" si="6"/>
        <v>131089.75</v>
      </c>
      <c r="K77" s="547">
        <f t="shared" si="2"/>
        <v>34525.69</v>
      </c>
      <c r="L77" s="510"/>
      <c r="M77" s="508" t="s">
        <v>242</v>
      </c>
      <c r="N77" s="11" t="s">
        <v>243</v>
      </c>
      <c r="O77" s="341" t="s">
        <v>2616</v>
      </c>
      <c r="P77" s="339"/>
    </row>
    <row r="78" spans="1:16" ht="33" hidden="1">
      <c r="A78" s="333" t="s">
        <v>2194</v>
      </c>
      <c r="B78" s="334" t="s">
        <v>386</v>
      </c>
      <c r="C78" s="335" t="s">
        <v>8</v>
      </c>
      <c r="D78" s="336">
        <v>19.600000000000001</v>
      </c>
      <c r="E78" s="336">
        <f>估驗單!F72</f>
        <v>19.600000000000001</v>
      </c>
      <c r="F78" s="390">
        <f t="shared" si="4"/>
        <v>0</v>
      </c>
      <c r="G78" s="336">
        <v>432.57</v>
      </c>
      <c r="H78" s="336"/>
      <c r="I78" s="336">
        <f t="shared" si="5"/>
        <v>8478.3700000000008</v>
      </c>
      <c r="J78" s="336">
        <f t="shared" si="6"/>
        <v>8478.3700000000008</v>
      </c>
      <c r="K78" s="546">
        <f t="shared" si="2"/>
        <v>0</v>
      </c>
      <c r="L78" s="502"/>
      <c r="M78" s="231" t="s">
        <v>242</v>
      </c>
      <c r="N78" s="11" t="s">
        <v>243</v>
      </c>
      <c r="O78" s="341"/>
      <c r="P78" s="339"/>
    </row>
    <row r="79" spans="1:16" ht="33" hidden="1">
      <c r="A79" s="333" t="s">
        <v>2195</v>
      </c>
      <c r="B79" s="334" t="s">
        <v>389</v>
      </c>
      <c r="C79" s="335" t="s">
        <v>8</v>
      </c>
      <c r="D79" s="336">
        <v>24.9</v>
      </c>
      <c r="E79" s="336">
        <f>估驗單!F73</f>
        <v>24.9</v>
      </c>
      <c r="F79" s="390">
        <f t="shared" si="4"/>
        <v>0</v>
      </c>
      <c r="G79" s="336">
        <v>1224.22</v>
      </c>
      <c r="H79" s="336"/>
      <c r="I79" s="336">
        <f t="shared" si="5"/>
        <v>30483.08</v>
      </c>
      <c r="J79" s="336">
        <f t="shared" si="6"/>
        <v>30483.08</v>
      </c>
      <c r="K79" s="546">
        <f t="shared" ref="K79:K144" si="7">J79-I79</f>
        <v>0</v>
      </c>
      <c r="L79" s="502"/>
      <c r="M79" s="231" t="s">
        <v>242</v>
      </c>
      <c r="N79" s="11" t="s">
        <v>243</v>
      </c>
      <c r="O79" s="341"/>
      <c r="P79" s="339"/>
    </row>
    <row r="80" spans="1:16" ht="33" hidden="1">
      <c r="A80" s="333" t="s">
        <v>2196</v>
      </c>
      <c r="B80" s="334" t="s">
        <v>392</v>
      </c>
      <c r="C80" s="335" t="s">
        <v>8</v>
      </c>
      <c r="D80" s="336">
        <v>3.5</v>
      </c>
      <c r="E80" s="336">
        <f>估驗單!F74</f>
        <v>3.5</v>
      </c>
      <c r="F80" s="390">
        <f t="shared" si="4"/>
        <v>0</v>
      </c>
      <c r="G80" s="336">
        <v>1148.6300000000001</v>
      </c>
      <c r="H80" s="336"/>
      <c r="I80" s="336">
        <f t="shared" si="5"/>
        <v>4020.21</v>
      </c>
      <c r="J80" s="336">
        <f t="shared" si="6"/>
        <v>4020.21</v>
      </c>
      <c r="K80" s="546">
        <f t="shared" si="7"/>
        <v>0</v>
      </c>
      <c r="L80" s="502"/>
      <c r="M80" s="231" t="s">
        <v>242</v>
      </c>
      <c r="N80" s="11" t="s">
        <v>243</v>
      </c>
      <c r="O80" s="341"/>
      <c r="P80" s="339"/>
    </row>
    <row r="81" spans="1:16" ht="33" hidden="1">
      <c r="A81" s="333" t="s">
        <v>2197</v>
      </c>
      <c r="B81" s="334" t="s">
        <v>395</v>
      </c>
      <c r="C81" s="335" t="s">
        <v>0</v>
      </c>
      <c r="D81" s="336">
        <v>1</v>
      </c>
      <c r="E81" s="336">
        <f>估驗單!F75</f>
        <v>1</v>
      </c>
      <c r="F81" s="390">
        <f t="shared" si="4"/>
        <v>0</v>
      </c>
      <c r="G81" s="336">
        <v>5698.63</v>
      </c>
      <c r="H81" s="336"/>
      <c r="I81" s="336">
        <f t="shared" si="5"/>
        <v>5698.63</v>
      </c>
      <c r="J81" s="336">
        <f t="shared" si="6"/>
        <v>5698.63</v>
      </c>
      <c r="K81" s="546">
        <f t="shared" si="7"/>
        <v>0</v>
      </c>
      <c r="L81" s="502"/>
      <c r="M81" s="231" t="s">
        <v>242</v>
      </c>
      <c r="N81" s="11" t="s">
        <v>243</v>
      </c>
      <c r="O81" s="341"/>
      <c r="P81" s="339"/>
    </row>
    <row r="82" spans="1:16" ht="33" hidden="1">
      <c r="A82" s="333" t="s">
        <v>2198</v>
      </c>
      <c r="B82" s="334" t="s">
        <v>398</v>
      </c>
      <c r="C82" s="335" t="s">
        <v>0</v>
      </c>
      <c r="D82" s="336">
        <v>1</v>
      </c>
      <c r="E82" s="336">
        <f>估驗單!F76</f>
        <v>1</v>
      </c>
      <c r="F82" s="390">
        <f t="shared" si="4"/>
        <v>0</v>
      </c>
      <c r="G82" s="336">
        <v>5963.22</v>
      </c>
      <c r="H82" s="336"/>
      <c r="I82" s="336">
        <f t="shared" si="5"/>
        <v>5963.22</v>
      </c>
      <c r="J82" s="336">
        <f t="shared" si="6"/>
        <v>5963.22</v>
      </c>
      <c r="K82" s="546">
        <f t="shared" si="7"/>
        <v>0</v>
      </c>
      <c r="L82" s="502"/>
      <c r="M82" s="231" t="s">
        <v>242</v>
      </c>
      <c r="N82" s="11" t="s">
        <v>243</v>
      </c>
      <c r="O82" s="341"/>
      <c r="P82" s="339"/>
    </row>
    <row r="83" spans="1:16" ht="33" hidden="1">
      <c r="A83" s="333" t="s">
        <v>2199</v>
      </c>
      <c r="B83" s="334" t="s">
        <v>401</v>
      </c>
      <c r="C83" s="335" t="s">
        <v>0</v>
      </c>
      <c r="D83" s="336">
        <v>1</v>
      </c>
      <c r="E83" s="336">
        <f>估驗單!F77</f>
        <v>1</v>
      </c>
      <c r="F83" s="390">
        <f t="shared" si="4"/>
        <v>0</v>
      </c>
      <c r="G83" s="336">
        <v>1421.11</v>
      </c>
      <c r="H83" s="336"/>
      <c r="I83" s="336">
        <f t="shared" si="5"/>
        <v>1421.11</v>
      </c>
      <c r="J83" s="336">
        <f t="shared" si="6"/>
        <v>1421.11</v>
      </c>
      <c r="K83" s="546">
        <f t="shared" si="7"/>
        <v>0</v>
      </c>
      <c r="L83" s="502"/>
      <c r="M83" s="231" t="s">
        <v>242</v>
      </c>
      <c r="N83" s="11" t="s">
        <v>243</v>
      </c>
      <c r="O83" s="341"/>
      <c r="P83" s="339"/>
    </row>
    <row r="84" spans="1:16" ht="33" hidden="1">
      <c r="A84" s="333" t="s">
        <v>2200</v>
      </c>
      <c r="B84" s="334" t="s">
        <v>404</v>
      </c>
      <c r="C84" s="335" t="s">
        <v>0</v>
      </c>
      <c r="D84" s="336">
        <v>1</v>
      </c>
      <c r="E84" s="336">
        <f>估驗單!F78</f>
        <v>1</v>
      </c>
      <c r="F84" s="390">
        <f t="shared" si="4"/>
        <v>0</v>
      </c>
      <c r="G84" s="336">
        <v>4031.83</v>
      </c>
      <c r="H84" s="336"/>
      <c r="I84" s="336">
        <f t="shared" si="5"/>
        <v>4031.83</v>
      </c>
      <c r="J84" s="336">
        <f t="shared" si="6"/>
        <v>4031.83</v>
      </c>
      <c r="K84" s="546">
        <f t="shared" si="7"/>
        <v>0</v>
      </c>
      <c r="L84" s="502"/>
      <c r="M84" s="231" t="s">
        <v>242</v>
      </c>
      <c r="N84" s="11" t="s">
        <v>243</v>
      </c>
      <c r="O84" s="341"/>
      <c r="P84" s="339"/>
    </row>
    <row r="85" spans="1:16" ht="33" hidden="1">
      <c r="A85" s="333" t="s">
        <v>2201</v>
      </c>
      <c r="B85" s="334" t="s">
        <v>407</v>
      </c>
      <c r="C85" s="335" t="s">
        <v>0</v>
      </c>
      <c r="D85" s="336">
        <v>1</v>
      </c>
      <c r="E85" s="336">
        <f>估驗單!F79</f>
        <v>1</v>
      </c>
      <c r="F85" s="390">
        <f t="shared" si="4"/>
        <v>0</v>
      </c>
      <c r="G85" s="336">
        <v>3313.67</v>
      </c>
      <c r="H85" s="336"/>
      <c r="I85" s="336">
        <f t="shared" si="5"/>
        <v>3313.67</v>
      </c>
      <c r="J85" s="336">
        <f t="shared" si="6"/>
        <v>3313.67</v>
      </c>
      <c r="K85" s="546">
        <f t="shared" si="7"/>
        <v>0</v>
      </c>
      <c r="L85" s="502"/>
      <c r="M85" s="231" t="s">
        <v>242</v>
      </c>
      <c r="N85" s="11" t="s">
        <v>243</v>
      </c>
      <c r="O85" s="341"/>
      <c r="P85" s="339"/>
    </row>
    <row r="86" spans="1:16" ht="33" hidden="1">
      <c r="A86" s="333" t="s">
        <v>2202</v>
      </c>
      <c r="B86" s="334" t="s">
        <v>410</v>
      </c>
      <c r="C86" s="335" t="s">
        <v>8</v>
      </c>
      <c r="D86" s="336">
        <v>149.5</v>
      </c>
      <c r="E86" s="336">
        <f>估驗單!F80</f>
        <v>149.5</v>
      </c>
      <c r="F86" s="390">
        <f t="shared" si="4"/>
        <v>0</v>
      </c>
      <c r="G86" s="336">
        <v>1975.94</v>
      </c>
      <c r="H86" s="336"/>
      <c r="I86" s="336">
        <f t="shared" si="5"/>
        <v>295403.03000000003</v>
      </c>
      <c r="J86" s="336">
        <f t="shared" si="6"/>
        <v>295403.03000000003</v>
      </c>
      <c r="K86" s="546">
        <f t="shared" si="7"/>
        <v>0</v>
      </c>
      <c r="L86" s="502"/>
      <c r="M86" s="231" t="s">
        <v>242</v>
      </c>
      <c r="N86" s="11" t="s">
        <v>243</v>
      </c>
      <c r="O86" s="341"/>
      <c r="P86" s="339"/>
    </row>
    <row r="87" spans="1:16" ht="33" hidden="1">
      <c r="A87" s="333" t="s">
        <v>2203</v>
      </c>
      <c r="B87" s="334" t="s">
        <v>413</v>
      </c>
      <c r="C87" s="335" t="s">
        <v>8</v>
      </c>
      <c r="D87" s="336">
        <v>39.299999999999997</v>
      </c>
      <c r="E87" s="336">
        <f>估驗單!F81</f>
        <v>39.299999999999997</v>
      </c>
      <c r="F87" s="390">
        <f t="shared" si="4"/>
        <v>0</v>
      </c>
      <c r="G87" s="336">
        <v>4874.2299999999996</v>
      </c>
      <c r="H87" s="336"/>
      <c r="I87" s="336">
        <f t="shared" si="5"/>
        <v>191557.24</v>
      </c>
      <c r="J87" s="336">
        <f t="shared" si="6"/>
        <v>191557.24</v>
      </c>
      <c r="K87" s="546">
        <f t="shared" si="7"/>
        <v>0</v>
      </c>
      <c r="L87" s="502"/>
      <c r="M87" s="231" t="s">
        <v>242</v>
      </c>
      <c r="N87" s="11" t="s">
        <v>243</v>
      </c>
      <c r="O87" s="341"/>
      <c r="P87" s="339"/>
    </row>
    <row r="88" spans="1:16" ht="33" hidden="1">
      <c r="A88" s="333" t="s">
        <v>2204</v>
      </c>
      <c r="B88" s="334" t="s">
        <v>416</v>
      </c>
      <c r="C88" s="335" t="s">
        <v>8</v>
      </c>
      <c r="D88" s="336">
        <v>51.3</v>
      </c>
      <c r="E88" s="336">
        <f>估驗單!F82</f>
        <v>51.3</v>
      </c>
      <c r="F88" s="390">
        <f t="shared" si="4"/>
        <v>0</v>
      </c>
      <c r="G88" s="336">
        <v>2938.96</v>
      </c>
      <c r="H88" s="336"/>
      <c r="I88" s="336">
        <f t="shared" si="5"/>
        <v>150768.65</v>
      </c>
      <c r="J88" s="336">
        <f t="shared" si="6"/>
        <v>150768.65</v>
      </c>
      <c r="K88" s="546">
        <f t="shared" si="7"/>
        <v>0</v>
      </c>
      <c r="L88" s="502"/>
      <c r="M88" s="231" t="s">
        <v>242</v>
      </c>
      <c r="N88" s="11" t="s">
        <v>243</v>
      </c>
      <c r="O88" s="341"/>
      <c r="P88" s="339"/>
    </row>
    <row r="89" spans="1:16" ht="33" hidden="1">
      <c r="A89" s="333" t="s">
        <v>2205</v>
      </c>
      <c r="B89" s="334" t="s">
        <v>419</v>
      </c>
      <c r="C89" s="335" t="s">
        <v>0</v>
      </c>
      <c r="D89" s="336">
        <v>1</v>
      </c>
      <c r="E89" s="336">
        <f>估驗單!F83</f>
        <v>1</v>
      </c>
      <c r="F89" s="390">
        <f t="shared" si="4"/>
        <v>0</v>
      </c>
      <c r="G89" s="336">
        <v>23029.53</v>
      </c>
      <c r="H89" s="336"/>
      <c r="I89" s="336">
        <f t="shared" si="5"/>
        <v>23029.53</v>
      </c>
      <c r="J89" s="336">
        <f t="shared" si="6"/>
        <v>23029.53</v>
      </c>
      <c r="K89" s="546">
        <f t="shared" si="7"/>
        <v>0</v>
      </c>
      <c r="L89" s="502"/>
      <c r="M89" s="231" t="s">
        <v>2321</v>
      </c>
      <c r="N89" s="11" t="s">
        <v>243</v>
      </c>
      <c r="O89" s="341"/>
      <c r="P89" s="339"/>
    </row>
    <row r="90" spans="1:16" ht="33" hidden="1">
      <c r="A90" s="333" t="s">
        <v>2206</v>
      </c>
      <c r="B90" s="334" t="s">
        <v>422</v>
      </c>
      <c r="C90" s="335" t="s">
        <v>0</v>
      </c>
      <c r="D90" s="336">
        <v>2</v>
      </c>
      <c r="E90" s="336">
        <f>估驗單!F84</f>
        <v>2</v>
      </c>
      <c r="F90" s="390">
        <f t="shared" si="4"/>
        <v>0</v>
      </c>
      <c r="G90" s="336">
        <v>18604.87</v>
      </c>
      <c r="H90" s="336"/>
      <c r="I90" s="336">
        <f t="shared" si="5"/>
        <v>37209.74</v>
      </c>
      <c r="J90" s="336">
        <f t="shared" si="6"/>
        <v>37209.74</v>
      </c>
      <c r="K90" s="546">
        <f t="shared" si="7"/>
        <v>0</v>
      </c>
      <c r="L90" s="502"/>
      <c r="M90" s="231" t="s">
        <v>2321</v>
      </c>
      <c r="N90" s="11" t="s">
        <v>243</v>
      </c>
      <c r="O90" s="341"/>
      <c r="P90" s="339"/>
    </row>
    <row r="91" spans="1:16" ht="33" hidden="1">
      <c r="A91" s="333" t="s">
        <v>2207</v>
      </c>
      <c r="B91" s="334" t="s">
        <v>425</v>
      </c>
      <c r="C91" s="335" t="s">
        <v>0</v>
      </c>
      <c r="D91" s="336">
        <v>1</v>
      </c>
      <c r="E91" s="336">
        <f>估驗單!F85</f>
        <v>1</v>
      </c>
      <c r="F91" s="390">
        <f t="shared" si="4"/>
        <v>0</v>
      </c>
      <c r="G91" s="336">
        <v>18604.87</v>
      </c>
      <c r="H91" s="336"/>
      <c r="I91" s="336">
        <f t="shared" si="5"/>
        <v>18604.87</v>
      </c>
      <c r="J91" s="336">
        <f t="shared" si="6"/>
        <v>18604.87</v>
      </c>
      <c r="K91" s="546">
        <f t="shared" si="7"/>
        <v>0</v>
      </c>
      <c r="L91" s="502"/>
      <c r="M91" s="231" t="s">
        <v>242</v>
      </c>
      <c r="N91" s="11" t="s">
        <v>243</v>
      </c>
      <c r="O91" s="341"/>
      <c r="P91" s="339"/>
    </row>
    <row r="92" spans="1:16" ht="33" hidden="1">
      <c r="A92" s="333" t="s">
        <v>2208</v>
      </c>
      <c r="B92" s="334" t="s">
        <v>428</v>
      </c>
      <c r="C92" s="335" t="s">
        <v>0</v>
      </c>
      <c r="D92" s="336">
        <v>2</v>
      </c>
      <c r="E92" s="336">
        <f>估驗單!F86</f>
        <v>2</v>
      </c>
      <c r="F92" s="390">
        <f t="shared" ref="F92:F160" si="8">E92-D92</f>
        <v>0</v>
      </c>
      <c r="G92" s="336">
        <v>11654.82</v>
      </c>
      <c r="H92" s="336"/>
      <c r="I92" s="336">
        <f t="shared" si="5"/>
        <v>23309.64</v>
      </c>
      <c r="J92" s="336">
        <f t="shared" si="6"/>
        <v>23309.64</v>
      </c>
      <c r="K92" s="546">
        <f t="shared" si="7"/>
        <v>0</v>
      </c>
      <c r="L92" s="502"/>
      <c r="M92" s="231" t="s">
        <v>242</v>
      </c>
      <c r="N92" s="11" t="s">
        <v>243</v>
      </c>
      <c r="O92" s="341"/>
      <c r="P92" s="339"/>
    </row>
    <row r="93" spans="1:16" ht="33" hidden="1">
      <c r="A93" s="333" t="s">
        <v>2209</v>
      </c>
      <c r="B93" s="334" t="s">
        <v>431</v>
      </c>
      <c r="C93" s="335" t="s">
        <v>0</v>
      </c>
      <c r="D93" s="336">
        <v>2</v>
      </c>
      <c r="E93" s="336">
        <f>估驗單!F87</f>
        <v>2</v>
      </c>
      <c r="F93" s="390">
        <f t="shared" si="8"/>
        <v>0</v>
      </c>
      <c r="G93" s="336">
        <v>25107.48</v>
      </c>
      <c r="H93" s="336"/>
      <c r="I93" s="336">
        <f t="shared" si="5"/>
        <v>50214.96</v>
      </c>
      <c r="J93" s="336">
        <f t="shared" si="6"/>
        <v>50214.96</v>
      </c>
      <c r="K93" s="546">
        <f t="shared" si="7"/>
        <v>0</v>
      </c>
      <c r="L93" s="502"/>
      <c r="M93" s="231" t="s">
        <v>242</v>
      </c>
      <c r="N93" s="11" t="s">
        <v>243</v>
      </c>
      <c r="O93" s="341"/>
      <c r="P93" s="339"/>
    </row>
    <row r="94" spans="1:16" ht="33" hidden="1">
      <c r="A94" s="333" t="s">
        <v>2210</v>
      </c>
      <c r="B94" s="334" t="s">
        <v>434</v>
      </c>
      <c r="C94" s="335" t="s">
        <v>0</v>
      </c>
      <c r="D94" s="336">
        <v>1</v>
      </c>
      <c r="E94" s="336">
        <f>估驗單!F88</f>
        <v>1</v>
      </c>
      <c r="F94" s="390">
        <f t="shared" si="8"/>
        <v>0</v>
      </c>
      <c r="G94" s="336">
        <v>22415.66</v>
      </c>
      <c r="H94" s="336"/>
      <c r="I94" s="336">
        <f t="shared" si="5"/>
        <v>22415.66</v>
      </c>
      <c r="J94" s="336">
        <f t="shared" si="6"/>
        <v>22415.66</v>
      </c>
      <c r="K94" s="546">
        <f t="shared" si="7"/>
        <v>0</v>
      </c>
      <c r="L94" s="502"/>
      <c r="M94" s="231" t="s">
        <v>242</v>
      </c>
      <c r="N94" s="11" t="s">
        <v>243</v>
      </c>
      <c r="O94" s="341"/>
      <c r="P94" s="339"/>
    </row>
    <row r="95" spans="1:16" ht="33" hidden="1">
      <c r="A95" s="333" t="s">
        <v>2211</v>
      </c>
      <c r="B95" s="334" t="s">
        <v>437</v>
      </c>
      <c r="C95" s="335" t="s">
        <v>0</v>
      </c>
      <c r="D95" s="336">
        <v>1</v>
      </c>
      <c r="E95" s="336">
        <f>估驗單!F89</f>
        <v>1</v>
      </c>
      <c r="F95" s="390">
        <f t="shared" si="8"/>
        <v>0</v>
      </c>
      <c r="G95" s="336">
        <v>21723.54</v>
      </c>
      <c r="H95" s="336"/>
      <c r="I95" s="336">
        <f t="shared" si="5"/>
        <v>21723.54</v>
      </c>
      <c r="J95" s="336">
        <f t="shared" si="6"/>
        <v>21723.54</v>
      </c>
      <c r="K95" s="546">
        <f t="shared" si="7"/>
        <v>0</v>
      </c>
      <c r="L95" s="502"/>
      <c r="M95" s="231" t="s">
        <v>242</v>
      </c>
      <c r="N95" s="11" t="s">
        <v>243</v>
      </c>
      <c r="O95" s="341"/>
      <c r="P95" s="339"/>
    </row>
    <row r="96" spans="1:16" ht="33" hidden="1">
      <c r="A96" s="333" t="s">
        <v>2212</v>
      </c>
      <c r="B96" s="334" t="s">
        <v>440</v>
      </c>
      <c r="C96" s="335" t="s">
        <v>0</v>
      </c>
      <c r="D96" s="336">
        <v>1</v>
      </c>
      <c r="E96" s="336">
        <f>估驗單!F90</f>
        <v>1</v>
      </c>
      <c r="F96" s="390">
        <f t="shared" si="8"/>
        <v>0</v>
      </c>
      <c r="G96" s="336">
        <v>22646.36</v>
      </c>
      <c r="H96" s="336"/>
      <c r="I96" s="336">
        <f t="shared" si="5"/>
        <v>22646.36</v>
      </c>
      <c r="J96" s="336">
        <f t="shared" si="6"/>
        <v>22646.36</v>
      </c>
      <c r="K96" s="546">
        <f t="shared" si="7"/>
        <v>0</v>
      </c>
      <c r="L96" s="502"/>
      <c r="M96" s="231" t="s">
        <v>242</v>
      </c>
      <c r="N96" s="11" t="s">
        <v>243</v>
      </c>
      <c r="O96" s="341"/>
      <c r="P96" s="339"/>
    </row>
    <row r="97" spans="1:16" ht="33" hidden="1">
      <c r="A97" s="333" t="s">
        <v>2213</v>
      </c>
      <c r="B97" s="334" t="s">
        <v>443</v>
      </c>
      <c r="C97" s="335" t="s">
        <v>0</v>
      </c>
      <c r="D97" s="336">
        <v>4</v>
      </c>
      <c r="E97" s="336">
        <f>估驗單!F91</f>
        <v>4</v>
      </c>
      <c r="F97" s="390">
        <f t="shared" si="8"/>
        <v>0</v>
      </c>
      <c r="G97" s="336">
        <v>17340.05</v>
      </c>
      <c r="H97" s="336"/>
      <c r="I97" s="336">
        <f t="shared" si="5"/>
        <v>69360.2</v>
      </c>
      <c r="J97" s="336">
        <f t="shared" si="6"/>
        <v>69360.2</v>
      </c>
      <c r="K97" s="546">
        <f t="shared" si="7"/>
        <v>0</v>
      </c>
      <c r="L97" s="502"/>
      <c r="M97" s="231" t="s">
        <v>242</v>
      </c>
      <c r="N97" s="11" t="s">
        <v>243</v>
      </c>
      <c r="O97" s="341"/>
      <c r="P97" s="339"/>
    </row>
    <row r="98" spans="1:16" ht="33" hidden="1">
      <c r="A98" s="333" t="s">
        <v>2214</v>
      </c>
      <c r="B98" s="334" t="s">
        <v>446</v>
      </c>
      <c r="C98" s="335" t="s">
        <v>0</v>
      </c>
      <c r="D98" s="336">
        <v>6</v>
      </c>
      <c r="E98" s="336">
        <f>估驗單!F92</f>
        <v>6</v>
      </c>
      <c r="F98" s="390">
        <f t="shared" si="8"/>
        <v>0</v>
      </c>
      <c r="G98" s="336">
        <v>17340.05</v>
      </c>
      <c r="H98" s="336"/>
      <c r="I98" s="336">
        <f t="shared" si="5"/>
        <v>104040.3</v>
      </c>
      <c r="J98" s="336">
        <f t="shared" si="6"/>
        <v>104040.3</v>
      </c>
      <c r="K98" s="546">
        <f t="shared" si="7"/>
        <v>0</v>
      </c>
      <c r="L98" s="502"/>
      <c r="M98" s="231" t="s">
        <v>242</v>
      </c>
      <c r="N98" s="11" t="s">
        <v>243</v>
      </c>
      <c r="O98" s="341"/>
      <c r="P98" s="339"/>
    </row>
    <row r="99" spans="1:16" ht="33" hidden="1">
      <c r="A99" s="333" t="s">
        <v>2215</v>
      </c>
      <c r="B99" s="334" t="s">
        <v>449</v>
      </c>
      <c r="C99" s="335" t="s">
        <v>0</v>
      </c>
      <c r="D99" s="336">
        <v>1</v>
      </c>
      <c r="E99" s="336">
        <f>估驗單!F93</f>
        <v>1</v>
      </c>
      <c r="F99" s="390">
        <f t="shared" si="8"/>
        <v>0</v>
      </c>
      <c r="G99" s="336">
        <v>17496.650000000001</v>
      </c>
      <c r="H99" s="336"/>
      <c r="I99" s="336">
        <f t="shared" si="5"/>
        <v>17496.650000000001</v>
      </c>
      <c r="J99" s="336">
        <f t="shared" si="6"/>
        <v>17496.650000000001</v>
      </c>
      <c r="K99" s="546">
        <f t="shared" si="7"/>
        <v>0</v>
      </c>
      <c r="L99" s="502"/>
      <c r="M99" s="231" t="s">
        <v>242</v>
      </c>
      <c r="N99" s="11" t="s">
        <v>243</v>
      </c>
      <c r="O99" s="341"/>
      <c r="P99" s="339"/>
    </row>
    <row r="100" spans="1:16" ht="33" hidden="1">
      <c r="A100" s="333" t="s">
        <v>2216</v>
      </c>
      <c r="B100" s="334" t="s">
        <v>452</v>
      </c>
      <c r="C100" s="335" t="s">
        <v>0</v>
      </c>
      <c r="D100" s="336">
        <v>1</v>
      </c>
      <c r="E100" s="336">
        <f>估驗單!F94</f>
        <v>1</v>
      </c>
      <c r="F100" s="390">
        <f t="shared" si="8"/>
        <v>0</v>
      </c>
      <c r="G100" s="336">
        <v>1501.66</v>
      </c>
      <c r="H100" s="336"/>
      <c r="I100" s="336">
        <f t="shared" si="5"/>
        <v>1501.66</v>
      </c>
      <c r="J100" s="336">
        <f t="shared" si="6"/>
        <v>1501.66</v>
      </c>
      <c r="K100" s="546">
        <f t="shared" si="7"/>
        <v>0</v>
      </c>
      <c r="L100" s="502"/>
      <c r="M100" s="231" t="s">
        <v>242</v>
      </c>
      <c r="N100" s="11" t="s">
        <v>243</v>
      </c>
      <c r="O100" s="341"/>
      <c r="P100" s="339"/>
    </row>
    <row r="101" spans="1:16" ht="33" hidden="1">
      <c r="A101" s="333" t="s">
        <v>2217</v>
      </c>
      <c r="B101" s="334" t="s">
        <v>455</v>
      </c>
      <c r="C101" s="335" t="s">
        <v>0</v>
      </c>
      <c r="D101" s="336">
        <v>1</v>
      </c>
      <c r="E101" s="336">
        <f>估驗單!F95</f>
        <v>1</v>
      </c>
      <c r="F101" s="390">
        <f t="shared" si="8"/>
        <v>0</v>
      </c>
      <c r="G101" s="336">
        <v>1240.05</v>
      </c>
      <c r="H101" s="336"/>
      <c r="I101" s="336">
        <f t="shared" si="5"/>
        <v>1240.05</v>
      </c>
      <c r="J101" s="336">
        <f t="shared" si="6"/>
        <v>1240.05</v>
      </c>
      <c r="K101" s="546">
        <f t="shared" si="7"/>
        <v>0</v>
      </c>
      <c r="L101" s="502"/>
      <c r="M101" s="231" t="s">
        <v>242</v>
      </c>
      <c r="N101" s="11" t="s">
        <v>243</v>
      </c>
      <c r="O101" s="341"/>
      <c r="P101" s="339"/>
    </row>
    <row r="102" spans="1:16" ht="33" hidden="1">
      <c r="A102" s="333" t="s">
        <v>2218</v>
      </c>
      <c r="B102" s="334" t="s">
        <v>458</v>
      </c>
      <c r="C102" s="335" t="s">
        <v>0</v>
      </c>
      <c r="D102" s="336">
        <v>1</v>
      </c>
      <c r="E102" s="336">
        <f>估驗單!F96</f>
        <v>1</v>
      </c>
      <c r="F102" s="390">
        <f t="shared" si="8"/>
        <v>0</v>
      </c>
      <c r="G102" s="336">
        <v>1470.75</v>
      </c>
      <c r="H102" s="336"/>
      <c r="I102" s="336">
        <f t="shared" si="5"/>
        <v>1470.75</v>
      </c>
      <c r="J102" s="336">
        <f t="shared" si="6"/>
        <v>1470.75</v>
      </c>
      <c r="K102" s="546">
        <f t="shared" si="7"/>
        <v>0</v>
      </c>
      <c r="L102" s="502"/>
      <c r="M102" s="231" t="s">
        <v>242</v>
      </c>
      <c r="N102" s="11" t="s">
        <v>243</v>
      </c>
      <c r="O102" s="341"/>
      <c r="P102" s="339"/>
    </row>
    <row r="103" spans="1:16" ht="33" hidden="1">
      <c r="A103" s="333" t="s">
        <v>2219</v>
      </c>
      <c r="B103" s="334" t="s">
        <v>461</v>
      </c>
      <c r="C103" s="335" t="s">
        <v>0</v>
      </c>
      <c r="D103" s="336">
        <v>1</v>
      </c>
      <c r="E103" s="336">
        <f>估驗單!F97</f>
        <v>1</v>
      </c>
      <c r="F103" s="390">
        <f t="shared" si="8"/>
        <v>0</v>
      </c>
      <c r="G103" s="336">
        <v>1326.56</v>
      </c>
      <c r="H103" s="336"/>
      <c r="I103" s="336">
        <f t="shared" si="5"/>
        <v>1326.56</v>
      </c>
      <c r="J103" s="336">
        <f t="shared" si="6"/>
        <v>1326.56</v>
      </c>
      <c r="K103" s="546">
        <f t="shared" si="7"/>
        <v>0</v>
      </c>
      <c r="L103" s="502"/>
      <c r="M103" s="231" t="s">
        <v>242</v>
      </c>
      <c r="N103" s="11" t="s">
        <v>243</v>
      </c>
      <c r="O103" s="341"/>
      <c r="P103" s="339"/>
    </row>
    <row r="104" spans="1:16" ht="33" hidden="1">
      <c r="A104" s="333" t="s">
        <v>2220</v>
      </c>
      <c r="B104" s="334" t="s">
        <v>464</v>
      </c>
      <c r="C104" s="335" t="s">
        <v>0</v>
      </c>
      <c r="D104" s="336">
        <v>3</v>
      </c>
      <c r="E104" s="336">
        <f>估驗單!F98</f>
        <v>3</v>
      </c>
      <c r="F104" s="390">
        <f t="shared" si="8"/>
        <v>0</v>
      </c>
      <c r="G104" s="336">
        <v>331.64</v>
      </c>
      <c r="H104" s="336"/>
      <c r="I104" s="336">
        <f t="shared" ref="I104:I127" si="9">ROUND(D104*G104,2)</f>
        <v>994.92</v>
      </c>
      <c r="J104" s="336">
        <f t="shared" ref="J104:J124" si="10">ROUND(E104*G104,2)</f>
        <v>994.92</v>
      </c>
      <c r="K104" s="546">
        <f t="shared" si="7"/>
        <v>0</v>
      </c>
      <c r="L104" s="502"/>
      <c r="M104" s="231" t="s">
        <v>242</v>
      </c>
      <c r="N104" s="11" t="s">
        <v>243</v>
      </c>
      <c r="O104" s="341"/>
      <c r="P104" s="339"/>
    </row>
    <row r="105" spans="1:16" ht="33" hidden="1">
      <c r="A105" s="333" t="s">
        <v>2221</v>
      </c>
      <c r="B105" s="334" t="s">
        <v>467</v>
      </c>
      <c r="C105" s="335" t="s">
        <v>0</v>
      </c>
      <c r="D105" s="336">
        <v>7</v>
      </c>
      <c r="E105" s="336">
        <f>估驗單!F99</f>
        <v>7</v>
      </c>
      <c r="F105" s="390">
        <f t="shared" si="8"/>
        <v>0</v>
      </c>
      <c r="G105" s="336">
        <v>952.18</v>
      </c>
      <c r="H105" s="336"/>
      <c r="I105" s="336">
        <f t="shared" si="9"/>
        <v>6665.26</v>
      </c>
      <c r="J105" s="336">
        <f t="shared" si="10"/>
        <v>6665.26</v>
      </c>
      <c r="K105" s="546">
        <f t="shared" si="7"/>
        <v>0</v>
      </c>
      <c r="L105" s="502"/>
      <c r="M105" s="231" t="s">
        <v>242</v>
      </c>
      <c r="N105" s="11" t="s">
        <v>243</v>
      </c>
      <c r="O105" s="341"/>
      <c r="P105" s="339"/>
    </row>
    <row r="106" spans="1:16" ht="33" hidden="1">
      <c r="A106" s="333" t="s">
        <v>2222</v>
      </c>
      <c r="B106" s="334" t="s">
        <v>470</v>
      </c>
      <c r="C106" s="335" t="s">
        <v>0</v>
      </c>
      <c r="D106" s="336">
        <v>1</v>
      </c>
      <c r="E106" s="336">
        <f>估驗單!F100</f>
        <v>1</v>
      </c>
      <c r="F106" s="390">
        <f t="shared" si="8"/>
        <v>0</v>
      </c>
      <c r="G106" s="336">
        <v>272825.21000000002</v>
      </c>
      <c r="H106" s="336"/>
      <c r="I106" s="336">
        <f t="shared" si="9"/>
        <v>272825.21000000002</v>
      </c>
      <c r="J106" s="336">
        <f t="shared" si="10"/>
        <v>272825.21000000002</v>
      </c>
      <c r="K106" s="546">
        <f t="shared" si="7"/>
        <v>0</v>
      </c>
      <c r="L106" s="502"/>
      <c r="M106" s="231" t="s">
        <v>242</v>
      </c>
      <c r="N106" s="11" t="s">
        <v>243</v>
      </c>
      <c r="O106" s="341"/>
      <c r="P106" s="339"/>
    </row>
    <row r="107" spans="1:16" ht="33" hidden="1">
      <c r="A107" s="333" t="s">
        <v>2223</v>
      </c>
      <c r="B107" s="334" t="s">
        <v>473</v>
      </c>
      <c r="C107" s="335" t="s">
        <v>13</v>
      </c>
      <c r="D107" s="336">
        <v>759.43</v>
      </c>
      <c r="E107" s="336">
        <f>估驗單!F101</f>
        <v>759.43</v>
      </c>
      <c r="F107" s="390">
        <f t="shared" si="8"/>
        <v>0</v>
      </c>
      <c r="G107" s="336">
        <v>647.65</v>
      </c>
      <c r="H107" s="336"/>
      <c r="I107" s="336">
        <f t="shared" si="9"/>
        <v>491844.84</v>
      </c>
      <c r="J107" s="336">
        <f t="shared" si="10"/>
        <v>491844.84</v>
      </c>
      <c r="K107" s="546">
        <f t="shared" si="7"/>
        <v>0</v>
      </c>
      <c r="L107" s="502"/>
      <c r="M107" s="231" t="s">
        <v>242</v>
      </c>
      <c r="N107" s="11" t="s">
        <v>243</v>
      </c>
      <c r="O107" s="341"/>
      <c r="P107" s="339"/>
    </row>
    <row r="108" spans="1:16" ht="33" hidden="1">
      <c r="A108" s="333" t="s">
        <v>2224</v>
      </c>
      <c r="B108" s="334" t="s">
        <v>476</v>
      </c>
      <c r="C108" s="335" t="s">
        <v>15</v>
      </c>
      <c r="D108" s="336">
        <v>1</v>
      </c>
      <c r="E108" s="336">
        <f>估驗單!F102</f>
        <v>1</v>
      </c>
      <c r="F108" s="390">
        <f t="shared" si="8"/>
        <v>0</v>
      </c>
      <c r="G108" s="336">
        <v>10412.73</v>
      </c>
      <c r="H108" s="336"/>
      <c r="I108" s="336">
        <f t="shared" si="9"/>
        <v>10412.73</v>
      </c>
      <c r="J108" s="336">
        <f t="shared" si="10"/>
        <v>10412.73</v>
      </c>
      <c r="K108" s="546">
        <f t="shared" si="7"/>
        <v>0</v>
      </c>
      <c r="L108" s="502"/>
      <c r="M108" s="231" t="s">
        <v>2321</v>
      </c>
      <c r="N108" s="11" t="s">
        <v>243</v>
      </c>
      <c r="O108" s="341"/>
      <c r="P108" s="339"/>
    </row>
    <row r="109" spans="1:16" ht="33" hidden="1">
      <c r="A109" s="333" t="s">
        <v>2225</v>
      </c>
      <c r="B109" s="334" t="s">
        <v>479</v>
      </c>
      <c r="C109" s="335" t="s">
        <v>15</v>
      </c>
      <c r="D109" s="336">
        <v>3</v>
      </c>
      <c r="E109" s="336">
        <f>估驗單!F103</f>
        <v>3</v>
      </c>
      <c r="F109" s="390">
        <f t="shared" si="8"/>
        <v>0</v>
      </c>
      <c r="G109" s="336">
        <v>4575.03</v>
      </c>
      <c r="H109" s="336"/>
      <c r="I109" s="336">
        <f t="shared" si="9"/>
        <v>13725.09</v>
      </c>
      <c r="J109" s="336">
        <f t="shared" si="10"/>
        <v>13725.09</v>
      </c>
      <c r="K109" s="546">
        <f t="shared" si="7"/>
        <v>0</v>
      </c>
      <c r="L109" s="502"/>
      <c r="M109" s="231" t="s">
        <v>2338</v>
      </c>
      <c r="N109" s="11" t="s">
        <v>243</v>
      </c>
      <c r="O109" s="341"/>
      <c r="P109" s="339"/>
    </row>
    <row r="110" spans="1:16" ht="33" hidden="1">
      <c r="A110" s="503" t="s">
        <v>2226</v>
      </c>
      <c r="B110" s="504" t="s">
        <v>482</v>
      </c>
      <c r="C110" s="505" t="s">
        <v>483</v>
      </c>
      <c r="D110" s="506">
        <v>88.17</v>
      </c>
      <c r="E110" s="506">
        <f>估驗單!F104</f>
        <v>88.17</v>
      </c>
      <c r="F110" s="507">
        <f t="shared" si="8"/>
        <v>0</v>
      </c>
      <c r="G110" s="506">
        <v>15299.17</v>
      </c>
      <c r="H110" s="506"/>
      <c r="I110" s="506">
        <f t="shared" si="9"/>
        <v>1348927.82</v>
      </c>
      <c r="J110" s="506">
        <f t="shared" si="10"/>
        <v>1348927.82</v>
      </c>
      <c r="K110" s="547">
        <f t="shared" si="7"/>
        <v>0</v>
      </c>
      <c r="L110" s="510"/>
      <c r="M110" s="508" t="s">
        <v>2339</v>
      </c>
      <c r="N110" s="11" t="s">
        <v>243</v>
      </c>
      <c r="O110" s="474" t="s">
        <v>2614</v>
      </c>
      <c r="P110" s="339" t="s">
        <v>2615</v>
      </c>
    </row>
    <row r="111" spans="1:16" ht="33" hidden="1">
      <c r="A111" s="333" t="s">
        <v>2227</v>
      </c>
      <c r="B111" s="334" t="s">
        <v>486</v>
      </c>
      <c r="C111" s="335" t="s">
        <v>0</v>
      </c>
      <c r="D111" s="336">
        <v>25</v>
      </c>
      <c r="E111" s="336">
        <f>估驗單!F105</f>
        <v>25</v>
      </c>
      <c r="F111" s="390">
        <f t="shared" si="8"/>
        <v>0</v>
      </c>
      <c r="G111" s="336">
        <v>4498.3100000000004</v>
      </c>
      <c r="H111" s="336"/>
      <c r="I111" s="336">
        <f t="shared" si="9"/>
        <v>112457.75</v>
      </c>
      <c r="J111" s="336">
        <f t="shared" si="10"/>
        <v>112457.75</v>
      </c>
      <c r="K111" s="546">
        <f t="shared" si="7"/>
        <v>0</v>
      </c>
      <c r="L111" s="502"/>
      <c r="M111" s="231" t="s">
        <v>242</v>
      </c>
      <c r="N111" s="11" t="s">
        <v>243</v>
      </c>
      <c r="O111" s="341"/>
      <c r="P111" s="339"/>
    </row>
    <row r="112" spans="1:16" ht="33" hidden="1">
      <c r="A112" s="333" t="s">
        <v>2228</v>
      </c>
      <c r="B112" s="334" t="s">
        <v>489</v>
      </c>
      <c r="C112" s="335" t="s">
        <v>0</v>
      </c>
      <c r="D112" s="336">
        <v>13</v>
      </c>
      <c r="E112" s="336">
        <f>估驗單!F106</f>
        <v>13</v>
      </c>
      <c r="F112" s="390">
        <f t="shared" si="8"/>
        <v>0</v>
      </c>
      <c r="G112" s="336">
        <v>3353.5</v>
      </c>
      <c r="H112" s="336"/>
      <c r="I112" s="336">
        <f t="shared" si="9"/>
        <v>43595.5</v>
      </c>
      <c r="J112" s="336">
        <f t="shared" si="10"/>
        <v>43595.5</v>
      </c>
      <c r="K112" s="546">
        <f t="shared" si="7"/>
        <v>0</v>
      </c>
      <c r="L112" s="502"/>
      <c r="M112" s="231" t="s">
        <v>242</v>
      </c>
      <c r="N112" s="11" t="s">
        <v>243</v>
      </c>
      <c r="O112" s="341"/>
      <c r="P112" s="339"/>
    </row>
    <row r="113" spans="1:16" ht="33" hidden="1">
      <c r="A113" s="333" t="s">
        <v>2229</v>
      </c>
      <c r="B113" s="334" t="s">
        <v>492</v>
      </c>
      <c r="C113" s="335" t="s">
        <v>8</v>
      </c>
      <c r="D113" s="336">
        <v>9.8000000000000007</v>
      </c>
      <c r="E113" s="336">
        <f>估驗單!F107</f>
        <v>9.8000000000000007</v>
      </c>
      <c r="F113" s="390">
        <f t="shared" si="8"/>
        <v>0</v>
      </c>
      <c r="G113" s="336">
        <v>9873.85</v>
      </c>
      <c r="H113" s="336"/>
      <c r="I113" s="336">
        <f t="shared" si="9"/>
        <v>96763.73</v>
      </c>
      <c r="J113" s="336">
        <f t="shared" si="10"/>
        <v>96763.73</v>
      </c>
      <c r="K113" s="546">
        <f t="shared" si="7"/>
        <v>0</v>
      </c>
      <c r="L113" s="502"/>
      <c r="M113" s="231" t="s">
        <v>242</v>
      </c>
      <c r="N113" s="11" t="s">
        <v>243</v>
      </c>
      <c r="O113" s="341"/>
      <c r="P113" s="339"/>
    </row>
    <row r="114" spans="1:16" ht="33" hidden="1">
      <c r="A114" s="333" t="s">
        <v>2230</v>
      </c>
      <c r="B114" s="334" t="s">
        <v>495</v>
      </c>
      <c r="C114" s="335" t="s">
        <v>8</v>
      </c>
      <c r="D114" s="336">
        <v>6.2</v>
      </c>
      <c r="E114" s="336">
        <f>估驗單!F108</f>
        <v>6.2</v>
      </c>
      <c r="F114" s="390">
        <f t="shared" si="8"/>
        <v>0</v>
      </c>
      <c r="G114" s="336">
        <v>6554</v>
      </c>
      <c r="H114" s="336"/>
      <c r="I114" s="336">
        <f t="shared" si="9"/>
        <v>40634.800000000003</v>
      </c>
      <c r="J114" s="336">
        <f t="shared" si="10"/>
        <v>40634.800000000003</v>
      </c>
      <c r="K114" s="546">
        <f t="shared" si="7"/>
        <v>0</v>
      </c>
      <c r="L114" s="502"/>
      <c r="M114" s="231" t="s">
        <v>242</v>
      </c>
      <c r="N114" s="11" t="s">
        <v>243</v>
      </c>
      <c r="O114" s="341"/>
      <c r="P114" s="339"/>
    </row>
    <row r="115" spans="1:16" ht="33" hidden="1">
      <c r="A115" s="333" t="s">
        <v>2231</v>
      </c>
      <c r="B115" s="334" t="s">
        <v>498</v>
      </c>
      <c r="C115" s="335" t="s">
        <v>8</v>
      </c>
      <c r="D115" s="336">
        <v>3.3</v>
      </c>
      <c r="E115" s="336">
        <f>估驗單!F109</f>
        <v>3.3</v>
      </c>
      <c r="F115" s="390">
        <f t="shared" si="8"/>
        <v>0</v>
      </c>
      <c r="G115" s="336">
        <v>8390.27</v>
      </c>
      <c r="H115" s="336"/>
      <c r="I115" s="336">
        <f t="shared" si="9"/>
        <v>27687.89</v>
      </c>
      <c r="J115" s="336">
        <f t="shared" si="10"/>
        <v>27687.89</v>
      </c>
      <c r="K115" s="546">
        <f t="shared" si="7"/>
        <v>0</v>
      </c>
      <c r="L115" s="502"/>
      <c r="M115" s="231" t="s">
        <v>242</v>
      </c>
      <c r="N115" s="11" t="s">
        <v>243</v>
      </c>
      <c r="O115" s="341"/>
      <c r="P115" s="339"/>
    </row>
    <row r="116" spans="1:16" ht="33" hidden="1">
      <c r="A116" s="333" t="s">
        <v>2232</v>
      </c>
      <c r="B116" s="334" t="s">
        <v>501</v>
      </c>
      <c r="C116" s="335" t="s">
        <v>8</v>
      </c>
      <c r="D116" s="336">
        <v>40.6</v>
      </c>
      <c r="E116" s="336">
        <f>估驗單!F110</f>
        <v>40.6</v>
      </c>
      <c r="F116" s="390">
        <f t="shared" si="8"/>
        <v>0</v>
      </c>
      <c r="G116" s="336">
        <v>671.95</v>
      </c>
      <c r="H116" s="336"/>
      <c r="I116" s="336">
        <f t="shared" si="9"/>
        <v>27281.17</v>
      </c>
      <c r="J116" s="336">
        <f t="shared" si="10"/>
        <v>27281.17</v>
      </c>
      <c r="K116" s="546">
        <f t="shared" si="7"/>
        <v>0</v>
      </c>
      <c r="L116" s="502"/>
      <c r="M116" s="231" t="s">
        <v>2321</v>
      </c>
      <c r="N116" s="11" t="s">
        <v>243</v>
      </c>
      <c r="O116" s="341"/>
      <c r="P116" s="339"/>
    </row>
    <row r="117" spans="1:16" ht="33" hidden="1">
      <c r="A117" s="333" t="s">
        <v>2233</v>
      </c>
      <c r="B117" s="334" t="s">
        <v>504</v>
      </c>
      <c r="C117" s="335" t="s">
        <v>8</v>
      </c>
      <c r="D117" s="336">
        <v>176.7</v>
      </c>
      <c r="E117" s="336">
        <f>估驗單!F111</f>
        <v>176.7</v>
      </c>
      <c r="F117" s="390">
        <f t="shared" si="8"/>
        <v>0</v>
      </c>
      <c r="G117" s="336">
        <v>658.27</v>
      </c>
      <c r="H117" s="336"/>
      <c r="I117" s="336">
        <f t="shared" si="9"/>
        <v>116316.31</v>
      </c>
      <c r="J117" s="336">
        <f t="shared" si="10"/>
        <v>116316.31</v>
      </c>
      <c r="K117" s="546">
        <f t="shared" si="7"/>
        <v>0</v>
      </c>
      <c r="L117" s="502"/>
      <c r="M117" s="231" t="s">
        <v>242</v>
      </c>
      <c r="N117" s="11" t="s">
        <v>243</v>
      </c>
      <c r="O117" s="341"/>
      <c r="P117" s="339"/>
    </row>
    <row r="118" spans="1:16" ht="33" hidden="1">
      <c r="A118" s="333" t="s">
        <v>2234</v>
      </c>
      <c r="B118" s="334" t="s">
        <v>507</v>
      </c>
      <c r="C118" s="335" t="s">
        <v>8</v>
      </c>
      <c r="D118" s="336">
        <v>251.7</v>
      </c>
      <c r="E118" s="336">
        <f>估驗單!F112</f>
        <v>251.7</v>
      </c>
      <c r="F118" s="390">
        <f t="shared" si="8"/>
        <v>0</v>
      </c>
      <c r="G118" s="336">
        <v>730.37</v>
      </c>
      <c r="H118" s="336"/>
      <c r="I118" s="336">
        <f t="shared" si="9"/>
        <v>183834.13</v>
      </c>
      <c r="J118" s="336">
        <f t="shared" si="10"/>
        <v>183834.13</v>
      </c>
      <c r="K118" s="546">
        <f t="shared" si="7"/>
        <v>0</v>
      </c>
      <c r="L118" s="502"/>
      <c r="M118" s="231" t="s">
        <v>242</v>
      </c>
      <c r="N118" s="11" t="s">
        <v>243</v>
      </c>
      <c r="O118" s="341"/>
      <c r="P118" s="339"/>
    </row>
    <row r="119" spans="1:16" ht="33" hidden="1">
      <c r="A119" s="333" t="s">
        <v>2235</v>
      </c>
      <c r="B119" s="334" t="s">
        <v>510</v>
      </c>
      <c r="C119" s="335" t="s">
        <v>8</v>
      </c>
      <c r="D119" s="336">
        <v>6.8</v>
      </c>
      <c r="E119" s="336">
        <f>估驗單!F113</f>
        <v>6.8</v>
      </c>
      <c r="F119" s="390">
        <f t="shared" si="8"/>
        <v>0</v>
      </c>
      <c r="G119" s="336">
        <v>406.38</v>
      </c>
      <c r="H119" s="336"/>
      <c r="I119" s="336">
        <f t="shared" si="9"/>
        <v>2763.38</v>
      </c>
      <c r="J119" s="336">
        <f t="shared" si="10"/>
        <v>2763.38</v>
      </c>
      <c r="K119" s="546">
        <f t="shared" si="7"/>
        <v>0</v>
      </c>
      <c r="L119" s="502"/>
      <c r="M119" s="231" t="s">
        <v>242</v>
      </c>
      <c r="N119" s="11" t="s">
        <v>243</v>
      </c>
      <c r="O119" s="341"/>
      <c r="P119" s="339"/>
    </row>
    <row r="120" spans="1:16" ht="33" hidden="1">
      <c r="A120" s="333" t="s">
        <v>2236</v>
      </c>
      <c r="B120" s="334" t="s">
        <v>513</v>
      </c>
      <c r="C120" s="335" t="s">
        <v>8</v>
      </c>
      <c r="D120" s="336">
        <v>44.2</v>
      </c>
      <c r="E120" s="336">
        <f>估驗單!F114</f>
        <v>44.2</v>
      </c>
      <c r="F120" s="390">
        <f t="shared" si="8"/>
        <v>0</v>
      </c>
      <c r="G120" s="336">
        <v>457.88</v>
      </c>
      <c r="H120" s="336"/>
      <c r="I120" s="336">
        <f t="shared" si="9"/>
        <v>20238.3</v>
      </c>
      <c r="J120" s="336">
        <f t="shared" si="10"/>
        <v>20238.3</v>
      </c>
      <c r="K120" s="546">
        <f t="shared" si="7"/>
        <v>0</v>
      </c>
      <c r="L120" s="502"/>
      <c r="M120" s="231" t="s">
        <v>2321</v>
      </c>
      <c r="N120" s="11" t="s">
        <v>243</v>
      </c>
      <c r="O120" s="341"/>
      <c r="P120" s="339"/>
    </row>
    <row r="121" spans="1:16" ht="33" hidden="1">
      <c r="A121" s="333" t="s">
        <v>2237</v>
      </c>
      <c r="B121" s="334" t="s">
        <v>516</v>
      </c>
      <c r="C121" s="335" t="s">
        <v>8</v>
      </c>
      <c r="D121" s="336">
        <v>10.7</v>
      </c>
      <c r="E121" s="336">
        <f>估驗單!F115</f>
        <v>10.7</v>
      </c>
      <c r="F121" s="390">
        <f t="shared" si="8"/>
        <v>0</v>
      </c>
      <c r="G121" s="336">
        <v>499.08</v>
      </c>
      <c r="H121" s="336"/>
      <c r="I121" s="336">
        <f t="shared" si="9"/>
        <v>5340.16</v>
      </c>
      <c r="J121" s="336">
        <f t="shared" si="10"/>
        <v>5340.16</v>
      </c>
      <c r="K121" s="546">
        <f t="shared" si="7"/>
        <v>0</v>
      </c>
      <c r="L121" s="502"/>
      <c r="M121" s="231" t="s">
        <v>2321</v>
      </c>
      <c r="N121" s="11" t="s">
        <v>243</v>
      </c>
      <c r="O121" s="341"/>
      <c r="P121" s="339"/>
    </row>
    <row r="122" spans="1:16" ht="33" hidden="1">
      <c r="A122" s="333" t="s">
        <v>2238</v>
      </c>
      <c r="B122" s="334" t="s">
        <v>519</v>
      </c>
      <c r="C122" s="335" t="s">
        <v>8</v>
      </c>
      <c r="D122" s="336">
        <v>62.5</v>
      </c>
      <c r="E122" s="336">
        <f>估驗單!F116</f>
        <v>62.5</v>
      </c>
      <c r="F122" s="390">
        <f t="shared" si="8"/>
        <v>0</v>
      </c>
      <c r="G122" s="336">
        <v>545.82000000000005</v>
      </c>
      <c r="H122" s="336"/>
      <c r="I122" s="336">
        <f t="shared" si="9"/>
        <v>34113.75</v>
      </c>
      <c r="J122" s="336">
        <f t="shared" si="10"/>
        <v>34113.75</v>
      </c>
      <c r="K122" s="546">
        <f t="shared" si="7"/>
        <v>0</v>
      </c>
      <c r="L122" s="502"/>
      <c r="M122" s="231" t="s">
        <v>2321</v>
      </c>
      <c r="N122" s="11" t="s">
        <v>243</v>
      </c>
      <c r="O122" s="341"/>
      <c r="P122" s="339"/>
    </row>
    <row r="123" spans="1:16" ht="42.75" hidden="1">
      <c r="A123" s="333" t="s">
        <v>2239</v>
      </c>
      <c r="B123" s="334" t="s">
        <v>522</v>
      </c>
      <c r="C123" s="335" t="s">
        <v>8</v>
      </c>
      <c r="D123" s="336">
        <v>84.8</v>
      </c>
      <c r="E123" s="336">
        <f>估驗單!F117</f>
        <v>84.8</v>
      </c>
      <c r="F123" s="390">
        <f t="shared" si="8"/>
        <v>0</v>
      </c>
      <c r="G123" s="336">
        <v>7340.02</v>
      </c>
      <c r="H123" s="336"/>
      <c r="I123" s="336">
        <f t="shared" si="9"/>
        <v>622433.69999999995</v>
      </c>
      <c r="J123" s="336">
        <f t="shared" si="10"/>
        <v>622433.69999999995</v>
      </c>
      <c r="K123" s="546">
        <f t="shared" si="7"/>
        <v>0</v>
      </c>
      <c r="L123" s="502"/>
      <c r="M123" s="231" t="s">
        <v>2336</v>
      </c>
      <c r="N123" s="11" t="s">
        <v>243</v>
      </c>
      <c r="O123" s="341"/>
      <c r="P123" s="339"/>
    </row>
    <row r="124" spans="1:16" ht="45" hidden="1">
      <c r="A124" s="503" t="s">
        <v>2240</v>
      </c>
      <c r="B124" s="504" t="s">
        <v>525</v>
      </c>
      <c r="C124" s="505" t="s">
        <v>0</v>
      </c>
      <c r="D124" s="506">
        <v>2</v>
      </c>
      <c r="E124" s="506">
        <v>0</v>
      </c>
      <c r="F124" s="509">
        <f t="shared" si="8"/>
        <v>-2</v>
      </c>
      <c r="G124" s="506">
        <v>913306.18</v>
      </c>
      <c r="H124" s="506"/>
      <c r="I124" s="506">
        <f t="shared" si="9"/>
        <v>1826612.36</v>
      </c>
      <c r="J124" s="506">
        <f t="shared" si="10"/>
        <v>0</v>
      </c>
      <c r="K124" s="547"/>
      <c r="L124" s="510">
        <f>J124-I124</f>
        <v>-1826612.36</v>
      </c>
      <c r="M124" s="508" t="s">
        <v>2321</v>
      </c>
      <c r="N124" s="11" t="s">
        <v>243</v>
      </c>
      <c r="O124" s="341" t="s">
        <v>2613</v>
      </c>
      <c r="P124" s="339"/>
    </row>
    <row r="125" spans="1:16" ht="27.95" hidden="1" customHeight="1">
      <c r="A125" s="503" t="s">
        <v>2606</v>
      </c>
      <c r="B125" s="504" t="s">
        <v>2609</v>
      </c>
      <c r="C125" s="505" t="s">
        <v>0</v>
      </c>
      <c r="D125" s="511">
        <v>0</v>
      </c>
      <c r="E125" s="511">
        <v>1</v>
      </c>
      <c r="F125" s="507">
        <f t="shared" si="8"/>
        <v>1</v>
      </c>
      <c r="G125" s="511">
        <v>0</v>
      </c>
      <c r="H125" s="511">
        <v>704273.82</v>
      </c>
      <c r="I125" s="506">
        <f t="shared" si="9"/>
        <v>0</v>
      </c>
      <c r="J125" s="506">
        <f>ROUND(E125*H125,2)</f>
        <v>704273.82</v>
      </c>
      <c r="K125" s="547">
        <f t="shared" si="7"/>
        <v>704273.82</v>
      </c>
      <c r="L125" s="533"/>
      <c r="M125" s="529" t="s">
        <v>2625</v>
      </c>
      <c r="N125" s="11"/>
      <c r="O125" s="341"/>
      <c r="P125" s="339"/>
    </row>
    <row r="126" spans="1:16" ht="27.95" hidden="1" customHeight="1">
      <c r="A126" s="503" t="s">
        <v>2607</v>
      </c>
      <c r="B126" s="504" t="s">
        <v>2610</v>
      </c>
      <c r="C126" s="505" t="s">
        <v>0</v>
      </c>
      <c r="D126" s="511">
        <v>0</v>
      </c>
      <c r="E126" s="511">
        <v>1</v>
      </c>
      <c r="F126" s="507">
        <f t="shared" si="8"/>
        <v>1</v>
      </c>
      <c r="G126" s="511">
        <v>0</v>
      </c>
      <c r="H126" s="511">
        <v>1255553.18</v>
      </c>
      <c r="I126" s="506">
        <f t="shared" si="9"/>
        <v>0</v>
      </c>
      <c r="J126" s="506">
        <f>ROUND(E126*H126,2)</f>
        <v>1255553.18</v>
      </c>
      <c r="K126" s="547">
        <f t="shared" si="7"/>
        <v>1255553.18</v>
      </c>
      <c r="L126" s="533"/>
      <c r="M126" s="529" t="s">
        <v>2625</v>
      </c>
      <c r="N126" s="11"/>
      <c r="O126" s="341"/>
      <c r="P126" s="339"/>
    </row>
    <row r="127" spans="1:16" ht="27.95" hidden="1" customHeight="1">
      <c r="A127" s="503" t="s">
        <v>2608</v>
      </c>
      <c r="B127" s="504" t="s">
        <v>2611</v>
      </c>
      <c r="C127" s="505" t="s">
        <v>0</v>
      </c>
      <c r="D127" s="511">
        <v>0</v>
      </c>
      <c r="E127" s="511">
        <v>1</v>
      </c>
      <c r="F127" s="507">
        <f t="shared" si="8"/>
        <v>1</v>
      </c>
      <c r="G127" s="511">
        <v>0</v>
      </c>
      <c r="H127" s="511">
        <v>1277917.6000000001</v>
      </c>
      <c r="I127" s="506">
        <f t="shared" si="9"/>
        <v>0</v>
      </c>
      <c r="J127" s="506">
        <f>ROUND(E127*H127,2)</f>
        <v>1277917.6000000001</v>
      </c>
      <c r="K127" s="547">
        <f t="shared" si="7"/>
        <v>1277917.6000000001</v>
      </c>
      <c r="L127" s="533"/>
      <c r="M127" s="529" t="s">
        <v>2625</v>
      </c>
      <c r="N127" s="11"/>
      <c r="O127" s="341"/>
      <c r="P127" s="339"/>
    </row>
    <row r="128" spans="1:16" ht="33" hidden="1">
      <c r="A128" s="406" t="s">
        <v>2241</v>
      </c>
      <c r="B128" s="407" t="s">
        <v>527</v>
      </c>
      <c r="C128" s="408" t="s">
        <v>4</v>
      </c>
      <c r="D128" s="409"/>
      <c r="E128" s="409">
        <f>估驗單!F119</f>
        <v>0</v>
      </c>
      <c r="F128" s="410">
        <f t="shared" si="8"/>
        <v>0</v>
      </c>
      <c r="G128" s="409">
        <f>I128</f>
        <v>45369259.610000014</v>
      </c>
      <c r="H128" s="409"/>
      <c r="I128" s="409">
        <f>SUM(I129:I169)</f>
        <v>45369259.610000014</v>
      </c>
      <c r="J128" s="409">
        <f>SUM(J129:J169)</f>
        <v>45442982.900000013</v>
      </c>
      <c r="K128" s="542">
        <f>SUM(K129:K169)</f>
        <v>73723.289999999746</v>
      </c>
      <c r="L128" s="534">
        <f>SUM(L129:L169)</f>
        <v>0</v>
      </c>
      <c r="M128" s="288" t="s">
        <v>242</v>
      </c>
      <c r="N128" s="11" t="s">
        <v>243</v>
      </c>
      <c r="O128" s="338"/>
      <c r="P128" s="339"/>
    </row>
    <row r="129" spans="1:17" ht="33.75" hidden="1">
      <c r="A129" s="333" t="s">
        <v>2154</v>
      </c>
      <c r="B129" s="334" t="s">
        <v>310</v>
      </c>
      <c r="C129" s="335" t="s">
        <v>223</v>
      </c>
      <c r="D129" s="336">
        <v>928.51</v>
      </c>
      <c r="E129" s="336">
        <f>估驗單!F120</f>
        <v>928.51</v>
      </c>
      <c r="F129" s="390">
        <f t="shared" si="8"/>
        <v>0</v>
      </c>
      <c r="G129" s="336">
        <v>320.72000000000003</v>
      </c>
      <c r="H129" s="336"/>
      <c r="I129" s="336">
        <f t="shared" ref="I129:I169" si="11">ROUND(D129*G129,2)</f>
        <v>297791.73</v>
      </c>
      <c r="J129" s="336">
        <f t="shared" ref="J129:J169" si="12">ROUND(E129*G129,2)</f>
        <v>297791.73</v>
      </c>
      <c r="K129" s="546">
        <f t="shared" si="7"/>
        <v>0</v>
      </c>
      <c r="L129" s="502"/>
      <c r="M129" s="231" t="s">
        <v>242</v>
      </c>
      <c r="N129" s="11" t="s">
        <v>243</v>
      </c>
      <c r="O129" s="341" t="s">
        <v>2316</v>
      </c>
      <c r="P129" s="339" t="s">
        <v>2340</v>
      </c>
      <c r="Q129" s="342" t="s">
        <v>2341</v>
      </c>
    </row>
    <row r="130" spans="1:17" ht="33">
      <c r="A130" s="631" t="s">
        <v>2155</v>
      </c>
      <c r="B130" s="632" t="s">
        <v>315</v>
      </c>
      <c r="C130" s="633" t="s">
        <v>6</v>
      </c>
      <c r="D130" s="634">
        <v>26.33</v>
      </c>
      <c r="E130" s="634">
        <f>估驗單!F121</f>
        <v>26.33</v>
      </c>
      <c r="F130" s="635">
        <f t="shared" si="8"/>
        <v>0</v>
      </c>
      <c r="G130" s="634">
        <v>3114.97</v>
      </c>
      <c r="H130" s="634"/>
      <c r="I130" s="634">
        <f t="shared" si="11"/>
        <v>82017.16</v>
      </c>
      <c r="J130" s="634">
        <f t="shared" si="12"/>
        <v>82017.16</v>
      </c>
      <c r="K130" s="636">
        <f t="shared" si="7"/>
        <v>0</v>
      </c>
      <c r="L130" s="637"/>
      <c r="M130" s="638" t="s">
        <v>2735</v>
      </c>
      <c r="N130" s="11" t="s">
        <v>243</v>
      </c>
      <c r="O130" s="341"/>
      <c r="P130" s="339"/>
    </row>
    <row r="131" spans="1:17" ht="33">
      <c r="A131" s="641" t="s">
        <v>2156</v>
      </c>
      <c r="B131" s="642" t="s">
        <v>24</v>
      </c>
      <c r="C131" s="643" t="s">
        <v>6</v>
      </c>
      <c r="D131" s="644">
        <v>36.86</v>
      </c>
      <c r="E131" s="644">
        <f>估驗單!F122</f>
        <v>36.86</v>
      </c>
      <c r="F131" s="645">
        <f t="shared" si="8"/>
        <v>0</v>
      </c>
      <c r="G131" s="644">
        <v>3320.96</v>
      </c>
      <c r="H131" s="644"/>
      <c r="I131" s="644">
        <f t="shared" si="11"/>
        <v>122410.59</v>
      </c>
      <c r="J131" s="644">
        <f t="shared" si="12"/>
        <v>122410.59</v>
      </c>
      <c r="K131" s="646">
        <f t="shared" si="7"/>
        <v>0</v>
      </c>
      <c r="L131" s="647"/>
      <c r="M131" s="648" t="s">
        <v>2735</v>
      </c>
      <c r="N131" s="11" t="s">
        <v>243</v>
      </c>
      <c r="O131" s="341"/>
      <c r="P131" s="339"/>
    </row>
    <row r="132" spans="1:17" ht="33">
      <c r="A132" s="651" t="s">
        <v>2157</v>
      </c>
      <c r="B132" s="652" t="s">
        <v>528</v>
      </c>
      <c r="C132" s="653" t="s">
        <v>6</v>
      </c>
      <c r="D132" s="654">
        <v>654.83000000000004</v>
      </c>
      <c r="E132" s="654">
        <f>估驗單!F123</f>
        <v>654.83000000000004</v>
      </c>
      <c r="F132" s="655">
        <f t="shared" si="8"/>
        <v>0</v>
      </c>
      <c r="G132" s="654">
        <v>3643.53</v>
      </c>
      <c r="H132" s="654"/>
      <c r="I132" s="654">
        <f t="shared" si="11"/>
        <v>2385892.75</v>
      </c>
      <c r="J132" s="654">
        <f t="shared" si="12"/>
        <v>2385892.75</v>
      </c>
      <c r="K132" s="656">
        <f t="shared" si="7"/>
        <v>0</v>
      </c>
      <c r="L132" s="657"/>
      <c r="M132" s="658" t="s">
        <v>2735</v>
      </c>
      <c r="N132" s="11" t="s">
        <v>243</v>
      </c>
      <c r="O132" s="341"/>
      <c r="P132" s="339"/>
    </row>
    <row r="133" spans="1:17" ht="42.75" hidden="1">
      <c r="A133" s="333" t="s">
        <v>2158</v>
      </c>
      <c r="B133" s="334" t="s">
        <v>192</v>
      </c>
      <c r="C133" s="335" t="s">
        <v>17</v>
      </c>
      <c r="D133" s="336">
        <v>6240.88</v>
      </c>
      <c r="E133" s="336">
        <f>估驗單!F124</f>
        <v>6240.88</v>
      </c>
      <c r="F133" s="390">
        <f t="shared" si="8"/>
        <v>0</v>
      </c>
      <c r="G133" s="336">
        <v>36.4</v>
      </c>
      <c r="H133" s="336"/>
      <c r="I133" s="336">
        <f t="shared" si="11"/>
        <v>227168.03</v>
      </c>
      <c r="J133" s="336">
        <f t="shared" si="12"/>
        <v>227168.03</v>
      </c>
      <c r="K133" s="546">
        <f t="shared" si="7"/>
        <v>0</v>
      </c>
      <c r="L133" s="502"/>
      <c r="M133" s="231" t="s">
        <v>2334</v>
      </c>
      <c r="N133" s="11" t="s">
        <v>243</v>
      </c>
      <c r="O133" s="341"/>
      <c r="P133" s="339"/>
    </row>
    <row r="134" spans="1:17" ht="42.75" hidden="1">
      <c r="A134" s="333" t="s">
        <v>2159</v>
      </c>
      <c r="B134" s="334" t="s">
        <v>530</v>
      </c>
      <c r="C134" s="335" t="s">
        <v>17</v>
      </c>
      <c r="D134" s="336">
        <v>102796.95</v>
      </c>
      <c r="E134" s="336">
        <f>估驗單!F125</f>
        <v>102796.95</v>
      </c>
      <c r="F134" s="390">
        <f t="shared" si="8"/>
        <v>0</v>
      </c>
      <c r="G134" s="336">
        <v>38.71</v>
      </c>
      <c r="H134" s="336"/>
      <c r="I134" s="336">
        <f t="shared" si="11"/>
        <v>3979269.93</v>
      </c>
      <c r="J134" s="336">
        <f t="shared" si="12"/>
        <v>3979269.93</v>
      </c>
      <c r="K134" s="546">
        <f t="shared" si="7"/>
        <v>0</v>
      </c>
      <c r="L134" s="502"/>
      <c r="M134" s="231" t="s">
        <v>2334</v>
      </c>
      <c r="N134" s="11" t="s">
        <v>243</v>
      </c>
      <c r="O134" s="341"/>
      <c r="P134" s="339"/>
    </row>
    <row r="135" spans="1:17" ht="16.5" hidden="1">
      <c r="A135" s="957" t="s">
        <v>235</v>
      </c>
      <c r="B135" s="964" t="s">
        <v>2303</v>
      </c>
      <c r="C135" s="964" t="s">
        <v>237</v>
      </c>
      <c r="D135" s="957" t="s">
        <v>2605</v>
      </c>
      <c r="E135" s="957" t="s">
        <v>2602</v>
      </c>
      <c r="F135" s="968" t="s">
        <v>2305</v>
      </c>
      <c r="G135" s="957" t="s">
        <v>2306</v>
      </c>
      <c r="H135" s="957" t="s">
        <v>2307</v>
      </c>
      <c r="I135" s="957" t="s">
        <v>2308</v>
      </c>
      <c r="J135" s="957" t="s">
        <v>2612</v>
      </c>
      <c r="K135" s="959" t="s">
        <v>2309</v>
      </c>
      <c r="L135" s="961" t="s">
        <v>2310</v>
      </c>
      <c r="M135" s="964" t="s">
        <v>2311</v>
      </c>
      <c r="N135" s="11"/>
      <c r="O135" s="341"/>
      <c r="P135" s="339"/>
    </row>
    <row r="136" spans="1:17" ht="33" hidden="1">
      <c r="A136" s="958"/>
      <c r="B136" s="965"/>
      <c r="C136" s="965"/>
      <c r="D136" s="958"/>
      <c r="E136" s="958"/>
      <c r="F136" s="969"/>
      <c r="G136" s="958"/>
      <c r="H136" s="958"/>
      <c r="I136" s="958"/>
      <c r="J136" s="958"/>
      <c r="K136" s="960"/>
      <c r="L136" s="962"/>
      <c r="M136" s="965"/>
      <c r="N136" s="11" t="s">
        <v>243</v>
      </c>
      <c r="O136" s="341"/>
      <c r="P136" s="339"/>
    </row>
    <row r="137" spans="1:17" ht="42.75" hidden="1">
      <c r="A137" s="333" t="s">
        <v>2160</v>
      </c>
      <c r="B137" s="334" t="s">
        <v>532</v>
      </c>
      <c r="C137" s="335" t="s">
        <v>13</v>
      </c>
      <c r="D137" s="336">
        <v>223.3</v>
      </c>
      <c r="E137" s="336">
        <f>估驗單!F126</f>
        <v>223.3</v>
      </c>
      <c r="F137" s="390">
        <f t="shared" si="8"/>
        <v>0</v>
      </c>
      <c r="G137" s="336">
        <v>1154.9100000000001</v>
      </c>
      <c r="H137" s="336"/>
      <c r="I137" s="336">
        <f t="shared" si="11"/>
        <v>257891.4</v>
      </c>
      <c r="J137" s="336">
        <f t="shared" si="12"/>
        <v>257891.4</v>
      </c>
      <c r="K137" s="546">
        <f t="shared" si="7"/>
        <v>0</v>
      </c>
      <c r="L137" s="502"/>
      <c r="M137" s="231" t="s">
        <v>2342</v>
      </c>
      <c r="N137" s="11" t="s">
        <v>243</v>
      </c>
      <c r="O137" s="341"/>
      <c r="P137" s="339"/>
    </row>
    <row r="138" spans="1:17" ht="99.75" hidden="1">
      <c r="A138" s="503" t="s">
        <v>2161</v>
      </c>
      <c r="B138" s="504" t="s">
        <v>534</v>
      </c>
      <c r="C138" s="505" t="s">
        <v>13</v>
      </c>
      <c r="D138" s="506">
        <v>450.04</v>
      </c>
      <c r="E138" s="506">
        <f>估驗單!F127</f>
        <v>484.31400000000008</v>
      </c>
      <c r="F138" s="507">
        <f t="shared" si="8"/>
        <v>34.274000000000058</v>
      </c>
      <c r="G138" s="506">
        <v>982.93</v>
      </c>
      <c r="H138" s="506"/>
      <c r="I138" s="506">
        <f t="shared" si="11"/>
        <v>442357.82</v>
      </c>
      <c r="J138" s="506">
        <f t="shared" si="12"/>
        <v>476046.76</v>
      </c>
      <c r="K138" s="547">
        <f t="shared" si="7"/>
        <v>33688.94</v>
      </c>
      <c r="L138" s="510"/>
      <c r="M138" s="508" t="s">
        <v>2343</v>
      </c>
      <c r="N138" s="11" t="s">
        <v>243</v>
      </c>
      <c r="O138" s="341"/>
      <c r="P138" s="339"/>
    </row>
    <row r="139" spans="1:17" ht="71.25" hidden="1">
      <c r="A139" s="503" t="s">
        <v>2162</v>
      </c>
      <c r="B139" s="504" t="s">
        <v>536</v>
      </c>
      <c r="C139" s="505" t="s">
        <v>13</v>
      </c>
      <c r="D139" s="506">
        <v>28.27</v>
      </c>
      <c r="E139" s="506">
        <f>估驗單!F128</f>
        <v>42.534999999999997</v>
      </c>
      <c r="F139" s="507">
        <f t="shared" si="8"/>
        <v>14.264999999999997</v>
      </c>
      <c r="G139" s="506">
        <v>804.75</v>
      </c>
      <c r="H139" s="506"/>
      <c r="I139" s="506">
        <f t="shared" si="11"/>
        <v>22750.28</v>
      </c>
      <c r="J139" s="506">
        <f t="shared" si="12"/>
        <v>34230.04</v>
      </c>
      <c r="K139" s="547">
        <f t="shared" si="7"/>
        <v>11479.760000000002</v>
      </c>
      <c r="L139" s="510"/>
      <c r="M139" s="508" t="s">
        <v>2344</v>
      </c>
      <c r="N139" s="11" t="s">
        <v>243</v>
      </c>
      <c r="O139" s="341"/>
      <c r="P139" s="339"/>
    </row>
    <row r="140" spans="1:17" ht="33" hidden="1">
      <c r="A140" s="333" t="s">
        <v>2163</v>
      </c>
      <c r="B140" s="334" t="s">
        <v>538</v>
      </c>
      <c r="C140" s="335" t="s">
        <v>539</v>
      </c>
      <c r="D140" s="336">
        <v>25655</v>
      </c>
      <c r="E140" s="336">
        <f>估驗單!F129</f>
        <v>25655</v>
      </c>
      <c r="F140" s="390">
        <f t="shared" si="8"/>
        <v>0</v>
      </c>
      <c r="G140" s="336">
        <v>75</v>
      </c>
      <c r="H140" s="336"/>
      <c r="I140" s="336">
        <f t="shared" si="11"/>
        <v>1924125</v>
      </c>
      <c r="J140" s="336">
        <f t="shared" si="12"/>
        <v>1924125</v>
      </c>
      <c r="K140" s="546">
        <f t="shared" si="7"/>
        <v>0</v>
      </c>
      <c r="L140" s="502"/>
      <c r="M140" s="231" t="s">
        <v>242</v>
      </c>
      <c r="N140" s="11" t="s">
        <v>243</v>
      </c>
      <c r="O140" s="341"/>
      <c r="P140" s="339"/>
    </row>
    <row r="141" spans="1:17" ht="42.75" hidden="1">
      <c r="A141" s="333" t="s">
        <v>2164</v>
      </c>
      <c r="B141" s="334" t="s">
        <v>321</v>
      </c>
      <c r="C141" s="335" t="s">
        <v>17</v>
      </c>
      <c r="D141" s="336">
        <v>3691</v>
      </c>
      <c r="E141" s="336">
        <f>估驗單!F130</f>
        <v>3691</v>
      </c>
      <c r="F141" s="390">
        <f t="shared" si="8"/>
        <v>0</v>
      </c>
      <c r="G141" s="336">
        <v>60</v>
      </c>
      <c r="H141" s="336"/>
      <c r="I141" s="336">
        <f t="shared" si="11"/>
        <v>221460</v>
      </c>
      <c r="J141" s="336">
        <f t="shared" si="12"/>
        <v>221460</v>
      </c>
      <c r="K141" s="546">
        <f t="shared" si="7"/>
        <v>0</v>
      </c>
      <c r="L141" s="502"/>
      <c r="M141" s="231" t="s">
        <v>2337</v>
      </c>
      <c r="N141" s="11" t="s">
        <v>243</v>
      </c>
      <c r="O141" s="341"/>
      <c r="P141" s="339"/>
    </row>
    <row r="142" spans="1:17" ht="33" hidden="1">
      <c r="A142" s="333" t="s">
        <v>2165</v>
      </c>
      <c r="B142" s="334" t="s">
        <v>323</v>
      </c>
      <c r="C142" s="335" t="s">
        <v>17</v>
      </c>
      <c r="D142" s="336">
        <v>3691</v>
      </c>
      <c r="E142" s="336">
        <f>估驗單!F131</f>
        <v>3691</v>
      </c>
      <c r="F142" s="390">
        <f t="shared" si="8"/>
        <v>0</v>
      </c>
      <c r="G142" s="336">
        <v>31.9</v>
      </c>
      <c r="H142" s="336"/>
      <c r="I142" s="336">
        <f t="shared" si="11"/>
        <v>117742.9</v>
      </c>
      <c r="J142" s="336">
        <f t="shared" si="12"/>
        <v>117742.9</v>
      </c>
      <c r="K142" s="546">
        <f t="shared" si="7"/>
        <v>0</v>
      </c>
      <c r="L142" s="502"/>
      <c r="M142" s="231" t="s">
        <v>242</v>
      </c>
      <c r="N142" s="11" t="s">
        <v>243</v>
      </c>
      <c r="O142" s="341"/>
      <c r="P142" s="339"/>
    </row>
    <row r="143" spans="1:17" ht="33" hidden="1">
      <c r="A143" s="333" t="s">
        <v>2166</v>
      </c>
      <c r="B143" s="334" t="s">
        <v>542</v>
      </c>
      <c r="C143" s="335" t="s">
        <v>17</v>
      </c>
      <c r="D143" s="336">
        <v>2162</v>
      </c>
      <c r="E143" s="336">
        <f>估驗單!F132</f>
        <v>2162</v>
      </c>
      <c r="F143" s="390">
        <f t="shared" si="8"/>
        <v>0</v>
      </c>
      <c r="G143" s="336">
        <v>278.08</v>
      </c>
      <c r="H143" s="336"/>
      <c r="I143" s="336">
        <f t="shared" si="11"/>
        <v>601208.96</v>
      </c>
      <c r="J143" s="336">
        <f t="shared" si="12"/>
        <v>601208.96</v>
      </c>
      <c r="K143" s="546">
        <f t="shared" si="7"/>
        <v>0</v>
      </c>
      <c r="L143" s="502"/>
      <c r="M143" s="231" t="s">
        <v>242</v>
      </c>
      <c r="N143" s="11" t="s">
        <v>243</v>
      </c>
      <c r="O143" s="341"/>
      <c r="P143" s="339"/>
    </row>
    <row r="144" spans="1:17" ht="33" hidden="1">
      <c r="A144" s="333" t="s">
        <v>2167</v>
      </c>
      <c r="B144" s="334" t="s">
        <v>544</v>
      </c>
      <c r="C144" s="335" t="s">
        <v>13</v>
      </c>
      <c r="D144" s="336">
        <v>99.7</v>
      </c>
      <c r="E144" s="336">
        <f>估驗單!F133</f>
        <v>99.7</v>
      </c>
      <c r="F144" s="390">
        <f t="shared" si="8"/>
        <v>0</v>
      </c>
      <c r="G144" s="336">
        <v>1399.92</v>
      </c>
      <c r="H144" s="336"/>
      <c r="I144" s="336">
        <f t="shared" si="11"/>
        <v>139572.01999999999</v>
      </c>
      <c r="J144" s="336">
        <f t="shared" si="12"/>
        <v>139572.01999999999</v>
      </c>
      <c r="K144" s="546">
        <f t="shared" si="7"/>
        <v>0</v>
      </c>
      <c r="L144" s="502"/>
      <c r="M144" s="231" t="s">
        <v>2321</v>
      </c>
      <c r="N144" s="11" t="s">
        <v>243</v>
      </c>
      <c r="O144" s="341"/>
      <c r="P144" s="339"/>
    </row>
    <row r="145" spans="1:16" ht="57" hidden="1">
      <c r="A145" s="503" t="s">
        <v>2168</v>
      </c>
      <c r="B145" s="504" t="s">
        <v>325</v>
      </c>
      <c r="C145" s="505" t="s">
        <v>17</v>
      </c>
      <c r="D145" s="506">
        <v>95900</v>
      </c>
      <c r="E145" s="506">
        <f>估驗單!F134</f>
        <v>96604.35</v>
      </c>
      <c r="F145" s="507">
        <f t="shared" si="8"/>
        <v>704.35000000000582</v>
      </c>
      <c r="G145" s="506">
        <v>107.3</v>
      </c>
      <c r="H145" s="506"/>
      <c r="I145" s="506">
        <f t="shared" si="11"/>
        <v>10290070</v>
      </c>
      <c r="J145" s="506">
        <f t="shared" si="12"/>
        <v>10365646.76</v>
      </c>
      <c r="K145" s="547">
        <f t="shared" ref="K145:K208" si="13">J145-I145</f>
        <v>75576.759999999776</v>
      </c>
      <c r="L145" s="510"/>
      <c r="M145" s="508" t="s">
        <v>2337</v>
      </c>
      <c r="N145" s="11" t="s">
        <v>243</v>
      </c>
      <c r="O145" s="341"/>
      <c r="P145" s="339"/>
    </row>
    <row r="146" spans="1:16" ht="42.75" hidden="1">
      <c r="A146" s="503" t="s">
        <v>2169</v>
      </c>
      <c r="B146" s="504" t="s">
        <v>222</v>
      </c>
      <c r="C146" s="505" t="s">
        <v>13</v>
      </c>
      <c r="D146" s="506">
        <v>438.86</v>
      </c>
      <c r="E146" s="506">
        <f>估驗單!F135</f>
        <v>611.66</v>
      </c>
      <c r="F146" s="507">
        <f t="shared" si="8"/>
        <v>172.79999999999995</v>
      </c>
      <c r="G146" s="506">
        <v>692.12</v>
      </c>
      <c r="H146" s="506"/>
      <c r="I146" s="506">
        <f t="shared" si="11"/>
        <v>303743.78000000003</v>
      </c>
      <c r="J146" s="506">
        <f t="shared" si="12"/>
        <v>423342.12</v>
      </c>
      <c r="K146" s="547">
        <f t="shared" si="13"/>
        <v>119598.33999999997</v>
      </c>
      <c r="L146" s="510"/>
      <c r="M146" s="508" t="s">
        <v>2345</v>
      </c>
      <c r="N146" s="11" t="s">
        <v>243</v>
      </c>
      <c r="O146" s="341"/>
      <c r="P146" s="339"/>
    </row>
    <row r="147" spans="1:16" ht="33" hidden="1">
      <c r="A147" s="333" t="s">
        <v>2170</v>
      </c>
      <c r="B147" s="334" t="s">
        <v>194</v>
      </c>
      <c r="C147" s="335" t="s">
        <v>23</v>
      </c>
      <c r="D147" s="336">
        <v>342.71</v>
      </c>
      <c r="E147" s="336">
        <f>估驗單!F136</f>
        <v>342.71</v>
      </c>
      <c r="F147" s="390">
        <f t="shared" si="8"/>
        <v>0</v>
      </c>
      <c r="G147" s="336">
        <v>48.28</v>
      </c>
      <c r="H147" s="336"/>
      <c r="I147" s="336">
        <f t="shared" si="11"/>
        <v>16546.04</v>
      </c>
      <c r="J147" s="336">
        <f t="shared" si="12"/>
        <v>16546.04</v>
      </c>
      <c r="K147" s="546">
        <f t="shared" si="13"/>
        <v>0</v>
      </c>
      <c r="L147" s="502"/>
      <c r="M147" s="231" t="s">
        <v>242</v>
      </c>
      <c r="N147" s="11" t="s">
        <v>243</v>
      </c>
      <c r="O147" s="341"/>
      <c r="P147" s="339"/>
    </row>
    <row r="148" spans="1:16" ht="33" hidden="1">
      <c r="A148" s="333" t="s">
        <v>2171</v>
      </c>
      <c r="B148" s="334" t="s">
        <v>205</v>
      </c>
      <c r="C148" s="335" t="s">
        <v>23</v>
      </c>
      <c r="D148" s="336">
        <v>231.09</v>
      </c>
      <c r="E148" s="336">
        <f>估驗單!F137</f>
        <v>0</v>
      </c>
      <c r="F148" s="390">
        <f t="shared" si="8"/>
        <v>-231.09</v>
      </c>
      <c r="G148" s="336">
        <v>721.02</v>
      </c>
      <c r="H148" s="336"/>
      <c r="I148" s="336">
        <f t="shared" si="11"/>
        <v>166620.51</v>
      </c>
      <c r="J148" s="336">
        <f t="shared" si="12"/>
        <v>0</v>
      </c>
      <c r="K148" s="546">
        <f t="shared" si="13"/>
        <v>-166620.51</v>
      </c>
      <c r="L148" s="502"/>
      <c r="M148" s="231" t="s">
        <v>242</v>
      </c>
      <c r="N148" s="11" t="s">
        <v>243</v>
      </c>
      <c r="O148" s="341"/>
      <c r="P148" s="339"/>
    </row>
    <row r="149" spans="1:16" ht="33" hidden="1">
      <c r="A149" s="333" t="s">
        <v>2172</v>
      </c>
      <c r="B149" s="334" t="s">
        <v>548</v>
      </c>
      <c r="C149" s="335" t="s">
        <v>13</v>
      </c>
      <c r="D149" s="336">
        <v>27956</v>
      </c>
      <c r="E149" s="336">
        <f>估驗單!F138</f>
        <v>27956</v>
      </c>
      <c r="F149" s="390">
        <f t="shared" si="8"/>
        <v>0</v>
      </c>
      <c r="G149" s="336">
        <v>28</v>
      </c>
      <c r="H149" s="336"/>
      <c r="I149" s="336">
        <f t="shared" si="11"/>
        <v>782768</v>
      </c>
      <c r="J149" s="336">
        <f t="shared" si="12"/>
        <v>782768</v>
      </c>
      <c r="K149" s="546">
        <f t="shared" si="13"/>
        <v>0</v>
      </c>
      <c r="L149" s="502"/>
      <c r="M149" s="231" t="s">
        <v>2321</v>
      </c>
      <c r="N149" s="11" t="s">
        <v>243</v>
      </c>
      <c r="O149" s="341"/>
      <c r="P149" s="339"/>
    </row>
    <row r="150" spans="1:16" ht="42.75" hidden="1">
      <c r="A150" s="333" t="s">
        <v>2173</v>
      </c>
      <c r="B150" s="334" t="s">
        <v>2242</v>
      </c>
      <c r="C150" s="335" t="s">
        <v>8</v>
      </c>
      <c r="D150" s="336">
        <v>322</v>
      </c>
      <c r="E150" s="336">
        <f>估驗單!F139</f>
        <v>322</v>
      </c>
      <c r="F150" s="390">
        <f t="shared" si="8"/>
        <v>0</v>
      </c>
      <c r="G150" s="336">
        <v>19011.37</v>
      </c>
      <c r="H150" s="336"/>
      <c r="I150" s="336">
        <f t="shared" si="11"/>
        <v>6121661.1399999997</v>
      </c>
      <c r="J150" s="336">
        <f t="shared" si="12"/>
        <v>6121661.1399999997</v>
      </c>
      <c r="K150" s="546">
        <f t="shared" si="13"/>
        <v>0</v>
      </c>
      <c r="L150" s="502"/>
      <c r="M150" s="231" t="s">
        <v>2334</v>
      </c>
      <c r="N150" s="11" t="s">
        <v>243</v>
      </c>
      <c r="O150" s="341"/>
      <c r="P150" s="339"/>
    </row>
    <row r="151" spans="1:16" ht="33" hidden="1">
      <c r="A151" s="333" t="s">
        <v>2174</v>
      </c>
      <c r="B151" s="334" t="s">
        <v>552</v>
      </c>
      <c r="C151" s="335" t="s">
        <v>13</v>
      </c>
      <c r="D151" s="336">
        <v>100</v>
      </c>
      <c r="E151" s="336">
        <f>估驗單!F140</f>
        <v>100</v>
      </c>
      <c r="F151" s="390">
        <f t="shared" si="8"/>
        <v>0</v>
      </c>
      <c r="G151" s="336">
        <v>373.08</v>
      </c>
      <c r="H151" s="336"/>
      <c r="I151" s="336">
        <f t="shared" si="11"/>
        <v>37308</v>
      </c>
      <c r="J151" s="336">
        <f t="shared" si="12"/>
        <v>37308</v>
      </c>
      <c r="K151" s="546">
        <f t="shared" si="13"/>
        <v>0</v>
      </c>
      <c r="L151" s="502"/>
      <c r="M151" s="231" t="s">
        <v>242</v>
      </c>
      <c r="N151" s="11" t="s">
        <v>243</v>
      </c>
      <c r="O151" s="341"/>
      <c r="P151" s="339"/>
    </row>
    <row r="152" spans="1:16" ht="33" hidden="1">
      <c r="A152" s="333" t="s">
        <v>2175</v>
      </c>
      <c r="B152" s="334" t="s">
        <v>554</v>
      </c>
      <c r="C152" s="335" t="s">
        <v>13</v>
      </c>
      <c r="D152" s="336">
        <v>83</v>
      </c>
      <c r="E152" s="336">
        <f>估驗單!F141</f>
        <v>83</v>
      </c>
      <c r="F152" s="390">
        <f t="shared" si="8"/>
        <v>0</v>
      </c>
      <c r="G152" s="336">
        <v>616.49</v>
      </c>
      <c r="H152" s="336"/>
      <c r="I152" s="336">
        <f t="shared" si="11"/>
        <v>51168.67</v>
      </c>
      <c r="J152" s="336">
        <f t="shared" si="12"/>
        <v>51168.67</v>
      </c>
      <c r="K152" s="546">
        <f t="shared" si="13"/>
        <v>0</v>
      </c>
      <c r="L152" s="502"/>
      <c r="M152" s="231" t="s">
        <v>242</v>
      </c>
      <c r="N152" s="11" t="s">
        <v>243</v>
      </c>
      <c r="O152" s="341"/>
      <c r="P152" s="339"/>
    </row>
    <row r="153" spans="1:16" ht="33" hidden="1">
      <c r="A153" s="333" t="s">
        <v>2177</v>
      </c>
      <c r="B153" s="334" t="s">
        <v>556</v>
      </c>
      <c r="C153" s="335" t="s">
        <v>13</v>
      </c>
      <c r="D153" s="336">
        <v>2.1</v>
      </c>
      <c r="E153" s="336">
        <f>估驗單!F142</f>
        <v>2.1</v>
      </c>
      <c r="F153" s="390">
        <f t="shared" si="8"/>
        <v>0</v>
      </c>
      <c r="G153" s="336">
        <v>1874.26</v>
      </c>
      <c r="H153" s="336"/>
      <c r="I153" s="336">
        <f t="shared" si="11"/>
        <v>3935.95</v>
      </c>
      <c r="J153" s="336">
        <f t="shared" si="12"/>
        <v>3935.95</v>
      </c>
      <c r="K153" s="546">
        <f t="shared" si="13"/>
        <v>0</v>
      </c>
      <c r="L153" s="502"/>
      <c r="M153" s="231" t="s">
        <v>242</v>
      </c>
      <c r="N153" s="11" t="s">
        <v>243</v>
      </c>
      <c r="O153" s="341"/>
      <c r="P153" s="339"/>
    </row>
    <row r="154" spans="1:16" ht="33" hidden="1">
      <c r="A154" s="333" t="s">
        <v>2178</v>
      </c>
      <c r="B154" s="334" t="s">
        <v>558</v>
      </c>
      <c r="C154" s="335" t="s">
        <v>8</v>
      </c>
      <c r="D154" s="336">
        <v>62</v>
      </c>
      <c r="E154" s="336">
        <f>估驗單!F143</f>
        <v>62</v>
      </c>
      <c r="F154" s="390">
        <f t="shared" si="8"/>
        <v>0</v>
      </c>
      <c r="G154" s="336">
        <v>2388.4299999999998</v>
      </c>
      <c r="H154" s="336"/>
      <c r="I154" s="336">
        <f t="shared" si="11"/>
        <v>148082.66</v>
      </c>
      <c r="J154" s="336">
        <f t="shared" si="12"/>
        <v>148082.66</v>
      </c>
      <c r="K154" s="546">
        <f t="shared" si="13"/>
        <v>0</v>
      </c>
      <c r="L154" s="502"/>
      <c r="M154" s="231" t="s">
        <v>2321</v>
      </c>
      <c r="N154" s="11" t="s">
        <v>243</v>
      </c>
      <c r="O154" s="341"/>
      <c r="P154" s="339"/>
    </row>
    <row r="155" spans="1:16" ht="33" hidden="1">
      <c r="A155" s="333" t="s">
        <v>2179</v>
      </c>
      <c r="B155" s="334" t="s">
        <v>560</v>
      </c>
      <c r="C155" s="335" t="s">
        <v>8</v>
      </c>
      <c r="D155" s="336">
        <v>33</v>
      </c>
      <c r="E155" s="336">
        <f>估驗單!F144</f>
        <v>33</v>
      </c>
      <c r="F155" s="390">
        <f t="shared" si="8"/>
        <v>0</v>
      </c>
      <c r="G155" s="336">
        <v>12777.68</v>
      </c>
      <c r="H155" s="336"/>
      <c r="I155" s="336">
        <f t="shared" si="11"/>
        <v>421663.44</v>
      </c>
      <c r="J155" s="336">
        <f t="shared" si="12"/>
        <v>421663.44</v>
      </c>
      <c r="K155" s="546">
        <f t="shared" si="13"/>
        <v>0</v>
      </c>
      <c r="L155" s="502"/>
      <c r="M155" s="231" t="s">
        <v>2321</v>
      </c>
      <c r="N155" s="11" t="s">
        <v>243</v>
      </c>
      <c r="O155" s="341"/>
      <c r="P155" s="339"/>
    </row>
    <row r="156" spans="1:16" ht="33" hidden="1">
      <c r="A156" s="333" t="s">
        <v>2181</v>
      </c>
      <c r="B156" s="334" t="s">
        <v>562</v>
      </c>
      <c r="C156" s="335" t="s">
        <v>8</v>
      </c>
      <c r="D156" s="336">
        <v>32.6</v>
      </c>
      <c r="E156" s="336">
        <f>估驗單!F145</f>
        <v>32.6</v>
      </c>
      <c r="F156" s="390">
        <f t="shared" si="8"/>
        <v>0</v>
      </c>
      <c r="G156" s="336">
        <v>71914.34</v>
      </c>
      <c r="H156" s="336"/>
      <c r="I156" s="336">
        <f t="shared" si="11"/>
        <v>2344407.48</v>
      </c>
      <c r="J156" s="336">
        <f t="shared" si="12"/>
        <v>2344407.48</v>
      </c>
      <c r="K156" s="546">
        <f t="shared" si="13"/>
        <v>0</v>
      </c>
      <c r="L156" s="502"/>
      <c r="M156" s="231" t="s">
        <v>2321</v>
      </c>
      <c r="N156" s="11" t="s">
        <v>243</v>
      </c>
      <c r="O156" s="341"/>
      <c r="P156" s="339"/>
    </row>
    <row r="157" spans="1:16" ht="33" hidden="1">
      <c r="A157" s="333" t="s">
        <v>2182</v>
      </c>
      <c r="B157" s="334" t="s">
        <v>564</v>
      </c>
      <c r="C157" s="335" t="s">
        <v>8</v>
      </c>
      <c r="D157" s="336">
        <v>32.6</v>
      </c>
      <c r="E157" s="336">
        <f>估驗單!F146</f>
        <v>32.6</v>
      </c>
      <c r="F157" s="390">
        <f t="shared" si="8"/>
        <v>0</v>
      </c>
      <c r="G157" s="336">
        <v>189793.78</v>
      </c>
      <c r="H157" s="336"/>
      <c r="I157" s="336">
        <f t="shared" si="11"/>
        <v>6187277.2300000004</v>
      </c>
      <c r="J157" s="336">
        <f t="shared" si="12"/>
        <v>6187277.2300000004</v>
      </c>
      <c r="K157" s="546">
        <f t="shared" si="13"/>
        <v>0</v>
      </c>
      <c r="L157" s="502"/>
      <c r="M157" s="231" t="s">
        <v>2321</v>
      </c>
      <c r="N157" s="11" t="s">
        <v>243</v>
      </c>
      <c r="O157" s="341"/>
      <c r="P157" s="339"/>
    </row>
    <row r="158" spans="1:16" ht="33" hidden="1">
      <c r="A158" s="333" t="s">
        <v>2183</v>
      </c>
      <c r="B158" s="334" t="s">
        <v>567</v>
      </c>
      <c r="C158" s="335" t="s">
        <v>0</v>
      </c>
      <c r="D158" s="336">
        <v>1</v>
      </c>
      <c r="E158" s="336">
        <f>估驗單!F147</f>
        <v>1</v>
      </c>
      <c r="F158" s="390">
        <f t="shared" si="8"/>
        <v>0</v>
      </c>
      <c r="G158" s="336">
        <v>78208.240000000005</v>
      </c>
      <c r="H158" s="336"/>
      <c r="I158" s="336">
        <f t="shared" si="11"/>
        <v>78208.240000000005</v>
      </c>
      <c r="J158" s="336">
        <f t="shared" si="12"/>
        <v>78208.240000000005</v>
      </c>
      <c r="K158" s="546">
        <f t="shared" si="13"/>
        <v>0</v>
      </c>
      <c r="L158" s="502"/>
      <c r="M158" s="231" t="s">
        <v>2321</v>
      </c>
      <c r="N158" s="11" t="s">
        <v>243</v>
      </c>
      <c r="O158" s="341"/>
      <c r="P158" s="339"/>
    </row>
    <row r="159" spans="1:16" ht="33" hidden="1">
      <c r="A159" s="333" t="s">
        <v>2184</v>
      </c>
      <c r="B159" s="334" t="s">
        <v>570</v>
      </c>
      <c r="C159" s="335" t="s">
        <v>8</v>
      </c>
      <c r="D159" s="336">
        <v>9.6</v>
      </c>
      <c r="E159" s="336">
        <f>估驗單!F148</f>
        <v>9.6</v>
      </c>
      <c r="F159" s="390">
        <f t="shared" si="8"/>
        <v>0</v>
      </c>
      <c r="G159" s="336">
        <v>4213.4799999999996</v>
      </c>
      <c r="H159" s="336"/>
      <c r="I159" s="336">
        <f t="shared" si="11"/>
        <v>40449.410000000003</v>
      </c>
      <c r="J159" s="336">
        <f t="shared" si="12"/>
        <v>40449.410000000003</v>
      </c>
      <c r="K159" s="546">
        <f t="shared" si="13"/>
        <v>0</v>
      </c>
      <c r="L159" s="502"/>
      <c r="M159" s="231" t="s">
        <v>2321</v>
      </c>
      <c r="N159" s="11" t="s">
        <v>243</v>
      </c>
      <c r="O159" s="341"/>
      <c r="P159" s="339"/>
    </row>
    <row r="160" spans="1:16" ht="33" hidden="1">
      <c r="A160" s="333" t="s">
        <v>2185</v>
      </c>
      <c r="B160" s="334" t="s">
        <v>573</v>
      </c>
      <c r="C160" s="335" t="s">
        <v>0</v>
      </c>
      <c r="D160" s="336">
        <v>1</v>
      </c>
      <c r="E160" s="336">
        <f>估驗單!F149</f>
        <v>1</v>
      </c>
      <c r="F160" s="390">
        <f t="shared" si="8"/>
        <v>0</v>
      </c>
      <c r="G160" s="336">
        <v>2005.23</v>
      </c>
      <c r="H160" s="336"/>
      <c r="I160" s="336">
        <f t="shared" si="11"/>
        <v>2005.23</v>
      </c>
      <c r="J160" s="336">
        <f t="shared" si="12"/>
        <v>2005.23</v>
      </c>
      <c r="K160" s="546">
        <f t="shared" si="13"/>
        <v>0</v>
      </c>
      <c r="L160" s="502"/>
      <c r="M160" s="231" t="s">
        <v>242</v>
      </c>
      <c r="N160" s="11" t="s">
        <v>243</v>
      </c>
      <c r="O160" s="341"/>
      <c r="P160" s="339"/>
    </row>
    <row r="161" spans="1:19" ht="33" hidden="1">
      <c r="A161" s="333" t="s">
        <v>2186</v>
      </c>
      <c r="B161" s="334" t="s">
        <v>576</v>
      </c>
      <c r="C161" s="335" t="s">
        <v>8</v>
      </c>
      <c r="D161" s="336">
        <v>32.6</v>
      </c>
      <c r="E161" s="336">
        <f>估驗單!F150</f>
        <v>32.6</v>
      </c>
      <c r="F161" s="390">
        <f t="shared" ref="F161:F224" si="14">E161-D161</f>
        <v>0</v>
      </c>
      <c r="G161" s="336">
        <v>21727.78</v>
      </c>
      <c r="H161" s="336"/>
      <c r="I161" s="336">
        <f t="shared" si="11"/>
        <v>708325.63</v>
      </c>
      <c r="J161" s="336">
        <f t="shared" si="12"/>
        <v>708325.63</v>
      </c>
      <c r="K161" s="546">
        <f t="shared" si="13"/>
        <v>0</v>
      </c>
      <c r="L161" s="502"/>
      <c r="M161" s="231" t="s">
        <v>2321</v>
      </c>
      <c r="N161" s="11" t="s">
        <v>243</v>
      </c>
      <c r="O161" s="341"/>
      <c r="P161" s="339"/>
    </row>
    <row r="162" spans="1:19" ht="33" hidden="1">
      <c r="A162" s="333" t="s">
        <v>2187</v>
      </c>
      <c r="B162" s="334" t="s">
        <v>579</v>
      </c>
      <c r="C162" s="335" t="s">
        <v>8</v>
      </c>
      <c r="D162" s="336">
        <v>32.6</v>
      </c>
      <c r="E162" s="336">
        <f>估驗單!F151</f>
        <v>32.6</v>
      </c>
      <c r="F162" s="390">
        <f t="shared" si="14"/>
        <v>0</v>
      </c>
      <c r="G162" s="336">
        <v>15955.67</v>
      </c>
      <c r="H162" s="336"/>
      <c r="I162" s="336">
        <f t="shared" si="11"/>
        <v>520154.84</v>
      </c>
      <c r="J162" s="336">
        <f t="shared" si="12"/>
        <v>520154.84</v>
      </c>
      <c r="K162" s="546">
        <f t="shared" si="13"/>
        <v>0</v>
      </c>
      <c r="L162" s="502"/>
      <c r="M162" s="231" t="s">
        <v>2321</v>
      </c>
      <c r="N162" s="11" t="s">
        <v>243</v>
      </c>
      <c r="O162" s="341"/>
      <c r="P162" s="339"/>
    </row>
    <row r="163" spans="1:19" ht="33" hidden="1">
      <c r="A163" s="333" t="s">
        <v>2188</v>
      </c>
      <c r="B163" s="334" t="s">
        <v>582</v>
      </c>
      <c r="C163" s="335" t="s">
        <v>583</v>
      </c>
      <c r="D163" s="336">
        <v>4</v>
      </c>
      <c r="E163" s="336">
        <f>估驗單!F152</f>
        <v>4</v>
      </c>
      <c r="F163" s="390">
        <f t="shared" si="14"/>
        <v>0</v>
      </c>
      <c r="G163" s="336">
        <v>299.98</v>
      </c>
      <c r="H163" s="336"/>
      <c r="I163" s="336">
        <f t="shared" si="11"/>
        <v>1199.92</v>
      </c>
      <c r="J163" s="336">
        <f t="shared" si="12"/>
        <v>1199.92</v>
      </c>
      <c r="K163" s="546">
        <f t="shared" si="13"/>
        <v>0</v>
      </c>
      <c r="L163" s="502"/>
      <c r="M163" s="231" t="s">
        <v>242</v>
      </c>
      <c r="N163" s="11" t="s">
        <v>243</v>
      </c>
      <c r="O163" s="341"/>
      <c r="P163" s="339"/>
    </row>
    <row r="164" spans="1:19" ht="33" hidden="1">
      <c r="A164" s="343" t="s">
        <v>2189</v>
      </c>
      <c r="B164" s="344" t="s">
        <v>2346</v>
      </c>
      <c r="C164" s="345" t="s">
        <v>8</v>
      </c>
      <c r="D164" s="340">
        <v>4.8</v>
      </c>
      <c r="E164" s="336">
        <f>估驗單!F153</f>
        <v>4.8</v>
      </c>
      <c r="F164" s="390">
        <f t="shared" si="14"/>
        <v>0</v>
      </c>
      <c r="G164" s="340">
        <v>119.99</v>
      </c>
      <c r="H164" s="340"/>
      <c r="I164" s="336">
        <f t="shared" si="11"/>
        <v>575.95000000000005</v>
      </c>
      <c r="J164" s="336">
        <f t="shared" si="12"/>
        <v>575.95000000000005</v>
      </c>
      <c r="K164" s="546">
        <f t="shared" si="13"/>
        <v>0</v>
      </c>
      <c r="L164" s="502"/>
      <c r="M164" s="346" t="s">
        <v>2321</v>
      </c>
      <c r="N164" s="347" t="s">
        <v>243</v>
      </c>
      <c r="O164" s="354"/>
      <c r="P164" s="322"/>
    </row>
    <row r="165" spans="1:19" ht="33" hidden="1">
      <c r="A165" s="333" t="s">
        <v>2190</v>
      </c>
      <c r="B165" s="334" t="s">
        <v>589</v>
      </c>
      <c r="C165" s="335" t="s">
        <v>0</v>
      </c>
      <c r="D165" s="336">
        <v>1</v>
      </c>
      <c r="E165" s="336">
        <f>估驗單!F154</f>
        <v>1</v>
      </c>
      <c r="F165" s="390">
        <f t="shared" si="14"/>
        <v>0</v>
      </c>
      <c r="G165" s="336">
        <v>849172.02</v>
      </c>
      <c r="H165" s="336"/>
      <c r="I165" s="336">
        <f t="shared" si="11"/>
        <v>849172.02</v>
      </c>
      <c r="J165" s="336">
        <f t="shared" si="12"/>
        <v>849172.02</v>
      </c>
      <c r="K165" s="546">
        <f t="shared" si="13"/>
        <v>0</v>
      </c>
      <c r="L165" s="502"/>
      <c r="M165" s="231" t="s">
        <v>242</v>
      </c>
      <c r="N165" s="11" t="s">
        <v>243</v>
      </c>
      <c r="O165" s="341"/>
      <c r="P165" s="339"/>
    </row>
    <row r="166" spans="1:19" ht="33" hidden="1">
      <c r="A166" s="333" t="s">
        <v>2191</v>
      </c>
      <c r="B166" s="334" t="s">
        <v>592</v>
      </c>
      <c r="C166" s="335" t="s">
        <v>0</v>
      </c>
      <c r="D166" s="336">
        <v>1</v>
      </c>
      <c r="E166" s="336">
        <f>估驗單!F155</f>
        <v>1</v>
      </c>
      <c r="F166" s="390">
        <f t="shared" si="14"/>
        <v>0</v>
      </c>
      <c r="G166" s="336">
        <v>2066157.04</v>
      </c>
      <c r="H166" s="336"/>
      <c r="I166" s="336">
        <f t="shared" si="11"/>
        <v>2066157.04</v>
      </c>
      <c r="J166" s="336">
        <f t="shared" si="12"/>
        <v>2066157.04</v>
      </c>
      <c r="K166" s="546">
        <f t="shared" si="13"/>
        <v>0</v>
      </c>
      <c r="L166" s="502"/>
      <c r="M166" s="231" t="s">
        <v>242</v>
      </c>
      <c r="N166" s="11" t="s">
        <v>243</v>
      </c>
      <c r="O166" s="341"/>
      <c r="P166" s="339"/>
    </row>
    <row r="167" spans="1:19" ht="33" hidden="1" customHeight="1">
      <c r="A167" s="333" t="s">
        <v>2192</v>
      </c>
      <c r="B167" s="334" t="s">
        <v>1360</v>
      </c>
      <c r="C167" s="335" t="s">
        <v>606</v>
      </c>
      <c r="D167" s="336">
        <v>2</v>
      </c>
      <c r="E167" s="336">
        <f>估驗單!F156</f>
        <v>2</v>
      </c>
      <c r="F167" s="390">
        <f t="shared" si="14"/>
        <v>0</v>
      </c>
      <c r="G167" s="336">
        <v>201796.15</v>
      </c>
      <c r="H167" s="336"/>
      <c r="I167" s="336">
        <f t="shared" si="11"/>
        <v>403592.3</v>
      </c>
      <c r="J167" s="336">
        <f t="shared" si="12"/>
        <v>403592.3</v>
      </c>
      <c r="K167" s="546">
        <f t="shared" si="13"/>
        <v>0</v>
      </c>
      <c r="L167" s="502"/>
      <c r="M167" s="231" t="s">
        <v>242</v>
      </c>
      <c r="N167" s="11" t="s">
        <v>243</v>
      </c>
      <c r="O167" s="341"/>
      <c r="P167" s="339"/>
    </row>
    <row r="168" spans="1:19" s="356" customFormat="1" ht="33" hidden="1" customHeight="1">
      <c r="A168" s="512">
        <v>38</v>
      </c>
      <c r="B168" s="513" t="s">
        <v>2347</v>
      </c>
      <c r="C168" s="514" t="s">
        <v>2348</v>
      </c>
      <c r="D168" s="515">
        <v>96850</v>
      </c>
      <c r="E168" s="506">
        <f>估驗單!F157</f>
        <v>96850</v>
      </c>
      <c r="F168" s="507">
        <f t="shared" si="14"/>
        <v>0</v>
      </c>
      <c r="G168" s="515">
        <v>16.21</v>
      </c>
      <c r="H168" s="515"/>
      <c r="I168" s="506">
        <f t="shared" si="11"/>
        <v>1569938.5</v>
      </c>
      <c r="J168" s="506">
        <f t="shared" si="12"/>
        <v>1569938.5</v>
      </c>
      <c r="K168" s="547">
        <f t="shared" si="13"/>
        <v>0</v>
      </c>
      <c r="L168" s="510"/>
      <c r="M168" s="516"/>
      <c r="N168" s="347"/>
      <c r="O168" s="517" t="s">
        <v>2617</v>
      </c>
      <c r="P168" s="349"/>
      <c r="Q168" s="325"/>
    </row>
    <row r="169" spans="1:19" s="359" customFormat="1" ht="33" hidden="1" customHeight="1">
      <c r="A169" s="343">
        <v>39</v>
      </c>
      <c r="B169" s="344" t="s">
        <v>2352</v>
      </c>
      <c r="C169" s="345" t="s">
        <v>2353</v>
      </c>
      <c r="D169" s="340">
        <v>18</v>
      </c>
      <c r="E169" s="336">
        <f>估驗單!F158</f>
        <v>18</v>
      </c>
      <c r="F169" s="390">
        <f t="shared" si="14"/>
        <v>0</v>
      </c>
      <c r="G169" s="340">
        <v>79587.17</v>
      </c>
      <c r="H169" s="340"/>
      <c r="I169" s="336">
        <f t="shared" si="11"/>
        <v>1432569.06</v>
      </c>
      <c r="J169" s="336">
        <f t="shared" si="12"/>
        <v>1432569.06</v>
      </c>
      <c r="K169" s="546">
        <f t="shared" si="13"/>
        <v>0</v>
      </c>
      <c r="L169" s="502"/>
      <c r="M169" s="346"/>
      <c r="N169" s="357"/>
      <c r="O169" s="355"/>
      <c r="P169" s="349"/>
      <c r="Q169" s="358"/>
      <c r="S169" s="359" t="s">
        <v>2357</v>
      </c>
    </row>
    <row r="170" spans="1:19" ht="33" hidden="1">
      <c r="A170" s="406" t="s">
        <v>2243</v>
      </c>
      <c r="B170" s="407" t="s">
        <v>594</v>
      </c>
      <c r="C170" s="408" t="s">
        <v>4</v>
      </c>
      <c r="D170" s="409"/>
      <c r="E170" s="409">
        <f>估驗單!F159</f>
        <v>0</v>
      </c>
      <c r="F170" s="410">
        <f t="shared" si="14"/>
        <v>0</v>
      </c>
      <c r="G170" s="409">
        <f>I170</f>
        <v>31723888.269999996</v>
      </c>
      <c r="H170" s="409"/>
      <c r="I170" s="448">
        <f>SUM(I171:I198)</f>
        <v>31723888.269999996</v>
      </c>
      <c r="J170" s="448">
        <f>SUM(J171:J198)</f>
        <v>35058442.640000001</v>
      </c>
      <c r="K170" s="543">
        <f>SUM(K171:K198)</f>
        <v>3334554.3699999996</v>
      </c>
      <c r="L170" s="452">
        <f>SUM(L171:L198)</f>
        <v>0</v>
      </c>
      <c r="M170" s="288" t="s">
        <v>242</v>
      </c>
      <c r="N170" s="11" t="s">
        <v>243</v>
      </c>
      <c r="O170" s="338"/>
      <c r="P170" s="339"/>
    </row>
    <row r="171" spans="1:19" ht="33">
      <c r="A171" s="631" t="s">
        <v>2154</v>
      </c>
      <c r="B171" s="632" t="s">
        <v>315</v>
      </c>
      <c r="C171" s="633" t="s">
        <v>6</v>
      </c>
      <c r="D171" s="634">
        <v>22</v>
      </c>
      <c r="E171" s="634">
        <f>估驗單!F160</f>
        <v>22</v>
      </c>
      <c r="F171" s="635">
        <f t="shared" si="14"/>
        <v>0</v>
      </c>
      <c r="G171" s="634">
        <v>3114.97</v>
      </c>
      <c r="H171" s="634"/>
      <c r="I171" s="634">
        <f t="shared" ref="I171:I198" si="15">ROUND(D171*G171,2)</f>
        <v>68529.34</v>
      </c>
      <c r="J171" s="634">
        <f t="shared" ref="J171:J198" si="16">ROUND(E171*G171,2)</f>
        <v>68529.34</v>
      </c>
      <c r="K171" s="636">
        <f t="shared" si="13"/>
        <v>0</v>
      </c>
      <c r="L171" s="637"/>
      <c r="M171" s="638" t="s">
        <v>2736</v>
      </c>
      <c r="N171" s="11" t="s">
        <v>243</v>
      </c>
      <c r="O171" s="341"/>
      <c r="P171" s="339"/>
    </row>
    <row r="172" spans="1:19" ht="33">
      <c r="A172" s="641" t="s">
        <v>2155</v>
      </c>
      <c r="B172" s="642" t="s">
        <v>24</v>
      </c>
      <c r="C172" s="643" t="s">
        <v>6</v>
      </c>
      <c r="D172" s="644">
        <v>302</v>
      </c>
      <c r="E172" s="644">
        <f>估驗單!F161</f>
        <v>302</v>
      </c>
      <c r="F172" s="649">
        <f t="shared" si="14"/>
        <v>0</v>
      </c>
      <c r="G172" s="644">
        <v>3320.96</v>
      </c>
      <c r="H172" s="644"/>
      <c r="I172" s="644">
        <f t="shared" si="15"/>
        <v>1002929.92</v>
      </c>
      <c r="J172" s="644">
        <f t="shared" si="16"/>
        <v>1002929.92</v>
      </c>
      <c r="K172" s="646"/>
      <c r="L172" s="649"/>
      <c r="M172" s="650" t="s">
        <v>2746</v>
      </c>
      <c r="N172" s="11" t="s">
        <v>243</v>
      </c>
      <c r="O172" s="338"/>
      <c r="P172" s="339"/>
    </row>
    <row r="173" spans="1:19" ht="33">
      <c r="A173" s="651" t="s">
        <v>2156</v>
      </c>
      <c r="B173" s="652" t="s">
        <v>528</v>
      </c>
      <c r="C173" s="653" t="s">
        <v>6</v>
      </c>
      <c r="D173" s="654">
        <v>0</v>
      </c>
      <c r="E173" s="654">
        <f>估驗單!F162</f>
        <v>0</v>
      </c>
      <c r="F173" s="655">
        <f t="shared" si="14"/>
        <v>0</v>
      </c>
      <c r="G173" s="659">
        <v>3643.53</v>
      </c>
      <c r="H173" s="659"/>
      <c r="I173" s="654">
        <f t="shared" si="15"/>
        <v>0</v>
      </c>
      <c r="J173" s="654">
        <f t="shared" si="16"/>
        <v>0</v>
      </c>
      <c r="K173" s="656">
        <f t="shared" si="13"/>
        <v>0</v>
      </c>
      <c r="L173" s="657"/>
      <c r="M173" s="658" t="s">
        <v>2736</v>
      </c>
      <c r="N173" s="11" t="s">
        <v>243</v>
      </c>
      <c r="O173" s="341"/>
      <c r="P173" s="339"/>
      <c r="Q173" s="358"/>
    </row>
    <row r="174" spans="1:19" ht="33">
      <c r="A174" s="333" t="s">
        <v>2157</v>
      </c>
      <c r="B174" s="334" t="s">
        <v>2732</v>
      </c>
      <c r="C174" s="335" t="s">
        <v>6</v>
      </c>
      <c r="D174" s="336">
        <v>1090</v>
      </c>
      <c r="E174" s="336">
        <f>估驗單!F163</f>
        <v>1501.8982857142857</v>
      </c>
      <c r="F174" s="390">
        <f t="shared" si="14"/>
        <v>411.89828571428575</v>
      </c>
      <c r="G174" s="336">
        <v>199.99</v>
      </c>
      <c r="H174" s="336"/>
      <c r="I174" s="336">
        <f t="shared" si="15"/>
        <v>217989.1</v>
      </c>
      <c r="J174" s="336">
        <f t="shared" si="16"/>
        <v>300364.64</v>
      </c>
      <c r="K174" s="546">
        <f t="shared" si="13"/>
        <v>82375.540000000008</v>
      </c>
      <c r="L174" s="502"/>
      <c r="M174" s="231" t="s">
        <v>2736</v>
      </c>
      <c r="N174" s="11" t="s">
        <v>243</v>
      </c>
      <c r="O174" s="341"/>
      <c r="P174" s="339"/>
    </row>
    <row r="175" spans="1:19" ht="99.75" hidden="1">
      <c r="A175" s="503" t="s">
        <v>2158</v>
      </c>
      <c r="B175" s="504" t="s">
        <v>534</v>
      </c>
      <c r="C175" s="505" t="s">
        <v>13</v>
      </c>
      <c r="D175" s="506">
        <v>1203</v>
      </c>
      <c r="E175" s="506">
        <f>估驗單!F164</f>
        <v>1274.9890000000003</v>
      </c>
      <c r="F175" s="507">
        <f t="shared" si="14"/>
        <v>71.98900000000026</v>
      </c>
      <c r="G175" s="506">
        <v>982.93</v>
      </c>
      <c r="H175" s="506"/>
      <c r="I175" s="506">
        <f t="shared" si="15"/>
        <v>1182464.79</v>
      </c>
      <c r="J175" s="506">
        <f t="shared" si="16"/>
        <v>1253224.94</v>
      </c>
      <c r="K175" s="547">
        <f t="shared" si="13"/>
        <v>70760.149999999907</v>
      </c>
      <c r="L175" s="510"/>
      <c r="M175" s="508" t="s">
        <v>2343</v>
      </c>
      <c r="N175" s="11" t="s">
        <v>243</v>
      </c>
      <c r="O175" s="341"/>
      <c r="P175" s="339"/>
    </row>
    <row r="176" spans="1:19" ht="71.25" hidden="1">
      <c r="A176" s="503" t="s">
        <v>2159</v>
      </c>
      <c r="B176" s="504" t="s">
        <v>536</v>
      </c>
      <c r="C176" s="505" t="s">
        <v>13</v>
      </c>
      <c r="D176" s="506">
        <v>393</v>
      </c>
      <c r="E176" s="506">
        <f>估驗單!F165</f>
        <v>821.92359999999985</v>
      </c>
      <c r="F176" s="507">
        <f t="shared" si="14"/>
        <v>428.92359999999985</v>
      </c>
      <c r="G176" s="506">
        <v>804.75</v>
      </c>
      <c r="H176" s="506"/>
      <c r="I176" s="506">
        <f t="shared" si="15"/>
        <v>316266.75</v>
      </c>
      <c r="J176" s="506">
        <f t="shared" si="16"/>
        <v>661443.02</v>
      </c>
      <c r="K176" s="547">
        <f t="shared" si="13"/>
        <v>345176.27</v>
      </c>
      <c r="L176" s="510"/>
      <c r="M176" s="508" t="s">
        <v>2344</v>
      </c>
      <c r="N176" s="11" t="s">
        <v>243</v>
      </c>
      <c r="O176" s="341"/>
      <c r="P176" s="339"/>
    </row>
    <row r="177" spans="1:16" ht="42.75" hidden="1">
      <c r="A177" s="503" t="s">
        <v>2160</v>
      </c>
      <c r="B177" s="504" t="s">
        <v>192</v>
      </c>
      <c r="C177" s="505" t="s">
        <v>17</v>
      </c>
      <c r="D177" s="506">
        <v>13138</v>
      </c>
      <c r="E177" s="506">
        <f>估驗單!F166</f>
        <v>35217.512975700003</v>
      </c>
      <c r="F177" s="507">
        <f t="shared" si="14"/>
        <v>22079.512975700003</v>
      </c>
      <c r="G177" s="506">
        <v>36.4</v>
      </c>
      <c r="H177" s="506"/>
      <c r="I177" s="506">
        <f t="shared" si="15"/>
        <v>478223.2</v>
      </c>
      <c r="J177" s="506">
        <f t="shared" si="16"/>
        <v>1281917.47</v>
      </c>
      <c r="K177" s="547">
        <f t="shared" si="13"/>
        <v>803694.27</v>
      </c>
      <c r="L177" s="510"/>
      <c r="M177" s="508" t="s">
        <v>2334</v>
      </c>
      <c r="N177" s="11" t="s">
        <v>243</v>
      </c>
      <c r="O177" s="341"/>
      <c r="P177" s="339"/>
    </row>
    <row r="178" spans="1:16" ht="42.75" hidden="1">
      <c r="A178" s="503" t="s">
        <v>2161</v>
      </c>
      <c r="B178" s="504" t="s">
        <v>530</v>
      </c>
      <c r="C178" s="505" t="s">
        <v>17</v>
      </c>
      <c r="D178" s="506">
        <v>15589</v>
      </c>
      <c r="E178" s="506">
        <f>估驗單!F167</f>
        <v>25125.1749375</v>
      </c>
      <c r="F178" s="507">
        <f t="shared" si="14"/>
        <v>9536.1749374999999</v>
      </c>
      <c r="G178" s="506">
        <v>38.71</v>
      </c>
      <c r="H178" s="506"/>
      <c r="I178" s="506">
        <f t="shared" si="15"/>
        <v>603450.18999999994</v>
      </c>
      <c r="J178" s="506">
        <f t="shared" si="16"/>
        <v>972595.52</v>
      </c>
      <c r="K178" s="547">
        <f t="shared" si="13"/>
        <v>369145.33000000007</v>
      </c>
      <c r="L178" s="510"/>
      <c r="M178" s="508" t="s">
        <v>2334</v>
      </c>
      <c r="N178" s="11" t="s">
        <v>243</v>
      </c>
      <c r="O178" s="341"/>
      <c r="P178" s="339"/>
    </row>
    <row r="179" spans="1:16" ht="33" hidden="1">
      <c r="A179" s="343" t="s">
        <v>2162</v>
      </c>
      <c r="B179" s="344" t="s">
        <v>597</v>
      </c>
      <c r="C179" s="345" t="s">
        <v>13</v>
      </c>
      <c r="D179" s="340">
        <v>776</v>
      </c>
      <c r="E179" s="336">
        <f>估驗單!F168</f>
        <v>776</v>
      </c>
      <c r="F179" s="390">
        <f t="shared" si="14"/>
        <v>0</v>
      </c>
      <c r="G179" s="340">
        <v>2510.64</v>
      </c>
      <c r="H179" s="340"/>
      <c r="I179" s="336">
        <f t="shared" si="15"/>
        <v>1948256.64</v>
      </c>
      <c r="J179" s="336">
        <f t="shared" si="16"/>
        <v>1948256.64</v>
      </c>
      <c r="K179" s="546">
        <f t="shared" si="13"/>
        <v>0</v>
      </c>
      <c r="L179" s="502"/>
      <c r="M179" s="346" t="s">
        <v>2359</v>
      </c>
      <c r="N179" s="347" t="s">
        <v>243</v>
      </c>
      <c r="O179" s="354"/>
      <c r="P179" s="349"/>
    </row>
    <row r="180" spans="1:16" ht="33" hidden="1">
      <c r="A180" s="503" t="s">
        <v>2163</v>
      </c>
      <c r="B180" s="504" t="s">
        <v>599</v>
      </c>
      <c r="C180" s="505" t="s">
        <v>223</v>
      </c>
      <c r="D180" s="506">
        <v>235</v>
      </c>
      <c r="E180" s="506">
        <f>估驗單!F169</f>
        <v>251.85</v>
      </c>
      <c r="F180" s="507">
        <f t="shared" si="14"/>
        <v>16.849999999999994</v>
      </c>
      <c r="G180" s="506">
        <v>3297.86</v>
      </c>
      <c r="H180" s="506"/>
      <c r="I180" s="506">
        <f t="shared" si="15"/>
        <v>774997.1</v>
      </c>
      <c r="J180" s="506">
        <f t="shared" si="16"/>
        <v>830566.04</v>
      </c>
      <c r="K180" s="547">
        <f t="shared" si="13"/>
        <v>55568.940000000061</v>
      </c>
      <c r="L180" s="510"/>
      <c r="M180" s="508" t="s">
        <v>2321</v>
      </c>
      <c r="N180" s="11" t="s">
        <v>243</v>
      </c>
      <c r="O180" s="341"/>
      <c r="P180" s="339"/>
    </row>
    <row r="181" spans="1:16" ht="33" hidden="1">
      <c r="A181" s="503" t="s">
        <v>2164</v>
      </c>
      <c r="B181" s="504" t="s">
        <v>601</v>
      </c>
      <c r="C181" s="505" t="s">
        <v>13</v>
      </c>
      <c r="D181" s="506">
        <v>102</v>
      </c>
      <c r="E181" s="506">
        <f>估驗單!F170</f>
        <v>173.82</v>
      </c>
      <c r="F181" s="507">
        <f t="shared" si="14"/>
        <v>71.819999999999993</v>
      </c>
      <c r="G181" s="506">
        <v>2952.01</v>
      </c>
      <c r="H181" s="506"/>
      <c r="I181" s="506">
        <f t="shared" si="15"/>
        <v>301105.02</v>
      </c>
      <c r="J181" s="506">
        <f t="shared" si="16"/>
        <v>513118.38</v>
      </c>
      <c r="K181" s="547">
        <f t="shared" si="13"/>
        <v>212013.36</v>
      </c>
      <c r="L181" s="510"/>
      <c r="M181" s="508" t="s">
        <v>2321</v>
      </c>
      <c r="N181" s="11" t="s">
        <v>243</v>
      </c>
      <c r="O181" s="341"/>
      <c r="P181" s="339"/>
    </row>
    <row r="182" spans="1:16" ht="33" hidden="1">
      <c r="A182" s="503" t="s">
        <v>2165</v>
      </c>
      <c r="B182" s="504" t="s">
        <v>603</v>
      </c>
      <c r="C182" s="505" t="s">
        <v>13</v>
      </c>
      <c r="D182" s="506">
        <v>400</v>
      </c>
      <c r="E182" s="506">
        <f>估驗單!F171</f>
        <v>400</v>
      </c>
      <c r="F182" s="507">
        <f t="shared" si="14"/>
        <v>0</v>
      </c>
      <c r="G182" s="506">
        <v>1454.49</v>
      </c>
      <c r="H182" s="506"/>
      <c r="I182" s="506">
        <f t="shared" si="15"/>
        <v>581796</v>
      </c>
      <c r="J182" s="506">
        <f t="shared" si="16"/>
        <v>581796</v>
      </c>
      <c r="K182" s="547">
        <f t="shared" si="13"/>
        <v>0</v>
      </c>
      <c r="L182" s="510"/>
      <c r="M182" s="508" t="s">
        <v>242</v>
      </c>
      <c r="N182" s="11" t="s">
        <v>243</v>
      </c>
      <c r="O182" s="341"/>
      <c r="P182" s="339"/>
    </row>
    <row r="183" spans="1:16" ht="33" hidden="1">
      <c r="A183" s="333" t="s">
        <v>2166</v>
      </c>
      <c r="B183" s="334" t="s">
        <v>605</v>
      </c>
      <c r="C183" s="335" t="s">
        <v>606</v>
      </c>
      <c r="D183" s="336">
        <v>333</v>
      </c>
      <c r="E183" s="336">
        <f>估驗單!F172</f>
        <v>333</v>
      </c>
      <c r="F183" s="390">
        <f t="shared" si="14"/>
        <v>0</v>
      </c>
      <c r="G183" s="336">
        <v>434.98</v>
      </c>
      <c r="H183" s="336"/>
      <c r="I183" s="336">
        <f t="shared" si="15"/>
        <v>144848.34</v>
      </c>
      <c r="J183" s="336">
        <f t="shared" si="16"/>
        <v>144848.34</v>
      </c>
      <c r="K183" s="546">
        <f t="shared" si="13"/>
        <v>0</v>
      </c>
      <c r="L183" s="502"/>
      <c r="M183" s="231" t="s">
        <v>242</v>
      </c>
      <c r="N183" s="11" t="s">
        <v>243</v>
      </c>
      <c r="O183" s="341"/>
      <c r="P183" s="339"/>
    </row>
    <row r="184" spans="1:16" ht="33" hidden="1">
      <c r="A184" s="503" t="s">
        <v>2167</v>
      </c>
      <c r="B184" s="504" t="s">
        <v>608</v>
      </c>
      <c r="C184" s="505" t="s">
        <v>13</v>
      </c>
      <c r="D184" s="506">
        <v>1702</v>
      </c>
      <c r="E184" s="506">
        <f>估驗單!G173</f>
        <v>1702</v>
      </c>
      <c r="F184" s="519">
        <f t="shared" si="14"/>
        <v>0</v>
      </c>
      <c r="G184" s="506">
        <v>885.76</v>
      </c>
      <c r="H184" s="506"/>
      <c r="I184" s="506">
        <f t="shared" si="15"/>
        <v>1507563.52</v>
      </c>
      <c r="J184" s="506">
        <f t="shared" si="16"/>
        <v>1507563.52</v>
      </c>
      <c r="K184" s="547"/>
      <c r="L184" s="519">
        <f>J184-I184</f>
        <v>0</v>
      </c>
      <c r="M184" s="508" t="s">
        <v>2321</v>
      </c>
      <c r="N184" s="11" t="s">
        <v>243</v>
      </c>
      <c r="O184" s="341"/>
      <c r="P184" s="339"/>
    </row>
    <row r="185" spans="1:16" ht="33" hidden="1">
      <c r="A185" s="503" t="s">
        <v>2168</v>
      </c>
      <c r="B185" s="504" t="s">
        <v>357</v>
      </c>
      <c r="C185" s="505" t="s">
        <v>8</v>
      </c>
      <c r="D185" s="506">
        <v>49</v>
      </c>
      <c r="E185" s="506">
        <f>估驗單!F174</f>
        <v>49</v>
      </c>
      <c r="F185" s="507">
        <f t="shared" si="14"/>
        <v>0</v>
      </c>
      <c r="G185" s="506">
        <v>138.84</v>
      </c>
      <c r="H185" s="506"/>
      <c r="I185" s="506">
        <f t="shared" si="15"/>
        <v>6803.16</v>
      </c>
      <c r="J185" s="506">
        <f t="shared" si="16"/>
        <v>6803.16</v>
      </c>
      <c r="K185" s="547">
        <f t="shared" si="13"/>
        <v>0</v>
      </c>
      <c r="L185" s="510"/>
      <c r="M185" s="508" t="s">
        <v>242</v>
      </c>
      <c r="N185" s="11" t="s">
        <v>243</v>
      </c>
      <c r="O185" s="341"/>
      <c r="P185" s="339"/>
    </row>
    <row r="186" spans="1:16" ht="33" hidden="1">
      <c r="A186" s="503" t="s">
        <v>2169</v>
      </c>
      <c r="B186" s="504" t="s">
        <v>611</v>
      </c>
      <c r="C186" s="505" t="s">
        <v>8</v>
      </c>
      <c r="D186" s="506">
        <v>85</v>
      </c>
      <c r="E186" s="506">
        <f>估驗單!F175</f>
        <v>85</v>
      </c>
      <c r="F186" s="507">
        <f t="shared" si="14"/>
        <v>0</v>
      </c>
      <c r="G186" s="506">
        <v>326.27999999999997</v>
      </c>
      <c r="H186" s="506"/>
      <c r="I186" s="506">
        <f t="shared" si="15"/>
        <v>27733.8</v>
      </c>
      <c r="J186" s="506">
        <f t="shared" si="16"/>
        <v>27733.8</v>
      </c>
      <c r="K186" s="547">
        <f t="shared" si="13"/>
        <v>0</v>
      </c>
      <c r="L186" s="510"/>
      <c r="M186" s="508" t="s">
        <v>242</v>
      </c>
      <c r="N186" s="11" t="s">
        <v>243</v>
      </c>
      <c r="O186" s="341"/>
      <c r="P186" s="339"/>
    </row>
    <row r="187" spans="1:16" ht="42.75" hidden="1">
      <c r="A187" s="503" t="s">
        <v>2170</v>
      </c>
      <c r="B187" s="504" t="s">
        <v>222</v>
      </c>
      <c r="C187" s="505" t="s">
        <v>13</v>
      </c>
      <c r="D187" s="506">
        <v>385</v>
      </c>
      <c r="E187" s="506">
        <f>估驗單!F176</f>
        <v>2005</v>
      </c>
      <c r="F187" s="507">
        <f t="shared" si="14"/>
        <v>1620</v>
      </c>
      <c r="G187" s="506">
        <v>692.12</v>
      </c>
      <c r="H187" s="506"/>
      <c r="I187" s="506">
        <f t="shared" si="15"/>
        <v>266466.2</v>
      </c>
      <c r="J187" s="506">
        <f t="shared" si="16"/>
        <v>1387700.6</v>
      </c>
      <c r="K187" s="547">
        <f t="shared" si="13"/>
        <v>1121234.4000000001</v>
      </c>
      <c r="L187" s="510"/>
      <c r="M187" s="508" t="s">
        <v>2345</v>
      </c>
      <c r="N187" s="11" t="s">
        <v>243</v>
      </c>
      <c r="O187" s="341" t="s">
        <v>2622</v>
      </c>
      <c r="P187" s="339"/>
    </row>
    <row r="188" spans="1:16" ht="71.25" hidden="1">
      <c r="A188" s="333" t="s">
        <v>2171</v>
      </c>
      <c r="B188" s="334" t="s">
        <v>615</v>
      </c>
      <c r="C188" s="335" t="s">
        <v>8</v>
      </c>
      <c r="D188" s="336">
        <v>0</v>
      </c>
      <c r="E188" s="336">
        <f>估驗單!F177</f>
        <v>0</v>
      </c>
      <c r="F188" s="390">
        <f t="shared" si="14"/>
        <v>0</v>
      </c>
      <c r="G188" s="336">
        <v>1706.44</v>
      </c>
      <c r="H188" s="336"/>
      <c r="I188" s="336">
        <f t="shared" si="15"/>
        <v>0</v>
      </c>
      <c r="J188" s="336">
        <f t="shared" si="16"/>
        <v>0</v>
      </c>
      <c r="K188" s="546">
        <f t="shared" si="13"/>
        <v>0</v>
      </c>
      <c r="L188" s="502"/>
      <c r="M188" s="231" t="s">
        <v>2360</v>
      </c>
      <c r="N188" s="11" t="s">
        <v>243</v>
      </c>
      <c r="O188" s="341"/>
      <c r="P188" s="339"/>
    </row>
    <row r="189" spans="1:16" ht="33" hidden="1">
      <c r="A189" s="333" t="s">
        <v>2172</v>
      </c>
      <c r="B189" s="334" t="s">
        <v>618</v>
      </c>
      <c r="C189" s="335" t="s">
        <v>23</v>
      </c>
      <c r="D189" s="336">
        <v>1070.5</v>
      </c>
      <c r="E189" s="336">
        <f>估驗單!F178</f>
        <v>1070.5</v>
      </c>
      <c r="F189" s="390">
        <f t="shared" si="14"/>
        <v>0</v>
      </c>
      <c r="G189" s="336">
        <v>49</v>
      </c>
      <c r="H189" s="336"/>
      <c r="I189" s="336">
        <f t="shared" si="15"/>
        <v>52454.5</v>
      </c>
      <c r="J189" s="336">
        <f t="shared" si="16"/>
        <v>52454.5</v>
      </c>
      <c r="K189" s="546">
        <f t="shared" si="13"/>
        <v>0</v>
      </c>
      <c r="L189" s="502"/>
      <c r="M189" s="231" t="s">
        <v>242</v>
      </c>
      <c r="N189" s="11" t="s">
        <v>243</v>
      </c>
      <c r="O189" s="341"/>
      <c r="P189" s="339"/>
    </row>
    <row r="190" spans="1:16" ht="33" hidden="1">
      <c r="A190" s="333" t="s">
        <v>2173</v>
      </c>
      <c r="B190" s="334" t="s">
        <v>621</v>
      </c>
      <c r="C190" s="335" t="s">
        <v>19</v>
      </c>
      <c r="D190" s="336">
        <v>2</v>
      </c>
      <c r="E190" s="336">
        <f>估驗單!F179</f>
        <v>2</v>
      </c>
      <c r="F190" s="390">
        <f t="shared" si="14"/>
        <v>0</v>
      </c>
      <c r="G190" s="336">
        <v>5349708.26</v>
      </c>
      <c r="H190" s="336"/>
      <c r="I190" s="336">
        <f t="shared" si="15"/>
        <v>10699416.52</v>
      </c>
      <c r="J190" s="336">
        <f t="shared" si="16"/>
        <v>10699416.52</v>
      </c>
      <c r="K190" s="546">
        <f t="shared" si="13"/>
        <v>0</v>
      </c>
      <c r="L190" s="502"/>
      <c r="M190" s="231" t="s">
        <v>242</v>
      </c>
      <c r="N190" s="11" t="s">
        <v>243</v>
      </c>
      <c r="O190" s="341"/>
      <c r="P190" s="339"/>
    </row>
    <row r="191" spans="1:16" ht="42.75" hidden="1">
      <c r="A191" s="333" t="s">
        <v>2174</v>
      </c>
      <c r="B191" s="334" t="s">
        <v>1368</v>
      </c>
      <c r="C191" s="335" t="s">
        <v>8</v>
      </c>
      <c r="D191" s="336">
        <v>571.08000000000004</v>
      </c>
      <c r="E191" s="336">
        <f>估驗單!F180</f>
        <v>571.08000000000004</v>
      </c>
      <c r="F191" s="390">
        <f t="shared" si="14"/>
        <v>0</v>
      </c>
      <c r="G191" s="336">
        <v>5456.33</v>
      </c>
      <c r="H191" s="336"/>
      <c r="I191" s="336">
        <f t="shared" si="15"/>
        <v>3116000.94</v>
      </c>
      <c r="J191" s="336">
        <f t="shared" si="16"/>
        <v>3116000.94</v>
      </c>
      <c r="K191" s="546">
        <f t="shared" si="13"/>
        <v>0</v>
      </c>
      <c r="L191" s="502"/>
      <c r="M191" s="231" t="s">
        <v>242</v>
      </c>
      <c r="N191" s="11" t="s">
        <v>243</v>
      </c>
      <c r="O191" s="341"/>
      <c r="P191" s="339"/>
    </row>
    <row r="192" spans="1:16" ht="33" hidden="1">
      <c r="A192" s="333" t="s">
        <v>2175</v>
      </c>
      <c r="B192" s="334" t="s">
        <v>1370</v>
      </c>
      <c r="C192" s="335" t="s">
        <v>6</v>
      </c>
      <c r="D192" s="336">
        <v>161.38999999999999</v>
      </c>
      <c r="E192" s="336">
        <f>估驗單!F181</f>
        <v>0</v>
      </c>
      <c r="F192" s="390">
        <f t="shared" si="14"/>
        <v>-161.38999999999999</v>
      </c>
      <c r="G192" s="336">
        <v>1481.84</v>
      </c>
      <c r="H192" s="336"/>
      <c r="I192" s="336">
        <f t="shared" si="15"/>
        <v>239154.16</v>
      </c>
      <c r="J192" s="336">
        <f t="shared" si="16"/>
        <v>0</v>
      </c>
      <c r="K192" s="546">
        <f t="shared" si="13"/>
        <v>-239154.16</v>
      </c>
      <c r="L192" s="502"/>
      <c r="M192" s="231" t="s">
        <v>242</v>
      </c>
      <c r="N192" s="11" t="s">
        <v>243</v>
      </c>
      <c r="O192" s="341"/>
      <c r="P192" s="339"/>
    </row>
    <row r="193" spans="1:19" s="352" customFormat="1" ht="33.75" hidden="1">
      <c r="A193" s="512">
        <v>24</v>
      </c>
      <c r="B193" s="513" t="s">
        <v>1372</v>
      </c>
      <c r="C193" s="514" t="s">
        <v>13</v>
      </c>
      <c r="D193" s="515">
        <v>634.14</v>
      </c>
      <c r="E193" s="506">
        <f>估驗單!F182</f>
        <v>776.79333333333329</v>
      </c>
      <c r="F193" s="507">
        <f t="shared" si="14"/>
        <v>142.65333333333331</v>
      </c>
      <c r="G193" s="515">
        <v>3120.65</v>
      </c>
      <c r="H193" s="515"/>
      <c r="I193" s="506">
        <f t="shared" si="15"/>
        <v>1978928.99</v>
      </c>
      <c r="J193" s="506">
        <f t="shared" si="16"/>
        <v>2424100.12</v>
      </c>
      <c r="K193" s="547">
        <f t="shared" si="13"/>
        <v>445171.13000000012</v>
      </c>
      <c r="L193" s="510"/>
      <c r="M193" s="527" t="s">
        <v>2361</v>
      </c>
      <c r="N193" s="347" t="s">
        <v>243</v>
      </c>
      <c r="O193" s="348" t="s">
        <v>2362</v>
      </c>
      <c r="P193" s="360" t="s">
        <v>2363</v>
      </c>
      <c r="Q193" s="325" t="s">
        <v>2364</v>
      </c>
      <c r="S193" s="361"/>
    </row>
    <row r="194" spans="1:19" s="363" customFormat="1" ht="33.75" hidden="1">
      <c r="A194" s="343">
        <v>25</v>
      </c>
      <c r="B194" s="344" t="s">
        <v>2346</v>
      </c>
      <c r="C194" s="345" t="s">
        <v>8</v>
      </c>
      <c r="D194" s="340">
        <f>295*0.7+76*0.75+40*2</f>
        <v>343.5</v>
      </c>
      <c r="E194" s="336">
        <f>估驗單!F183</f>
        <v>343.5</v>
      </c>
      <c r="F194" s="390">
        <f t="shared" si="14"/>
        <v>0</v>
      </c>
      <c r="G194" s="340">
        <v>119.99</v>
      </c>
      <c r="H194" s="340"/>
      <c r="I194" s="336">
        <f t="shared" si="15"/>
        <v>41216.57</v>
      </c>
      <c r="J194" s="336">
        <f t="shared" si="16"/>
        <v>41216.57</v>
      </c>
      <c r="K194" s="546">
        <f t="shared" si="13"/>
        <v>0</v>
      </c>
      <c r="L194" s="502"/>
      <c r="M194" s="346" t="s">
        <v>2321</v>
      </c>
      <c r="N194" s="347" t="s">
        <v>243</v>
      </c>
      <c r="O194" s="354" t="s">
        <v>2365</v>
      </c>
      <c r="P194" s="322" t="s">
        <v>2366</v>
      </c>
      <c r="Q194" s="362" t="s">
        <v>2356</v>
      </c>
    </row>
    <row r="195" spans="1:19" s="363" customFormat="1" ht="33.75" hidden="1">
      <c r="A195" s="343">
        <v>26</v>
      </c>
      <c r="B195" s="344" t="s">
        <v>2367</v>
      </c>
      <c r="C195" s="345" t="s">
        <v>2368</v>
      </c>
      <c r="D195" s="340">
        <f>295+76+80</f>
        <v>451</v>
      </c>
      <c r="E195" s="336">
        <f>估驗單!F184</f>
        <v>451</v>
      </c>
      <c r="F195" s="390">
        <f t="shared" si="14"/>
        <v>0</v>
      </c>
      <c r="G195" s="340">
        <v>324.97000000000003</v>
      </c>
      <c r="H195" s="340"/>
      <c r="I195" s="336">
        <f t="shared" si="15"/>
        <v>146561.47</v>
      </c>
      <c r="J195" s="336">
        <f t="shared" si="16"/>
        <v>146561.47</v>
      </c>
      <c r="K195" s="546">
        <f t="shared" si="13"/>
        <v>0</v>
      </c>
      <c r="L195" s="502"/>
      <c r="M195" s="346" t="s">
        <v>2369</v>
      </c>
      <c r="N195" s="347"/>
      <c r="O195" s="354" t="s">
        <v>2365</v>
      </c>
      <c r="P195" s="322" t="s">
        <v>2370</v>
      </c>
      <c r="Q195" s="362" t="s">
        <v>2356</v>
      </c>
    </row>
    <row r="196" spans="1:19" ht="57" hidden="1">
      <c r="A196" s="333">
        <v>28</v>
      </c>
      <c r="B196" s="334" t="s">
        <v>1377</v>
      </c>
      <c r="C196" s="335" t="s">
        <v>6</v>
      </c>
      <c r="D196" s="336">
        <v>1513</v>
      </c>
      <c r="E196" s="336">
        <f>估驗單!F185</f>
        <v>1513</v>
      </c>
      <c r="F196" s="390">
        <f t="shared" si="14"/>
        <v>0</v>
      </c>
      <c r="G196" s="336">
        <v>926.62</v>
      </c>
      <c r="H196" s="336"/>
      <c r="I196" s="336">
        <f t="shared" si="15"/>
        <v>1401976.06</v>
      </c>
      <c r="J196" s="336">
        <f t="shared" si="16"/>
        <v>1401976.06</v>
      </c>
      <c r="K196" s="546">
        <f t="shared" si="13"/>
        <v>0</v>
      </c>
      <c r="L196" s="502"/>
      <c r="M196" s="231" t="s">
        <v>2371</v>
      </c>
      <c r="N196" s="11" t="s">
        <v>243</v>
      </c>
      <c r="O196" s="364" t="s">
        <v>2372</v>
      </c>
      <c r="P196" s="365" t="s">
        <v>2373</v>
      </c>
      <c r="Q196" s="325" t="s">
        <v>2374</v>
      </c>
      <c r="S196" s="82">
        <f>(1.5*1.5*0.45*0.45)^(1/2)*(295+57.3)*0.15</f>
        <v>35.670375000000007</v>
      </c>
    </row>
    <row r="197" spans="1:19" s="368" customFormat="1" ht="33">
      <c r="A197" s="660">
        <v>29</v>
      </c>
      <c r="B197" s="661" t="s">
        <v>2375</v>
      </c>
      <c r="C197" s="662" t="s">
        <v>6</v>
      </c>
      <c r="D197" s="663">
        <v>1177.9000000000001</v>
      </c>
      <c r="E197" s="663">
        <f>估驗單!F186</f>
        <v>1177.9000000000001</v>
      </c>
      <c r="F197" s="664">
        <f t="shared" si="14"/>
        <v>0</v>
      </c>
      <c r="G197" s="663">
        <v>3832.9</v>
      </c>
      <c r="H197" s="663"/>
      <c r="I197" s="663">
        <f t="shared" si="15"/>
        <v>4514772.91</v>
      </c>
      <c r="J197" s="663">
        <f t="shared" si="16"/>
        <v>4514772.91</v>
      </c>
      <c r="K197" s="665">
        <f t="shared" si="13"/>
        <v>0</v>
      </c>
      <c r="L197" s="666"/>
      <c r="M197" s="667" t="s">
        <v>2736</v>
      </c>
      <c r="N197" s="11" t="s">
        <v>243</v>
      </c>
      <c r="O197" s="338"/>
      <c r="P197" s="366"/>
      <c r="Q197" s="367"/>
      <c r="S197" s="369"/>
    </row>
    <row r="198" spans="1:19" s="368" customFormat="1" ht="42.75" hidden="1">
      <c r="A198" s="333">
        <v>30</v>
      </c>
      <c r="B198" s="334" t="s">
        <v>1380</v>
      </c>
      <c r="C198" s="335" t="s">
        <v>13</v>
      </c>
      <c r="D198" s="336">
        <v>442.5</v>
      </c>
      <c r="E198" s="336">
        <f>估驗單!F187</f>
        <v>734.29600000000005</v>
      </c>
      <c r="F198" s="390">
        <f t="shared" si="14"/>
        <v>291.79600000000005</v>
      </c>
      <c r="G198" s="336">
        <v>234.99</v>
      </c>
      <c r="H198" s="336"/>
      <c r="I198" s="336">
        <f t="shared" si="15"/>
        <v>103983.08</v>
      </c>
      <c r="J198" s="336">
        <f t="shared" si="16"/>
        <v>172552.22</v>
      </c>
      <c r="K198" s="546">
        <f t="shared" si="13"/>
        <v>68569.14</v>
      </c>
      <c r="L198" s="502"/>
      <c r="M198" s="231" t="s">
        <v>2381</v>
      </c>
      <c r="N198" s="11"/>
      <c r="O198" s="341" t="s">
        <v>2382</v>
      </c>
      <c r="P198" s="370" t="s">
        <v>2383</v>
      </c>
      <c r="Q198" s="325" t="s">
        <v>2384</v>
      </c>
      <c r="S198" s="369"/>
    </row>
    <row r="199" spans="1:19" ht="33" hidden="1">
      <c r="A199" s="406" t="s">
        <v>2244</v>
      </c>
      <c r="B199" s="407" t="s">
        <v>623</v>
      </c>
      <c r="C199" s="408" t="s">
        <v>4</v>
      </c>
      <c r="D199" s="409"/>
      <c r="E199" s="409">
        <f>估驗單!F188</f>
        <v>0</v>
      </c>
      <c r="F199" s="410">
        <f t="shared" si="14"/>
        <v>0</v>
      </c>
      <c r="G199" s="409">
        <f>I199</f>
        <v>28004421.200000003</v>
      </c>
      <c r="H199" s="409"/>
      <c r="I199" s="409">
        <f>SUM(I200:I218)</f>
        <v>28004421.200000003</v>
      </c>
      <c r="J199" s="409">
        <f>SUM(J200:J218)</f>
        <v>33518571.399999999</v>
      </c>
      <c r="K199" s="409">
        <f>SUM(K200:K218)</f>
        <v>5987095.5399999991</v>
      </c>
      <c r="L199" s="452">
        <f>SUM(L200:L218)</f>
        <v>-472945.33999999991</v>
      </c>
      <c r="M199" s="288" t="s">
        <v>242</v>
      </c>
      <c r="N199" s="11" t="s">
        <v>243</v>
      </c>
      <c r="O199" s="338"/>
      <c r="P199" s="339"/>
    </row>
    <row r="200" spans="1:19" ht="33">
      <c r="A200" s="631" t="s">
        <v>2154</v>
      </c>
      <c r="B200" s="632" t="s">
        <v>315</v>
      </c>
      <c r="C200" s="633" t="s">
        <v>6</v>
      </c>
      <c r="D200" s="634">
        <v>252</v>
      </c>
      <c r="E200" s="634">
        <f>估驗單!F189</f>
        <v>109.33</v>
      </c>
      <c r="F200" s="639">
        <f t="shared" si="14"/>
        <v>-142.67000000000002</v>
      </c>
      <c r="G200" s="634">
        <v>3114.97</v>
      </c>
      <c r="H200" s="634"/>
      <c r="I200" s="634">
        <f t="shared" ref="I200:I218" si="17">ROUND(D200*G200,2)</f>
        <v>784972.44</v>
      </c>
      <c r="J200" s="634">
        <f t="shared" ref="J200:J218" si="18">ROUND(E200*G200,2)</f>
        <v>340559.67</v>
      </c>
      <c r="K200" s="636"/>
      <c r="L200" s="639">
        <f>J200-I200</f>
        <v>-444412.76999999996</v>
      </c>
      <c r="M200" s="640" t="s">
        <v>2737</v>
      </c>
      <c r="N200" s="11" t="s">
        <v>243</v>
      </c>
      <c r="O200" s="341"/>
      <c r="P200" s="339"/>
    </row>
    <row r="201" spans="1:19" ht="33">
      <c r="A201" s="641" t="s">
        <v>2155</v>
      </c>
      <c r="B201" s="642" t="s">
        <v>24</v>
      </c>
      <c r="C201" s="643" t="s">
        <v>6</v>
      </c>
      <c r="D201" s="644">
        <v>2490</v>
      </c>
      <c r="E201" s="644">
        <f>估驗單!F190</f>
        <v>2490</v>
      </c>
      <c r="F201" s="645">
        <f>E201-D201</f>
        <v>0</v>
      </c>
      <c r="G201" s="644">
        <v>3320.96</v>
      </c>
      <c r="H201" s="644"/>
      <c r="I201" s="644">
        <f t="shared" si="17"/>
        <v>8269190.4000000004</v>
      </c>
      <c r="J201" s="644">
        <f t="shared" si="18"/>
        <v>8269190.4000000004</v>
      </c>
      <c r="K201" s="646">
        <f t="shared" si="13"/>
        <v>0</v>
      </c>
      <c r="L201" s="647"/>
      <c r="M201" s="648" t="s">
        <v>2737</v>
      </c>
      <c r="N201" s="11" t="s">
        <v>243</v>
      </c>
      <c r="O201" s="341"/>
      <c r="P201" s="339"/>
    </row>
    <row r="202" spans="1:19" ht="33" hidden="1">
      <c r="A202" s="333" t="s">
        <v>2156</v>
      </c>
      <c r="B202" s="334" t="s">
        <v>624</v>
      </c>
      <c r="C202" s="335" t="s">
        <v>6</v>
      </c>
      <c r="D202" s="336">
        <v>998</v>
      </c>
      <c r="E202" s="336">
        <f>估驗單!F191</f>
        <v>998</v>
      </c>
      <c r="F202" s="390">
        <f t="shared" si="14"/>
        <v>0</v>
      </c>
      <c r="G202" s="336">
        <v>1749.16</v>
      </c>
      <c r="H202" s="336"/>
      <c r="I202" s="336">
        <f t="shared" si="17"/>
        <v>1745661.68</v>
      </c>
      <c r="J202" s="336">
        <f t="shared" si="18"/>
        <v>1745661.68</v>
      </c>
      <c r="K202" s="546">
        <f t="shared" si="13"/>
        <v>0</v>
      </c>
      <c r="L202" s="502"/>
      <c r="M202" s="231" t="s">
        <v>242</v>
      </c>
      <c r="N202" s="11" t="s">
        <v>243</v>
      </c>
      <c r="O202" s="341"/>
      <c r="P202" s="339"/>
    </row>
    <row r="203" spans="1:19" ht="33">
      <c r="A203" s="333" t="s">
        <v>2157</v>
      </c>
      <c r="B203" s="334" t="s">
        <v>595</v>
      </c>
      <c r="C203" s="335" t="s">
        <v>6</v>
      </c>
      <c r="D203" s="336">
        <v>3740</v>
      </c>
      <c r="E203" s="336">
        <f>估驗單!F192</f>
        <v>3597.33</v>
      </c>
      <c r="F203" s="453">
        <f t="shared" si="14"/>
        <v>-142.67000000000007</v>
      </c>
      <c r="G203" s="336">
        <v>199.99</v>
      </c>
      <c r="H203" s="336"/>
      <c r="I203" s="336">
        <f t="shared" si="17"/>
        <v>747962.6</v>
      </c>
      <c r="J203" s="336">
        <f t="shared" si="18"/>
        <v>719430.03</v>
      </c>
      <c r="K203" s="546"/>
      <c r="L203" s="453">
        <f>J203-I203</f>
        <v>-28532.569999999949</v>
      </c>
      <c r="M203" s="231" t="s">
        <v>2747</v>
      </c>
      <c r="N203" s="11" t="s">
        <v>243</v>
      </c>
      <c r="O203" s="341"/>
      <c r="P203" s="339"/>
    </row>
    <row r="204" spans="1:19" s="325" customFormat="1" ht="99.75" hidden="1">
      <c r="A204" s="503" t="s">
        <v>2158</v>
      </c>
      <c r="B204" s="504" t="s">
        <v>534</v>
      </c>
      <c r="C204" s="505" t="s">
        <v>13</v>
      </c>
      <c r="D204" s="506">
        <v>4240</v>
      </c>
      <c r="E204" s="506">
        <f>估驗單!F193</f>
        <v>4949.6072000000013</v>
      </c>
      <c r="F204" s="507">
        <f t="shared" si="14"/>
        <v>709.60720000000128</v>
      </c>
      <c r="G204" s="506">
        <v>982.93</v>
      </c>
      <c r="H204" s="506"/>
      <c r="I204" s="506">
        <f t="shared" si="17"/>
        <v>4167623.2</v>
      </c>
      <c r="J204" s="506">
        <f t="shared" si="18"/>
        <v>4865117.41</v>
      </c>
      <c r="K204" s="547">
        <f t="shared" si="13"/>
        <v>697494.21</v>
      </c>
      <c r="L204" s="510"/>
      <c r="M204" s="508" t="s">
        <v>2343</v>
      </c>
      <c r="N204" s="11" t="s">
        <v>243</v>
      </c>
      <c r="O204" s="341"/>
      <c r="P204" s="360"/>
    </row>
    <row r="205" spans="1:19" s="325" customFormat="1" ht="42.75" hidden="1">
      <c r="A205" s="503" t="s">
        <v>2159</v>
      </c>
      <c r="B205" s="504" t="s">
        <v>626</v>
      </c>
      <c r="C205" s="505" t="s">
        <v>13</v>
      </c>
      <c r="D205" s="506">
        <v>38</v>
      </c>
      <c r="E205" s="506">
        <f>估驗單!F194</f>
        <v>49.359999999999992</v>
      </c>
      <c r="F205" s="507">
        <f t="shared" si="14"/>
        <v>11.359999999999992</v>
      </c>
      <c r="G205" s="506">
        <v>698.28</v>
      </c>
      <c r="H205" s="506"/>
      <c r="I205" s="506">
        <f t="shared" si="17"/>
        <v>26534.639999999999</v>
      </c>
      <c r="J205" s="506">
        <f t="shared" si="18"/>
        <v>34467.1</v>
      </c>
      <c r="K205" s="547">
        <f t="shared" si="13"/>
        <v>7932.4599999999991</v>
      </c>
      <c r="L205" s="510"/>
      <c r="M205" s="508" t="s">
        <v>2385</v>
      </c>
      <c r="N205" s="11" t="s">
        <v>243</v>
      </c>
      <c r="O205" s="341"/>
      <c r="P205" s="339"/>
    </row>
    <row r="206" spans="1:19" s="325" customFormat="1" ht="71.25" hidden="1">
      <c r="A206" s="503" t="s">
        <v>2160</v>
      </c>
      <c r="B206" s="504" t="s">
        <v>536</v>
      </c>
      <c r="C206" s="505" t="s">
        <v>13</v>
      </c>
      <c r="D206" s="506">
        <v>783</v>
      </c>
      <c r="E206" s="506">
        <f>估驗單!F195</f>
        <v>1409.35</v>
      </c>
      <c r="F206" s="507">
        <f t="shared" si="14"/>
        <v>626.34999999999991</v>
      </c>
      <c r="G206" s="506">
        <v>804.75</v>
      </c>
      <c r="H206" s="506"/>
      <c r="I206" s="506">
        <f t="shared" si="17"/>
        <v>630119.25</v>
      </c>
      <c r="J206" s="506">
        <f t="shared" si="18"/>
        <v>1134174.4099999999</v>
      </c>
      <c r="K206" s="547">
        <f t="shared" si="13"/>
        <v>504055.15999999992</v>
      </c>
      <c r="L206" s="510"/>
      <c r="M206" s="508" t="s">
        <v>2344</v>
      </c>
      <c r="N206" s="11" t="s">
        <v>243</v>
      </c>
      <c r="O206" s="341"/>
      <c r="P206" s="339"/>
    </row>
    <row r="207" spans="1:19" s="325" customFormat="1" ht="71.25" hidden="1">
      <c r="A207" s="503" t="s">
        <v>2161</v>
      </c>
      <c r="B207" s="504" t="s">
        <v>193</v>
      </c>
      <c r="C207" s="505" t="s">
        <v>13</v>
      </c>
      <c r="D207" s="506">
        <v>300</v>
      </c>
      <c r="E207" s="506">
        <f>估驗單!F196</f>
        <v>761.34</v>
      </c>
      <c r="F207" s="507">
        <f t="shared" si="14"/>
        <v>461.34000000000003</v>
      </c>
      <c r="G207" s="506">
        <v>533.61</v>
      </c>
      <c r="H207" s="506"/>
      <c r="I207" s="506">
        <f t="shared" si="17"/>
        <v>160083</v>
      </c>
      <c r="J207" s="506">
        <f t="shared" si="18"/>
        <v>406258.64</v>
      </c>
      <c r="K207" s="547">
        <f t="shared" si="13"/>
        <v>246175.64</v>
      </c>
      <c r="L207" s="510"/>
      <c r="M207" s="508" t="s">
        <v>2335</v>
      </c>
      <c r="N207" s="11" t="s">
        <v>243</v>
      </c>
      <c r="O207" s="341"/>
      <c r="P207" s="360"/>
    </row>
    <row r="208" spans="1:19" s="325" customFormat="1" ht="42.75" hidden="1">
      <c r="A208" s="503" t="s">
        <v>2162</v>
      </c>
      <c r="B208" s="504" t="s">
        <v>192</v>
      </c>
      <c r="C208" s="505" t="s">
        <v>17</v>
      </c>
      <c r="D208" s="506">
        <v>137462</v>
      </c>
      <c r="E208" s="506">
        <f>估驗單!F197</f>
        <v>207085.17276800002</v>
      </c>
      <c r="F208" s="507">
        <f t="shared" si="14"/>
        <v>69623.172768000019</v>
      </c>
      <c r="G208" s="506">
        <v>36.4</v>
      </c>
      <c r="H208" s="506"/>
      <c r="I208" s="506">
        <f t="shared" si="17"/>
        <v>5003616.8</v>
      </c>
      <c r="J208" s="506">
        <f t="shared" si="18"/>
        <v>7537900.29</v>
      </c>
      <c r="K208" s="547">
        <f t="shared" si="13"/>
        <v>2534283.4900000002</v>
      </c>
      <c r="L208" s="510"/>
      <c r="M208" s="508" t="s">
        <v>2334</v>
      </c>
      <c r="N208" s="11" t="s">
        <v>243</v>
      </c>
      <c r="O208" s="341"/>
      <c r="P208" s="339"/>
    </row>
    <row r="209" spans="1:16" s="325" customFormat="1" ht="42.75" hidden="1">
      <c r="A209" s="503" t="s">
        <v>2163</v>
      </c>
      <c r="B209" s="504" t="s">
        <v>530</v>
      </c>
      <c r="C209" s="505" t="s">
        <v>17</v>
      </c>
      <c r="D209" s="506">
        <v>116638</v>
      </c>
      <c r="E209" s="506">
        <f>估驗單!F198</f>
        <v>168230.73</v>
      </c>
      <c r="F209" s="507">
        <f t="shared" si="14"/>
        <v>51592.73000000001</v>
      </c>
      <c r="G209" s="506">
        <v>38.71</v>
      </c>
      <c r="H209" s="506"/>
      <c r="I209" s="506">
        <f t="shared" si="17"/>
        <v>4515056.9800000004</v>
      </c>
      <c r="J209" s="506">
        <f t="shared" si="18"/>
        <v>6512211.5599999996</v>
      </c>
      <c r="K209" s="547">
        <f t="shared" ref="K209:K272" si="19">J209-I209</f>
        <v>1997154.5799999991</v>
      </c>
      <c r="L209" s="510"/>
      <c r="M209" s="508" t="s">
        <v>2334</v>
      </c>
      <c r="N209" s="11" t="s">
        <v>243</v>
      </c>
      <c r="O209" s="341"/>
      <c r="P209" s="339"/>
    </row>
    <row r="210" spans="1:16" s="325" customFormat="1" ht="33" hidden="1">
      <c r="A210" s="503" t="s">
        <v>2164</v>
      </c>
      <c r="B210" s="504" t="s">
        <v>628</v>
      </c>
      <c r="C210" s="505" t="s">
        <v>8</v>
      </c>
      <c r="D210" s="506">
        <v>112</v>
      </c>
      <c r="E210" s="506">
        <f>估驗單!F199</f>
        <v>112</v>
      </c>
      <c r="F210" s="519">
        <f t="shared" si="14"/>
        <v>0</v>
      </c>
      <c r="G210" s="506">
        <v>2865.8</v>
      </c>
      <c r="H210" s="506"/>
      <c r="I210" s="506">
        <f t="shared" si="17"/>
        <v>320969.59999999998</v>
      </c>
      <c r="J210" s="506">
        <f t="shared" si="18"/>
        <v>320969.59999999998</v>
      </c>
      <c r="K210" s="547"/>
      <c r="L210" s="519">
        <f>J210-I210</f>
        <v>0</v>
      </c>
      <c r="M210" s="520" t="s">
        <v>2496</v>
      </c>
      <c r="N210" s="11" t="s">
        <v>243</v>
      </c>
      <c r="O210" s="341" t="s">
        <v>2629</v>
      </c>
      <c r="P210" s="339"/>
    </row>
    <row r="211" spans="1:16" s="325" customFormat="1" ht="42.75" hidden="1">
      <c r="A211" s="333" t="s">
        <v>2165</v>
      </c>
      <c r="B211" s="334" t="s">
        <v>630</v>
      </c>
      <c r="C211" s="335" t="s">
        <v>0</v>
      </c>
      <c r="D211" s="336">
        <v>47</v>
      </c>
      <c r="E211" s="336">
        <f>估驗單!F200</f>
        <v>47</v>
      </c>
      <c r="F211" s="390">
        <f t="shared" si="14"/>
        <v>0</v>
      </c>
      <c r="G211" s="336">
        <v>1477.97</v>
      </c>
      <c r="H211" s="336"/>
      <c r="I211" s="336">
        <f t="shared" si="17"/>
        <v>69464.59</v>
      </c>
      <c r="J211" s="336">
        <f t="shared" si="18"/>
        <v>69464.59</v>
      </c>
      <c r="K211" s="546">
        <f t="shared" si="19"/>
        <v>0</v>
      </c>
      <c r="L211" s="502"/>
      <c r="M211" s="234" t="s">
        <v>2628</v>
      </c>
      <c r="N211" s="11" t="s">
        <v>243</v>
      </c>
      <c r="O211" s="341"/>
      <c r="P211" s="339"/>
    </row>
    <row r="212" spans="1:16" s="325" customFormat="1" ht="42.75" hidden="1">
      <c r="A212" s="333" t="s">
        <v>2166</v>
      </c>
      <c r="B212" s="334" t="s">
        <v>632</v>
      </c>
      <c r="C212" s="335" t="s">
        <v>8</v>
      </c>
      <c r="D212" s="336">
        <v>148</v>
      </c>
      <c r="E212" s="336">
        <f>估驗單!F201</f>
        <v>148</v>
      </c>
      <c r="F212" s="390">
        <f t="shared" si="14"/>
        <v>0</v>
      </c>
      <c r="G212" s="336">
        <v>151.71</v>
      </c>
      <c r="H212" s="336"/>
      <c r="I212" s="336">
        <f t="shared" si="17"/>
        <v>22453.08</v>
      </c>
      <c r="J212" s="336">
        <f t="shared" si="18"/>
        <v>22453.08</v>
      </c>
      <c r="K212" s="546">
        <f t="shared" si="19"/>
        <v>0</v>
      </c>
      <c r="L212" s="502"/>
      <c r="M212" s="231" t="s">
        <v>242</v>
      </c>
      <c r="N212" s="11" t="s">
        <v>243</v>
      </c>
      <c r="O212" s="341"/>
      <c r="P212" s="339"/>
    </row>
    <row r="213" spans="1:16" s="325" customFormat="1" ht="33" hidden="1">
      <c r="A213" s="333" t="s">
        <v>2167</v>
      </c>
      <c r="B213" s="334" t="s">
        <v>634</v>
      </c>
      <c r="C213" s="335" t="s">
        <v>15</v>
      </c>
      <c r="D213" s="336">
        <v>6</v>
      </c>
      <c r="E213" s="336">
        <f>估驗單!F202</f>
        <v>6</v>
      </c>
      <c r="F213" s="390">
        <f t="shared" si="14"/>
        <v>0</v>
      </c>
      <c r="G213" s="336">
        <v>15778.75</v>
      </c>
      <c r="H213" s="336"/>
      <c r="I213" s="336">
        <f t="shared" si="17"/>
        <v>94672.5</v>
      </c>
      <c r="J213" s="336">
        <f t="shared" si="18"/>
        <v>94672.5</v>
      </c>
      <c r="K213" s="546">
        <f t="shared" si="19"/>
        <v>0</v>
      </c>
      <c r="L213" s="502"/>
      <c r="M213" s="231" t="s">
        <v>242</v>
      </c>
      <c r="N213" s="11" t="s">
        <v>243</v>
      </c>
      <c r="O213" s="341"/>
      <c r="P213" s="339"/>
    </row>
    <row r="214" spans="1:16" s="325" customFormat="1" ht="33" hidden="1">
      <c r="A214" s="503" t="s">
        <v>2168</v>
      </c>
      <c r="B214" s="504" t="s">
        <v>357</v>
      </c>
      <c r="C214" s="505" t="s">
        <v>8</v>
      </c>
      <c r="D214" s="506">
        <v>746</v>
      </c>
      <c r="E214" s="506">
        <f>估驗單!F203</f>
        <v>746</v>
      </c>
      <c r="F214" s="519">
        <f t="shared" si="14"/>
        <v>0</v>
      </c>
      <c r="G214" s="506">
        <v>138.84</v>
      </c>
      <c r="H214" s="506"/>
      <c r="I214" s="506">
        <f t="shared" si="17"/>
        <v>103574.64</v>
      </c>
      <c r="J214" s="506">
        <f t="shared" si="18"/>
        <v>103574.64</v>
      </c>
      <c r="K214" s="547"/>
      <c r="L214" s="519">
        <f>J214-I214</f>
        <v>0</v>
      </c>
      <c r="M214" s="520" t="s">
        <v>2497</v>
      </c>
      <c r="N214" s="11" t="s">
        <v>243</v>
      </c>
      <c r="O214" s="341"/>
      <c r="P214" s="339"/>
    </row>
    <row r="215" spans="1:16" s="325" customFormat="1" ht="33" hidden="1">
      <c r="A215" s="503" t="s">
        <v>2169</v>
      </c>
      <c r="B215" s="504" t="s">
        <v>611</v>
      </c>
      <c r="C215" s="505" t="s">
        <v>8</v>
      </c>
      <c r="D215" s="506">
        <v>1740</v>
      </c>
      <c r="E215" s="506">
        <f>估驗單!F204</f>
        <v>1740</v>
      </c>
      <c r="F215" s="519">
        <f t="shared" si="14"/>
        <v>0</v>
      </c>
      <c r="G215" s="506">
        <v>326.27999999999997</v>
      </c>
      <c r="H215" s="506"/>
      <c r="I215" s="506">
        <f t="shared" si="17"/>
        <v>567727.19999999995</v>
      </c>
      <c r="J215" s="506">
        <f t="shared" si="18"/>
        <v>567727.19999999995</v>
      </c>
      <c r="K215" s="547"/>
      <c r="L215" s="519">
        <f>J215-I215</f>
        <v>0</v>
      </c>
      <c r="M215" s="520" t="s">
        <v>2497</v>
      </c>
      <c r="N215" s="11" t="s">
        <v>243</v>
      </c>
      <c r="O215" s="341"/>
      <c r="P215" s="339"/>
    </row>
    <row r="216" spans="1:16" s="325" customFormat="1" ht="42.75" hidden="1">
      <c r="A216" s="333" t="s">
        <v>2170</v>
      </c>
      <c r="B216" s="334" t="s">
        <v>222</v>
      </c>
      <c r="C216" s="335" t="s">
        <v>13</v>
      </c>
      <c r="D216" s="336">
        <v>783</v>
      </c>
      <c r="E216" s="336">
        <f>估驗單!F205</f>
        <v>783</v>
      </c>
      <c r="F216" s="390">
        <f t="shared" si="14"/>
        <v>0</v>
      </c>
      <c r="G216" s="336">
        <v>692.12</v>
      </c>
      <c r="H216" s="336"/>
      <c r="I216" s="336">
        <f t="shared" si="17"/>
        <v>541929.96</v>
      </c>
      <c r="J216" s="336">
        <f t="shared" si="18"/>
        <v>541929.96</v>
      </c>
      <c r="K216" s="546">
        <f t="shared" si="19"/>
        <v>0</v>
      </c>
      <c r="L216" s="502"/>
      <c r="M216" s="231" t="s">
        <v>2345</v>
      </c>
      <c r="N216" s="11" t="s">
        <v>243</v>
      </c>
      <c r="O216" s="341"/>
      <c r="P216" s="339"/>
    </row>
    <row r="217" spans="1:16" s="325" customFormat="1" ht="33" hidden="1">
      <c r="A217" s="333" t="s">
        <v>2171</v>
      </c>
      <c r="B217" s="334" t="s">
        <v>640</v>
      </c>
      <c r="C217" s="335" t="s">
        <v>15</v>
      </c>
      <c r="D217" s="336">
        <v>1</v>
      </c>
      <c r="E217" s="336">
        <f>估驗單!F206</f>
        <v>1</v>
      </c>
      <c r="F217" s="390">
        <f t="shared" si="14"/>
        <v>0</v>
      </c>
      <c r="G217" s="336">
        <v>214228.32</v>
      </c>
      <c r="H217" s="336"/>
      <c r="I217" s="336">
        <f t="shared" si="17"/>
        <v>214228.32</v>
      </c>
      <c r="J217" s="336">
        <f t="shared" si="18"/>
        <v>214228.32</v>
      </c>
      <c r="K217" s="546">
        <f t="shared" si="19"/>
        <v>0</v>
      </c>
      <c r="L217" s="502"/>
      <c r="M217" s="231" t="s">
        <v>242</v>
      </c>
      <c r="N217" s="11" t="s">
        <v>243</v>
      </c>
      <c r="O217" s="341"/>
      <c r="P217" s="339"/>
    </row>
    <row r="218" spans="1:16" s="325" customFormat="1" ht="33" hidden="1">
      <c r="A218" s="333" t="s">
        <v>2172</v>
      </c>
      <c r="B218" s="334" t="s">
        <v>643</v>
      </c>
      <c r="C218" s="335" t="s">
        <v>5</v>
      </c>
      <c r="D218" s="336">
        <v>44</v>
      </c>
      <c r="E218" s="336">
        <f>估驗單!F207</f>
        <v>44</v>
      </c>
      <c r="F218" s="390">
        <f t="shared" si="14"/>
        <v>0</v>
      </c>
      <c r="G218" s="336">
        <v>422.28</v>
      </c>
      <c r="H218" s="336"/>
      <c r="I218" s="336">
        <f t="shared" si="17"/>
        <v>18580.32</v>
      </c>
      <c r="J218" s="336">
        <f t="shared" si="18"/>
        <v>18580.32</v>
      </c>
      <c r="K218" s="546">
        <f t="shared" si="19"/>
        <v>0</v>
      </c>
      <c r="L218" s="502"/>
      <c r="M218" s="231" t="s">
        <v>242</v>
      </c>
      <c r="N218" s="11" t="s">
        <v>243</v>
      </c>
      <c r="O218" s="341"/>
      <c r="P218" s="339"/>
    </row>
    <row r="219" spans="1:16" s="325" customFormat="1" ht="33" hidden="1">
      <c r="A219" s="406" t="s">
        <v>2245</v>
      </c>
      <c r="B219" s="407" t="s">
        <v>645</v>
      </c>
      <c r="C219" s="408" t="s">
        <v>4</v>
      </c>
      <c r="D219" s="409"/>
      <c r="E219" s="409"/>
      <c r="F219" s="410"/>
      <c r="G219" s="409">
        <f>I219</f>
        <v>13631722.120000003</v>
      </c>
      <c r="H219" s="409"/>
      <c r="I219" s="409">
        <f>SUM(I220:I235)</f>
        <v>13631722.120000003</v>
      </c>
      <c r="J219" s="409">
        <f>SUM(J220:J235)</f>
        <v>13631722.120000003</v>
      </c>
      <c r="K219" s="542">
        <f>SUM(K220:K235)</f>
        <v>0</v>
      </c>
      <c r="L219" s="452">
        <f>SUM(L220:L235)</f>
        <v>0</v>
      </c>
      <c r="M219" s="288" t="s">
        <v>242</v>
      </c>
      <c r="N219" s="11" t="s">
        <v>243</v>
      </c>
      <c r="O219" s="338"/>
      <c r="P219" s="339"/>
    </row>
    <row r="220" spans="1:16" s="325" customFormat="1" ht="33" hidden="1">
      <c r="A220" s="333" t="s">
        <v>2154</v>
      </c>
      <c r="B220" s="334" t="s">
        <v>646</v>
      </c>
      <c r="C220" s="335" t="s">
        <v>6</v>
      </c>
      <c r="D220" s="336">
        <v>230</v>
      </c>
      <c r="E220" s="336">
        <f>估驗單!F209</f>
        <v>230</v>
      </c>
      <c r="F220" s="390">
        <f t="shared" si="14"/>
        <v>0</v>
      </c>
      <c r="G220" s="336">
        <v>7517.15</v>
      </c>
      <c r="H220" s="336"/>
      <c r="I220" s="336">
        <f t="shared" ref="I220:I235" si="20">ROUND(D220*G220,2)</f>
        <v>1728944.5</v>
      </c>
      <c r="J220" s="336">
        <f t="shared" ref="J220:J235" si="21">ROUND(E220*G220,2)</f>
        <v>1728944.5</v>
      </c>
      <c r="K220" s="546">
        <f t="shared" si="19"/>
        <v>0</v>
      </c>
      <c r="L220" s="502"/>
      <c r="M220" s="231" t="s">
        <v>242</v>
      </c>
      <c r="N220" s="11" t="s">
        <v>243</v>
      </c>
      <c r="O220" s="341"/>
      <c r="P220" s="339"/>
    </row>
    <row r="221" spans="1:16" s="325" customFormat="1" ht="33" hidden="1">
      <c r="A221" s="333" t="s">
        <v>2155</v>
      </c>
      <c r="B221" s="334" t="s">
        <v>648</v>
      </c>
      <c r="C221" s="335" t="s">
        <v>6</v>
      </c>
      <c r="D221" s="336">
        <v>689</v>
      </c>
      <c r="E221" s="336">
        <f>估驗單!F210</f>
        <v>689</v>
      </c>
      <c r="F221" s="390">
        <f t="shared" si="14"/>
        <v>0</v>
      </c>
      <c r="G221" s="336">
        <v>7496.55</v>
      </c>
      <c r="H221" s="336"/>
      <c r="I221" s="336">
        <f t="shared" si="20"/>
        <v>5165122.95</v>
      </c>
      <c r="J221" s="336">
        <f t="shared" si="21"/>
        <v>5165122.95</v>
      </c>
      <c r="K221" s="546">
        <f t="shared" si="19"/>
        <v>0</v>
      </c>
      <c r="L221" s="502"/>
      <c r="M221" s="231" t="s">
        <v>242</v>
      </c>
      <c r="N221" s="11" t="s">
        <v>243</v>
      </c>
      <c r="O221" s="341"/>
      <c r="P221" s="339"/>
    </row>
    <row r="222" spans="1:16" s="325" customFormat="1" ht="33" hidden="1">
      <c r="A222" s="503" t="s">
        <v>2156</v>
      </c>
      <c r="B222" s="504" t="s">
        <v>650</v>
      </c>
      <c r="C222" s="505" t="s">
        <v>13</v>
      </c>
      <c r="D222" s="506">
        <v>4589</v>
      </c>
      <c r="E222" s="506">
        <f>估驗單!F211</f>
        <v>4589</v>
      </c>
      <c r="F222" s="507">
        <f t="shared" si="14"/>
        <v>0</v>
      </c>
      <c r="G222" s="506">
        <v>11.6</v>
      </c>
      <c r="H222" s="506"/>
      <c r="I222" s="506">
        <f t="shared" si="20"/>
        <v>53232.4</v>
      </c>
      <c r="J222" s="506">
        <f t="shared" si="21"/>
        <v>53232.4</v>
      </c>
      <c r="K222" s="547">
        <f t="shared" si="19"/>
        <v>0</v>
      </c>
      <c r="L222" s="510"/>
      <c r="M222" s="508" t="s">
        <v>242</v>
      </c>
      <c r="N222" s="11" t="s">
        <v>243</v>
      </c>
      <c r="O222" s="341" t="s">
        <v>2624</v>
      </c>
      <c r="P222" s="339"/>
    </row>
    <row r="223" spans="1:16" s="325" customFormat="1" ht="33" hidden="1">
      <c r="A223" s="333" t="s">
        <v>2157</v>
      </c>
      <c r="B223" s="334" t="s">
        <v>652</v>
      </c>
      <c r="C223" s="335" t="s">
        <v>13</v>
      </c>
      <c r="D223" s="336">
        <v>4589</v>
      </c>
      <c r="E223" s="336">
        <f>估驗單!F212</f>
        <v>4589</v>
      </c>
      <c r="F223" s="390">
        <f t="shared" si="14"/>
        <v>0</v>
      </c>
      <c r="G223" s="336">
        <v>42.46</v>
      </c>
      <c r="H223" s="336"/>
      <c r="I223" s="336">
        <f t="shared" si="20"/>
        <v>194848.94</v>
      </c>
      <c r="J223" s="336">
        <f t="shared" si="21"/>
        <v>194848.94</v>
      </c>
      <c r="K223" s="546">
        <f t="shared" si="19"/>
        <v>0</v>
      </c>
      <c r="L223" s="502"/>
      <c r="M223" s="231" t="s">
        <v>242</v>
      </c>
      <c r="N223" s="11" t="s">
        <v>243</v>
      </c>
      <c r="O223" s="341"/>
      <c r="P223" s="339"/>
    </row>
    <row r="224" spans="1:16" s="325" customFormat="1" ht="33" hidden="1">
      <c r="A224" s="333" t="s">
        <v>2158</v>
      </c>
      <c r="B224" s="334" t="s">
        <v>204</v>
      </c>
      <c r="C224" s="335" t="s">
        <v>13</v>
      </c>
      <c r="D224" s="336">
        <v>13765</v>
      </c>
      <c r="E224" s="336">
        <f>估驗單!F213</f>
        <v>13765</v>
      </c>
      <c r="F224" s="390">
        <f t="shared" si="14"/>
        <v>0</v>
      </c>
      <c r="G224" s="336">
        <v>15.96</v>
      </c>
      <c r="H224" s="336"/>
      <c r="I224" s="336">
        <f t="shared" si="20"/>
        <v>219689.4</v>
      </c>
      <c r="J224" s="336">
        <f t="shared" si="21"/>
        <v>219689.4</v>
      </c>
      <c r="K224" s="546">
        <f t="shared" si="19"/>
        <v>0</v>
      </c>
      <c r="L224" s="502"/>
      <c r="M224" s="231" t="s">
        <v>242</v>
      </c>
      <c r="N224" s="11" t="s">
        <v>243</v>
      </c>
      <c r="O224" s="341"/>
      <c r="P224" s="339"/>
    </row>
    <row r="225" spans="1:19" s="325" customFormat="1" ht="33">
      <c r="A225" s="631" t="s">
        <v>2159</v>
      </c>
      <c r="B225" s="632" t="s">
        <v>315</v>
      </c>
      <c r="C225" s="633" t="s">
        <v>6</v>
      </c>
      <c r="D225" s="634">
        <v>49</v>
      </c>
      <c r="E225" s="634">
        <f>估驗單!F214</f>
        <v>49</v>
      </c>
      <c r="F225" s="635">
        <f t="shared" ref="F225:F288" si="22">E225-D225</f>
        <v>0</v>
      </c>
      <c r="G225" s="634">
        <v>3114.97</v>
      </c>
      <c r="H225" s="634"/>
      <c r="I225" s="634">
        <f t="shared" si="20"/>
        <v>152633.53</v>
      </c>
      <c r="J225" s="634">
        <f t="shared" si="21"/>
        <v>152633.53</v>
      </c>
      <c r="K225" s="636">
        <f t="shared" si="19"/>
        <v>0</v>
      </c>
      <c r="L225" s="639"/>
      <c r="M225" s="638" t="s">
        <v>2738</v>
      </c>
      <c r="N225" s="11" t="s">
        <v>243</v>
      </c>
      <c r="O225" s="341"/>
      <c r="P225" s="339"/>
    </row>
    <row r="226" spans="1:19" s="325" customFormat="1" ht="33">
      <c r="A226" s="641" t="s">
        <v>2160</v>
      </c>
      <c r="B226" s="642" t="s">
        <v>24</v>
      </c>
      <c r="C226" s="643" t="s">
        <v>6</v>
      </c>
      <c r="D226" s="644">
        <v>328</v>
      </c>
      <c r="E226" s="644">
        <f>估驗單!F215</f>
        <v>328</v>
      </c>
      <c r="F226" s="645">
        <f t="shared" si="22"/>
        <v>0</v>
      </c>
      <c r="G226" s="644">
        <v>3320.96</v>
      </c>
      <c r="H226" s="644"/>
      <c r="I226" s="644">
        <f t="shared" si="20"/>
        <v>1089274.8799999999</v>
      </c>
      <c r="J226" s="644">
        <f t="shared" si="21"/>
        <v>1089274.8799999999</v>
      </c>
      <c r="K226" s="646">
        <f t="shared" si="19"/>
        <v>0</v>
      </c>
      <c r="L226" s="647"/>
      <c r="M226" s="648" t="s">
        <v>2738</v>
      </c>
      <c r="N226" s="11" t="s">
        <v>243</v>
      </c>
      <c r="O226" s="341"/>
      <c r="P226" s="339"/>
    </row>
    <row r="227" spans="1:19" s="325" customFormat="1" ht="33">
      <c r="A227" s="333" t="s">
        <v>2161</v>
      </c>
      <c r="B227" s="334" t="s">
        <v>2732</v>
      </c>
      <c r="C227" s="335" t="s">
        <v>6</v>
      </c>
      <c r="D227" s="336">
        <v>377</v>
      </c>
      <c r="E227" s="336">
        <f>估驗單!F216</f>
        <v>377</v>
      </c>
      <c r="F227" s="390">
        <f t="shared" si="22"/>
        <v>0</v>
      </c>
      <c r="G227" s="336">
        <v>199.99</v>
      </c>
      <c r="H227" s="336"/>
      <c r="I227" s="336">
        <f t="shared" si="20"/>
        <v>75396.23</v>
      </c>
      <c r="J227" s="336">
        <f t="shared" si="21"/>
        <v>75396.23</v>
      </c>
      <c r="K227" s="546">
        <f t="shared" si="19"/>
        <v>0</v>
      </c>
      <c r="L227" s="502"/>
      <c r="M227" s="231" t="s">
        <v>2738</v>
      </c>
      <c r="N227" s="11" t="s">
        <v>243</v>
      </c>
      <c r="O227" s="341"/>
      <c r="P227" s="339"/>
    </row>
    <row r="228" spans="1:19" s="325" customFormat="1" ht="42.75" hidden="1">
      <c r="A228" s="503" t="s">
        <v>2162</v>
      </c>
      <c r="B228" s="504" t="s">
        <v>626</v>
      </c>
      <c r="C228" s="505" t="s">
        <v>13</v>
      </c>
      <c r="D228" s="506">
        <v>867</v>
      </c>
      <c r="E228" s="506">
        <f>估驗單!F217</f>
        <v>867</v>
      </c>
      <c r="F228" s="507">
        <f t="shared" si="22"/>
        <v>0</v>
      </c>
      <c r="G228" s="506">
        <v>698.28</v>
      </c>
      <c r="H228" s="506"/>
      <c r="I228" s="506">
        <f t="shared" si="20"/>
        <v>605408.76</v>
      </c>
      <c r="J228" s="506">
        <f t="shared" si="21"/>
        <v>605408.76</v>
      </c>
      <c r="K228" s="547">
        <f t="shared" si="19"/>
        <v>0</v>
      </c>
      <c r="L228" s="510"/>
      <c r="M228" s="508" t="s">
        <v>2385</v>
      </c>
      <c r="N228" s="11" t="s">
        <v>243</v>
      </c>
      <c r="O228" s="341"/>
      <c r="P228" s="360"/>
    </row>
    <row r="229" spans="1:19" s="325" customFormat="1" ht="71.25" hidden="1">
      <c r="A229" s="333" t="s">
        <v>2163</v>
      </c>
      <c r="B229" s="334" t="s">
        <v>193</v>
      </c>
      <c r="C229" s="335" t="s">
        <v>13</v>
      </c>
      <c r="D229" s="336">
        <v>1257</v>
      </c>
      <c r="E229" s="336">
        <f>估驗單!F218</f>
        <v>1257</v>
      </c>
      <c r="F229" s="390">
        <f t="shared" si="22"/>
        <v>0</v>
      </c>
      <c r="G229" s="336">
        <v>533.61</v>
      </c>
      <c r="H229" s="336"/>
      <c r="I229" s="336">
        <f t="shared" si="20"/>
        <v>670747.77</v>
      </c>
      <c r="J229" s="336">
        <f t="shared" si="21"/>
        <v>670747.77</v>
      </c>
      <c r="K229" s="546">
        <f t="shared" si="19"/>
        <v>0</v>
      </c>
      <c r="L229" s="453"/>
      <c r="M229" s="231" t="s">
        <v>2335</v>
      </c>
      <c r="N229" s="11" t="s">
        <v>243</v>
      </c>
      <c r="O229" s="341"/>
      <c r="P229" s="360"/>
    </row>
    <row r="230" spans="1:19" s="325" customFormat="1" ht="42.75" hidden="1">
      <c r="A230" s="503" t="s">
        <v>2164</v>
      </c>
      <c r="B230" s="504" t="s">
        <v>192</v>
      </c>
      <c r="C230" s="505" t="s">
        <v>17</v>
      </c>
      <c r="D230" s="506">
        <v>12810</v>
      </c>
      <c r="E230" s="506">
        <f>估驗單!F219</f>
        <v>12810</v>
      </c>
      <c r="F230" s="507">
        <f t="shared" si="22"/>
        <v>0</v>
      </c>
      <c r="G230" s="506">
        <v>36.4</v>
      </c>
      <c r="H230" s="506"/>
      <c r="I230" s="506">
        <f t="shared" si="20"/>
        <v>466284</v>
      </c>
      <c r="J230" s="506">
        <f t="shared" si="21"/>
        <v>466284</v>
      </c>
      <c r="K230" s="546">
        <f t="shared" si="19"/>
        <v>0</v>
      </c>
      <c r="L230" s="510"/>
      <c r="M230" s="508" t="s">
        <v>2334</v>
      </c>
      <c r="N230" s="11" t="s">
        <v>243</v>
      </c>
      <c r="O230" s="474" t="s">
        <v>2631</v>
      </c>
      <c r="P230" s="339"/>
    </row>
    <row r="231" spans="1:19" s="325" customFormat="1" ht="42.75" hidden="1">
      <c r="A231" s="333" t="s">
        <v>2165</v>
      </c>
      <c r="B231" s="334" t="s">
        <v>655</v>
      </c>
      <c r="C231" s="335" t="s">
        <v>15</v>
      </c>
      <c r="D231" s="336">
        <v>158</v>
      </c>
      <c r="E231" s="336">
        <f>估驗單!F220</f>
        <v>158</v>
      </c>
      <c r="F231" s="390">
        <f t="shared" si="22"/>
        <v>0</v>
      </c>
      <c r="G231" s="336">
        <v>3615.1</v>
      </c>
      <c r="H231" s="336"/>
      <c r="I231" s="336">
        <f t="shared" si="20"/>
        <v>571185.80000000005</v>
      </c>
      <c r="J231" s="336">
        <f t="shared" si="21"/>
        <v>571185.80000000005</v>
      </c>
      <c r="K231" s="546">
        <f t="shared" si="19"/>
        <v>0</v>
      </c>
      <c r="L231" s="502"/>
      <c r="M231" s="231" t="s">
        <v>2337</v>
      </c>
      <c r="N231" s="11" t="s">
        <v>243</v>
      </c>
      <c r="O231" s="341"/>
      <c r="P231" s="339"/>
    </row>
    <row r="232" spans="1:19" s="325" customFormat="1" ht="42.75" hidden="1">
      <c r="A232" s="333" t="s">
        <v>2166</v>
      </c>
      <c r="B232" s="334" t="s">
        <v>657</v>
      </c>
      <c r="C232" s="335" t="s">
        <v>17</v>
      </c>
      <c r="D232" s="336">
        <v>3713</v>
      </c>
      <c r="E232" s="336">
        <f>估驗單!F221</f>
        <v>3713</v>
      </c>
      <c r="F232" s="390">
        <f t="shared" si="22"/>
        <v>0</v>
      </c>
      <c r="G232" s="336">
        <v>107.44</v>
      </c>
      <c r="H232" s="336"/>
      <c r="I232" s="336">
        <f t="shared" si="20"/>
        <v>398924.72</v>
      </c>
      <c r="J232" s="336">
        <f t="shared" si="21"/>
        <v>398924.72</v>
      </c>
      <c r="K232" s="546">
        <f t="shared" si="19"/>
        <v>0</v>
      </c>
      <c r="L232" s="502"/>
      <c r="M232" s="231" t="s">
        <v>2337</v>
      </c>
      <c r="N232" s="11" t="s">
        <v>243</v>
      </c>
      <c r="O232" s="341"/>
      <c r="P232" s="339"/>
    </row>
    <row r="233" spans="1:19" s="325" customFormat="1" ht="33" hidden="1">
      <c r="A233" s="333" t="s">
        <v>2167</v>
      </c>
      <c r="B233" s="334" t="s">
        <v>357</v>
      </c>
      <c r="C233" s="335" t="s">
        <v>8</v>
      </c>
      <c r="D233" s="336">
        <v>155</v>
      </c>
      <c r="E233" s="336">
        <f>估驗單!F222</f>
        <v>155</v>
      </c>
      <c r="F233" s="390">
        <f t="shared" si="22"/>
        <v>0</v>
      </c>
      <c r="G233" s="336">
        <v>138.84</v>
      </c>
      <c r="H233" s="336"/>
      <c r="I233" s="336">
        <f t="shared" si="20"/>
        <v>21520.2</v>
      </c>
      <c r="J233" s="336">
        <f t="shared" si="21"/>
        <v>21520.2</v>
      </c>
      <c r="K233" s="546">
        <f t="shared" si="19"/>
        <v>0</v>
      </c>
      <c r="L233" s="502"/>
      <c r="M233" s="231" t="s">
        <v>242</v>
      </c>
      <c r="N233" s="11" t="s">
        <v>243</v>
      </c>
      <c r="O233" s="341"/>
      <c r="P233" s="339"/>
    </row>
    <row r="234" spans="1:19" s="356" customFormat="1" ht="31.5" hidden="1">
      <c r="A234" s="343">
        <v>15</v>
      </c>
      <c r="B234" s="344" t="s">
        <v>1497</v>
      </c>
      <c r="C234" s="345" t="s">
        <v>223</v>
      </c>
      <c r="D234" s="340">
        <v>1376.7</v>
      </c>
      <c r="E234" s="336">
        <f>估驗單!F223</f>
        <v>1376.7</v>
      </c>
      <c r="F234" s="390">
        <f t="shared" si="22"/>
        <v>0</v>
      </c>
      <c r="G234" s="340">
        <v>1288.28</v>
      </c>
      <c r="H234" s="340"/>
      <c r="I234" s="336">
        <f t="shared" si="20"/>
        <v>1773575.08</v>
      </c>
      <c r="J234" s="336">
        <f t="shared" si="21"/>
        <v>1773575.08</v>
      </c>
      <c r="K234" s="546">
        <f t="shared" si="19"/>
        <v>0</v>
      </c>
      <c r="L234" s="502"/>
      <c r="M234" s="346" t="s">
        <v>2387</v>
      </c>
      <c r="N234" s="347"/>
      <c r="O234" s="355" t="s">
        <v>2388</v>
      </c>
      <c r="P234" s="349" t="s">
        <v>2389</v>
      </c>
      <c r="Q234" s="325" t="s">
        <v>2390</v>
      </c>
    </row>
    <row r="235" spans="1:19" s="356" customFormat="1" ht="168.75" hidden="1">
      <c r="A235" s="343">
        <v>16</v>
      </c>
      <c r="B235" s="344" t="s">
        <v>2391</v>
      </c>
      <c r="C235" s="345" t="s">
        <v>2386</v>
      </c>
      <c r="D235" s="419">
        <v>512.1</v>
      </c>
      <c r="E235" s="336">
        <f>估驗單!F224</f>
        <v>512.1</v>
      </c>
      <c r="F235" s="390">
        <f t="shared" si="22"/>
        <v>0</v>
      </c>
      <c r="G235" s="340">
        <v>868.84</v>
      </c>
      <c r="H235" s="340"/>
      <c r="I235" s="336">
        <f t="shared" si="20"/>
        <v>444932.96</v>
      </c>
      <c r="J235" s="336">
        <f t="shared" si="21"/>
        <v>444932.96</v>
      </c>
      <c r="K235" s="546">
        <f t="shared" si="19"/>
        <v>0</v>
      </c>
      <c r="L235" s="453"/>
      <c r="M235" s="346" t="s">
        <v>2392</v>
      </c>
      <c r="N235" s="347"/>
      <c r="O235" s="355" t="s">
        <v>2393</v>
      </c>
      <c r="P235" s="360" t="s">
        <v>2394</v>
      </c>
      <c r="Q235" s="362" t="s">
        <v>2390</v>
      </c>
      <c r="S235" s="371" t="s">
        <v>2395</v>
      </c>
    </row>
    <row r="236" spans="1:19" s="325" customFormat="1" ht="33" hidden="1">
      <c r="A236" s="406" t="s">
        <v>2246</v>
      </c>
      <c r="B236" s="407" t="s">
        <v>660</v>
      </c>
      <c r="C236" s="408" t="s">
        <v>4</v>
      </c>
      <c r="D236" s="409"/>
      <c r="E236" s="409"/>
      <c r="F236" s="410">
        <f t="shared" si="22"/>
        <v>0</v>
      </c>
      <c r="G236" s="409">
        <v>901865.78</v>
      </c>
      <c r="H236" s="409"/>
      <c r="I236" s="411">
        <f>SUM(I237:I313)</f>
        <v>5797339.8100000005</v>
      </c>
      <c r="J236" s="411">
        <f>SUM(J237:J313)</f>
        <v>5864027.4800000004</v>
      </c>
      <c r="K236" s="541">
        <f>SUM(K237:K313)</f>
        <v>66687.67</v>
      </c>
      <c r="L236" s="452">
        <f>SUM(L237:L313)</f>
        <v>0</v>
      </c>
      <c r="M236" s="288" t="s">
        <v>242</v>
      </c>
      <c r="N236" s="11" t="s">
        <v>243</v>
      </c>
      <c r="O236" s="338"/>
      <c r="P236" s="339"/>
      <c r="R236" s="325">
        <f>(26.4+21.4+6.8+29.6+4.8+58.5)+(52.7+6.8+48.3+5+21.2+10.7+23.9+49.8+2.3+1.4)+(43.6+11.2+9.1+20.6+77.7+67.4+13.8+49.3+17.5+24.2+1.8)+(6.5+64.1+10.9+43+11.1+9.4+10+42+1.2+20.1)</f>
        <v>924.09999999999991</v>
      </c>
      <c r="S236" s="325">
        <f>(26.4+21.4+6.8+29.6+4.8+58.5)+(52.7+6.8+48.3+5+21.2+10.7+23.9+49.8+2.3+1.4)+(43.6+11.2+9.1+20.6+77.7+67.4+13.8+49.3+17.5+24.2+1.8)+(10.9+43+11.1+9.4+10+42+1.2+20.1)</f>
        <v>853.5</v>
      </c>
    </row>
    <row r="237" spans="1:19" s="325" customFormat="1" ht="33" hidden="1">
      <c r="A237" s="333" t="s">
        <v>2154</v>
      </c>
      <c r="B237" s="334" t="s">
        <v>662</v>
      </c>
      <c r="C237" s="335" t="s">
        <v>223</v>
      </c>
      <c r="D237" s="336">
        <v>1</v>
      </c>
      <c r="E237" s="336">
        <f>估驗單!F226</f>
        <v>1</v>
      </c>
      <c r="F237" s="390">
        <f t="shared" si="22"/>
        <v>0</v>
      </c>
      <c r="G237" s="336">
        <v>704.48</v>
      </c>
      <c r="H237" s="336"/>
      <c r="I237" s="336">
        <f t="shared" ref="I237:I300" si="23">ROUND(D237*G237,2)</f>
        <v>704.48</v>
      </c>
      <c r="J237" s="336">
        <f t="shared" ref="J237:J300" si="24">ROUND(E237*G237,2)</f>
        <v>704.48</v>
      </c>
      <c r="K237" s="546">
        <f t="shared" si="19"/>
        <v>0</v>
      </c>
      <c r="L237" s="502"/>
      <c r="M237" s="231" t="s">
        <v>2396</v>
      </c>
      <c r="N237" s="11" t="s">
        <v>243</v>
      </c>
      <c r="O237" s="341"/>
      <c r="P237" s="339"/>
    </row>
    <row r="238" spans="1:19" s="325" customFormat="1" ht="33" hidden="1">
      <c r="A238" s="333" t="s">
        <v>2155</v>
      </c>
      <c r="B238" s="334" t="s">
        <v>665</v>
      </c>
      <c r="C238" s="335" t="s">
        <v>5</v>
      </c>
      <c r="D238" s="336">
        <v>1</v>
      </c>
      <c r="E238" s="336">
        <f>估驗單!F227</f>
        <v>1</v>
      </c>
      <c r="F238" s="390">
        <f t="shared" si="22"/>
        <v>0</v>
      </c>
      <c r="G238" s="336">
        <v>399.98</v>
      </c>
      <c r="H238" s="336"/>
      <c r="I238" s="336">
        <f t="shared" si="23"/>
        <v>399.98</v>
      </c>
      <c r="J238" s="336">
        <f t="shared" si="24"/>
        <v>399.98</v>
      </c>
      <c r="K238" s="546">
        <f t="shared" si="19"/>
        <v>0</v>
      </c>
      <c r="L238" s="502"/>
      <c r="M238" s="231" t="s">
        <v>2397</v>
      </c>
      <c r="N238" s="11" t="s">
        <v>243</v>
      </c>
      <c r="O238" s="341"/>
      <c r="P238" s="339"/>
    </row>
    <row r="239" spans="1:19" s="325" customFormat="1" ht="33.75" hidden="1">
      <c r="A239" s="333" t="s">
        <v>2156</v>
      </c>
      <c r="B239" s="334" t="s">
        <v>668</v>
      </c>
      <c r="C239" s="335" t="s">
        <v>669</v>
      </c>
      <c r="D239" s="336">
        <v>14</v>
      </c>
      <c r="E239" s="336">
        <f>估驗單!F228</f>
        <v>15</v>
      </c>
      <c r="F239" s="390">
        <f t="shared" si="22"/>
        <v>1</v>
      </c>
      <c r="G239" s="336">
        <v>3569.75</v>
      </c>
      <c r="H239" s="336"/>
      <c r="I239" s="336">
        <f t="shared" si="23"/>
        <v>49976.5</v>
      </c>
      <c r="J239" s="336">
        <f t="shared" si="24"/>
        <v>53546.25</v>
      </c>
      <c r="K239" s="546">
        <f t="shared" si="19"/>
        <v>3569.75</v>
      </c>
      <c r="L239" s="502"/>
      <c r="M239" s="231" t="s">
        <v>2398</v>
      </c>
      <c r="N239" s="11" t="s">
        <v>243</v>
      </c>
      <c r="O239" s="341" t="s">
        <v>2399</v>
      </c>
      <c r="P239" s="339"/>
      <c r="Q239" s="325" t="s">
        <v>2400</v>
      </c>
    </row>
    <row r="240" spans="1:19" s="325" customFormat="1" ht="33.75" hidden="1">
      <c r="A240" s="333" t="s">
        <v>2157</v>
      </c>
      <c r="B240" s="334" t="s">
        <v>672</v>
      </c>
      <c r="C240" s="335" t="s">
        <v>669</v>
      </c>
      <c r="D240" s="336">
        <v>2</v>
      </c>
      <c r="E240" s="336">
        <f>估驗單!F229</f>
        <v>2</v>
      </c>
      <c r="F240" s="390">
        <f t="shared" si="22"/>
        <v>0</v>
      </c>
      <c r="G240" s="336">
        <v>4082.87</v>
      </c>
      <c r="H240" s="336"/>
      <c r="I240" s="336">
        <f t="shared" si="23"/>
        <v>8165.74</v>
      </c>
      <c r="J240" s="336">
        <f t="shared" si="24"/>
        <v>8165.74</v>
      </c>
      <c r="K240" s="546">
        <f t="shared" si="19"/>
        <v>0</v>
      </c>
      <c r="L240" s="502"/>
      <c r="M240" s="231" t="s">
        <v>2401</v>
      </c>
      <c r="N240" s="11" t="s">
        <v>243</v>
      </c>
      <c r="O240" s="341" t="s">
        <v>2399</v>
      </c>
      <c r="P240" s="339"/>
      <c r="Q240" s="325" t="s">
        <v>2400</v>
      </c>
    </row>
    <row r="241" spans="1:17" s="325" customFormat="1" ht="33.75" hidden="1">
      <c r="A241" s="333" t="s">
        <v>2158</v>
      </c>
      <c r="B241" s="334" t="s">
        <v>675</v>
      </c>
      <c r="C241" s="335" t="s">
        <v>669</v>
      </c>
      <c r="D241" s="336">
        <v>6</v>
      </c>
      <c r="E241" s="336">
        <f>估驗單!F230</f>
        <v>9</v>
      </c>
      <c r="F241" s="390">
        <f t="shared" si="22"/>
        <v>3</v>
      </c>
      <c r="G241" s="336">
        <v>7408.14</v>
      </c>
      <c r="H241" s="336"/>
      <c r="I241" s="336">
        <f t="shared" si="23"/>
        <v>44448.84</v>
      </c>
      <c r="J241" s="336">
        <f t="shared" si="24"/>
        <v>66673.259999999995</v>
      </c>
      <c r="K241" s="546">
        <f t="shared" si="19"/>
        <v>22224.42</v>
      </c>
      <c r="L241" s="502"/>
      <c r="M241" s="231" t="s">
        <v>2401</v>
      </c>
      <c r="N241" s="11" t="s">
        <v>243</v>
      </c>
      <c r="O241" s="341" t="s">
        <v>2399</v>
      </c>
      <c r="P241" s="339"/>
      <c r="Q241" s="325" t="s">
        <v>2400</v>
      </c>
    </row>
    <row r="242" spans="1:17" s="325" customFormat="1" ht="33.75" hidden="1">
      <c r="A242" s="333" t="s">
        <v>2159</v>
      </c>
      <c r="B242" s="334" t="s">
        <v>678</v>
      </c>
      <c r="C242" s="335" t="s">
        <v>669</v>
      </c>
      <c r="D242" s="336">
        <v>8</v>
      </c>
      <c r="E242" s="336">
        <f>估驗單!F231</f>
        <v>8</v>
      </c>
      <c r="F242" s="390">
        <f t="shared" si="22"/>
        <v>0</v>
      </c>
      <c r="G242" s="336">
        <v>10318.74</v>
      </c>
      <c r="H242" s="336"/>
      <c r="I242" s="336">
        <f t="shared" si="23"/>
        <v>82549.919999999998</v>
      </c>
      <c r="J242" s="336">
        <f t="shared" si="24"/>
        <v>82549.919999999998</v>
      </c>
      <c r="K242" s="546">
        <f t="shared" si="19"/>
        <v>0</v>
      </c>
      <c r="L242" s="502"/>
      <c r="M242" s="231" t="s">
        <v>2401</v>
      </c>
      <c r="N242" s="11" t="s">
        <v>243</v>
      </c>
      <c r="O242" s="341" t="s">
        <v>2399</v>
      </c>
      <c r="P242" s="339"/>
      <c r="Q242" s="325" t="s">
        <v>2400</v>
      </c>
    </row>
    <row r="243" spans="1:17" s="325" customFormat="1" ht="33.75" hidden="1">
      <c r="A243" s="333" t="s">
        <v>2160</v>
      </c>
      <c r="B243" s="334" t="s">
        <v>681</v>
      </c>
      <c r="C243" s="335" t="s">
        <v>669</v>
      </c>
      <c r="D243" s="336">
        <v>5</v>
      </c>
      <c r="E243" s="336">
        <f>估驗單!F232</f>
        <v>5</v>
      </c>
      <c r="F243" s="390">
        <f t="shared" si="22"/>
        <v>0</v>
      </c>
      <c r="G243" s="336">
        <v>15163.34</v>
      </c>
      <c r="H243" s="336"/>
      <c r="I243" s="336">
        <f t="shared" si="23"/>
        <v>75816.7</v>
      </c>
      <c r="J243" s="336">
        <f t="shared" si="24"/>
        <v>75816.7</v>
      </c>
      <c r="K243" s="546">
        <f t="shared" si="19"/>
        <v>0</v>
      </c>
      <c r="L243" s="502"/>
      <c r="M243" s="231" t="s">
        <v>2398</v>
      </c>
      <c r="N243" s="11" t="s">
        <v>243</v>
      </c>
      <c r="O243" s="341" t="s">
        <v>2399</v>
      </c>
      <c r="P243" s="339"/>
      <c r="Q243" s="325" t="s">
        <v>2400</v>
      </c>
    </row>
    <row r="244" spans="1:17" s="325" customFormat="1" ht="33.75" hidden="1">
      <c r="A244" s="333" t="s">
        <v>2161</v>
      </c>
      <c r="B244" s="334" t="s">
        <v>684</v>
      </c>
      <c r="C244" s="335" t="s">
        <v>669</v>
      </c>
      <c r="D244" s="336">
        <v>3</v>
      </c>
      <c r="E244" s="336">
        <f>估驗單!F233</f>
        <v>3</v>
      </c>
      <c r="F244" s="390">
        <f t="shared" si="22"/>
        <v>0</v>
      </c>
      <c r="G244" s="336">
        <v>21801.91</v>
      </c>
      <c r="H244" s="336"/>
      <c r="I244" s="336">
        <f t="shared" si="23"/>
        <v>65405.73</v>
      </c>
      <c r="J244" s="336">
        <f t="shared" si="24"/>
        <v>65405.73</v>
      </c>
      <c r="K244" s="546">
        <f t="shared" si="19"/>
        <v>0</v>
      </c>
      <c r="L244" s="502"/>
      <c r="M244" s="231" t="s">
        <v>2401</v>
      </c>
      <c r="N244" s="11" t="s">
        <v>243</v>
      </c>
      <c r="O244" s="341" t="s">
        <v>2399</v>
      </c>
      <c r="P244" s="339"/>
      <c r="Q244" s="325" t="s">
        <v>2400</v>
      </c>
    </row>
    <row r="245" spans="1:17" s="325" customFormat="1" ht="33.75" hidden="1">
      <c r="A245" s="333" t="s">
        <v>2162</v>
      </c>
      <c r="B245" s="334" t="s">
        <v>687</v>
      </c>
      <c r="C245" s="335" t="s">
        <v>669</v>
      </c>
      <c r="D245" s="336">
        <v>2</v>
      </c>
      <c r="E245" s="336">
        <f>估驗單!F234</f>
        <v>2</v>
      </c>
      <c r="F245" s="390">
        <f t="shared" si="22"/>
        <v>0</v>
      </c>
      <c r="G245" s="336">
        <v>29983.23</v>
      </c>
      <c r="H245" s="336"/>
      <c r="I245" s="336">
        <f t="shared" si="23"/>
        <v>59966.46</v>
      </c>
      <c r="J245" s="336">
        <f t="shared" si="24"/>
        <v>59966.46</v>
      </c>
      <c r="K245" s="546">
        <f t="shared" si="19"/>
        <v>0</v>
      </c>
      <c r="L245" s="502"/>
      <c r="M245" s="231" t="s">
        <v>242</v>
      </c>
      <c r="N245" s="11" t="s">
        <v>243</v>
      </c>
      <c r="O245" s="341" t="s">
        <v>2399</v>
      </c>
      <c r="P245" s="339"/>
      <c r="Q245" s="325" t="s">
        <v>2400</v>
      </c>
    </row>
    <row r="246" spans="1:17" s="325" customFormat="1" ht="33" hidden="1">
      <c r="A246" s="333" t="s">
        <v>2163</v>
      </c>
      <c r="B246" s="334" t="s">
        <v>690</v>
      </c>
      <c r="C246" s="335" t="s">
        <v>669</v>
      </c>
      <c r="D246" s="336">
        <v>1</v>
      </c>
      <c r="E246" s="336">
        <f>估驗單!F235</f>
        <v>1</v>
      </c>
      <c r="F246" s="390">
        <f t="shared" si="22"/>
        <v>0</v>
      </c>
      <c r="G246" s="336">
        <v>28372.400000000001</v>
      </c>
      <c r="H246" s="336"/>
      <c r="I246" s="336">
        <f t="shared" si="23"/>
        <v>28372.400000000001</v>
      </c>
      <c r="J246" s="336">
        <f t="shared" si="24"/>
        <v>28372.400000000001</v>
      </c>
      <c r="K246" s="546">
        <f t="shared" si="19"/>
        <v>0</v>
      </c>
      <c r="L246" s="502"/>
      <c r="M246" s="231" t="s">
        <v>242</v>
      </c>
      <c r="N246" s="11" t="s">
        <v>243</v>
      </c>
      <c r="O246" s="341"/>
      <c r="P246" s="339"/>
    </row>
    <row r="247" spans="1:17" s="325" customFormat="1" ht="33" hidden="1">
      <c r="A247" s="333" t="s">
        <v>2164</v>
      </c>
      <c r="B247" s="334" t="s">
        <v>693</v>
      </c>
      <c r="C247" s="335" t="s">
        <v>669</v>
      </c>
      <c r="D247" s="336">
        <v>1</v>
      </c>
      <c r="E247" s="336">
        <f>估驗單!F236</f>
        <v>1</v>
      </c>
      <c r="F247" s="390">
        <f t="shared" si="22"/>
        <v>0</v>
      </c>
      <c r="G247" s="336">
        <v>73084.87</v>
      </c>
      <c r="H247" s="336"/>
      <c r="I247" s="336">
        <f t="shared" si="23"/>
        <v>73084.87</v>
      </c>
      <c r="J247" s="336">
        <f t="shared" si="24"/>
        <v>73084.87</v>
      </c>
      <c r="K247" s="546">
        <f t="shared" si="19"/>
        <v>0</v>
      </c>
      <c r="L247" s="502"/>
      <c r="M247" s="231" t="s">
        <v>242</v>
      </c>
      <c r="N247" s="11" t="s">
        <v>243</v>
      </c>
      <c r="O247" s="341"/>
      <c r="P247" s="339"/>
    </row>
    <row r="248" spans="1:17" s="325" customFormat="1" ht="57" hidden="1">
      <c r="A248" s="333" t="s">
        <v>2165</v>
      </c>
      <c r="B248" s="334" t="s">
        <v>696</v>
      </c>
      <c r="C248" s="335" t="s">
        <v>669</v>
      </c>
      <c r="D248" s="336">
        <v>4</v>
      </c>
      <c r="E248" s="336">
        <f>估驗單!F237</f>
        <v>4</v>
      </c>
      <c r="F248" s="390">
        <f t="shared" si="22"/>
        <v>0</v>
      </c>
      <c r="G248" s="336">
        <v>22813.26</v>
      </c>
      <c r="H248" s="336"/>
      <c r="I248" s="336">
        <f t="shared" si="23"/>
        <v>91253.04</v>
      </c>
      <c r="J248" s="336">
        <f t="shared" si="24"/>
        <v>91253.04</v>
      </c>
      <c r="K248" s="546">
        <f t="shared" si="19"/>
        <v>0</v>
      </c>
      <c r="L248" s="502"/>
      <c r="M248" s="231" t="s">
        <v>2402</v>
      </c>
      <c r="N248" s="11" t="s">
        <v>243</v>
      </c>
      <c r="O248" s="341"/>
      <c r="P248" s="339"/>
    </row>
    <row r="249" spans="1:17" s="325" customFormat="1" ht="33" hidden="1">
      <c r="A249" s="333" t="s">
        <v>2166</v>
      </c>
      <c r="B249" s="334" t="s">
        <v>699</v>
      </c>
      <c r="C249" s="335" t="s">
        <v>669</v>
      </c>
      <c r="D249" s="336">
        <v>1</v>
      </c>
      <c r="E249" s="336">
        <f>估驗單!F238</f>
        <v>2</v>
      </c>
      <c r="F249" s="390">
        <f t="shared" si="22"/>
        <v>1</v>
      </c>
      <c r="G249" s="336">
        <v>1079.8499999999999</v>
      </c>
      <c r="H249" s="336"/>
      <c r="I249" s="336">
        <f t="shared" si="23"/>
        <v>1079.8499999999999</v>
      </c>
      <c r="J249" s="336">
        <f t="shared" si="24"/>
        <v>2159.6999999999998</v>
      </c>
      <c r="K249" s="546">
        <f t="shared" si="19"/>
        <v>1079.8499999999999</v>
      </c>
      <c r="L249" s="502"/>
      <c r="M249" s="231" t="s">
        <v>2403</v>
      </c>
      <c r="N249" s="11" t="s">
        <v>243</v>
      </c>
      <c r="O249" s="341"/>
      <c r="P249" s="339"/>
    </row>
    <row r="250" spans="1:17" s="325" customFormat="1" ht="33" hidden="1">
      <c r="A250" s="333" t="s">
        <v>2167</v>
      </c>
      <c r="B250" s="334" t="s">
        <v>702</v>
      </c>
      <c r="C250" s="335" t="s">
        <v>669</v>
      </c>
      <c r="D250" s="336">
        <v>1</v>
      </c>
      <c r="E250" s="336">
        <f>估驗單!F239</f>
        <v>7</v>
      </c>
      <c r="F250" s="390">
        <f t="shared" si="22"/>
        <v>6</v>
      </c>
      <c r="G250" s="336">
        <v>1963.19</v>
      </c>
      <c r="H250" s="336"/>
      <c r="I250" s="336">
        <f t="shared" si="23"/>
        <v>1963.19</v>
      </c>
      <c r="J250" s="336">
        <f t="shared" si="24"/>
        <v>13742.33</v>
      </c>
      <c r="K250" s="546">
        <f t="shared" si="19"/>
        <v>11779.14</v>
      </c>
      <c r="L250" s="502"/>
      <c r="M250" s="231"/>
      <c r="N250" s="11" t="s">
        <v>243</v>
      </c>
      <c r="O250" s="341"/>
      <c r="P250" s="339"/>
    </row>
    <row r="251" spans="1:17" s="325" customFormat="1" ht="33" hidden="1">
      <c r="A251" s="333" t="s">
        <v>2168</v>
      </c>
      <c r="B251" s="334" t="s">
        <v>705</v>
      </c>
      <c r="C251" s="335" t="s">
        <v>669</v>
      </c>
      <c r="D251" s="336">
        <v>1</v>
      </c>
      <c r="E251" s="336">
        <f>估驗單!F240</f>
        <v>3</v>
      </c>
      <c r="F251" s="390">
        <f t="shared" si="22"/>
        <v>2</v>
      </c>
      <c r="G251" s="336">
        <v>2216.48</v>
      </c>
      <c r="H251" s="336"/>
      <c r="I251" s="336">
        <f t="shared" si="23"/>
        <v>2216.48</v>
      </c>
      <c r="J251" s="336">
        <f t="shared" si="24"/>
        <v>6649.44</v>
      </c>
      <c r="K251" s="546">
        <f t="shared" si="19"/>
        <v>4432.9599999999991</v>
      </c>
      <c r="L251" s="502"/>
      <c r="M251" s="231" t="s">
        <v>242</v>
      </c>
      <c r="N251" s="11" t="s">
        <v>243</v>
      </c>
      <c r="O251" s="341"/>
      <c r="P251" s="339"/>
    </row>
    <row r="252" spans="1:17" s="325" customFormat="1" ht="33" hidden="1">
      <c r="A252" s="333" t="s">
        <v>2169</v>
      </c>
      <c r="B252" s="334" t="s">
        <v>708</v>
      </c>
      <c r="C252" s="335" t="s">
        <v>669</v>
      </c>
      <c r="D252" s="336">
        <v>1</v>
      </c>
      <c r="E252" s="336">
        <f>估驗單!F241</f>
        <v>6</v>
      </c>
      <c r="F252" s="390">
        <f t="shared" si="22"/>
        <v>5</v>
      </c>
      <c r="G252" s="336">
        <v>4720.3100000000004</v>
      </c>
      <c r="H252" s="336"/>
      <c r="I252" s="336">
        <f t="shared" si="23"/>
        <v>4720.3100000000004</v>
      </c>
      <c r="J252" s="336">
        <f t="shared" si="24"/>
        <v>28321.86</v>
      </c>
      <c r="K252" s="546">
        <f t="shared" si="19"/>
        <v>23601.55</v>
      </c>
      <c r="L252" s="502"/>
      <c r="M252" s="231" t="s">
        <v>242</v>
      </c>
      <c r="N252" s="11" t="s">
        <v>243</v>
      </c>
      <c r="O252" s="341"/>
      <c r="P252" s="339"/>
    </row>
    <row r="253" spans="1:17" s="325" customFormat="1" ht="33" hidden="1">
      <c r="A253" s="333" t="s">
        <v>2170</v>
      </c>
      <c r="B253" s="334" t="s">
        <v>147</v>
      </c>
      <c r="C253" s="335" t="s">
        <v>8</v>
      </c>
      <c r="D253" s="336">
        <v>162</v>
      </c>
      <c r="E253" s="336">
        <f>估驗單!F242</f>
        <v>162</v>
      </c>
      <c r="F253" s="390">
        <f t="shared" si="22"/>
        <v>0</v>
      </c>
      <c r="G253" s="336">
        <v>1859.79</v>
      </c>
      <c r="H253" s="336"/>
      <c r="I253" s="336">
        <f t="shared" si="23"/>
        <v>301285.98</v>
      </c>
      <c r="J253" s="336">
        <f t="shared" si="24"/>
        <v>301285.98</v>
      </c>
      <c r="K253" s="546">
        <f t="shared" si="19"/>
        <v>0</v>
      </c>
      <c r="L253" s="502"/>
      <c r="M253" s="231" t="s">
        <v>2404</v>
      </c>
      <c r="N253" s="11" t="s">
        <v>243</v>
      </c>
      <c r="O253" s="341"/>
      <c r="P253" s="339"/>
    </row>
    <row r="254" spans="1:17" s="325" customFormat="1" ht="33" hidden="1">
      <c r="A254" s="333" t="s">
        <v>2171</v>
      </c>
      <c r="B254" s="334" t="s">
        <v>713</v>
      </c>
      <c r="C254" s="335" t="s">
        <v>15</v>
      </c>
      <c r="D254" s="336">
        <v>1</v>
      </c>
      <c r="E254" s="336">
        <f>估驗單!F243</f>
        <v>1</v>
      </c>
      <c r="F254" s="390">
        <f t="shared" si="22"/>
        <v>0</v>
      </c>
      <c r="G254" s="336">
        <v>10254.44</v>
      </c>
      <c r="H254" s="336"/>
      <c r="I254" s="336">
        <f t="shared" si="23"/>
        <v>10254.44</v>
      </c>
      <c r="J254" s="336">
        <f t="shared" si="24"/>
        <v>10254.44</v>
      </c>
      <c r="K254" s="546">
        <f t="shared" si="19"/>
        <v>0</v>
      </c>
      <c r="L254" s="502"/>
      <c r="M254" s="231" t="s">
        <v>2405</v>
      </c>
      <c r="N254" s="11" t="s">
        <v>243</v>
      </c>
      <c r="O254" s="341"/>
      <c r="P254" s="339"/>
    </row>
    <row r="255" spans="1:17" s="325" customFormat="1" ht="33" hidden="1">
      <c r="A255" s="333" t="s">
        <v>2172</v>
      </c>
      <c r="B255" s="334" t="s">
        <v>716</v>
      </c>
      <c r="C255" s="335" t="s">
        <v>15</v>
      </c>
      <c r="D255" s="336">
        <v>268</v>
      </c>
      <c r="E255" s="336">
        <f>估驗單!F244</f>
        <v>268</v>
      </c>
      <c r="F255" s="390">
        <f t="shared" si="22"/>
        <v>0</v>
      </c>
      <c r="G255" s="336">
        <v>40</v>
      </c>
      <c r="H255" s="336"/>
      <c r="I255" s="336">
        <f t="shared" si="23"/>
        <v>10720</v>
      </c>
      <c r="J255" s="336">
        <f t="shared" si="24"/>
        <v>10720</v>
      </c>
      <c r="K255" s="546">
        <f t="shared" si="19"/>
        <v>0</v>
      </c>
      <c r="L255" s="502"/>
      <c r="M255" s="231" t="s">
        <v>2406</v>
      </c>
      <c r="N255" s="11" t="s">
        <v>243</v>
      </c>
      <c r="O255" s="341"/>
      <c r="P255" s="339"/>
    </row>
    <row r="256" spans="1:17" s="325" customFormat="1" ht="33" hidden="1">
      <c r="A256" s="333" t="s">
        <v>2173</v>
      </c>
      <c r="B256" s="334" t="s">
        <v>719</v>
      </c>
      <c r="C256" s="335" t="s">
        <v>7</v>
      </c>
      <c r="D256" s="336">
        <v>1340</v>
      </c>
      <c r="E256" s="336">
        <f>估驗單!F245</f>
        <v>1340</v>
      </c>
      <c r="F256" s="390">
        <f t="shared" si="22"/>
        <v>0</v>
      </c>
      <c r="G256" s="336">
        <v>35</v>
      </c>
      <c r="H256" s="336"/>
      <c r="I256" s="336">
        <f t="shared" si="23"/>
        <v>46900</v>
      </c>
      <c r="J256" s="336">
        <f t="shared" si="24"/>
        <v>46900</v>
      </c>
      <c r="K256" s="546">
        <f t="shared" si="19"/>
        <v>0</v>
      </c>
      <c r="L256" s="502"/>
      <c r="M256" s="231" t="s">
        <v>2407</v>
      </c>
      <c r="N256" s="11" t="s">
        <v>243</v>
      </c>
      <c r="O256" s="341"/>
      <c r="P256" s="339"/>
    </row>
    <row r="257" spans="1:16" s="325" customFormat="1" ht="33" hidden="1">
      <c r="A257" s="333" t="s">
        <v>2174</v>
      </c>
      <c r="B257" s="334" t="s">
        <v>722</v>
      </c>
      <c r="C257" s="335" t="s">
        <v>8</v>
      </c>
      <c r="D257" s="336">
        <v>1</v>
      </c>
      <c r="E257" s="336">
        <f>估驗單!F246</f>
        <v>1</v>
      </c>
      <c r="F257" s="390">
        <f t="shared" si="22"/>
        <v>0</v>
      </c>
      <c r="G257" s="336">
        <v>10</v>
      </c>
      <c r="H257" s="336"/>
      <c r="I257" s="336">
        <f t="shared" si="23"/>
        <v>10</v>
      </c>
      <c r="J257" s="336">
        <f t="shared" si="24"/>
        <v>10</v>
      </c>
      <c r="K257" s="546">
        <f t="shared" si="19"/>
        <v>0</v>
      </c>
      <c r="L257" s="502"/>
      <c r="M257" s="231" t="s">
        <v>242</v>
      </c>
      <c r="N257" s="11" t="s">
        <v>243</v>
      </c>
      <c r="O257" s="341"/>
      <c r="P257" s="339"/>
    </row>
    <row r="258" spans="1:16" s="325" customFormat="1" ht="33" hidden="1">
      <c r="A258" s="333" t="s">
        <v>2175</v>
      </c>
      <c r="B258" s="334" t="s">
        <v>725</v>
      </c>
      <c r="C258" s="335" t="s">
        <v>13</v>
      </c>
      <c r="D258" s="336">
        <v>1</v>
      </c>
      <c r="E258" s="336">
        <f>估驗單!F247</f>
        <v>1</v>
      </c>
      <c r="F258" s="390">
        <f t="shared" si="22"/>
        <v>0</v>
      </c>
      <c r="G258" s="336">
        <v>530.97</v>
      </c>
      <c r="H258" s="336"/>
      <c r="I258" s="336">
        <f t="shared" si="23"/>
        <v>530.97</v>
      </c>
      <c r="J258" s="336">
        <f t="shared" si="24"/>
        <v>530.97</v>
      </c>
      <c r="K258" s="546">
        <f t="shared" si="19"/>
        <v>0</v>
      </c>
      <c r="L258" s="502"/>
      <c r="M258" s="231" t="s">
        <v>2408</v>
      </c>
      <c r="N258" s="11" t="s">
        <v>243</v>
      </c>
      <c r="O258" s="341"/>
      <c r="P258" s="339"/>
    </row>
    <row r="259" spans="1:16" s="325" customFormat="1" ht="33" hidden="1">
      <c r="A259" s="333" t="s">
        <v>2177</v>
      </c>
      <c r="B259" s="334" t="s">
        <v>728</v>
      </c>
      <c r="C259" s="335" t="s">
        <v>6</v>
      </c>
      <c r="D259" s="336">
        <v>11.31</v>
      </c>
      <c r="E259" s="336">
        <f>估驗單!F248</f>
        <v>11.31</v>
      </c>
      <c r="F259" s="390">
        <f t="shared" si="22"/>
        <v>0</v>
      </c>
      <c r="G259" s="336">
        <v>3386.34</v>
      </c>
      <c r="H259" s="336"/>
      <c r="I259" s="336">
        <f t="shared" si="23"/>
        <v>38299.51</v>
      </c>
      <c r="J259" s="336">
        <f t="shared" si="24"/>
        <v>38299.51</v>
      </c>
      <c r="K259" s="546">
        <f t="shared" si="19"/>
        <v>0</v>
      </c>
      <c r="L259" s="502"/>
      <c r="M259" s="231" t="s">
        <v>242</v>
      </c>
      <c r="N259" s="11" t="s">
        <v>243</v>
      </c>
      <c r="O259" s="341"/>
      <c r="P259" s="339"/>
    </row>
    <row r="260" spans="1:16" s="325" customFormat="1" ht="33" hidden="1">
      <c r="A260" s="333" t="s">
        <v>2178</v>
      </c>
      <c r="B260" s="334" t="s">
        <v>731</v>
      </c>
      <c r="C260" s="335" t="s">
        <v>4</v>
      </c>
      <c r="D260" s="336">
        <v>1</v>
      </c>
      <c r="E260" s="336">
        <f>估驗單!F249</f>
        <v>1</v>
      </c>
      <c r="F260" s="390">
        <f t="shared" si="22"/>
        <v>0</v>
      </c>
      <c r="G260" s="336">
        <v>107994.11</v>
      </c>
      <c r="H260" s="336"/>
      <c r="I260" s="336">
        <f t="shared" si="23"/>
        <v>107994.11</v>
      </c>
      <c r="J260" s="336">
        <f t="shared" si="24"/>
        <v>107994.11</v>
      </c>
      <c r="K260" s="546">
        <f t="shared" si="19"/>
        <v>0</v>
      </c>
      <c r="L260" s="502"/>
      <c r="M260" s="231" t="s">
        <v>2409</v>
      </c>
      <c r="N260" s="11" t="s">
        <v>243</v>
      </c>
      <c r="O260" s="341"/>
      <c r="P260" s="339"/>
    </row>
    <row r="261" spans="1:16" s="325" customFormat="1" ht="33" hidden="1">
      <c r="A261" s="333" t="s">
        <v>2179</v>
      </c>
      <c r="B261" s="334" t="s">
        <v>734</v>
      </c>
      <c r="C261" s="335" t="s">
        <v>13</v>
      </c>
      <c r="D261" s="336">
        <v>1</v>
      </c>
      <c r="E261" s="336">
        <f>估驗單!F250</f>
        <v>1</v>
      </c>
      <c r="F261" s="390">
        <f t="shared" si="22"/>
        <v>0</v>
      </c>
      <c r="G261" s="336">
        <v>499.97</v>
      </c>
      <c r="H261" s="336"/>
      <c r="I261" s="336">
        <f t="shared" si="23"/>
        <v>499.97</v>
      </c>
      <c r="J261" s="336">
        <f t="shared" si="24"/>
        <v>499.97</v>
      </c>
      <c r="K261" s="546">
        <f t="shared" si="19"/>
        <v>0</v>
      </c>
      <c r="L261" s="502"/>
      <c r="M261" s="231" t="s">
        <v>2321</v>
      </c>
      <c r="N261" s="11" t="s">
        <v>243</v>
      </c>
      <c r="O261" s="341"/>
      <c r="P261" s="339"/>
    </row>
    <row r="262" spans="1:16" s="325" customFormat="1" ht="42.75" hidden="1">
      <c r="A262" s="333" t="s">
        <v>2181</v>
      </c>
      <c r="B262" s="334" t="s">
        <v>737</v>
      </c>
      <c r="C262" s="335" t="s">
        <v>669</v>
      </c>
      <c r="D262" s="336">
        <v>1</v>
      </c>
      <c r="E262" s="336">
        <f>估驗單!F251</f>
        <v>1</v>
      </c>
      <c r="F262" s="390">
        <f t="shared" si="22"/>
        <v>0</v>
      </c>
      <c r="G262" s="336">
        <v>10067.84</v>
      </c>
      <c r="H262" s="336"/>
      <c r="I262" s="336">
        <f t="shared" si="23"/>
        <v>10067.84</v>
      </c>
      <c r="J262" s="336">
        <f t="shared" si="24"/>
        <v>10067.84</v>
      </c>
      <c r="K262" s="546">
        <f t="shared" si="19"/>
        <v>0</v>
      </c>
      <c r="L262" s="502"/>
      <c r="M262" s="231" t="s">
        <v>2321</v>
      </c>
      <c r="N262" s="11" t="s">
        <v>243</v>
      </c>
      <c r="O262" s="341"/>
      <c r="P262" s="339"/>
    </row>
    <row r="263" spans="1:16" s="325" customFormat="1" ht="33" hidden="1">
      <c r="A263" s="333" t="s">
        <v>2182</v>
      </c>
      <c r="B263" s="334" t="s">
        <v>740</v>
      </c>
      <c r="C263" s="335" t="s">
        <v>669</v>
      </c>
      <c r="D263" s="336">
        <v>1</v>
      </c>
      <c r="E263" s="336">
        <f>估驗單!F252</f>
        <v>1</v>
      </c>
      <c r="F263" s="390">
        <f t="shared" si="22"/>
        <v>0</v>
      </c>
      <c r="G263" s="336">
        <v>6487.57</v>
      </c>
      <c r="H263" s="336"/>
      <c r="I263" s="336">
        <f t="shared" si="23"/>
        <v>6487.57</v>
      </c>
      <c r="J263" s="336">
        <f t="shared" si="24"/>
        <v>6487.57</v>
      </c>
      <c r="K263" s="546">
        <f t="shared" si="19"/>
        <v>0</v>
      </c>
      <c r="L263" s="502"/>
      <c r="M263" s="231" t="s">
        <v>2321</v>
      </c>
      <c r="N263" s="11" t="s">
        <v>243</v>
      </c>
      <c r="O263" s="341"/>
      <c r="P263" s="339"/>
    </row>
    <row r="264" spans="1:16" s="325" customFormat="1" ht="42.75" hidden="1">
      <c r="A264" s="333" t="s">
        <v>2183</v>
      </c>
      <c r="B264" s="334" t="s">
        <v>743</v>
      </c>
      <c r="C264" s="335" t="s">
        <v>669</v>
      </c>
      <c r="D264" s="336">
        <v>1</v>
      </c>
      <c r="E264" s="336">
        <f>估驗單!F253</f>
        <v>1</v>
      </c>
      <c r="F264" s="390">
        <f t="shared" si="22"/>
        <v>0</v>
      </c>
      <c r="G264" s="336">
        <v>8473.2999999999993</v>
      </c>
      <c r="H264" s="336"/>
      <c r="I264" s="336">
        <f t="shared" si="23"/>
        <v>8473.2999999999993</v>
      </c>
      <c r="J264" s="336">
        <f t="shared" si="24"/>
        <v>8473.2999999999993</v>
      </c>
      <c r="K264" s="546">
        <f t="shared" si="19"/>
        <v>0</v>
      </c>
      <c r="L264" s="502"/>
      <c r="M264" s="231" t="s">
        <v>2321</v>
      </c>
      <c r="N264" s="11" t="s">
        <v>243</v>
      </c>
      <c r="O264" s="341"/>
      <c r="P264" s="339"/>
    </row>
    <row r="265" spans="1:16" s="325" customFormat="1" ht="42.75" hidden="1">
      <c r="A265" s="333" t="s">
        <v>2184</v>
      </c>
      <c r="B265" s="334" t="s">
        <v>746</v>
      </c>
      <c r="C265" s="335" t="s">
        <v>669</v>
      </c>
      <c r="D265" s="336">
        <v>1</v>
      </c>
      <c r="E265" s="336">
        <f>估驗單!F254</f>
        <v>1</v>
      </c>
      <c r="F265" s="390">
        <f t="shared" si="22"/>
        <v>0</v>
      </c>
      <c r="G265" s="336">
        <v>17742.79</v>
      </c>
      <c r="H265" s="336"/>
      <c r="I265" s="336">
        <f t="shared" si="23"/>
        <v>17742.79</v>
      </c>
      <c r="J265" s="336">
        <f t="shared" si="24"/>
        <v>17742.79</v>
      </c>
      <c r="K265" s="546">
        <f t="shared" si="19"/>
        <v>0</v>
      </c>
      <c r="L265" s="502"/>
      <c r="M265" s="231" t="s">
        <v>2321</v>
      </c>
      <c r="N265" s="11" t="s">
        <v>243</v>
      </c>
      <c r="O265" s="341"/>
      <c r="P265" s="339"/>
    </row>
    <row r="266" spans="1:16" s="325" customFormat="1" ht="42.75" hidden="1">
      <c r="A266" s="333" t="s">
        <v>2185</v>
      </c>
      <c r="B266" s="334" t="s">
        <v>749</v>
      </c>
      <c r="C266" s="335" t="s">
        <v>669</v>
      </c>
      <c r="D266" s="336">
        <v>1</v>
      </c>
      <c r="E266" s="336">
        <f>估驗單!F255</f>
        <v>1</v>
      </c>
      <c r="F266" s="390">
        <f t="shared" si="22"/>
        <v>0</v>
      </c>
      <c r="G266" s="336">
        <v>5164.09</v>
      </c>
      <c r="H266" s="336"/>
      <c r="I266" s="336">
        <f t="shared" si="23"/>
        <v>5164.09</v>
      </c>
      <c r="J266" s="336">
        <f t="shared" si="24"/>
        <v>5164.09</v>
      </c>
      <c r="K266" s="546">
        <f t="shared" si="19"/>
        <v>0</v>
      </c>
      <c r="L266" s="502"/>
      <c r="M266" s="231" t="s">
        <v>2321</v>
      </c>
      <c r="N266" s="11" t="s">
        <v>243</v>
      </c>
      <c r="O266" s="341"/>
      <c r="P266" s="339"/>
    </row>
    <row r="267" spans="1:16" s="325" customFormat="1" ht="42.75" hidden="1">
      <c r="A267" s="333" t="s">
        <v>2186</v>
      </c>
      <c r="B267" s="334" t="s">
        <v>752</v>
      </c>
      <c r="C267" s="335" t="s">
        <v>669</v>
      </c>
      <c r="D267" s="336">
        <v>1</v>
      </c>
      <c r="E267" s="336">
        <f>估驗單!F256</f>
        <v>1</v>
      </c>
      <c r="F267" s="390">
        <f t="shared" si="22"/>
        <v>0</v>
      </c>
      <c r="G267" s="336">
        <v>5164.09</v>
      </c>
      <c r="H267" s="336"/>
      <c r="I267" s="336">
        <f t="shared" si="23"/>
        <v>5164.09</v>
      </c>
      <c r="J267" s="336">
        <f t="shared" si="24"/>
        <v>5164.09</v>
      </c>
      <c r="K267" s="546">
        <f t="shared" si="19"/>
        <v>0</v>
      </c>
      <c r="L267" s="502"/>
      <c r="M267" s="231" t="s">
        <v>2321</v>
      </c>
      <c r="N267" s="11" t="s">
        <v>243</v>
      </c>
      <c r="O267" s="341"/>
      <c r="P267" s="339"/>
    </row>
    <row r="268" spans="1:16" s="325" customFormat="1" ht="42.75" hidden="1">
      <c r="A268" s="333" t="s">
        <v>2187</v>
      </c>
      <c r="B268" s="334" t="s">
        <v>755</v>
      </c>
      <c r="C268" s="335" t="s">
        <v>669</v>
      </c>
      <c r="D268" s="336">
        <v>1</v>
      </c>
      <c r="E268" s="336">
        <f>估驗單!F257</f>
        <v>1</v>
      </c>
      <c r="F268" s="390">
        <f t="shared" si="22"/>
        <v>0</v>
      </c>
      <c r="G268" s="336">
        <v>5730.56</v>
      </c>
      <c r="H268" s="336"/>
      <c r="I268" s="336">
        <f t="shared" si="23"/>
        <v>5730.56</v>
      </c>
      <c r="J268" s="336">
        <f t="shared" si="24"/>
        <v>5730.56</v>
      </c>
      <c r="K268" s="546">
        <f t="shared" si="19"/>
        <v>0</v>
      </c>
      <c r="L268" s="502"/>
      <c r="M268" s="231" t="s">
        <v>2321</v>
      </c>
      <c r="N268" s="11" t="s">
        <v>243</v>
      </c>
      <c r="O268" s="341"/>
      <c r="P268" s="339"/>
    </row>
    <row r="269" spans="1:16" s="325" customFormat="1" ht="42.75" hidden="1">
      <c r="A269" s="333" t="s">
        <v>2188</v>
      </c>
      <c r="B269" s="334" t="s">
        <v>758</v>
      </c>
      <c r="C269" s="335" t="s">
        <v>669</v>
      </c>
      <c r="D269" s="336">
        <v>1</v>
      </c>
      <c r="E269" s="336">
        <f>估驗單!F258</f>
        <v>1</v>
      </c>
      <c r="F269" s="390">
        <f t="shared" si="22"/>
        <v>0</v>
      </c>
      <c r="G269" s="336">
        <v>7081</v>
      </c>
      <c r="H269" s="336"/>
      <c r="I269" s="336">
        <f t="shared" si="23"/>
        <v>7081</v>
      </c>
      <c r="J269" s="336">
        <f t="shared" si="24"/>
        <v>7081</v>
      </c>
      <c r="K269" s="546">
        <f t="shared" si="19"/>
        <v>0</v>
      </c>
      <c r="L269" s="502"/>
      <c r="M269" s="231" t="s">
        <v>2321</v>
      </c>
      <c r="N269" s="11" t="s">
        <v>243</v>
      </c>
      <c r="O269" s="341"/>
      <c r="P269" s="339"/>
    </row>
    <row r="270" spans="1:16" s="325" customFormat="1" ht="42.75" hidden="1">
      <c r="A270" s="333" t="s">
        <v>2189</v>
      </c>
      <c r="B270" s="334" t="s">
        <v>761</v>
      </c>
      <c r="C270" s="335" t="s">
        <v>669</v>
      </c>
      <c r="D270" s="336">
        <v>1</v>
      </c>
      <c r="E270" s="336">
        <f>估驗單!F259</f>
        <v>1</v>
      </c>
      <c r="F270" s="390">
        <f t="shared" si="22"/>
        <v>0</v>
      </c>
      <c r="G270" s="336">
        <v>4752.1099999999997</v>
      </c>
      <c r="H270" s="336"/>
      <c r="I270" s="336">
        <f t="shared" si="23"/>
        <v>4752.1099999999997</v>
      </c>
      <c r="J270" s="336">
        <f t="shared" si="24"/>
        <v>4752.1099999999997</v>
      </c>
      <c r="K270" s="546">
        <f t="shared" si="19"/>
        <v>0</v>
      </c>
      <c r="L270" s="502"/>
      <c r="M270" s="231" t="s">
        <v>2321</v>
      </c>
      <c r="N270" s="11" t="s">
        <v>243</v>
      </c>
      <c r="O270" s="341"/>
      <c r="P270" s="339"/>
    </row>
    <row r="271" spans="1:16" s="325" customFormat="1" ht="42.75" hidden="1">
      <c r="A271" s="333" t="s">
        <v>2190</v>
      </c>
      <c r="B271" s="334" t="s">
        <v>764</v>
      </c>
      <c r="C271" s="335" t="s">
        <v>669</v>
      </c>
      <c r="D271" s="336">
        <v>1</v>
      </c>
      <c r="E271" s="336">
        <f>估驗單!F260</f>
        <v>1</v>
      </c>
      <c r="F271" s="390">
        <f t="shared" si="22"/>
        <v>0</v>
      </c>
      <c r="G271" s="336">
        <v>14691.08</v>
      </c>
      <c r="H271" s="336"/>
      <c r="I271" s="336">
        <f t="shared" si="23"/>
        <v>14691.08</v>
      </c>
      <c r="J271" s="336">
        <f t="shared" si="24"/>
        <v>14691.08</v>
      </c>
      <c r="K271" s="546">
        <f t="shared" si="19"/>
        <v>0</v>
      </c>
      <c r="L271" s="502"/>
      <c r="M271" s="231" t="s">
        <v>2321</v>
      </c>
      <c r="N271" s="11" t="s">
        <v>243</v>
      </c>
      <c r="O271" s="341"/>
      <c r="P271" s="339"/>
    </row>
    <row r="272" spans="1:16" s="325" customFormat="1" ht="33" hidden="1">
      <c r="A272" s="333" t="s">
        <v>2191</v>
      </c>
      <c r="B272" s="334" t="s">
        <v>767</v>
      </c>
      <c r="C272" s="335" t="s">
        <v>669</v>
      </c>
      <c r="D272" s="336">
        <v>1</v>
      </c>
      <c r="E272" s="336">
        <f>估驗單!F261</f>
        <v>1</v>
      </c>
      <c r="F272" s="390">
        <f t="shared" si="22"/>
        <v>0</v>
      </c>
      <c r="G272" s="336">
        <v>224.3</v>
      </c>
      <c r="H272" s="336"/>
      <c r="I272" s="336">
        <f t="shared" si="23"/>
        <v>224.3</v>
      </c>
      <c r="J272" s="336">
        <f t="shared" si="24"/>
        <v>224.3</v>
      </c>
      <c r="K272" s="546">
        <f t="shared" si="19"/>
        <v>0</v>
      </c>
      <c r="L272" s="502"/>
      <c r="M272" s="231" t="s">
        <v>2321</v>
      </c>
      <c r="N272" s="11" t="s">
        <v>243</v>
      </c>
      <c r="O272" s="341"/>
      <c r="P272" s="339"/>
    </row>
    <row r="273" spans="1:16" s="325" customFormat="1" ht="33" hidden="1">
      <c r="A273" s="333" t="s">
        <v>2192</v>
      </c>
      <c r="B273" s="334" t="s">
        <v>770</v>
      </c>
      <c r="C273" s="335" t="s">
        <v>669</v>
      </c>
      <c r="D273" s="336">
        <v>1</v>
      </c>
      <c r="E273" s="336">
        <f>估驗單!F262</f>
        <v>1</v>
      </c>
      <c r="F273" s="390">
        <f t="shared" si="22"/>
        <v>0</v>
      </c>
      <c r="G273" s="336">
        <v>275.64</v>
      </c>
      <c r="H273" s="336"/>
      <c r="I273" s="336">
        <f t="shared" si="23"/>
        <v>275.64</v>
      </c>
      <c r="J273" s="336">
        <f t="shared" si="24"/>
        <v>275.64</v>
      </c>
      <c r="K273" s="546">
        <f t="shared" ref="K273:K336" si="25">J273-I273</f>
        <v>0</v>
      </c>
      <c r="L273" s="502"/>
      <c r="M273" s="231" t="s">
        <v>2321</v>
      </c>
      <c r="N273" s="11" t="s">
        <v>243</v>
      </c>
      <c r="O273" s="341"/>
      <c r="P273" s="339"/>
    </row>
    <row r="274" spans="1:16" s="325" customFormat="1" ht="33" hidden="1">
      <c r="A274" s="333" t="s">
        <v>2193</v>
      </c>
      <c r="B274" s="334" t="s">
        <v>773</v>
      </c>
      <c r="C274" s="335" t="s">
        <v>669</v>
      </c>
      <c r="D274" s="336">
        <v>1</v>
      </c>
      <c r="E274" s="336">
        <f>估驗單!F263</f>
        <v>1</v>
      </c>
      <c r="F274" s="390">
        <f t="shared" si="22"/>
        <v>0</v>
      </c>
      <c r="G274" s="336">
        <v>283.52999999999997</v>
      </c>
      <c r="H274" s="336"/>
      <c r="I274" s="336">
        <f t="shared" si="23"/>
        <v>283.52999999999997</v>
      </c>
      <c r="J274" s="336">
        <f t="shared" si="24"/>
        <v>283.52999999999997</v>
      </c>
      <c r="K274" s="546">
        <f t="shared" si="25"/>
        <v>0</v>
      </c>
      <c r="L274" s="502"/>
      <c r="M274" s="231" t="s">
        <v>2321</v>
      </c>
      <c r="N274" s="11" t="s">
        <v>243</v>
      </c>
      <c r="O274" s="341"/>
      <c r="P274" s="339"/>
    </row>
    <row r="275" spans="1:16" s="325" customFormat="1" ht="33" hidden="1">
      <c r="A275" s="333" t="s">
        <v>2194</v>
      </c>
      <c r="B275" s="334" t="s">
        <v>776</v>
      </c>
      <c r="C275" s="335" t="s">
        <v>669</v>
      </c>
      <c r="D275" s="336">
        <v>1</v>
      </c>
      <c r="E275" s="336">
        <f>估驗單!F264</f>
        <v>1</v>
      </c>
      <c r="F275" s="390">
        <f t="shared" si="22"/>
        <v>0</v>
      </c>
      <c r="G275" s="336">
        <v>88.95</v>
      </c>
      <c r="H275" s="336"/>
      <c r="I275" s="336">
        <f t="shared" si="23"/>
        <v>88.95</v>
      </c>
      <c r="J275" s="336">
        <f t="shared" si="24"/>
        <v>88.95</v>
      </c>
      <c r="K275" s="546">
        <f t="shared" si="25"/>
        <v>0</v>
      </c>
      <c r="L275" s="502"/>
      <c r="M275" s="231" t="s">
        <v>242</v>
      </c>
      <c r="N275" s="11" t="s">
        <v>243</v>
      </c>
      <c r="O275" s="341"/>
      <c r="P275" s="339"/>
    </row>
    <row r="276" spans="1:16" s="325" customFormat="1" ht="33" hidden="1">
      <c r="A276" s="333" t="s">
        <v>2195</v>
      </c>
      <c r="B276" s="334" t="s">
        <v>779</v>
      </c>
      <c r="C276" s="335" t="s">
        <v>669</v>
      </c>
      <c r="D276" s="336">
        <v>1</v>
      </c>
      <c r="E276" s="336">
        <f>估驗單!F265</f>
        <v>1</v>
      </c>
      <c r="F276" s="390">
        <f t="shared" si="22"/>
        <v>0</v>
      </c>
      <c r="G276" s="336">
        <v>123.72</v>
      </c>
      <c r="H276" s="336"/>
      <c r="I276" s="336">
        <f t="shared" si="23"/>
        <v>123.72</v>
      </c>
      <c r="J276" s="336">
        <f t="shared" si="24"/>
        <v>123.72</v>
      </c>
      <c r="K276" s="546">
        <f t="shared" si="25"/>
        <v>0</v>
      </c>
      <c r="L276" s="502"/>
      <c r="M276" s="231" t="s">
        <v>2321</v>
      </c>
      <c r="N276" s="11" t="s">
        <v>243</v>
      </c>
      <c r="O276" s="341"/>
      <c r="P276" s="339"/>
    </row>
    <row r="277" spans="1:16" s="325" customFormat="1" ht="33" hidden="1">
      <c r="A277" s="333" t="s">
        <v>2196</v>
      </c>
      <c r="B277" s="334" t="s">
        <v>782</v>
      </c>
      <c r="C277" s="335" t="s">
        <v>669</v>
      </c>
      <c r="D277" s="336">
        <v>1</v>
      </c>
      <c r="E277" s="336">
        <f>估驗單!F266</f>
        <v>1</v>
      </c>
      <c r="F277" s="390">
        <f t="shared" si="22"/>
        <v>0</v>
      </c>
      <c r="G277" s="336">
        <v>121.41</v>
      </c>
      <c r="H277" s="336"/>
      <c r="I277" s="336">
        <f t="shared" si="23"/>
        <v>121.41</v>
      </c>
      <c r="J277" s="336">
        <f t="shared" si="24"/>
        <v>121.41</v>
      </c>
      <c r="K277" s="546">
        <f t="shared" si="25"/>
        <v>0</v>
      </c>
      <c r="L277" s="502"/>
      <c r="M277" s="231" t="s">
        <v>242</v>
      </c>
      <c r="N277" s="11" t="s">
        <v>243</v>
      </c>
      <c r="O277" s="341"/>
      <c r="P277" s="339"/>
    </row>
    <row r="278" spans="1:16" s="325" customFormat="1" ht="33" hidden="1">
      <c r="A278" s="333" t="s">
        <v>2197</v>
      </c>
      <c r="B278" s="334" t="s">
        <v>785</v>
      </c>
      <c r="C278" s="335" t="s">
        <v>669</v>
      </c>
      <c r="D278" s="336">
        <v>1</v>
      </c>
      <c r="E278" s="336">
        <f>估驗單!F267</f>
        <v>1</v>
      </c>
      <c r="F278" s="390">
        <f t="shared" si="22"/>
        <v>0</v>
      </c>
      <c r="G278" s="336">
        <v>134.28</v>
      </c>
      <c r="H278" s="336"/>
      <c r="I278" s="336">
        <f t="shared" si="23"/>
        <v>134.28</v>
      </c>
      <c r="J278" s="336">
        <f t="shared" si="24"/>
        <v>134.28</v>
      </c>
      <c r="K278" s="546">
        <f t="shared" si="25"/>
        <v>0</v>
      </c>
      <c r="L278" s="502"/>
      <c r="M278" s="231" t="s">
        <v>242</v>
      </c>
      <c r="N278" s="11" t="s">
        <v>243</v>
      </c>
      <c r="O278" s="341"/>
      <c r="P278" s="339"/>
    </row>
    <row r="279" spans="1:16" s="325" customFormat="1" ht="33" hidden="1">
      <c r="A279" s="333" t="s">
        <v>2198</v>
      </c>
      <c r="B279" s="334" t="s">
        <v>788</v>
      </c>
      <c r="C279" s="335" t="s">
        <v>669</v>
      </c>
      <c r="D279" s="336">
        <v>1</v>
      </c>
      <c r="E279" s="336">
        <f>估驗單!F268</f>
        <v>1</v>
      </c>
      <c r="F279" s="390">
        <f t="shared" si="22"/>
        <v>0</v>
      </c>
      <c r="G279" s="336">
        <v>36.549999999999997</v>
      </c>
      <c r="H279" s="336"/>
      <c r="I279" s="336">
        <f t="shared" si="23"/>
        <v>36.549999999999997</v>
      </c>
      <c r="J279" s="336">
        <f t="shared" si="24"/>
        <v>36.549999999999997</v>
      </c>
      <c r="K279" s="546">
        <f t="shared" si="25"/>
        <v>0</v>
      </c>
      <c r="L279" s="502"/>
      <c r="M279" s="231" t="s">
        <v>2321</v>
      </c>
      <c r="N279" s="11" t="s">
        <v>243</v>
      </c>
      <c r="O279" s="341"/>
      <c r="P279" s="339"/>
    </row>
    <row r="280" spans="1:16" s="325" customFormat="1" ht="33" hidden="1">
      <c r="A280" s="333" t="s">
        <v>2199</v>
      </c>
      <c r="B280" s="334" t="s">
        <v>791</v>
      </c>
      <c r="C280" s="335" t="s">
        <v>669</v>
      </c>
      <c r="D280" s="336">
        <v>1</v>
      </c>
      <c r="E280" s="336">
        <f>估驗單!F269</f>
        <v>1</v>
      </c>
      <c r="F280" s="390">
        <f t="shared" si="22"/>
        <v>0</v>
      </c>
      <c r="G280" s="336">
        <v>103.76</v>
      </c>
      <c r="H280" s="336"/>
      <c r="I280" s="336">
        <f t="shared" si="23"/>
        <v>103.76</v>
      </c>
      <c r="J280" s="336">
        <f t="shared" si="24"/>
        <v>103.76</v>
      </c>
      <c r="K280" s="546">
        <f t="shared" si="25"/>
        <v>0</v>
      </c>
      <c r="L280" s="502"/>
      <c r="M280" s="231" t="s">
        <v>242</v>
      </c>
      <c r="N280" s="11" t="s">
        <v>243</v>
      </c>
      <c r="O280" s="341"/>
      <c r="P280" s="339"/>
    </row>
    <row r="281" spans="1:16" s="325" customFormat="1" ht="33" hidden="1">
      <c r="A281" s="333" t="s">
        <v>2200</v>
      </c>
      <c r="B281" s="334" t="s">
        <v>794</v>
      </c>
      <c r="C281" s="335" t="s">
        <v>669</v>
      </c>
      <c r="D281" s="336">
        <v>1</v>
      </c>
      <c r="E281" s="336">
        <f>估驗單!F270</f>
        <v>1</v>
      </c>
      <c r="F281" s="390">
        <f t="shared" si="22"/>
        <v>0</v>
      </c>
      <c r="G281" s="336">
        <v>140.84</v>
      </c>
      <c r="H281" s="336"/>
      <c r="I281" s="336">
        <f t="shared" si="23"/>
        <v>140.84</v>
      </c>
      <c r="J281" s="336">
        <f t="shared" si="24"/>
        <v>140.84</v>
      </c>
      <c r="K281" s="546">
        <f t="shared" si="25"/>
        <v>0</v>
      </c>
      <c r="L281" s="502"/>
      <c r="M281" s="231" t="s">
        <v>242</v>
      </c>
      <c r="N281" s="11" t="s">
        <v>243</v>
      </c>
      <c r="O281" s="341"/>
      <c r="P281" s="339"/>
    </row>
    <row r="282" spans="1:16" s="325" customFormat="1" ht="33" hidden="1">
      <c r="A282" s="333" t="s">
        <v>2201</v>
      </c>
      <c r="B282" s="334" t="s">
        <v>797</v>
      </c>
      <c r="C282" s="335" t="s">
        <v>669</v>
      </c>
      <c r="D282" s="336">
        <v>1</v>
      </c>
      <c r="E282" s="336">
        <f>估驗單!F271</f>
        <v>1</v>
      </c>
      <c r="F282" s="390">
        <f t="shared" si="22"/>
        <v>0</v>
      </c>
      <c r="G282" s="336">
        <v>51.75</v>
      </c>
      <c r="H282" s="336"/>
      <c r="I282" s="336">
        <f t="shared" si="23"/>
        <v>51.75</v>
      </c>
      <c r="J282" s="336">
        <f t="shared" si="24"/>
        <v>51.75</v>
      </c>
      <c r="K282" s="546">
        <f t="shared" si="25"/>
        <v>0</v>
      </c>
      <c r="L282" s="502"/>
      <c r="M282" s="231" t="s">
        <v>2321</v>
      </c>
      <c r="N282" s="11" t="s">
        <v>243</v>
      </c>
      <c r="O282" s="341"/>
      <c r="P282" s="339"/>
    </row>
    <row r="283" spans="1:16" s="325" customFormat="1" ht="33" hidden="1">
      <c r="A283" s="333" t="s">
        <v>2202</v>
      </c>
      <c r="B283" s="334" t="s">
        <v>800</v>
      </c>
      <c r="C283" s="335" t="s">
        <v>669</v>
      </c>
      <c r="D283" s="336">
        <v>1</v>
      </c>
      <c r="E283" s="336">
        <f>估驗單!F272</f>
        <v>1</v>
      </c>
      <c r="F283" s="390">
        <f t="shared" si="22"/>
        <v>0</v>
      </c>
      <c r="G283" s="336">
        <v>35.01</v>
      </c>
      <c r="H283" s="336"/>
      <c r="I283" s="336">
        <f t="shared" si="23"/>
        <v>35.01</v>
      </c>
      <c r="J283" s="336">
        <f t="shared" si="24"/>
        <v>35.01</v>
      </c>
      <c r="K283" s="546">
        <f t="shared" si="25"/>
        <v>0</v>
      </c>
      <c r="L283" s="502"/>
      <c r="M283" s="231" t="s">
        <v>2321</v>
      </c>
      <c r="N283" s="11" t="s">
        <v>243</v>
      </c>
      <c r="O283" s="341"/>
      <c r="P283" s="339"/>
    </row>
    <row r="284" spans="1:16" s="325" customFormat="1" ht="33" hidden="1">
      <c r="A284" s="333" t="s">
        <v>2203</v>
      </c>
      <c r="B284" s="334" t="s">
        <v>803</v>
      </c>
      <c r="C284" s="335" t="s">
        <v>669</v>
      </c>
      <c r="D284" s="336">
        <v>1</v>
      </c>
      <c r="E284" s="336">
        <f>估驗單!F273</f>
        <v>1</v>
      </c>
      <c r="F284" s="390">
        <f t="shared" si="22"/>
        <v>0</v>
      </c>
      <c r="G284" s="336">
        <v>58.37</v>
      </c>
      <c r="H284" s="336"/>
      <c r="I284" s="336">
        <f t="shared" si="23"/>
        <v>58.37</v>
      </c>
      <c r="J284" s="336">
        <f t="shared" si="24"/>
        <v>58.37</v>
      </c>
      <c r="K284" s="546">
        <f t="shared" si="25"/>
        <v>0</v>
      </c>
      <c r="L284" s="502"/>
      <c r="M284" s="231" t="s">
        <v>2321</v>
      </c>
      <c r="N284" s="11" t="s">
        <v>243</v>
      </c>
      <c r="O284" s="341"/>
      <c r="P284" s="339"/>
    </row>
    <row r="285" spans="1:16" s="325" customFormat="1" ht="33" hidden="1">
      <c r="A285" s="333" t="s">
        <v>2204</v>
      </c>
      <c r="B285" s="334" t="s">
        <v>806</v>
      </c>
      <c r="C285" s="335" t="s">
        <v>669</v>
      </c>
      <c r="D285" s="336">
        <v>1</v>
      </c>
      <c r="E285" s="336">
        <f>估驗單!F274</f>
        <v>1</v>
      </c>
      <c r="F285" s="390">
        <f t="shared" si="22"/>
        <v>0</v>
      </c>
      <c r="G285" s="336">
        <v>79.040000000000006</v>
      </c>
      <c r="H285" s="336"/>
      <c r="I285" s="336">
        <f t="shared" si="23"/>
        <v>79.040000000000006</v>
      </c>
      <c r="J285" s="336">
        <f t="shared" si="24"/>
        <v>79.040000000000006</v>
      </c>
      <c r="K285" s="546">
        <f t="shared" si="25"/>
        <v>0</v>
      </c>
      <c r="L285" s="502"/>
      <c r="M285" s="231" t="s">
        <v>2321</v>
      </c>
      <c r="N285" s="11" t="s">
        <v>243</v>
      </c>
      <c r="O285" s="341"/>
      <c r="P285" s="339"/>
    </row>
    <row r="286" spans="1:16" s="325" customFormat="1" ht="33" hidden="1">
      <c r="A286" s="333" t="s">
        <v>2205</v>
      </c>
      <c r="B286" s="334" t="s">
        <v>809</v>
      </c>
      <c r="C286" s="335" t="s">
        <v>669</v>
      </c>
      <c r="D286" s="336">
        <v>1</v>
      </c>
      <c r="E286" s="336">
        <f>估驗單!F275</f>
        <v>1</v>
      </c>
      <c r="F286" s="390">
        <f t="shared" si="22"/>
        <v>0</v>
      </c>
      <c r="G286" s="336">
        <v>63.59</v>
      </c>
      <c r="H286" s="336"/>
      <c r="I286" s="336">
        <f t="shared" si="23"/>
        <v>63.59</v>
      </c>
      <c r="J286" s="336">
        <f t="shared" si="24"/>
        <v>63.59</v>
      </c>
      <c r="K286" s="546">
        <f t="shared" si="25"/>
        <v>0</v>
      </c>
      <c r="L286" s="502"/>
      <c r="M286" s="231" t="s">
        <v>2321</v>
      </c>
      <c r="N286" s="11" t="s">
        <v>243</v>
      </c>
      <c r="O286" s="341"/>
      <c r="P286" s="339"/>
    </row>
    <row r="287" spans="1:16" s="325" customFormat="1" ht="33" hidden="1">
      <c r="A287" s="333" t="s">
        <v>2206</v>
      </c>
      <c r="B287" s="334" t="s">
        <v>812</v>
      </c>
      <c r="C287" s="335" t="s">
        <v>669</v>
      </c>
      <c r="D287" s="336">
        <v>1</v>
      </c>
      <c r="E287" s="336">
        <f>估驗單!F276</f>
        <v>1</v>
      </c>
      <c r="F287" s="390">
        <f t="shared" si="22"/>
        <v>0</v>
      </c>
      <c r="G287" s="336">
        <v>94.49</v>
      </c>
      <c r="H287" s="336"/>
      <c r="I287" s="336">
        <f t="shared" si="23"/>
        <v>94.49</v>
      </c>
      <c r="J287" s="336">
        <f t="shared" si="24"/>
        <v>94.49</v>
      </c>
      <c r="K287" s="546">
        <f t="shared" si="25"/>
        <v>0</v>
      </c>
      <c r="L287" s="502"/>
      <c r="M287" s="231" t="s">
        <v>2321</v>
      </c>
      <c r="N287" s="11" t="s">
        <v>243</v>
      </c>
      <c r="O287" s="341"/>
      <c r="P287" s="339"/>
    </row>
    <row r="288" spans="1:16" s="325" customFormat="1" ht="33" hidden="1">
      <c r="A288" s="333" t="s">
        <v>2207</v>
      </c>
      <c r="B288" s="334" t="s">
        <v>815</v>
      </c>
      <c r="C288" s="335" t="s">
        <v>669</v>
      </c>
      <c r="D288" s="336">
        <v>1</v>
      </c>
      <c r="E288" s="336">
        <f>估驗單!F277</f>
        <v>1</v>
      </c>
      <c r="F288" s="390">
        <f t="shared" si="22"/>
        <v>0</v>
      </c>
      <c r="G288" s="336">
        <v>73.89</v>
      </c>
      <c r="H288" s="336"/>
      <c r="I288" s="336">
        <f t="shared" si="23"/>
        <v>73.89</v>
      </c>
      <c r="J288" s="336">
        <f t="shared" si="24"/>
        <v>73.89</v>
      </c>
      <c r="K288" s="546">
        <f t="shared" si="25"/>
        <v>0</v>
      </c>
      <c r="L288" s="502"/>
      <c r="M288" s="231" t="s">
        <v>2321</v>
      </c>
      <c r="N288" s="11" t="s">
        <v>243</v>
      </c>
      <c r="O288" s="341"/>
      <c r="P288" s="339"/>
    </row>
    <row r="289" spans="1:16" s="325" customFormat="1" ht="33" hidden="1">
      <c r="A289" s="333" t="s">
        <v>2208</v>
      </c>
      <c r="B289" s="334" t="s">
        <v>818</v>
      </c>
      <c r="C289" s="335" t="s">
        <v>669</v>
      </c>
      <c r="D289" s="336">
        <v>1</v>
      </c>
      <c r="E289" s="336">
        <f>估驗單!F278</f>
        <v>1</v>
      </c>
      <c r="F289" s="390">
        <f t="shared" ref="F289:F352" si="26">E289-D289</f>
        <v>0</v>
      </c>
      <c r="G289" s="336">
        <v>92.43</v>
      </c>
      <c r="H289" s="336"/>
      <c r="I289" s="336">
        <f t="shared" si="23"/>
        <v>92.43</v>
      </c>
      <c r="J289" s="336">
        <f t="shared" si="24"/>
        <v>92.43</v>
      </c>
      <c r="K289" s="546">
        <f t="shared" si="25"/>
        <v>0</v>
      </c>
      <c r="L289" s="502"/>
      <c r="M289" s="231" t="s">
        <v>2321</v>
      </c>
      <c r="N289" s="11" t="s">
        <v>243</v>
      </c>
      <c r="O289" s="341"/>
      <c r="P289" s="339"/>
    </row>
    <row r="290" spans="1:16" s="325" customFormat="1" ht="33" hidden="1">
      <c r="A290" s="333" t="s">
        <v>2209</v>
      </c>
      <c r="B290" s="334" t="s">
        <v>821</v>
      </c>
      <c r="C290" s="335" t="s">
        <v>669</v>
      </c>
      <c r="D290" s="336">
        <v>1</v>
      </c>
      <c r="E290" s="336">
        <f>估驗單!F279</f>
        <v>1</v>
      </c>
      <c r="F290" s="390">
        <f t="shared" si="26"/>
        <v>0</v>
      </c>
      <c r="G290" s="336">
        <v>61.98</v>
      </c>
      <c r="H290" s="336"/>
      <c r="I290" s="336">
        <f t="shared" si="23"/>
        <v>61.98</v>
      </c>
      <c r="J290" s="336">
        <f t="shared" si="24"/>
        <v>61.98</v>
      </c>
      <c r="K290" s="546">
        <f t="shared" si="25"/>
        <v>0</v>
      </c>
      <c r="L290" s="502"/>
      <c r="M290" s="231" t="s">
        <v>2321</v>
      </c>
      <c r="N290" s="11" t="s">
        <v>243</v>
      </c>
      <c r="O290" s="341"/>
      <c r="P290" s="339"/>
    </row>
    <row r="291" spans="1:16" s="325" customFormat="1" ht="33" hidden="1">
      <c r="A291" s="333" t="s">
        <v>2210</v>
      </c>
      <c r="B291" s="334" t="s">
        <v>824</v>
      </c>
      <c r="C291" s="335" t="s">
        <v>669</v>
      </c>
      <c r="D291" s="336">
        <v>1</v>
      </c>
      <c r="E291" s="336">
        <f>估驗單!F280</f>
        <v>1</v>
      </c>
      <c r="F291" s="390">
        <f t="shared" si="26"/>
        <v>0</v>
      </c>
      <c r="G291" s="336">
        <v>154.66</v>
      </c>
      <c r="H291" s="336"/>
      <c r="I291" s="336">
        <f t="shared" si="23"/>
        <v>154.66</v>
      </c>
      <c r="J291" s="336">
        <f t="shared" si="24"/>
        <v>154.66</v>
      </c>
      <c r="K291" s="546">
        <f t="shared" si="25"/>
        <v>0</v>
      </c>
      <c r="L291" s="502"/>
      <c r="M291" s="231" t="s">
        <v>2321</v>
      </c>
      <c r="N291" s="11" t="s">
        <v>243</v>
      </c>
      <c r="O291" s="341"/>
      <c r="P291" s="339"/>
    </row>
    <row r="292" spans="1:16" s="325" customFormat="1" ht="33" hidden="1">
      <c r="A292" s="333" t="s">
        <v>2211</v>
      </c>
      <c r="B292" s="334" t="s">
        <v>827</v>
      </c>
      <c r="C292" s="335" t="s">
        <v>669</v>
      </c>
      <c r="D292" s="336">
        <v>1</v>
      </c>
      <c r="E292" s="336">
        <f>估驗單!F281</f>
        <v>1</v>
      </c>
      <c r="F292" s="390">
        <f t="shared" si="26"/>
        <v>0</v>
      </c>
      <c r="G292" s="336">
        <v>67.709999999999994</v>
      </c>
      <c r="H292" s="336"/>
      <c r="I292" s="336">
        <f t="shared" si="23"/>
        <v>67.709999999999994</v>
      </c>
      <c r="J292" s="336">
        <f t="shared" si="24"/>
        <v>67.709999999999994</v>
      </c>
      <c r="K292" s="546">
        <f t="shared" si="25"/>
        <v>0</v>
      </c>
      <c r="L292" s="502"/>
      <c r="M292" s="231" t="s">
        <v>2321</v>
      </c>
      <c r="N292" s="11" t="s">
        <v>243</v>
      </c>
      <c r="O292" s="341"/>
      <c r="P292" s="339"/>
    </row>
    <row r="293" spans="1:16" s="325" customFormat="1" ht="33" hidden="1">
      <c r="A293" s="333" t="s">
        <v>2212</v>
      </c>
      <c r="B293" s="334" t="s">
        <v>830</v>
      </c>
      <c r="C293" s="335" t="s">
        <v>669</v>
      </c>
      <c r="D293" s="336">
        <v>1</v>
      </c>
      <c r="E293" s="336">
        <f>估驗單!F282</f>
        <v>1</v>
      </c>
      <c r="F293" s="390">
        <f t="shared" si="26"/>
        <v>0</v>
      </c>
      <c r="G293" s="336">
        <v>54.25</v>
      </c>
      <c r="H293" s="336"/>
      <c r="I293" s="336">
        <f t="shared" si="23"/>
        <v>54.25</v>
      </c>
      <c r="J293" s="336">
        <f t="shared" si="24"/>
        <v>54.25</v>
      </c>
      <c r="K293" s="546">
        <f t="shared" si="25"/>
        <v>0</v>
      </c>
      <c r="L293" s="502"/>
      <c r="M293" s="231" t="s">
        <v>2321</v>
      </c>
      <c r="N293" s="11" t="s">
        <v>243</v>
      </c>
      <c r="O293" s="341"/>
      <c r="P293" s="339"/>
    </row>
    <row r="294" spans="1:16" s="325" customFormat="1" ht="33" hidden="1">
      <c r="A294" s="333" t="s">
        <v>2213</v>
      </c>
      <c r="B294" s="334" t="s">
        <v>833</v>
      </c>
      <c r="C294" s="335" t="s">
        <v>669</v>
      </c>
      <c r="D294" s="336">
        <v>1</v>
      </c>
      <c r="E294" s="336">
        <f>估驗單!F283</f>
        <v>1</v>
      </c>
      <c r="F294" s="390">
        <f t="shared" si="26"/>
        <v>0</v>
      </c>
      <c r="G294" s="336">
        <v>90.3</v>
      </c>
      <c r="H294" s="336"/>
      <c r="I294" s="336">
        <f t="shared" si="23"/>
        <v>90.3</v>
      </c>
      <c r="J294" s="336">
        <f t="shared" si="24"/>
        <v>90.3</v>
      </c>
      <c r="K294" s="546">
        <f t="shared" si="25"/>
        <v>0</v>
      </c>
      <c r="L294" s="502"/>
      <c r="M294" s="231" t="s">
        <v>2321</v>
      </c>
      <c r="N294" s="11" t="s">
        <v>243</v>
      </c>
      <c r="O294" s="341"/>
      <c r="P294" s="339"/>
    </row>
    <row r="295" spans="1:16" s="325" customFormat="1" ht="33" hidden="1">
      <c r="A295" s="333" t="s">
        <v>2214</v>
      </c>
      <c r="B295" s="334" t="s">
        <v>836</v>
      </c>
      <c r="C295" s="335" t="s">
        <v>669</v>
      </c>
      <c r="D295" s="336">
        <v>1</v>
      </c>
      <c r="E295" s="336">
        <f>估驗單!F284</f>
        <v>1</v>
      </c>
      <c r="F295" s="390">
        <f t="shared" si="26"/>
        <v>0</v>
      </c>
      <c r="G295" s="336">
        <v>67.13</v>
      </c>
      <c r="H295" s="336"/>
      <c r="I295" s="336">
        <f t="shared" si="23"/>
        <v>67.13</v>
      </c>
      <c r="J295" s="336">
        <f t="shared" si="24"/>
        <v>67.13</v>
      </c>
      <c r="K295" s="546">
        <f t="shared" si="25"/>
        <v>0</v>
      </c>
      <c r="L295" s="502"/>
      <c r="M295" s="231" t="s">
        <v>2321</v>
      </c>
      <c r="N295" s="11" t="s">
        <v>243</v>
      </c>
      <c r="O295" s="341"/>
      <c r="P295" s="339"/>
    </row>
    <row r="296" spans="1:16" s="325" customFormat="1" ht="33" hidden="1">
      <c r="A296" s="333" t="s">
        <v>2215</v>
      </c>
      <c r="B296" s="334" t="s">
        <v>839</v>
      </c>
      <c r="C296" s="335" t="s">
        <v>669</v>
      </c>
      <c r="D296" s="336">
        <v>1</v>
      </c>
      <c r="E296" s="336">
        <f>估驗單!F285</f>
        <v>1</v>
      </c>
      <c r="F296" s="390">
        <f t="shared" si="26"/>
        <v>0</v>
      </c>
      <c r="G296" s="336">
        <v>56.83</v>
      </c>
      <c r="H296" s="336"/>
      <c r="I296" s="336">
        <f t="shared" si="23"/>
        <v>56.83</v>
      </c>
      <c r="J296" s="336">
        <f t="shared" si="24"/>
        <v>56.83</v>
      </c>
      <c r="K296" s="546">
        <f t="shared" si="25"/>
        <v>0</v>
      </c>
      <c r="L296" s="502"/>
      <c r="M296" s="231" t="s">
        <v>2321</v>
      </c>
      <c r="N296" s="11" t="s">
        <v>243</v>
      </c>
      <c r="O296" s="341"/>
      <c r="P296" s="339"/>
    </row>
    <row r="297" spans="1:16" s="325" customFormat="1" ht="33" hidden="1">
      <c r="A297" s="333" t="s">
        <v>2216</v>
      </c>
      <c r="B297" s="334" t="s">
        <v>842</v>
      </c>
      <c r="C297" s="335" t="s">
        <v>669</v>
      </c>
      <c r="D297" s="336">
        <v>1</v>
      </c>
      <c r="E297" s="336">
        <f>估驗單!F286</f>
        <v>1</v>
      </c>
      <c r="F297" s="390">
        <f t="shared" si="26"/>
        <v>0</v>
      </c>
      <c r="G297" s="336">
        <v>68.67</v>
      </c>
      <c r="H297" s="336"/>
      <c r="I297" s="336">
        <f t="shared" si="23"/>
        <v>68.67</v>
      </c>
      <c r="J297" s="336">
        <f t="shared" si="24"/>
        <v>68.67</v>
      </c>
      <c r="K297" s="546">
        <f t="shared" si="25"/>
        <v>0</v>
      </c>
      <c r="L297" s="502"/>
      <c r="M297" s="231" t="s">
        <v>2321</v>
      </c>
      <c r="N297" s="11" t="s">
        <v>243</v>
      </c>
      <c r="O297" s="341"/>
      <c r="P297" s="339"/>
    </row>
    <row r="298" spans="1:16" s="325" customFormat="1" ht="33" hidden="1">
      <c r="A298" s="333" t="s">
        <v>2217</v>
      </c>
      <c r="B298" s="334" t="s">
        <v>845</v>
      </c>
      <c r="C298" s="335" t="s">
        <v>669</v>
      </c>
      <c r="D298" s="336">
        <v>1</v>
      </c>
      <c r="E298" s="336">
        <f>估驗單!F287</f>
        <v>1</v>
      </c>
      <c r="F298" s="390">
        <f t="shared" si="26"/>
        <v>0</v>
      </c>
      <c r="G298" s="336">
        <v>59.92</v>
      </c>
      <c r="H298" s="336"/>
      <c r="I298" s="336">
        <f t="shared" si="23"/>
        <v>59.92</v>
      </c>
      <c r="J298" s="336">
        <f t="shared" si="24"/>
        <v>59.92</v>
      </c>
      <c r="K298" s="546">
        <f t="shared" si="25"/>
        <v>0</v>
      </c>
      <c r="L298" s="502"/>
      <c r="M298" s="231" t="s">
        <v>2321</v>
      </c>
      <c r="N298" s="11" t="s">
        <v>243</v>
      </c>
      <c r="O298" s="341"/>
      <c r="P298" s="339"/>
    </row>
    <row r="299" spans="1:16" s="325" customFormat="1" ht="33" hidden="1">
      <c r="A299" s="333" t="s">
        <v>2218</v>
      </c>
      <c r="B299" s="334" t="s">
        <v>848</v>
      </c>
      <c r="C299" s="335" t="s">
        <v>669</v>
      </c>
      <c r="D299" s="336">
        <v>1</v>
      </c>
      <c r="E299" s="336">
        <f>估驗單!F288</f>
        <v>1</v>
      </c>
      <c r="F299" s="390">
        <f t="shared" si="26"/>
        <v>0</v>
      </c>
      <c r="G299" s="336">
        <v>58.37</v>
      </c>
      <c r="H299" s="336"/>
      <c r="I299" s="336">
        <f t="shared" si="23"/>
        <v>58.37</v>
      </c>
      <c r="J299" s="336">
        <f t="shared" si="24"/>
        <v>58.37</v>
      </c>
      <c r="K299" s="546">
        <f t="shared" si="25"/>
        <v>0</v>
      </c>
      <c r="L299" s="502"/>
      <c r="M299" s="231" t="s">
        <v>2321</v>
      </c>
      <c r="N299" s="11" t="s">
        <v>243</v>
      </c>
      <c r="O299" s="341"/>
      <c r="P299" s="339"/>
    </row>
    <row r="300" spans="1:16" s="325" customFormat="1" ht="33" hidden="1">
      <c r="A300" s="333" t="s">
        <v>2219</v>
      </c>
      <c r="B300" s="334" t="s">
        <v>851</v>
      </c>
      <c r="C300" s="335" t="s">
        <v>669</v>
      </c>
      <c r="D300" s="336">
        <v>1</v>
      </c>
      <c r="E300" s="336">
        <f>估驗單!F289</f>
        <v>1</v>
      </c>
      <c r="F300" s="390">
        <f t="shared" si="26"/>
        <v>0</v>
      </c>
      <c r="G300" s="336">
        <v>68.209999999999994</v>
      </c>
      <c r="H300" s="336"/>
      <c r="I300" s="336">
        <f t="shared" si="23"/>
        <v>68.209999999999994</v>
      </c>
      <c r="J300" s="336">
        <f t="shared" si="24"/>
        <v>68.209999999999994</v>
      </c>
      <c r="K300" s="546">
        <f t="shared" si="25"/>
        <v>0</v>
      </c>
      <c r="L300" s="502"/>
      <c r="M300" s="231" t="s">
        <v>2321</v>
      </c>
      <c r="N300" s="11" t="s">
        <v>243</v>
      </c>
      <c r="O300" s="341"/>
      <c r="P300" s="339"/>
    </row>
    <row r="301" spans="1:16" s="325" customFormat="1" ht="33" hidden="1">
      <c r="A301" s="333" t="s">
        <v>2220</v>
      </c>
      <c r="B301" s="334" t="s">
        <v>854</v>
      </c>
      <c r="C301" s="335" t="s">
        <v>669</v>
      </c>
      <c r="D301" s="336">
        <v>1</v>
      </c>
      <c r="E301" s="336">
        <f>估驗單!F290</f>
        <v>1</v>
      </c>
      <c r="F301" s="390">
        <f t="shared" si="26"/>
        <v>0</v>
      </c>
      <c r="G301" s="336">
        <v>72.33</v>
      </c>
      <c r="H301" s="336"/>
      <c r="I301" s="336">
        <f t="shared" ref="I301:I313" si="27">ROUND(D301*G301,2)</f>
        <v>72.33</v>
      </c>
      <c r="J301" s="336">
        <f t="shared" ref="J301:J313" si="28">ROUND(E301*G301,2)</f>
        <v>72.33</v>
      </c>
      <c r="K301" s="546">
        <f t="shared" si="25"/>
        <v>0</v>
      </c>
      <c r="L301" s="502"/>
      <c r="M301" s="231" t="s">
        <v>2321</v>
      </c>
      <c r="N301" s="11" t="s">
        <v>243</v>
      </c>
      <c r="O301" s="341"/>
      <c r="P301" s="339"/>
    </row>
    <row r="302" spans="1:16" ht="33" hidden="1">
      <c r="A302" s="333" t="s">
        <v>2221</v>
      </c>
      <c r="B302" s="334" t="s">
        <v>857</v>
      </c>
      <c r="C302" s="335" t="s">
        <v>669</v>
      </c>
      <c r="D302" s="336">
        <v>1</v>
      </c>
      <c r="E302" s="336">
        <f>估驗單!F291</f>
        <v>1</v>
      </c>
      <c r="F302" s="390">
        <f t="shared" si="26"/>
        <v>0</v>
      </c>
      <c r="G302" s="336">
        <v>111.47</v>
      </c>
      <c r="H302" s="336"/>
      <c r="I302" s="336">
        <f t="shared" si="27"/>
        <v>111.47</v>
      </c>
      <c r="J302" s="336">
        <f t="shared" si="28"/>
        <v>111.47</v>
      </c>
      <c r="K302" s="546">
        <f t="shared" si="25"/>
        <v>0</v>
      </c>
      <c r="L302" s="502"/>
      <c r="M302" s="231" t="s">
        <v>2321</v>
      </c>
      <c r="N302" s="11" t="s">
        <v>243</v>
      </c>
      <c r="O302" s="341"/>
      <c r="P302" s="339"/>
    </row>
    <row r="303" spans="1:16" ht="33" hidden="1">
      <c r="A303" s="333" t="s">
        <v>2222</v>
      </c>
      <c r="B303" s="334" t="s">
        <v>860</v>
      </c>
      <c r="C303" s="335" t="s">
        <v>669</v>
      </c>
      <c r="D303" s="336">
        <v>1</v>
      </c>
      <c r="E303" s="336">
        <f>估驗單!F292</f>
        <v>1</v>
      </c>
      <c r="F303" s="390">
        <f t="shared" si="26"/>
        <v>0</v>
      </c>
      <c r="G303" s="336">
        <v>101.17</v>
      </c>
      <c r="H303" s="336"/>
      <c r="I303" s="336">
        <f t="shared" si="27"/>
        <v>101.17</v>
      </c>
      <c r="J303" s="336">
        <f t="shared" si="28"/>
        <v>101.17</v>
      </c>
      <c r="K303" s="546">
        <f t="shared" si="25"/>
        <v>0</v>
      </c>
      <c r="L303" s="502"/>
      <c r="M303" s="231" t="s">
        <v>2321</v>
      </c>
      <c r="N303" s="11" t="s">
        <v>243</v>
      </c>
      <c r="O303" s="341"/>
      <c r="P303" s="339"/>
    </row>
    <row r="304" spans="1:16" ht="33" hidden="1">
      <c r="A304" s="333" t="s">
        <v>2223</v>
      </c>
      <c r="B304" s="334" t="s">
        <v>863</v>
      </c>
      <c r="C304" s="335" t="s">
        <v>669</v>
      </c>
      <c r="D304" s="336">
        <v>1</v>
      </c>
      <c r="E304" s="336">
        <f>估驗單!F293</f>
        <v>1</v>
      </c>
      <c r="F304" s="390">
        <f t="shared" si="26"/>
        <v>0</v>
      </c>
      <c r="G304" s="336">
        <v>81.62</v>
      </c>
      <c r="H304" s="336"/>
      <c r="I304" s="336">
        <f t="shared" si="27"/>
        <v>81.62</v>
      </c>
      <c r="J304" s="336">
        <f t="shared" si="28"/>
        <v>81.62</v>
      </c>
      <c r="K304" s="546">
        <f t="shared" si="25"/>
        <v>0</v>
      </c>
      <c r="L304" s="502"/>
      <c r="M304" s="231" t="s">
        <v>242</v>
      </c>
      <c r="N304" s="11" t="s">
        <v>243</v>
      </c>
      <c r="O304" s="341"/>
      <c r="P304" s="339"/>
    </row>
    <row r="305" spans="1:19" ht="33" hidden="1">
      <c r="A305" s="333" t="s">
        <v>2224</v>
      </c>
      <c r="B305" s="334" t="s">
        <v>866</v>
      </c>
      <c r="C305" s="335" t="s">
        <v>669</v>
      </c>
      <c r="D305" s="336">
        <v>1</v>
      </c>
      <c r="E305" s="336">
        <f>估驗單!F294</f>
        <v>1</v>
      </c>
      <c r="F305" s="390">
        <f t="shared" si="26"/>
        <v>0</v>
      </c>
      <c r="G305" s="336">
        <v>79.040000000000006</v>
      </c>
      <c r="H305" s="336"/>
      <c r="I305" s="336">
        <f t="shared" si="27"/>
        <v>79.040000000000006</v>
      </c>
      <c r="J305" s="336">
        <f t="shared" si="28"/>
        <v>79.040000000000006</v>
      </c>
      <c r="K305" s="546">
        <f t="shared" si="25"/>
        <v>0</v>
      </c>
      <c r="L305" s="502"/>
      <c r="M305" s="231" t="s">
        <v>242</v>
      </c>
      <c r="N305" s="11" t="s">
        <v>243</v>
      </c>
      <c r="O305" s="341"/>
      <c r="P305" s="339"/>
    </row>
    <row r="306" spans="1:19" ht="33" hidden="1">
      <c r="A306" s="333" t="s">
        <v>2225</v>
      </c>
      <c r="B306" s="334" t="s">
        <v>869</v>
      </c>
      <c r="C306" s="335" t="s">
        <v>669</v>
      </c>
      <c r="D306" s="336">
        <v>1</v>
      </c>
      <c r="E306" s="336">
        <f>估驗單!F295</f>
        <v>1</v>
      </c>
      <c r="F306" s="390">
        <f t="shared" si="26"/>
        <v>0</v>
      </c>
      <c r="G306" s="336">
        <v>99.64</v>
      </c>
      <c r="H306" s="336"/>
      <c r="I306" s="336">
        <f t="shared" si="27"/>
        <v>99.64</v>
      </c>
      <c r="J306" s="336">
        <f t="shared" si="28"/>
        <v>99.64</v>
      </c>
      <c r="K306" s="546">
        <f t="shared" si="25"/>
        <v>0</v>
      </c>
      <c r="L306" s="502"/>
      <c r="M306" s="231" t="s">
        <v>242</v>
      </c>
      <c r="N306" s="11" t="s">
        <v>243</v>
      </c>
      <c r="O306" s="341"/>
      <c r="P306" s="339"/>
    </row>
    <row r="307" spans="1:19" ht="33" hidden="1">
      <c r="A307" s="333" t="s">
        <v>2226</v>
      </c>
      <c r="B307" s="334" t="s">
        <v>872</v>
      </c>
      <c r="C307" s="335" t="s">
        <v>669</v>
      </c>
      <c r="D307" s="336">
        <v>1</v>
      </c>
      <c r="E307" s="336">
        <f>估驗單!F296</f>
        <v>1</v>
      </c>
      <c r="F307" s="390">
        <f t="shared" si="26"/>
        <v>0</v>
      </c>
      <c r="G307" s="336">
        <v>74.92</v>
      </c>
      <c r="H307" s="336"/>
      <c r="I307" s="336">
        <f t="shared" si="27"/>
        <v>74.92</v>
      </c>
      <c r="J307" s="336">
        <f t="shared" si="28"/>
        <v>74.92</v>
      </c>
      <c r="K307" s="546">
        <f t="shared" si="25"/>
        <v>0</v>
      </c>
      <c r="L307" s="502"/>
      <c r="M307" s="231" t="s">
        <v>242</v>
      </c>
      <c r="N307" s="11" t="s">
        <v>243</v>
      </c>
      <c r="O307" s="341"/>
      <c r="P307" s="339"/>
    </row>
    <row r="308" spans="1:19" ht="33" hidden="1">
      <c r="A308" s="333" t="s">
        <v>2227</v>
      </c>
      <c r="B308" s="334" t="s">
        <v>875</v>
      </c>
      <c r="C308" s="335" t="s">
        <v>669</v>
      </c>
      <c r="D308" s="336">
        <v>1</v>
      </c>
      <c r="E308" s="336">
        <f>估驗單!F297</f>
        <v>1</v>
      </c>
      <c r="F308" s="390">
        <f t="shared" si="26"/>
        <v>0</v>
      </c>
      <c r="G308" s="336">
        <v>72.28</v>
      </c>
      <c r="H308" s="336"/>
      <c r="I308" s="336">
        <f t="shared" si="27"/>
        <v>72.28</v>
      </c>
      <c r="J308" s="336">
        <f t="shared" si="28"/>
        <v>72.28</v>
      </c>
      <c r="K308" s="546">
        <f t="shared" si="25"/>
        <v>0</v>
      </c>
      <c r="L308" s="502"/>
      <c r="M308" s="231" t="s">
        <v>242</v>
      </c>
      <c r="N308" s="11" t="s">
        <v>243</v>
      </c>
      <c r="O308" s="341"/>
      <c r="P308" s="339"/>
    </row>
    <row r="309" spans="1:19" ht="33" hidden="1">
      <c r="A309" s="333" t="s">
        <v>2228</v>
      </c>
      <c r="B309" s="334" t="s">
        <v>878</v>
      </c>
      <c r="C309" s="335" t="s">
        <v>13</v>
      </c>
      <c r="D309" s="336">
        <v>1</v>
      </c>
      <c r="E309" s="336">
        <f>估驗單!F298</f>
        <v>1</v>
      </c>
      <c r="F309" s="390">
        <f t="shared" si="26"/>
        <v>0</v>
      </c>
      <c r="G309" s="336">
        <v>43.77</v>
      </c>
      <c r="H309" s="336"/>
      <c r="I309" s="336">
        <f t="shared" si="27"/>
        <v>43.77</v>
      </c>
      <c r="J309" s="336">
        <f t="shared" si="28"/>
        <v>43.77</v>
      </c>
      <c r="K309" s="546">
        <f t="shared" si="25"/>
        <v>0</v>
      </c>
      <c r="L309" s="502"/>
      <c r="M309" s="231" t="s">
        <v>242</v>
      </c>
      <c r="N309" s="11" t="s">
        <v>243</v>
      </c>
      <c r="O309" s="341"/>
      <c r="P309" s="339"/>
    </row>
    <row r="310" spans="1:19" ht="33" hidden="1">
      <c r="A310" s="333" t="s">
        <v>2229</v>
      </c>
      <c r="B310" s="334" t="s">
        <v>881</v>
      </c>
      <c r="C310" s="335" t="s">
        <v>882</v>
      </c>
      <c r="D310" s="336">
        <v>1</v>
      </c>
      <c r="E310" s="336">
        <f>估驗單!F299</f>
        <v>1</v>
      </c>
      <c r="F310" s="390">
        <f t="shared" si="26"/>
        <v>0</v>
      </c>
      <c r="G310" s="336">
        <v>28.11</v>
      </c>
      <c r="H310" s="336"/>
      <c r="I310" s="336">
        <f t="shared" si="27"/>
        <v>28.11</v>
      </c>
      <c r="J310" s="336">
        <f t="shared" si="28"/>
        <v>28.11</v>
      </c>
      <c r="K310" s="546">
        <f t="shared" si="25"/>
        <v>0</v>
      </c>
      <c r="L310" s="502"/>
      <c r="M310" s="231" t="s">
        <v>242</v>
      </c>
      <c r="N310" s="11" t="s">
        <v>243</v>
      </c>
      <c r="O310" s="341"/>
      <c r="P310" s="339"/>
    </row>
    <row r="311" spans="1:19" ht="33" hidden="1">
      <c r="A311" s="333" t="s">
        <v>2230</v>
      </c>
      <c r="B311" s="334" t="s">
        <v>885</v>
      </c>
      <c r="C311" s="335" t="s">
        <v>13</v>
      </c>
      <c r="D311" s="336">
        <v>1</v>
      </c>
      <c r="E311" s="336">
        <f>估驗單!F300</f>
        <v>1</v>
      </c>
      <c r="F311" s="390">
        <f t="shared" si="26"/>
        <v>0</v>
      </c>
      <c r="G311" s="336">
        <v>239.86</v>
      </c>
      <c r="H311" s="336"/>
      <c r="I311" s="336">
        <f t="shared" si="27"/>
        <v>239.86</v>
      </c>
      <c r="J311" s="336">
        <f t="shared" si="28"/>
        <v>239.86</v>
      </c>
      <c r="K311" s="546">
        <f t="shared" si="25"/>
        <v>0</v>
      </c>
      <c r="L311" s="502"/>
      <c r="M311" s="231" t="s">
        <v>2410</v>
      </c>
      <c r="N311" s="11" t="s">
        <v>243</v>
      </c>
      <c r="O311" s="341"/>
      <c r="P311" s="339"/>
    </row>
    <row r="312" spans="1:19" s="352" customFormat="1" ht="45" hidden="1">
      <c r="A312" s="343">
        <v>76</v>
      </c>
      <c r="B312" s="344" t="s">
        <v>2411</v>
      </c>
      <c r="C312" s="345" t="s">
        <v>2386</v>
      </c>
      <c r="D312" s="340">
        <v>1305</v>
      </c>
      <c r="E312" s="336">
        <f>估驗單!F301</f>
        <v>1305</v>
      </c>
      <c r="F312" s="390">
        <f t="shared" si="26"/>
        <v>0</v>
      </c>
      <c r="G312" s="340">
        <v>1765.46</v>
      </c>
      <c r="H312" s="340"/>
      <c r="I312" s="336">
        <f t="shared" si="27"/>
        <v>2303925.2999999998</v>
      </c>
      <c r="J312" s="336">
        <f t="shared" si="28"/>
        <v>2303925.2999999998</v>
      </c>
      <c r="K312" s="546">
        <f t="shared" si="25"/>
        <v>0</v>
      </c>
      <c r="L312" s="502"/>
      <c r="M312" s="350" t="s">
        <v>2412</v>
      </c>
      <c r="N312" s="347"/>
      <c r="O312" s="348" t="s">
        <v>2413</v>
      </c>
      <c r="P312" s="349" t="s">
        <v>2414</v>
      </c>
      <c r="Q312" s="325" t="s">
        <v>2415</v>
      </c>
      <c r="S312" s="372" t="s">
        <v>2416</v>
      </c>
    </row>
    <row r="313" spans="1:19" s="363" customFormat="1" ht="31.5" hidden="1" customHeight="1">
      <c r="A313" s="343">
        <v>77</v>
      </c>
      <c r="B313" s="344" t="s">
        <v>1508</v>
      </c>
      <c r="C313" s="345" t="s">
        <v>1509</v>
      </c>
      <c r="D313" s="340">
        <f>9*1702</f>
        <v>15318</v>
      </c>
      <c r="E313" s="336">
        <f>估驗單!F302</f>
        <v>15318</v>
      </c>
      <c r="F313" s="418">
        <f t="shared" si="26"/>
        <v>0</v>
      </c>
      <c r="G313" s="340">
        <v>149.99</v>
      </c>
      <c r="H313" s="340"/>
      <c r="I313" s="336">
        <f t="shared" si="27"/>
        <v>2297546.8199999998</v>
      </c>
      <c r="J313" s="336">
        <f t="shared" si="28"/>
        <v>2297546.8199999998</v>
      </c>
      <c r="K313" s="546">
        <f t="shared" si="25"/>
        <v>0</v>
      </c>
      <c r="L313" s="453"/>
      <c r="M313" s="346"/>
      <c r="N313" s="347"/>
      <c r="O313" s="354" t="s">
        <v>2417</v>
      </c>
      <c r="P313" s="322" t="s">
        <v>2418</v>
      </c>
      <c r="Q313" s="325" t="s">
        <v>2400</v>
      </c>
    </row>
    <row r="314" spans="1:19" ht="33" hidden="1">
      <c r="A314" s="406" t="s">
        <v>2248</v>
      </c>
      <c r="B314" s="407" t="s">
        <v>888</v>
      </c>
      <c r="C314" s="408" t="s">
        <v>4</v>
      </c>
      <c r="D314" s="409">
        <v>1</v>
      </c>
      <c r="E314" s="409">
        <f>估驗單!F303</f>
        <v>1</v>
      </c>
      <c r="F314" s="410"/>
      <c r="G314" s="409">
        <f>I314</f>
        <v>5050770.370000001</v>
      </c>
      <c r="H314" s="409"/>
      <c r="I314" s="409">
        <f>SUM(I315:I347)</f>
        <v>5050770.370000001</v>
      </c>
      <c r="J314" s="409">
        <f>SUM(J315:J347)</f>
        <v>5050770.370000001</v>
      </c>
      <c r="K314" s="542">
        <f>SUM(K315:K347)</f>
        <v>0</v>
      </c>
      <c r="L314" s="534">
        <f>SUM(L315:L347)</f>
        <v>0</v>
      </c>
      <c r="M314" s="288" t="s">
        <v>242</v>
      </c>
      <c r="N314" s="11" t="s">
        <v>243</v>
      </c>
      <c r="O314" s="338"/>
      <c r="P314" s="339"/>
    </row>
    <row r="315" spans="1:19" ht="33" hidden="1">
      <c r="A315" s="333" t="s">
        <v>2154</v>
      </c>
      <c r="B315" s="334" t="s">
        <v>890</v>
      </c>
      <c r="C315" s="335" t="s">
        <v>4</v>
      </c>
      <c r="D315" s="336">
        <v>1</v>
      </c>
      <c r="E315" s="336">
        <f>估驗單!F304</f>
        <v>1</v>
      </c>
      <c r="F315" s="390">
        <f t="shared" si="26"/>
        <v>0</v>
      </c>
      <c r="G315" s="336">
        <v>88179.19</v>
      </c>
      <c r="H315" s="336"/>
      <c r="I315" s="336">
        <f t="shared" ref="I315:I347" si="29">ROUND(D315*G315,2)</f>
        <v>88179.19</v>
      </c>
      <c r="J315" s="336">
        <f t="shared" ref="J315:J347" si="30">ROUND(E315*G315,2)</f>
        <v>88179.19</v>
      </c>
      <c r="K315" s="546">
        <f t="shared" si="25"/>
        <v>0</v>
      </c>
      <c r="L315" s="502"/>
      <c r="M315" s="231" t="s">
        <v>242</v>
      </c>
      <c r="N315" s="11" t="s">
        <v>243</v>
      </c>
      <c r="O315" s="341"/>
      <c r="P315" s="339"/>
    </row>
    <row r="316" spans="1:19" ht="33" hidden="1">
      <c r="A316" s="333" t="s">
        <v>2155</v>
      </c>
      <c r="B316" s="334" t="s">
        <v>893</v>
      </c>
      <c r="C316" s="335" t="s">
        <v>4</v>
      </c>
      <c r="D316" s="336">
        <v>1</v>
      </c>
      <c r="E316" s="336">
        <f>估驗單!F305</f>
        <v>1</v>
      </c>
      <c r="F316" s="390">
        <f t="shared" si="26"/>
        <v>0</v>
      </c>
      <c r="G316" s="336">
        <v>149702.84</v>
      </c>
      <c r="H316" s="336"/>
      <c r="I316" s="336">
        <f t="shared" si="29"/>
        <v>149702.84</v>
      </c>
      <c r="J316" s="336">
        <f t="shared" si="30"/>
        <v>149702.84</v>
      </c>
      <c r="K316" s="546">
        <f t="shared" si="25"/>
        <v>0</v>
      </c>
      <c r="L316" s="502"/>
      <c r="M316" s="231" t="s">
        <v>242</v>
      </c>
      <c r="N316" s="11" t="s">
        <v>243</v>
      </c>
      <c r="O316" s="341"/>
      <c r="P316" s="339"/>
    </row>
    <row r="317" spans="1:19" ht="33" hidden="1">
      <c r="A317" s="333" t="s">
        <v>2156</v>
      </c>
      <c r="B317" s="334" t="s">
        <v>896</v>
      </c>
      <c r="C317" s="335" t="s">
        <v>4</v>
      </c>
      <c r="D317" s="336">
        <v>1</v>
      </c>
      <c r="E317" s="336">
        <f>估驗單!F306</f>
        <v>1</v>
      </c>
      <c r="F317" s="390">
        <f t="shared" si="26"/>
        <v>0</v>
      </c>
      <c r="G317" s="336">
        <v>168290.82</v>
      </c>
      <c r="H317" s="336"/>
      <c r="I317" s="336">
        <f t="shared" si="29"/>
        <v>168290.82</v>
      </c>
      <c r="J317" s="336">
        <f t="shared" si="30"/>
        <v>168290.82</v>
      </c>
      <c r="K317" s="546">
        <f t="shared" si="25"/>
        <v>0</v>
      </c>
      <c r="L317" s="502"/>
      <c r="M317" s="231" t="s">
        <v>242</v>
      </c>
      <c r="N317" s="11" t="s">
        <v>243</v>
      </c>
      <c r="O317" s="341"/>
      <c r="P317" s="339"/>
    </row>
    <row r="318" spans="1:19" ht="33" hidden="1">
      <c r="A318" s="333" t="s">
        <v>2157</v>
      </c>
      <c r="B318" s="334" t="s">
        <v>899</v>
      </c>
      <c r="C318" s="335" t="s">
        <v>4</v>
      </c>
      <c r="D318" s="336">
        <v>1</v>
      </c>
      <c r="E318" s="336">
        <f>估驗單!F307</f>
        <v>1</v>
      </c>
      <c r="F318" s="390">
        <f t="shared" si="26"/>
        <v>0</v>
      </c>
      <c r="G318" s="336">
        <v>23946.69</v>
      </c>
      <c r="H318" s="336"/>
      <c r="I318" s="336">
        <f t="shared" si="29"/>
        <v>23946.69</v>
      </c>
      <c r="J318" s="336">
        <f t="shared" si="30"/>
        <v>23946.69</v>
      </c>
      <c r="K318" s="546">
        <f t="shared" si="25"/>
        <v>0</v>
      </c>
      <c r="L318" s="502"/>
      <c r="M318" s="231" t="s">
        <v>242</v>
      </c>
      <c r="N318" s="11" t="s">
        <v>243</v>
      </c>
      <c r="O318" s="341"/>
      <c r="P318" s="339"/>
    </row>
    <row r="319" spans="1:19" s="325" customFormat="1" ht="33" hidden="1">
      <c r="A319" s="333" t="s">
        <v>2158</v>
      </c>
      <c r="B319" s="334" t="s">
        <v>902</v>
      </c>
      <c r="C319" s="335" t="s">
        <v>0</v>
      </c>
      <c r="D319" s="336">
        <v>11</v>
      </c>
      <c r="E319" s="336">
        <f>估驗單!F308</f>
        <v>11</v>
      </c>
      <c r="F319" s="390">
        <f t="shared" si="26"/>
        <v>0</v>
      </c>
      <c r="G319" s="336">
        <v>42797.67</v>
      </c>
      <c r="H319" s="336"/>
      <c r="I319" s="336">
        <f t="shared" si="29"/>
        <v>470774.37</v>
      </c>
      <c r="J319" s="336">
        <f t="shared" si="30"/>
        <v>470774.37</v>
      </c>
      <c r="K319" s="546">
        <f t="shared" si="25"/>
        <v>0</v>
      </c>
      <c r="L319" s="502"/>
      <c r="M319" s="231" t="s">
        <v>2419</v>
      </c>
      <c r="N319" s="11" t="s">
        <v>243</v>
      </c>
      <c r="O319" s="341"/>
      <c r="P319" s="339"/>
    </row>
    <row r="320" spans="1:19" s="325" customFormat="1" ht="33" hidden="1">
      <c r="A320" s="333" t="s">
        <v>2159</v>
      </c>
      <c r="B320" s="334" t="s">
        <v>905</v>
      </c>
      <c r="C320" s="335" t="s">
        <v>0</v>
      </c>
      <c r="D320" s="336">
        <v>9</v>
      </c>
      <c r="E320" s="336">
        <f>估驗單!F309</f>
        <v>9</v>
      </c>
      <c r="F320" s="390">
        <f t="shared" si="26"/>
        <v>0</v>
      </c>
      <c r="G320" s="336">
        <v>60396.71</v>
      </c>
      <c r="H320" s="336"/>
      <c r="I320" s="336">
        <f t="shared" si="29"/>
        <v>543570.39</v>
      </c>
      <c r="J320" s="336">
        <f t="shared" si="30"/>
        <v>543570.39</v>
      </c>
      <c r="K320" s="546">
        <f t="shared" si="25"/>
        <v>0</v>
      </c>
      <c r="L320" s="502"/>
      <c r="M320" s="231" t="s">
        <v>2321</v>
      </c>
      <c r="N320" s="11" t="s">
        <v>243</v>
      </c>
      <c r="O320" s="341"/>
      <c r="P320" s="339"/>
    </row>
    <row r="321" spans="1:16" s="325" customFormat="1" ht="33" hidden="1">
      <c r="A321" s="333" t="s">
        <v>2160</v>
      </c>
      <c r="B321" s="334" t="s">
        <v>908</v>
      </c>
      <c r="C321" s="335" t="s">
        <v>0</v>
      </c>
      <c r="D321" s="336">
        <v>10</v>
      </c>
      <c r="E321" s="336">
        <f>估驗單!F310</f>
        <v>10</v>
      </c>
      <c r="F321" s="390">
        <f t="shared" si="26"/>
        <v>0</v>
      </c>
      <c r="G321" s="336">
        <v>34998.089999999997</v>
      </c>
      <c r="H321" s="336"/>
      <c r="I321" s="336">
        <f t="shared" si="29"/>
        <v>349980.9</v>
      </c>
      <c r="J321" s="336">
        <f t="shared" si="30"/>
        <v>349980.9</v>
      </c>
      <c r="K321" s="546">
        <f t="shared" si="25"/>
        <v>0</v>
      </c>
      <c r="L321" s="502"/>
      <c r="M321" s="231" t="s">
        <v>2321</v>
      </c>
      <c r="N321" s="11" t="s">
        <v>243</v>
      </c>
      <c r="O321" s="341"/>
      <c r="P321" s="339"/>
    </row>
    <row r="322" spans="1:16" s="325" customFormat="1" ht="33" hidden="1">
      <c r="A322" s="333" t="s">
        <v>2161</v>
      </c>
      <c r="B322" s="334" t="s">
        <v>911</v>
      </c>
      <c r="C322" s="335" t="s">
        <v>0</v>
      </c>
      <c r="D322" s="336">
        <v>8</v>
      </c>
      <c r="E322" s="336">
        <f>估驗單!F311</f>
        <v>8</v>
      </c>
      <c r="F322" s="390">
        <f t="shared" si="26"/>
        <v>0</v>
      </c>
      <c r="G322" s="336">
        <v>9999.4500000000007</v>
      </c>
      <c r="H322" s="336"/>
      <c r="I322" s="336">
        <f t="shared" si="29"/>
        <v>79995.600000000006</v>
      </c>
      <c r="J322" s="336">
        <f t="shared" si="30"/>
        <v>79995.600000000006</v>
      </c>
      <c r="K322" s="546">
        <f t="shared" si="25"/>
        <v>0</v>
      </c>
      <c r="L322" s="502"/>
      <c r="M322" s="231" t="s">
        <v>2321</v>
      </c>
      <c r="N322" s="11" t="s">
        <v>243</v>
      </c>
      <c r="O322" s="341"/>
      <c r="P322" s="339"/>
    </row>
    <row r="323" spans="1:16" s="325" customFormat="1" ht="33" hidden="1">
      <c r="A323" s="333" t="s">
        <v>2162</v>
      </c>
      <c r="B323" s="334" t="s">
        <v>914</v>
      </c>
      <c r="C323" s="335" t="s">
        <v>15</v>
      </c>
      <c r="D323" s="336">
        <v>2</v>
      </c>
      <c r="E323" s="336">
        <f>估驗單!F312</f>
        <v>2</v>
      </c>
      <c r="F323" s="390">
        <f t="shared" si="26"/>
        <v>0</v>
      </c>
      <c r="G323" s="336">
        <v>1499.92</v>
      </c>
      <c r="H323" s="336"/>
      <c r="I323" s="336">
        <f t="shared" si="29"/>
        <v>2999.84</v>
      </c>
      <c r="J323" s="336">
        <f t="shared" si="30"/>
        <v>2999.84</v>
      </c>
      <c r="K323" s="546">
        <f t="shared" si="25"/>
        <v>0</v>
      </c>
      <c r="L323" s="502"/>
      <c r="M323" s="231" t="s">
        <v>242</v>
      </c>
      <c r="N323" s="11" t="s">
        <v>243</v>
      </c>
      <c r="O323" s="341"/>
      <c r="P323" s="339"/>
    </row>
    <row r="324" spans="1:16" s="325" customFormat="1" ht="33" hidden="1">
      <c r="A324" s="333" t="s">
        <v>2163</v>
      </c>
      <c r="B324" s="334" t="s">
        <v>917</v>
      </c>
      <c r="C324" s="335" t="s">
        <v>15</v>
      </c>
      <c r="D324" s="336">
        <v>2</v>
      </c>
      <c r="E324" s="336">
        <f>估驗單!F313</f>
        <v>2</v>
      </c>
      <c r="F324" s="390">
        <f t="shared" si="26"/>
        <v>0</v>
      </c>
      <c r="G324" s="336">
        <v>3999.78</v>
      </c>
      <c r="H324" s="336"/>
      <c r="I324" s="336">
        <f t="shared" si="29"/>
        <v>7999.56</v>
      </c>
      <c r="J324" s="336">
        <f t="shared" si="30"/>
        <v>7999.56</v>
      </c>
      <c r="K324" s="546">
        <f t="shared" si="25"/>
        <v>0</v>
      </c>
      <c r="L324" s="502"/>
      <c r="M324" s="231" t="s">
        <v>242</v>
      </c>
      <c r="N324" s="11" t="s">
        <v>243</v>
      </c>
      <c r="O324" s="341"/>
      <c r="P324" s="339"/>
    </row>
    <row r="325" spans="1:16" s="325" customFormat="1" ht="33" hidden="1">
      <c r="A325" s="333" t="s">
        <v>2164</v>
      </c>
      <c r="B325" s="334" t="s">
        <v>920</v>
      </c>
      <c r="C325" s="335" t="s">
        <v>8</v>
      </c>
      <c r="D325" s="336">
        <v>44.6</v>
      </c>
      <c r="E325" s="336">
        <f>估驗單!F314</f>
        <v>44.6</v>
      </c>
      <c r="F325" s="390">
        <f t="shared" si="26"/>
        <v>0</v>
      </c>
      <c r="G325" s="336">
        <v>799.96</v>
      </c>
      <c r="H325" s="336"/>
      <c r="I325" s="336">
        <f t="shared" si="29"/>
        <v>35678.22</v>
      </c>
      <c r="J325" s="336">
        <f t="shared" si="30"/>
        <v>35678.22</v>
      </c>
      <c r="K325" s="546">
        <f t="shared" si="25"/>
        <v>0</v>
      </c>
      <c r="L325" s="502"/>
      <c r="M325" s="231" t="s">
        <v>242</v>
      </c>
      <c r="N325" s="11" t="s">
        <v>243</v>
      </c>
      <c r="O325" s="341"/>
      <c r="P325" s="339"/>
    </row>
    <row r="326" spans="1:16" s="325" customFormat="1" ht="33" hidden="1">
      <c r="A326" s="333" t="s">
        <v>2165</v>
      </c>
      <c r="B326" s="334" t="s">
        <v>923</v>
      </c>
      <c r="C326" s="335" t="s">
        <v>15</v>
      </c>
      <c r="D326" s="336">
        <v>10</v>
      </c>
      <c r="E326" s="336">
        <f>估驗單!F315</f>
        <v>10</v>
      </c>
      <c r="F326" s="390">
        <f t="shared" si="26"/>
        <v>0</v>
      </c>
      <c r="G326" s="336">
        <v>11299.38</v>
      </c>
      <c r="H326" s="336"/>
      <c r="I326" s="336">
        <f t="shared" si="29"/>
        <v>112993.8</v>
      </c>
      <c r="J326" s="336">
        <f t="shared" si="30"/>
        <v>112993.8</v>
      </c>
      <c r="K326" s="546">
        <f t="shared" si="25"/>
        <v>0</v>
      </c>
      <c r="L326" s="502"/>
      <c r="M326" s="231" t="s">
        <v>242</v>
      </c>
      <c r="N326" s="11" t="s">
        <v>243</v>
      </c>
      <c r="O326" s="341"/>
      <c r="P326" s="339"/>
    </row>
    <row r="327" spans="1:16" s="325" customFormat="1" ht="33" hidden="1">
      <c r="A327" s="333" t="s">
        <v>2166</v>
      </c>
      <c r="B327" s="334" t="s">
        <v>926</v>
      </c>
      <c r="C327" s="335" t="s">
        <v>15</v>
      </c>
      <c r="D327" s="336">
        <v>5</v>
      </c>
      <c r="E327" s="336">
        <f>估驗單!F316</f>
        <v>5</v>
      </c>
      <c r="F327" s="390">
        <f t="shared" si="26"/>
        <v>0</v>
      </c>
      <c r="G327" s="336">
        <v>17999.02</v>
      </c>
      <c r="H327" s="336"/>
      <c r="I327" s="336">
        <f t="shared" si="29"/>
        <v>89995.1</v>
      </c>
      <c r="J327" s="336">
        <f t="shared" si="30"/>
        <v>89995.1</v>
      </c>
      <c r="K327" s="546">
        <f t="shared" si="25"/>
        <v>0</v>
      </c>
      <c r="L327" s="502"/>
      <c r="M327" s="231" t="s">
        <v>242</v>
      </c>
      <c r="N327" s="11" t="s">
        <v>243</v>
      </c>
      <c r="O327" s="341"/>
      <c r="P327" s="339"/>
    </row>
    <row r="328" spans="1:16" s="325" customFormat="1" ht="33" hidden="1">
      <c r="A328" s="333" t="s">
        <v>2167</v>
      </c>
      <c r="B328" s="334" t="s">
        <v>929</v>
      </c>
      <c r="C328" s="335" t="s">
        <v>15</v>
      </c>
      <c r="D328" s="336">
        <v>17</v>
      </c>
      <c r="E328" s="336">
        <f>估驗單!F317</f>
        <v>17</v>
      </c>
      <c r="F328" s="390">
        <f t="shared" si="26"/>
        <v>0</v>
      </c>
      <c r="G328" s="336">
        <v>4199.7700000000004</v>
      </c>
      <c r="H328" s="336"/>
      <c r="I328" s="336">
        <f t="shared" si="29"/>
        <v>71396.09</v>
      </c>
      <c r="J328" s="336">
        <f t="shared" si="30"/>
        <v>71396.09</v>
      </c>
      <c r="K328" s="546">
        <f t="shared" si="25"/>
        <v>0</v>
      </c>
      <c r="L328" s="502"/>
      <c r="M328" s="231" t="s">
        <v>242</v>
      </c>
      <c r="N328" s="11" t="s">
        <v>243</v>
      </c>
      <c r="O328" s="341"/>
      <c r="P328" s="339"/>
    </row>
    <row r="329" spans="1:16" s="325" customFormat="1" ht="33" hidden="1">
      <c r="A329" s="333" t="s">
        <v>2168</v>
      </c>
      <c r="B329" s="334" t="s">
        <v>932</v>
      </c>
      <c r="C329" s="335" t="s">
        <v>290</v>
      </c>
      <c r="D329" s="336">
        <v>1</v>
      </c>
      <c r="E329" s="336">
        <f>估驗單!F318</f>
        <v>1</v>
      </c>
      <c r="F329" s="390">
        <f t="shared" si="26"/>
        <v>0</v>
      </c>
      <c r="G329" s="336">
        <v>112957.32</v>
      </c>
      <c r="H329" s="336"/>
      <c r="I329" s="336">
        <f t="shared" si="29"/>
        <v>112957.32</v>
      </c>
      <c r="J329" s="336">
        <f t="shared" si="30"/>
        <v>112957.32</v>
      </c>
      <c r="K329" s="546">
        <f t="shared" si="25"/>
        <v>0</v>
      </c>
      <c r="L329" s="502"/>
      <c r="M329" s="231" t="s">
        <v>2420</v>
      </c>
      <c r="N329" s="11" t="s">
        <v>243</v>
      </c>
      <c r="O329" s="341"/>
      <c r="P329" s="339"/>
    </row>
    <row r="330" spans="1:16" s="325" customFormat="1" ht="57" hidden="1">
      <c r="A330" s="333" t="s">
        <v>2169</v>
      </c>
      <c r="B330" s="334" t="s">
        <v>935</v>
      </c>
      <c r="C330" s="335" t="s">
        <v>4</v>
      </c>
      <c r="D330" s="336">
        <v>1</v>
      </c>
      <c r="E330" s="336">
        <f>估驗單!F319</f>
        <v>1</v>
      </c>
      <c r="F330" s="390">
        <f t="shared" si="26"/>
        <v>0</v>
      </c>
      <c r="G330" s="336">
        <v>322482.40999999997</v>
      </c>
      <c r="H330" s="336"/>
      <c r="I330" s="336">
        <f t="shared" si="29"/>
        <v>322482.40999999997</v>
      </c>
      <c r="J330" s="336">
        <f t="shared" si="30"/>
        <v>322482.40999999997</v>
      </c>
      <c r="K330" s="546">
        <f t="shared" si="25"/>
        <v>0</v>
      </c>
      <c r="L330" s="502"/>
      <c r="M330" s="231" t="s">
        <v>2421</v>
      </c>
      <c r="N330" s="11" t="s">
        <v>243</v>
      </c>
      <c r="O330" s="341"/>
      <c r="P330" s="339"/>
    </row>
    <row r="331" spans="1:16" s="325" customFormat="1" ht="33" hidden="1">
      <c r="A331" s="333" t="s">
        <v>2170</v>
      </c>
      <c r="B331" s="334" t="s">
        <v>938</v>
      </c>
      <c r="C331" s="335" t="s">
        <v>15</v>
      </c>
      <c r="D331" s="336">
        <v>17</v>
      </c>
      <c r="E331" s="336">
        <f>估驗單!F320</f>
        <v>17</v>
      </c>
      <c r="F331" s="390">
        <f t="shared" si="26"/>
        <v>0</v>
      </c>
      <c r="G331" s="336">
        <v>99994.55</v>
      </c>
      <c r="H331" s="336"/>
      <c r="I331" s="336">
        <f t="shared" si="29"/>
        <v>1699907.35</v>
      </c>
      <c r="J331" s="336">
        <f t="shared" si="30"/>
        <v>1699907.35</v>
      </c>
      <c r="K331" s="546">
        <f t="shared" si="25"/>
        <v>0</v>
      </c>
      <c r="L331" s="502"/>
      <c r="M331" s="231" t="s">
        <v>242</v>
      </c>
      <c r="N331" s="11" t="s">
        <v>243</v>
      </c>
      <c r="O331" s="341"/>
      <c r="P331" s="339"/>
    </row>
    <row r="332" spans="1:16" s="325" customFormat="1" ht="33" hidden="1">
      <c r="A332" s="333" t="s">
        <v>2171</v>
      </c>
      <c r="B332" s="334" t="s">
        <v>941</v>
      </c>
      <c r="C332" s="335" t="s">
        <v>583</v>
      </c>
      <c r="D332" s="336">
        <v>2</v>
      </c>
      <c r="E332" s="336">
        <f>估驗單!F321</f>
        <v>2</v>
      </c>
      <c r="F332" s="390">
        <f t="shared" si="26"/>
        <v>0</v>
      </c>
      <c r="G332" s="336">
        <v>14999.18</v>
      </c>
      <c r="H332" s="336"/>
      <c r="I332" s="336">
        <f t="shared" si="29"/>
        <v>29998.36</v>
      </c>
      <c r="J332" s="336">
        <f t="shared" si="30"/>
        <v>29998.36</v>
      </c>
      <c r="K332" s="546">
        <f t="shared" si="25"/>
        <v>0</v>
      </c>
      <c r="L332" s="502"/>
      <c r="M332" s="231" t="s">
        <v>2321</v>
      </c>
      <c r="N332" s="11" t="s">
        <v>243</v>
      </c>
      <c r="O332" s="341"/>
      <c r="P332" s="339"/>
    </row>
    <row r="333" spans="1:16" s="325" customFormat="1" ht="33" hidden="1">
      <c r="A333" s="333" t="s">
        <v>2172</v>
      </c>
      <c r="B333" s="334" t="s">
        <v>944</v>
      </c>
      <c r="C333" s="335" t="s">
        <v>15</v>
      </c>
      <c r="D333" s="336">
        <v>1</v>
      </c>
      <c r="E333" s="336">
        <f>估驗單!F322</f>
        <v>1</v>
      </c>
      <c r="F333" s="390">
        <f t="shared" si="26"/>
        <v>0</v>
      </c>
      <c r="G333" s="336">
        <v>1499.92</v>
      </c>
      <c r="H333" s="336"/>
      <c r="I333" s="336">
        <f t="shared" si="29"/>
        <v>1499.92</v>
      </c>
      <c r="J333" s="336">
        <f t="shared" si="30"/>
        <v>1499.92</v>
      </c>
      <c r="K333" s="546">
        <f t="shared" si="25"/>
        <v>0</v>
      </c>
      <c r="L333" s="502"/>
      <c r="M333" s="231" t="s">
        <v>2422</v>
      </c>
      <c r="N333" s="11" t="s">
        <v>243</v>
      </c>
      <c r="O333" s="341"/>
      <c r="P333" s="339"/>
    </row>
    <row r="334" spans="1:16" s="325" customFormat="1" ht="33" hidden="1">
      <c r="A334" s="333" t="s">
        <v>2173</v>
      </c>
      <c r="B334" s="334" t="s">
        <v>947</v>
      </c>
      <c r="C334" s="335" t="s">
        <v>19</v>
      </c>
      <c r="D334" s="336">
        <v>2</v>
      </c>
      <c r="E334" s="336">
        <f>估驗單!F323</f>
        <v>2</v>
      </c>
      <c r="F334" s="390">
        <f t="shared" si="26"/>
        <v>0</v>
      </c>
      <c r="G334" s="336">
        <v>2599.86</v>
      </c>
      <c r="H334" s="336"/>
      <c r="I334" s="336">
        <f t="shared" si="29"/>
        <v>5199.72</v>
      </c>
      <c r="J334" s="336">
        <f t="shared" si="30"/>
        <v>5199.72</v>
      </c>
      <c r="K334" s="546">
        <f t="shared" si="25"/>
        <v>0</v>
      </c>
      <c r="L334" s="502"/>
      <c r="M334" s="231" t="s">
        <v>242</v>
      </c>
      <c r="N334" s="11" t="s">
        <v>243</v>
      </c>
      <c r="O334" s="341"/>
      <c r="P334" s="339"/>
    </row>
    <row r="335" spans="1:16" ht="33" hidden="1">
      <c r="A335" s="333" t="s">
        <v>2174</v>
      </c>
      <c r="B335" s="334" t="s">
        <v>950</v>
      </c>
      <c r="C335" s="335" t="s">
        <v>19</v>
      </c>
      <c r="D335" s="336">
        <v>9</v>
      </c>
      <c r="E335" s="336">
        <f>估驗單!F324</f>
        <v>9</v>
      </c>
      <c r="F335" s="390">
        <f t="shared" si="26"/>
        <v>0</v>
      </c>
      <c r="G335" s="336">
        <v>4459.76</v>
      </c>
      <c r="H335" s="336"/>
      <c r="I335" s="336">
        <f t="shared" si="29"/>
        <v>40137.839999999997</v>
      </c>
      <c r="J335" s="336">
        <f t="shared" si="30"/>
        <v>40137.839999999997</v>
      </c>
      <c r="K335" s="546">
        <f t="shared" si="25"/>
        <v>0</v>
      </c>
      <c r="L335" s="502"/>
      <c r="M335" s="231" t="s">
        <v>242</v>
      </c>
      <c r="N335" s="11" t="s">
        <v>243</v>
      </c>
      <c r="O335" s="341"/>
      <c r="P335" s="339"/>
    </row>
    <row r="336" spans="1:16" ht="33" hidden="1">
      <c r="A336" s="333" t="s">
        <v>2175</v>
      </c>
      <c r="B336" s="334" t="s">
        <v>953</v>
      </c>
      <c r="C336" s="335" t="s">
        <v>8</v>
      </c>
      <c r="D336" s="336">
        <v>180</v>
      </c>
      <c r="E336" s="336">
        <f>估驗單!F325</f>
        <v>180</v>
      </c>
      <c r="F336" s="390">
        <f t="shared" si="26"/>
        <v>0</v>
      </c>
      <c r="G336" s="336">
        <v>596.98</v>
      </c>
      <c r="H336" s="336"/>
      <c r="I336" s="336">
        <f t="shared" si="29"/>
        <v>107456.4</v>
      </c>
      <c r="J336" s="336">
        <f t="shared" si="30"/>
        <v>107456.4</v>
      </c>
      <c r="K336" s="546">
        <f t="shared" si="25"/>
        <v>0</v>
      </c>
      <c r="L336" s="502"/>
      <c r="M336" s="231" t="s">
        <v>242</v>
      </c>
      <c r="N336" s="11" t="s">
        <v>243</v>
      </c>
      <c r="O336" s="341"/>
      <c r="P336" s="339"/>
    </row>
    <row r="337" spans="1:17" ht="33" hidden="1">
      <c r="A337" s="333" t="s">
        <v>2177</v>
      </c>
      <c r="B337" s="334" t="s">
        <v>956</v>
      </c>
      <c r="C337" s="335" t="s">
        <v>8</v>
      </c>
      <c r="D337" s="336">
        <v>60</v>
      </c>
      <c r="E337" s="336">
        <f>估驗單!F326</f>
        <v>60</v>
      </c>
      <c r="F337" s="390">
        <f t="shared" si="26"/>
        <v>0</v>
      </c>
      <c r="G337" s="336">
        <v>67.42</v>
      </c>
      <c r="H337" s="336"/>
      <c r="I337" s="336">
        <f t="shared" si="29"/>
        <v>4045.2</v>
      </c>
      <c r="J337" s="336">
        <f t="shared" si="30"/>
        <v>4045.2</v>
      </c>
      <c r="K337" s="546">
        <f t="shared" ref="K337:K400" si="31">J337-I337</f>
        <v>0</v>
      </c>
      <c r="L337" s="502"/>
      <c r="M337" s="231" t="s">
        <v>2321</v>
      </c>
      <c r="N337" s="11" t="s">
        <v>243</v>
      </c>
      <c r="O337" s="341"/>
      <c r="P337" s="339"/>
    </row>
    <row r="338" spans="1:17" ht="33" hidden="1">
      <c r="A338" s="333" t="s">
        <v>2178</v>
      </c>
      <c r="B338" s="334" t="s">
        <v>959</v>
      </c>
      <c r="C338" s="335" t="s">
        <v>8</v>
      </c>
      <c r="D338" s="336">
        <v>1032</v>
      </c>
      <c r="E338" s="336">
        <f>估驗單!F327</f>
        <v>1032</v>
      </c>
      <c r="F338" s="390">
        <f t="shared" si="26"/>
        <v>0</v>
      </c>
      <c r="G338" s="336">
        <v>29.42</v>
      </c>
      <c r="H338" s="336"/>
      <c r="I338" s="336">
        <f t="shared" si="29"/>
        <v>30361.439999999999</v>
      </c>
      <c r="J338" s="336">
        <f t="shared" si="30"/>
        <v>30361.439999999999</v>
      </c>
      <c r="K338" s="546">
        <f t="shared" si="31"/>
        <v>0</v>
      </c>
      <c r="L338" s="502"/>
      <c r="M338" s="231" t="s">
        <v>242</v>
      </c>
      <c r="N338" s="11" t="s">
        <v>243</v>
      </c>
      <c r="O338" s="341"/>
      <c r="P338" s="339"/>
    </row>
    <row r="339" spans="1:17" ht="33" hidden="1">
      <c r="A339" s="333" t="s">
        <v>2179</v>
      </c>
      <c r="B339" s="334" t="s">
        <v>962</v>
      </c>
      <c r="C339" s="335" t="s">
        <v>8</v>
      </c>
      <c r="D339" s="336">
        <v>1103</v>
      </c>
      <c r="E339" s="336">
        <f>估驗單!F328</f>
        <v>1103</v>
      </c>
      <c r="F339" s="390">
        <f t="shared" si="26"/>
        <v>0</v>
      </c>
      <c r="G339" s="336">
        <v>147.1</v>
      </c>
      <c r="H339" s="336"/>
      <c r="I339" s="336">
        <f t="shared" si="29"/>
        <v>162251.29999999999</v>
      </c>
      <c r="J339" s="336">
        <f t="shared" si="30"/>
        <v>162251.29999999999</v>
      </c>
      <c r="K339" s="546">
        <f t="shared" si="31"/>
        <v>0</v>
      </c>
      <c r="L339" s="502"/>
      <c r="M339" s="231" t="s">
        <v>242</v>
      </c>
      <c r="N339" s="11" t="s">
        <v>243</v>
      </c>
      <c r="O339" s="341"/>
      <c r="P339" s="339"/>
    </row>
    <row r="340" spans="1:17" ht="42.75" hidden="1">
      <c r="A340" s="333" t="s">
        <v>2181</v>
      </c>
      <c r="B340" s="334" t="s">
        <v>219</v>
      </c>
      <c r="C340" s="335" t="s">
        <v>8</v>
      </c>
      <c r="D340" s="336">
        <v>2064</v>
      </c>
      <c r="E340" s="336">
        <f>估驗單!F329</f>
        <v>2064</v>
      </c>
      <c r="F340" s="390">
        <f t="shared" si="26"/>
        <v>0</v>
      </c>
      <c r="G340" s="336">
        <v>78.459999999999994</v>
      </c>
      <c r="H340" s="336"/>
      <c r="I340" s="336">
        <f t="shared" si="29"/>
        <v>161941.44</v>
      </c>
      <c r="J340" s="336">
        <f t="shared" si="30"/>
        <v>161941.44</v>
      </c>
      <c r="K340" s="546">
        <f t="shared" si="31"/>
        <v>0</v>
      </c>
      <c r="L340" s="502"/>
      <c r="M340" s="231" t="s">
        <v>242</v>
      </c>
      <c r="N340" s="11" t="s">
        <v>243</v>
      </c>
      <c r="O340" s="341"/>
      <c r="P340" s="339"/>
    </row>
    <row r="341" spans="1:17" ht="33" hidden="1">
      <c r="A341" s="333" t="s">
        <v>2182</v>
      </c>
      <c r="B341" s="334" t="s">
        <v>967</v>
      </c>
      <c r="C341" s="335" t="s">
        <v>4</v>
      </c>
      <c r="D341" s="336">
        <v>1</v>
      </c>
      <c r="E341" s="336">
        <f>估驗單!F330</f>
        <v>1</v>
      </c>
      <c r="F341" s="390">
        <f t="shared" si="26"/>
        <v>0</v>
      </c>
      <c r="G341" s="336">
        <v>24062.69</v>
      </c>
      <c r="H341" s="336"/>
      <c r="I341" s="336">
        <f t="shared" si="29"/>
        <v>24062.69</v>
      </c>
      <c r="J341" s="336">
        <f t="shared" si="30"/>
        <v>24062.69</v>
      </c>
      <c r="K341" s="546">
        <f t="shared" si="31"/>
        <v>0</v>
      </c>
      <c r="L341" s="502"/>
      <c r="M341" s="231" t="s">
        <v>2321</v>
      </c>
      <c r="N341" s="11" t="s">
        <v>243</v>
      </c>
      <c r="O341" s="341"/>
      <c r="P341" s="339"/>
    </row>
    <row r="342" spans="1:17" ht="33" hidden="1">
      <c r="A342" s="333" t="s">
        <v>2183</v>
      </c>
      <c r="B342" s="334" t="s">
        <v>970</v>
      </c>
      <c r="C342" s="335" t="s">
        <v>8</v>
      </c>
      <c r="D342" s="336">
        <v>1011</v>
      </c>
      <c r="E342" s="336">
        <f>估驗單!F331</f>
        <v>1011</v>
      </c>
      <c r="F342" s="390">
        <f t="shared" si="26"/>
        <v>0</v>
      </c>
      <c r="G342" s="336">
        <v>35.549999999999997</v>
      </c>
      <c r="H342" s="336"/>
      <c r="I342" s="336">
        <f t="shared" si="29"/>
        <v>35941.050000000003</v>
      </c>
      <c r="J342" s="336">
        <f t="shared" si="30"/>
        <v>35941.050000000003</v>
      </c>
      <c r="K342" s="546">
        <f t="shared" si="31"/>
        <v>0</v>
      </c>
      <c r="L342" s="502"/>
      <c r="M342" s="231" t="s">
        <v>242</v>
      </c>
      <c r="N342" s="11" t="s">
        <v>243</v>
      </c>
      <c r="O342" s="341"/>
      <c r="P342" s="339"/>
    </row>
    <row r="343" spans="1:17" ht="33" hidden="1">
      <c r="A343" s="333" t="s">
        <v>2184</v>
      </c>
      <c r="B343" s="334" t="s">
        <v>220</v>
      </c>
      <c r="C343" s="335" t="s">
        <v>8</v>
      </c>
      <c r="D343" s="336">
        <v>946</v>
      </c>
      <c r="E343" s="336">
        <f>估驗單!F332</f>
        <v>946</v>
      </c>
      <c r="F343" s="390">
        <f t="shared" si="26"/>
        <v>0</v>
      </c>
      <c r="G343" s="336">
        <v>60.07</v>
      </c>
      <c r="H343" s="336"/>
      <c r="I343" s="336">
        <f t="shared" si="29"/>
        <v>56826.22</v>
      </c>
      <c r="J343" s="336">
        <f t="shared" si="30"/>
        <v>56826.22</v>
      </c>
      <c r="K343" s="546">
        <f t="shared" si="31"/>
        <v>0</v>
      </c>
      <c r="L343" s="502"/>
      <c r="M343" s="231" t="s">
        <v>2321</v>
      </c>
      <c r="N343" s="11" t="s">
        <v>243</v>
      </c>
      <c r="O343" s="341"/>
      <c r="P343" s="339"/>
    </row>
    <row r="344" spans="1:17" ht="33" hidden="1">
      <c r="A344" s="333" t="s">
        <v>2185</v>
      </c>
      <c r="B344" s="334" t="s">
        <v>975</v>
      </c>
      <c r="C344" s="335" t="s">
        <v>8</v>
      </c>
      <c r="D344" s="336">
        <v>55</v>
      </c>
      <c r="E344" s="336">
        <f>估驗單!F333</f>
        <v>55</v>
      </c>
      <c r="F344" s="390">
        <f t="shared" si="26"/>
        <v>0</v>
      </c>
      <c r="G344" s="336">
        <v>125.03</v>
      </c>
      <c r="H344" s="336"/>
      <c r="I344" s="336">
        <f t="shared" si="29"/>
        <v>6876.65</v>
      </c>
      <c r="J344" s="336">
        <f t="shared" si="30"/>
        <v>6876.65</v>
      </c>
      <c r="K344" s="546">
        <f t="shared" si="31"/>
        <v>0</v>
      </c>
      <c r="L344" s="502"/>
      <c r="M344" s="231" t="s">
        <v>242</v>
      </c>
      <c r="N344" s="11" t="s">
        <v>243</v>
      </c>
      <c r="O344" s="341"/>
      <c r="P344" s="339"/>
    </row>
    <row r="345" spans="1:17" ht="33" hidden="1">
      <c r="A345" s="333" t="s">
        <v>2186</v>
      </c>
      <c r="B345" s="334" t="s">
        <v>978</v>
      </c>
      <c r="C345" s="335" t="s">
        <v>8</v>
      </c>
      <c r="D345" s="336">
        <v>22</v>
      </c>
      <c r="E345" s="336">
        <f>估驗單!F334</f>
        <v>22</v>
      </c>
      <c r="F345" s="390">
        <f t="shared" si="26"/>
        <v>0</v>
      </c>
      <c r="G345" s="336">
        <v>178.97</v>
      </c>
      <c r="H345" s="336"/>
      <c r="I345" s="336">
        <f t="shared" si="29"/>
        <v>3937.34</v>
      </c>
      <c r="J345" s="336">
        <f t="shared" si="30"/>
        <v>3937.34</v>
      </c>
      <c r="K345" s="546">
        <f t="shared" si="31"/>
        <v>0</v>
      </c>
      <c r="L345" s="502"/>
      <c r="M345" s="231" t="s">
        <v>242</v>
      </c>
      <c r="N345" s="11" t="s">
        <v>243</v>
      </c>
      <c r="O345" s="341"/>
      <c r="P345" s="339"/>
    </row>
    <row r="346" spans="1:17" ht="33" hidden="1">
      <c r="A346" s="333" t="s">
        <v>2187</v>
      </c>
      <c r="B346" s="334" t="s">
        <v>981</v>
      </c>
      <c r="C346" s="335" t="s">
        <v>4</v>
      </c>
      <c r="D346" s="336">
        <v>1</v>
      </c>
      <c r="E346" s="336">
        <f>估驗單!F335</f>
        <v>1</v>
      </c>
      <c r="F346" s="390">
        <f t="shared" si="26"/>
        <v>0</v>
      </c>
      <c r="G346" s="336">
        <v>19812.919999999998</v>
      </c>
      <c r="H346" s="336"/>
      <c r="I346" s="336">
        <f t="shared" si="29"/>
        <v>19812.919999999998</v>
      </c>
      <c r="J346" s="336">
        <f t="shared" si="30"/>
        <v>19812.919999999998</v>
      </c>
      <c r="K346" s="546">
        <f t="shared" si="31"/>
        <v>0</v>
      </c>
      <c r="L346" s="502"/>
      <c r="M346" s="231" t="s">
        <v>242</v>
      </c>
      <c r="N346" s="11" t="s">
        <v>243</v>
      </c>
      <c r="O346" s="341"/>
      <c r="P346" s="339"/>
    </row>
    <row r="347" spans="1:17" ht="33" hidden="1">
      <c r="A347" s="333" t="s">
        <v>2188</v>
      </c>
      <c r="B347" s="334" t="s">
        <v>984</v>
      </c>
      <c r="C347" s="335" t="s">
        <v>4</v>
      </c>
      <c r="D347" s="336">
        <v>1</v>
      </c>
      <c r="E347" s="336">
        <f>估驗單!F336</f>
        <v>1</v>
      </c>
      <c r="F347" s="390">
        <f t="shared" si="26"/>
        <v>0</v>
      </c>
      <c r="G347" s="336">
        <v>29571.39</v>
      </c>
      <c r="H347" s="336"/>
      <c r="I347" s="336">
        <f t="shared" si="29"/>
        <v>29571.39</v>
      </c>
      <c r="J347" s="336">
        <f t="shared" si="30"/>
        <v>29571.39</v>
      </c>
      <c r="K347" s="546">
        <f t="shared" si="31"/>
        <v>0</v>
      </c>
      <c r="L347" s="502"/>
      <c r="M347" s="231" t="s">
        <v>242</v>
      </c>
      <c r="N347" s="11" t="s">
        <v>243</v>
      </c>
      <c r="O347" s="341"/>
      <c r="P347" s="339"/>
    </row>
    <row r="348" spans="1:17" ht="33" hidden="1">
      <c r="A348" s="406" t="s">
        <v>2249</v>
      </c>
      <c r="B348" s="407" t="s">
        <v>987</v>
      </c>
      <c r="C348" s="408" t="s">
        <v>4</v>
      </c>
      <c r="D348" s="409"/>
      <c r="E348" s="409"/>
      <c r="F348" s="410">
        <f t="shared" si="26"/>
        <v>0</v>
      </c>
      <c r="G348" s="409">
        <f>I348</f>
        <v>11249747.310000001</v>
      </c>
      <c r="H348" s="409"/>
      <c r="I348" s="448">
        <f>SUM(I349:I357)</f>
        <v>11249747.310000001</v>
      </c>
      <c r="J348" s="448">
        <f>SUM(J349:J357)</f>
        <v>13193015.85</v>
      </c>
      <c r="K348" s="543">
        <f>SUM(K349:K357)</f>
        <v>1943268.5400000003</v>
      </c>
      <c r="L348" s="535">
        <f>SUM(L349:L357)</f>
        <v>0</v>
      </c>
      <c r="M348" s="288" t="s">
        <v>242</v>
      </c>
      <c r="N348" s="11" t="s">
        <v>243</v>
      </c>
      <c r="O348" s="341"/>
      <c r="P348" s="339"/>
    </row>
    <row r="349" spans="1:17" ht="33" hidden="1">
      <c r="A349" s="333" t="s">
        <v>2154</v>
      </c>
      <c r="B349" s="334" t="s">
        <v>989</v>
      </c>
      <c r="C349" s="335" t="s">
        <v>8</v>
      </c>
      <c r="D349" s="340">
        <f>估驗單!E338</f>
        <v>2576.8000000000002</v>
      </c>
      <c r="E349" s="336">
        <f>估驗單!F338</f>
        <v>2576.8000000000002</v>
      </c>
      <c r="F349" s="390">
        <f t="shared" si="26"/>
        <v>0</v>
      </c>
      <c r="G349" s="340">
        <v>247.19</v>
      </c>
      <c r="H349" s="340"/>
      <c r="I349" s="336">
        <f t="shared" ref="I349:I357" si="32">ROUND(D349*G349,2)</f>
        <v>636959.18999999994</v>
      </c>
      <c r="J349" s="336">
        <f t="shared" ref="J349:J357" si="33">ROUND(E349*G349,2)</f>
        <v>636959.18999999994</v>
      </c>
      <c r="K349" s="546">
        <f t="shared" si="31"/>
        <v>0</v>
      </c>
      <c r="L349" s="502"/>
      <c r="M349" s="231" t="s">
        <v>2423</v>
      </c>
      <c r="N349" s="11" t="s">
        <v>243</v>
      </c>
      <c r="O349" s="348" t="s">
        <v>2365</v>
      </c>
      <c r="P349" s="339" t="s">
        <v>2424</v>
      </c>
      <c r="Q349" s="342" t="s">
        <v>2341</v>
      </c>
    </row>
    <row r="350" spans="1:17" ht="33" hidden="1">
      <c r="A350" s="333" t="s">
        <v>2155</v>
      </c>
      <c r="B350" s="334" t="s">
        <v>992</v>
      </c>
      <c r="C350" s="335" t="s">
        <v>8</v>
      </c>
      <c r="D350" s="340">
        <f>估驗單!E339</f>
        <v>2576.8000000000002</v>
      </c>
      <c r="E350" s="336">
        <f>估驗單!F339</f>
        <v>2576.8000000000002</v>
      </c>
      <c r="F350" s="390">
        <f t="shared" si="26"/>
        <v>0</v>
      </c>
      <c r="G350" s="340">
        <v>236.89</v>
      </c>
      <c r="H350" s="340"/>
      <c r="I350" s="336">
        <f t="shared" si="32"/>
        <v>610418.15</v>
      </c>
      <c r="J350" s="336">
        <f t="shared" si="33"/>
        <v>610418.15</v>
      </c>
      <c r="K350" s="546">
        <f t="shared" si="31"/>
        <v>0</v>
      </c>
      <c r="L350" s="502"/>
      <c r="M350" s="231" t="s">
        <v>242</v>
      </c>
      <c r="N350" s="11" t="s">
        <v>243</v>
      </c>
      <c r="O350" s="348" t="s">
        <v>2365</v>
      </c>
      <c r="P350" s="339" t="s">
        <v>2424</v>
      </c>
      <c r="Q350" s="342" t="s">
        <v>2341</v>
      </c>
    </row>
    <row r="351" spans="1:17" s="325" customFormat="1" ht="45" hidden="1">
      <c r="A351" s="333" t="s">
        <v>2156</v>
      </c>
      <c r="B351" s="334" t="s">
        <v>995</v>
      </c>
      <c r="C351" s="335" t="s">
        <v>13</v>
      </c>
      <c r="D351" s="340">
        <f>估驗單!E340</f>
        <v>9215</v>
      </c>
      <c r="E351" s="336">
        <f>估驗單!F340</f>
        <v>9215</v>
      </c>
      <c r="F351" s="390">
        <f t="shared" si="26"/>
        <v>0</v>
      </c>
      <c r="G351" s="336">
        <v>252.34</v>
      </c>
      <c r="H351" s="336"/>
      <c r="I351" s="336">
        <f t="shared" si="32"/>
        <v>2325313.1</v>
      </c>
      <c r="J351" s="336">
        <f t="shared" si="33"/>
        <v>2325313.1</v>
      </c>
      <c r="K351" s="546">
        <f t="shared" si="31"/>
        <v>0</v>
      </c>
      <c r="L351" s="502"/>
      <c r="M351" s="231" t="s">
        <v>242</v>
      </c>
      <c r="N351" s="11" t="s">
        <v>243</v>
      </c>
      <c r="O351" s="341" t="s">
        <v>2425</v>
      </c>
      <c r="P351" s="339" t="s">
        <v>2426</v>
      </c>
      <c r="Q351" s="325" t="s">
        <v>2427</v>
      </c>
    </row>
    <row r="352" spans="1:17" s="325" customFormat="1" ht="42.75" hidden="1">
      <c r="A352" s="333" t="s">
        <v>2157</v>
      </c>
      <c r="B352" s="334" t="s">
        <v>998</v>
      </c>
      <c r="C352" s="335" t="s">
        <v>4</v>
      </c>
      <c r="D352" s="340">
        <f>估驗單!E341</f>
        <v>1</v>
      </c>
      <c r="E352" s="336">
        <f>估驗單!F341</f>
        <v>1</v>
      </c>
      <c r="F352" s="390">
        <f t="shared" si="26"/>
        <v>0</v>
      </c>
      <c r="G352" s="336">
        <v>349980.91</v>
      </c>
      <c r="H352" s="336"/>
      <c r="I352" s="336">
        <f t="shared" si="32"/>
        <v>349980.91</v>
      </c>
      <c r="J352" s="336">
        <f t="shared" si="33"/>
        <v>349980.91</v>
      </c>
      <c r="K352" s="546">
        <f t="shared" si="31"/>
        <v>0</v>
      </c>
      <c r="L352" s="502"/>
      <c r="M352" s="231" t="s">
        <v>2428</v>
      </c>
      <c r="N352" s="11" t="s">
        <v>243</v>
      </c>
      <c r="O352" s="341"/>
      <c r="P352" s="339"/>
    </row>
    <row r="353" spans="1:19" s="325" customFormat="1" ht="33" hidden="1">
      <c r="A353" s="503" t="s">
        <v>2158</v>
      </c>
      <c r="B353" s="504" t="s">
        <v>1001</v>
      </c>
      <c r="C353" s="505" t="s">
        <v>16</v>
      </c>
      <c r="D353" s="515">
        <f>估驗單!E342</f>
        <v>2052</v>
      </c>
      <c r="E353" s="506">
        <f>估驗單!F342</f>
        <v>2928</v>
      </c>
      <c r="F353" s="507">
        <f t="shared" ref="F353:F431" si="34">E353-D353</f>
        <v>876</v>
      </c>
      <c r="G353" s="506">
        <v>931.07</v>
      </c>
      <c r="H353" s="506"/>
      <c r="I353" s="506">
        <f t="shared" si="32"/>
        <v>1910555.64</v>
      </c>
      <c r="J353" s="506">
        <f t="shared" si="33"/>
        <v>2726172.96</v>
      </c>
      <c r="K353" s="547">
        <f t="shared" si="31"/>
        <v>815617.32000000007</v>
      </c>
      <c r="L353" s="510"/>
      <c r="M353" s="508" t="s">
        <v>2429</v>
      </c>
      <c r="N353" s="11" t="s">
        <v>243</v>
      </c>
      <c r="O353" s="341"/>
      <c r="P353" s="339"/>
    </row>
    <row r="354" spans="1:19" s="325" customFormat="1" ht="33.75" hidden="1">
      <c r="A354" s="503" t="s">
        <v>2159</v>
      </c>
      <c r="B354" s="504" t="s">
        <v>728</v>
      </c>
      <c r="C354" s="505" t="s">
        <v>6</v>
      </c>
      <c r="D354" s="515">
        <f>估驗單!E343</f>
        <v>720</v>
      </c>
      <c r="E354" s="506">
        <f>估驗單!F343</f>
        <v>1053</v>
      </c>
      <c r="F354" s="507">
        <f t="shared" si="34"/>
        <v>333</v>
      </c>
      <c r="G354" s="506">
        <v>3386.34</v>
      </c>
      <c r="H354" s="506"/>
      <c r="I354" s="506">
        <f t="shared" si="32"/>
        <v>2438164.7999999998</v>
      </c>
      <c r="J354" s="506">
        <f t="shared" si="33"/>
        <v>3565816.02</v>
      </c>
      <c r="K354" s="547">
        <f t="shared" si="31"/>
        <v>1127651.2200000002</v>
      </c>
      <c r="L354" s="510"/>
      <c r="M354" s="508" t="s">
        <v>242</v>
      </c>
      <c r="N354" s="11" t="s">
        <v>243</v>
      </c>
      <c r="O354" s="341" t="s">
        <v>2430</v>
      </c>
      <c r="P354" s="339" t="s">
        <v>2431</v>
      </c>
      <c r="Q354" s="342" t="s">
        <v>2341</v>
      </c>
    </row>
    <row r="355" spans="1:19" s="325" customFormat="1" ht="42.75" hidden="1">
      <c r="A355" s="333" t="s">
        <v>2160</v>
      </c>
      <c r="B355" s="334" t="s">
        <v>1515</v>
      </c>
      <c r="C355" s="335" t="s">
        <v>8</v>
      </c>
      <c r="D355" s="336">
        <v>132</v>
      </c>
      <c r="E355" s="336">
        <f>估驗單!F344</f>
        <v>132</v>
      </c>
      <c r="F355" s="390">
        <f t="shared" si="34"/>
        <v>0</v>
      </c>
      <c r="G355" s="336">
        <v>5107.6000000000004</v>
      </c>
      <c r="H355" s="336"/>
      <c r="I355" s="336">
        <f t="shared" si="32"/>
        <v>674203.2</v>
      </c>
      <c r="J355" s="336">
        <f t="shared" si="33"/>
        <v>674203.2</v>
      </c>
      <c r="K355" s="546">
        <f t="shared" si="31"/>
        <v>0</v>
      </c>
      <c r="L355" s="502"/>
      <c r="M355" s="231" t="s">
        <v>2432</v>
      </c>
      <c r="N355" s="11" t="s">
        <v>243</v>
      </c>
      <c r="O355" s="341"/>
      <c r="P355" s="339"/>
    </row>
    <row r="356" spans="1:19" s="325" customFormat="1" ht="42.75" hidden="1">
      <c r="A356" s="333" t="s">
        <v>2161</v>
      </c>
      <c r="B356" s="334" t="s">
        <v>1517</v>
      </c>
      <c r="C356" s="335" t="s">
        <v>8</v>
      </c>
      <c r="D356" s="336">
        <v>106</v>
      </c>
      <c r="E356" s="336">
        <f>估驗單!F345</f>
        <v>106</v>
      </c>
      <c r="F356" s="390">
        <f t="shared" si="34"/>
        <v>0</v>
      </c>
      <c r="G356" s="336">
        <v>7385.08</v>
      </c>
      <c r="H356" s="336"/>
      <c r="I356" s="336">
        <f t="shared" si="32"/>
        <v>782818.48</v>
      </c>
      <c r="J356" s="336">
        <f t="shared" si="33"/>
        <v>782818.48</v>
      </c>
      <c r="K356" s="546">
        <f t="shared" si="31"/>
        <v>0</v>
      </c>
      <c r="L356" s="502"/>
      <c r="M356" s="231" t="s">
        <v>2432</v>
      </c>
      <c r="N356" s="11" t="s">
        <v>243</v>
      </c>
      <c r="O356" s="341"/>
      <c r="P356" s="339"/>
    </row>
    <row r="357" spans="1:19" s="325" customFormat="1" ht="42.75" hidden="1">
      <c r="A357" s="333" t="s">
        <v>2162</v>
      </c>
      <c r="B357" s="334" t="s">
        <v>1519</v>
      </c>
      <c r="C357" s="335" t="s">
        <v>8</v>
      </c>
      <c r="D357" s="336">
        <v>156</v>
      </c>
      <c r="E357" s="336">
        <f>估驗單!F346</f>
        <v>156</v>
      </c>
      <c r="F357" s="390">
        <f t="shared" si="34"/>
        <v>0</v>
      </c>
      <c r="G357" s="336">
        <v>9752.14</v>
      </c>
      <c r="H357" s="336"/>
      <c r="I357" s="336">
        <f t="shared" si="32"/>
        <v>1521333.84</v>
      </c>
      <c r="J357" s="336">
        <f t="shared" si="33"/>
        <v>1521333.84</v>
      </c>
      <c r="K357" s="546">
        <f t="shared" si="31"/>
        <v>0</v>
      </c>
      <c r="L357" s="502"/>
      <c r="M357" s="231" t="s">
        <v>2433</v>
      </c>
      <c r="N357" s="11" t="s">
        <v>243</v>
      </c>
      <c r="O357" s="341"/>
      <c r="P357" s="339"/>
    </row>
    <row r="358" spans="1:19" s="325" customFormat="1" ht="33" hidden="1">
      <c r="A358" s="406" t="s">
        <v>2250</v>
      </c>
      <c r="B358" s="407" t="s">
        <v>11</v>
      </c>
      <c r="C358" s="408" t="s">
        <v>4</v>
      </c>
      <c r="D358" s="409"/>
      <c r="E358" s="409">
        <f>估驗單!F347</f>
        <v>0</v>
      </c>
      <c r="F358" s="410">
        <f t="shared" si="34"/>
        <v>0</v>
      </c>
      <c r="G358" s="409">
        <f>I358</f>
        <v>19449714.099999998</v>
      </c>
      <c r="H358" s="409"/>
      <c r="I358" s="409">
        <f>SUM(I359:I383)</f>
        <v>19449714.099999998</v>
      </c>
      <c r="J358" s="409">
        <f>SUM(J359:J383)</f>
        <v>19449714.099999998</v>
      </c>
      <c r="K358" s="542">
        <f>SUM(K359:K383)</f>
        <v>0</v>
      </c>
      <c r="L358" s="534">
        <f>SUM(L359:L368)</f>
        <v>0</v>
      </c>
      <c r="M358" s="288" t="s">
        <v>242</v>
      </c>
      <c r="N358" s="11" t="s">
        <v>243</v>
      </c>
      <c r="O358" s="341"/>
      <c r="P358" s="339"/>
    </row>
    <row r="359" spans="1:19" s="325" customFormat="1" ht="33" hidden="1">
      <c r="A359" s="333" t="s">
        <v>2154</v>
      </c>
      <c r="B359" s="334" t="s">
        <v>1004</v>
      </c>
      <c r="C359" s="335" t="s">
        <v>4</v>
      </c>
      <c r="D359" s="336">
        <v>1</v>
      </c>
      <c r="E359" s="336">
        <f>估驗單!F348</f>
        <v>1</v>
      </c>
      <c r="F359" s="390">
        <f t="shared" si="34"/>
        <v>0</v>
      </c>
      <c r="G359" s="336">
        <v>716633.92</v>
      </c>
      <c r="H359" s="336"/>
      <c r="I359" s="336">
        <f t="shared" ref="I359:I383" si="35">ROUND(D359*G359,2)</f>
        <v>716633.92</v>
      </c>
      <c r="J359" s="336">
        <f t="shared" ref="J359:J383" si="36">ROUND(E359*G359,2)</f>
        <v>716633.92</v>
      </c>
      <c r="K359" s="546">
        <f t="shared" si="31"/>
        <v>0</v>
      </c>
      <c r="L359" s="502"/>
      <c r="M359" s="231" t="s">
        <v>2321</v>
      </c>
      <c r="N359" s="11" t="s">
        <v>243</v>
      </c>
      <c r="O359" s="341"/>
      <c r="P359" s="339"/>
    </row>
    <row r="360" spans="1:19" s="325" customFormat="1" ht="33" hidden="1">
      <c r="A360" s="333" t="s">
        <v>2155</v>
      </c>
      <c r="B360" s="334" t="s">
        <v>1006</v>
      </c>
      <c r="C360" s="335" t="s">
        <v>1007</v>
      </c>
      <c r="D360" s="336">
        <v>7</v>
      </c>
      <c r="E360" s="336">
        <f>估驗單!F349</f>
        <v>7</v>
      </c>
      <c r="F360" s="390">
        <f t="shared" si="34"/>
        <v>0</v>
      </c>
      <c r="G360" s="336">
        <v>49997.27</v>
      </c>
      <c r="H360" s="336"/>
      <c r="I360" s="336">
        <f t="shared" si="35"/>
        <v>349980.89</v>
      </c>
      <c r="J360" s="336">
        <f t="shared" si="36"/>
        <v>349980.89</v>
      </c>
      <c r="K360" s="546">
        <f t="shared" si="31"/>
        <v>0</v>
      </c>
      <c r="L360" s="502"/>
      <c r="M360" s="231" t="s">
        <v>242</v>
      </c>
      <c r="N360" s="11" t="s">
        <v>243</v>
      </c>
      <c r="O360" s="341"/>
      <c r="P360" s="339"/>
    </row>
    <row r="361" spans="1:19" s="325" customFormat="1" ht="57" hidden="1">
      <c r="A361" s="333" t="s">
        <v>2156</v>
      </c>
      <c r="B361" s="334" t="s">
        <v>1009</v>
      </c>
      <c r="C361" s="335" t="s">
        <v>1010</v>
      </c>
      <c r="D361" s="336">
        <v>2230</v>
      </c>
      <c r="E361" s="336">
        <f>估驗單!F350</f>
        <v>2230</v>
      </c>
      <c r="F361" s="390">
        <f t="shared" si="34"/>
        <v>0</v>
      </c>
      <c r="G361" s="336">
        <v>805.95</v>
      </c>
      <c r="H361" s="336"/>
      <c r="I361" s="336">
        <f t="shared" si="35"/>
        <v>1797268.5</v>
      </c>
      <c r="J361" s="336">
        <f t="shared" si="36"/>
        <v>1797268.5</v>
      </c>
      <c r="K361" s="546">
        <f t="shared" si="31"/>
        <v>0</v>
      </c>
      <c r="L361" s="502"/>
      <c r="M361" s="231" t="s">
        <v>2434</v>
      </c>
      <c r="N361" s="11" t="s">
        <v>243</v>
      </c>
      <c r="O361" s="364" t="s">
        <v>2435</v>
      </c>
      <c r="P361" s="373"/>
      <c r="Q361" s="342" t="s">
        <v>2341</v>
      </c>
      <c r="S361" s="374"/>
    </row>
    <row r="362" spans="1:19" s="325" customFormat="1" ht="33" hidden="1">
      <c r="A362" s="333" t="s">
        <v>2157</v>
      </c>
      <c r="B362" s="334" t="s">
        <v>1012</v>
      </c>
      <c r="C362" s="335" t="s">
        <v>1007</v>
      </c>
      <c r="D362" s="336">
        <v>4</v>
      </c>
      <c r="E362" s="336">
        <f>估驗單!F351</f>
        <v>4</v>
      </c>
      <c r="F362" s="390">
        <f t="shared" si="34"/>
        <v>0</v>
      </c>
      <c r="G362" s="336">
        <v>49997.27</v>
      </c>
      <c r="H362" s="336"/>
      <c r="I362" s="336">
        <f t="shared" si="35"/>
        <v>199989.08</v>
      </c>
      <c r="J362" s="336">
        <f t="shared" si="36"/>
        <v>199989.08</v>
      </c>
      <c r="K362" s="546">
        <f t="shared" si="31"/>
        <v>0</v>
      </c>
      <c r="L362" s="502"/>
      <c r="M362" s="231" t="s">
        <v>242</v>
      </c>
      <c r="N362" s="11" t="s">
        <v>243</v>
      </c>
      <c r="O362" s="341"/>
      <c r="P362" s="339"/>
    </row>
    <row r="363" spans="1:19" s="325" customFormat="1" ht="33" hidden="1">
      <c r="A363" s="503" t="s">
        <v>2158</v>
      </c>
      <c r="B363" s="504" t="s">
        <v>1014</v>
      </c>
      <c r="C363" s="505" t="s">
        <v>1015</v>
      </c>
      <c r="D363" s="506">
        <v>19</v>
      </c>
      <c r="E363" s="506">
        <f>估驗單!F352</f>
        <v>19</v>
      </c>
      <c r="F363" s="507">
        <f t="shared" si="34"/>
        <v>0</v>
      </c>
      <c r="G363" s="506">
        <v>179990.18</v>
      </c>
      <c r="H363" s="506"/>
      <c r="I363" s="506">
        <f t="shared" si="35"/>
        <v>3419813.42</v>
      </c>
      <c r="J363" s="506">
        <f t="shared" si="36"/>
        <v>3419813.42</v>
      </c>
      <c r="K363" s="547">
        <f t="shared" si="31"/>
        <v>0</v>
      </c>
      <c r="L363" s="510"/>
      <c r="M363" s="520" t="s">
        <v>2632</v>
      </c>
      <c r="N363" s="11" t="s">
        <v>243</v>
      </c>
      <c r="O363" s="341"/>
      <c r="P363" s="339"/>
    </row>
    <row r="364" spans="1:19" s="325" customFormat="1" ht="33" hidden="1">
      <c r="A364" s="333" t="s">
        <v>2159</v>
      </c>
      <c r="B364" s="334" t="s">
        <v>1017</v>
      </c>
      <c r="C364" s="335" t="s">
        <v>4</v>
      </c>
      <c r="D364" s="336">
        <v>1</v>
      </c>
      <c r="E364" s="336">
        <f>估驗單!F353</f>
        <v>1</v>
      </c>
      <c r="F364" s="390">
        <f t="shared" si="34"/>
        <v>0</v>
      </c>
      <c r="G364" s="336">
        <v>205971.45</v>
      </c>
      <c r="H364" s="336"/>
      <c r="I364" s="336">
        <f t="shared" si="35"/>
        <v>205971.45</v>
      </c>
      <c r="J364" s="336">
        <f t="shared" si="36"/>
        <v>205971.45</v>
      </c>
      <c r="K364" s="546">
        <f t="shared" si="31"/>
        <v>0</v>
      </c>
      <c r="L364" s="502"/>
      <c r="M364" s="231" t="s">
        <v>2321</v>
      </c>
      <c r="N364" s="11" t="s">
        <v>243</v>
      </c>
      <c r="O364" s="341"/>
      <c r="P364" s="339"/>
    </row>
    <row r="365" spans="1:19" s="325" customFormat="1" ht="33" hidden="1">
      <c r="A365" s="333" t="s">
        <v>2160</v>
      </c>
      <c r="B365" s="334" t="s">
        <v>1019</v>
      </c>
      <c r="C365" s="335" t="s">
        <v>4</v>
      </c>
      <c r="D365" s="336">
        <v>1</v>
      </c>
      <c r="E365" s="336">
        <f>估驗單!F354</f>
        <v>1</v>
      </c>
      <c r="F365" s="390">
        <f t="shared" si="34"/>
        <v>0</v>
      </c>
      <c r="G365" s="336">
        <v>2424867.7599999998</v>
      </c>
      <c r="H365" s="336"/>
      <c r="I365" s="336">
        <f t="shared" si="35"/>
        <v>2424867.7599999998</v>
      </c>
      <c r="J365" s="336">
        <f t="shared" si="36"/>
        <v>2424867.7599999998</v>
      </c>
      <c r="K365" s="546">
        <f t="shared" si="31"/>
        <v>0</v>
      </c>
      <c r="L365" s="502"/>
      <c r="M365" s="231" t="s">
        <v>2321</v>
      </c>
      <c r="N365" s="11" t="s">
        <v>243</v>
      </c>
      <c r="O365" s="341"/>
      <c r="P365" s="339"/>
    </row>
    <row r="366" spans="1:19" s="325" customFormat="1" ht="33" hidden="1">
      <c r="A366" s="333" t="s">
        <v>2161</v>
      </c>
      <c r="B366" s="334" t="s">
        <v>1021</v>
      </c>
      <c r="C366" s="335" t="s">
        <v>4</v>
      </c>
      <c r="D366" s="336">
        <v>1</v>
      </c>
      <c r="E366" s="336">
        <f>估驗單!F355</f>
        <v>1</v>
      </c>
      <c r="F366" s="390">
        <f t="shared" si="34"/>
        <v>0</v>
      </c>
      <c r="G366" s="336">
        <v>349980.91</v>
      </c>
      <c r="H366" s="336"/>
      <c r="I366" s="336">
        <f t="shared" si="35"/>
        <v>349980.91</v>
      </c>
      <c r="J366" s="336">
        <f t="shared" si="36"/>
        <v>349980.91</v>
      </c>
      <c r="K366" s="546">
        <f t="shared" si="31"/>
        <v>0</v>
      </c>
      <c r="L366" s="502"/>
      <c r="M366" s="231" t="s">
        <v>242</v>
      </c>
      <c r="N366" s="11" t="s">
        <v>243</v>
      </c>
      <c r="O366" s="341"/>
      <c r="P366" s="339"/>
    </row>
    <row r="367" spans="1:19" s="375" customFormat="1" ht="33.75" hidden="1">
      <c r="A367" s="343" t="s">
        <v>2162</v>
      </c>
      <c r="B367" s="344" t="s">
        <v>1534</v>
      </c>
      <c r="C367" s="345" t="s">
        <v>13</v>
      </c>
      <c r="D367" s="340">
        <v>464</v>
      </c>
      <c r="E367" s="336">
        <f>估驗單!F356</f>
        <v>464</v>
      </c>
      <c r="F367" s="390">
        <f t="shared" si="34"/>
        <v>0</v>
      </c>
      <c r="G367" s="340">
        <v>15384.09</v>
      </c>
      <c r="H367" s="340"/>
      <c r="I367" s="336">
        <f t="shared" si="35"/>
        <v>7138217.7599999998</v>
      </c>
      <c r="J367" s="336">
        <f t="shared" si="36"/>
        <v>7138217.7599999998</v>
      </c>
      <c r="K367" s="546">
        <f t="shared" si="31"/>
        <v>0</v>
      </c>
      <c r="L367" s="502"/>
      <c r="M367" s="346" t="s">
        <v>242</v>
      </c>
      <c r="N367" s="347" t="s">
        <v>243</v>
      </c>
      <c r="O367" s="354"/>
      <c r="P367" s="349"/>
      <c r="Q367" s="375" t="s">
        <v>2436</v>
      </c>
    </row>
    <row r="368" spans="1:19" s="368" customFormat="1" ht="28.5" hidden="1" customHeight="1">
      <c r="A368" s="333">
        <v>10</v>
      </c>
      <c r="B368" s="334" t="s">
        <v>2437</v>
      </c>
      <c r="C368" s="335" t="s">
        <v>2353</v>
      </c>
      <c r="D368" s="336">
        <v>2</v>
      </c>
      <c r="E368" s="336">
        <f>估驗單!F357</f>
        <v>2</v>
      </c>
      <c r="F368" s="390">
        <f t="shared" si="34"/>
        <v>0</v>
      </c>
      <c r="G368" s="336">
        <v>60994.76</v>
      </c>
      <c r="H368" s="336"/>
      <c r="I368" s="336">
        <f t="shared" si="35"/>
        <v>121989.52</v>
      </c>
      <c r="J368" s="336">
        <f t="shared" si="36"/>
        <v>121989.52</v>
      </c>
      <c r="K368" s="546">
        <f t="shared" si="31"/>
        <v>0</v>
      </c>
      <c r="L368" s="502"/>
      <c r="M368" s="231" t="s">
        <v>2438</v>
      </c>
      <c r="N368" s="11"/>
      <c r="O368" s="364" t="s">
        <v>2439</v>
      </c>
      <c r="P368" s="373"/>
      <c r="Q368" s="342" t="s">
        <v>2341</v>
      </c>
    </row>
    <row r="369" spans="1:17" s="368" customFormat="1" ht="28.5" hidden="1" customHeight="1">
      <c r="A369" s="333">
        <v>11</v>
      </c>
      <c r="B369" s="428" t="s">
        <v>2567</v>
      </c>
      <c r="C369" s="429" t="s">
        <v>16</v>
      </c>
      <c r="D369" s="430">
        <v>129</v>
      </c>
      <c r="E369" s="430">
        <v>129</v>
      </c>
      <c r="F369" s="431"/>
      <c r="G369" s="500">
        <v>1159.8599999999999</v>
      </c>
      <c r="H369" s="500"/>
      <c r="I369" s="336">
        <f t="shared" si="35"/>
        <v>149621.94</v>
      </c>
      <c r="J369" s="336">
        <f t="shared" si="36"/>
        <v>149621.94</v>
      </c>
      <c r="K369" s="546">
        <f t="shared" si="31"/>
        <v>0</v>
      </c>
      <c r="L369" s="536"/>
      <c r="M369" s="432"/>
      <c r="N369" s="11"/>
      <c r="O369" s="364"/>
      <c r="P369" s="373"/>
      <c r="Q369" s="342"/>
    </row>
    <row r="370" spans="1:17" s="368" customFormat="1" ht="28.5" hidden="1" customHeight="1">
      <c r="A370" s="333">
        <v>12</v>
      </c>
      <c r="B370" s="428" t="s">
        <v>2568</v>
      </c>
      <c r="C370" s="429" t="s">
        <v>16</v>
      </c>
      <c r="D370" s="430">
        <v>282</v>
      </c>
      <c r="E370" s="430">
        <v>282</v>
      </c>
      <c r="F370" s="431"/>
      <c r="G370" s="501">
        <v>689.92</v>
      </c>
      <c r="H370" s="501"/>
      <c r="I370" s="336">
        <f t="shared" si="35"/>
        <v>194557.44</v>
      </c>
      <c r="J370" s="336">
        <f t="shared" si="36"/>
        <v>194557.44</v>
      </c>
      <c r="K370" s="546">
        <f t="shared" si="31"/>
        <v>0</v>
      </c>
      <c r="L370" s="536"/>
      <c r="M370" s="432"/>
      <c r="N370" s="11"/>
      <c r="O370" s="364"/>
      <c r="P370" s="373"/>
      <c r="Q370" s="342"/>
    </row>
    <row r="371" spans="1:17" s="368" customFormat="1" ht="28.5" hidden="1" customHeight="1">
      <c r="A371" s="333">
        <v>13</v>
      </c>
      <c r="B371" s="428" t="s">
        <v>2569</v>
      </c>
      <c r="C371" s="429" t="s">
        <v>16</v>
      </c>
      <c r="D371" s="430">
        <v>214.5</v>
      </c>
      <c r="E371" s="430">
        <v>214.5</v>
      </c>
      <c r="F371" s="431"/>
      <c r="G371" s="501">
        <v>899.89</v>
      </c>
      <c r="H371" s="501"/>
      <c r="I371" s="336">
        <f t="shared" si="35"/>
        <v>193026.41</v>
      </c>
      <c r="J371" s="336">
        <f t="shared" si="36"/>
        <v>193026.41</v>
      </c>
      <c r="K371" s="546">
        <f t="shared" si="31"/>
        <v>0</v>
      </c>
      <c r="L371" s="536"/>
      <c r="M371" s="432"/>
      <c r="N371" s="11"/>
      <c r="O371" s="364"/>
      <c r="P371" s="373"/>
      <c r="Q371" s="342"/>
    </row>
    <row r="372" spans="1:17" s="368" customFormat="1" ht="28.5" hidden="1" customHeight="1">
      <c r="A372" s="333">
        <v>14</v>
      </c>
      <c r="B372" s="428" t="s">
        <v>2570</v>
      </c>
      <c r="C372" s="429" t="s">
        <v>16</v>
      </c>
      <c r="D372" s="430">
        <v>47</v>
      </c>
      <c r="E372" s="430">
        <v>47</v>
      </c>
      <c r="F372" s="431"/>
      <c r="G372" s="501">
        <v>1499.82</v>
      </c>
      <c r="H372" s="501"/>
      <c r="I372" s="336">
        <f t="shared" si="35"/>
        <v>70491.539999999994</v>
      </c>
      <c r="J372" s="336">
        <f t="shared" si="36"/>
        <v>70491.539999999994</v>
      </c>
      <c r="K372" s="546">
        <f t="shared" si="31"/>
        <v>0</v>
      </c>
      <c r="L372" s="536"/>
      <c r="M372" s="432"/>
      <c r="N372" s="11"/>
      <c r="O372" s="364"/>
      <c r="P372" s="373"/>
      <c r="Q372" s="342"/>
    </row>
    <row r="373" spans="1:17" s="368" customFormat="1" ht="28.5" hidden="1" customHeight="1">
      <c r="A373" s="333">
        <v>15</v>
      </c>
      <c r="B373" s="428" t="s">
        <v>2571</v>
      </c>
      <c r="C373" s="429" t="s">
        <v>16</v>
      </c>
      <c r="D373" s="430">
        <v>73</v>
      </c>
      <c r="E373" s="430">
        <v>73</v>
      </c>
      <c r="F373" s="431"/>
      <c r="G373" s="501">
        <v>1419.83</v>
      </c>
      <c r="H373" s="501"/>
      <c r="I373" s="336">
        <f t="shared" si="35"/>
        <v>103647.59</v>
      </c>
      <c r="J373" s="336">
        <f t="shared" si="36"/>
        <v>103647.59</v>
      </c>
      <c r="K373" s="546">
        <f t="shared" si="31"/>
        <v>0</v>
      </c>
      <c r="L373" s="536"/>
      <c r="M373" s="432"/>
      <c r="N373" s="11"/>
      <c r="O373" s="364"/>
      <c r="P373" s="373"/>
      <c r="Q373" s="342"/>
    </row>
    <row r="374" spans="1:17" s="368" customFormat="1" ht="28.5" hidden="1" customHeight="1">
      <c r="A374" s="333">
        <v>16</v>
      </c>
      <c r="B374" s="428" t="s">
        <v>2572</v>
      </c>
      <c r="C374" s="429" t="s">
        <v>16</v>
      </c>
      <c r="D374" s="430">
        <v>174</v>
      </c>
      <c r="E374" s="430">
        <v>174</v>
      </c>
      <c r="F374" s="431"/>
      <c r="G374" s="501">
        <v>771.9</v>
      </c>
      <c r="H374" s="501"/>
      <c r="I374" s="336">
        <f t="shared" si="35"/>
        <v>134310.6</v>
      </c>
      <c r="J374" s="336">
        <f t="shared" si="36"/>
        <v>134310.6</v>
      </c>
      <c r="K374" s="546">
        <f t="shared" si="31"/>
        <v>0</v>
      </c>
      <c r="L374" s="536"/>
      <c r="M374" s="432"/>
      <c r="N374" s="11"/>
      <c r="O374" s="364"/>
      <c r="P374" s="373"/>
      <c r="Q374" s="342"/>
    </row>
    <row r="375" spans="1:17" s="368" customFormat="1" ht="28.5" hidden="1" customHeight="1">
      <c r="A375" s="333">
        <v>17</v>
      </c>
      <c r="B375" s="428" t="s">
        <v>2573</v>
      </c>
      <c r="C375" s="429" t="s">
        <v>16</v>
      </c>
      <c r="D375" s="430">
        <v>1695</v>
      </c>
      <c r="E375" s="430">
        <v>1695</v>
      </c>
      <c r="F375" s="431"/>
      <c r="G375" s="501">
        <v>400.95</v>
      </c>
      <c r="H375" s="501"/>
      <c r="I375" s="336">
        <f t="shared" si="35"/>
        <v>679610.25</v>
      </c>
      <c r="J375" s="336">
        <f t="shared" si="36"/>
        <v>679610.25</v>
      </c>
      <c r="K375" s="546">
        <f t="shared" si="31"/>
        <v>0</v>
      </c>
      <c r="L375" s="536"/>
      <c r="M375" s="432"/>
      <c r="N375" s="11"/>
      <c r="O375" s="364"/>
      <c r="P375" s="373"/>
      <c r="Q375" s="342"/>
    </row>
    <row r="376" spans="1:17" s="368" customFormat="1" ht="28.5" hidden="1" customHeight="1">
      <c r="A376" s="333">
        <v>18</v>
      </c>
      <c r="B376" s="428" t="s">
        <v>2574</v>
      </c>
      <c r="C376" s="429" t="s">
        <v>16</v>
      </c>
      <c r="D376" s="430">
        <v>310</v>
      </c>
      <c r="E376" s="430">
        <v>310</v>
      </c>
      <c r="F376" s="431"/>
      <c r="G376" s="501">
        <v>280.97000000000003</v>
      </c>
      <c r="H376" s="501"/>
      <c r="I376" s="336">
        <f t="shared" si="35"/>
        <v>87100.7</v>
      </c>
      <c r="J376" s="336">
        <f t="shared" si="36"/>
        <v>87100.7</v>
      </c>
      <c r="K376" s="546">
        <f t="shared" si="31"/>
        <v>0</v>
      </c>
      <c r="L376" s="536"/>
      <c r="M376" s="432"/>
      <c r="N376" s="11"/>
      <c r="O376" s="364"/>
      <c r="P376" s="373"/>
      <c r="Q376" s="342"/>
    </row>
    <row r="377" spans="1:17" s="368" customFormat="1" ht="28.5" hidden="1" customHeight="1">
      <c r="A377" s="333">
        <v>19</v>
      </c>
      <c r="B377" s="428" t="s">
        <v>2575</v>
      </c>
      <c r="C377" s="429" t="s">
        <v>16</v>
      </c>
      <c r="D377" s="430">
        <v>723.5</v>
      </c>
      <c r="E377" s="430">
        <v>723.5</v>
      </c>
      <c r="F377" s="431"/>
      <c r="G377" s="501">
        <v>800.9</v>
      </c>
      <c r="H377" s="501"/>
      <c r="I377" s="336">
        <f t="shared" si="35"/>
        <v>579451.15</v>
      </c>
      <c r="J377" s="336">
        <f t="shared" si="36"/>
        <v>579451.15</v>
      </c>
      <c r="K377" s="546">
        <f t="shared" si="31"/>
        <v>0</v>
      </c>
      <c r="L377" s="536"/>
      <c r="M377" s="432"/>
      <c r="N377" s="11"/>
      <c r="O377" s="364"/>
      <c r="P377" s="373"/>
      <c r="Q377" s="342"/>
    </row>
    <row r="378" spans="1:17" s="368" customFormat="1" ht="28.5" hidden="1" customHeight="1">
      <c r="A378" s="333">
        <v>20</v>
      </c>
      <c r="B378" s="428" t="s">
        <v>2576</v>
      </c>
      <c r="C378" s="429" t="s">
        <v>16</v>
      </c>
      <c r="D378" s="430">
        <v>122</v>
      </c>
      <c r="E378" s="430">
        <v>122</v>
      </c>
      <c r="F378" s="431"/>
      <c r="G378" s="501">
        <v>561.92999999999995</v>
      </c>
      <c r="H378" s="501"/>
      <c r="I378" s="336">
        <f t="shared" si="35"/>
        <v>68555.460000000006</v>
      </c>
      <c r="J378" s="336">
        <f t="shared" si="36"/>
        <v>68555.460000000006</v>
      </c>
      <c r="K378" s="546">
        <f t="shared" si="31"/>
        <v>0</v>
      </c>
      <c r="L378" s="536"/>
      <c r="M378" s="432"/>
      <c r="N378" s="11"/>
      <c r="O378" s="364"/>
      <c r="P378" s="373"/>
      <c r="Q378" s="342"/>
    </row>
    <row r="379" spans="1:17" s="368" customFormat="1" ht="28.5" hidden="1" customHeight="1">
      <c r="A379" s="333">
        <v>21</v>
      </c>
      <c r="B379" s="428" t="s">
        <v>2577</v>
      </c>
      <c r="C379" s="429" t="s">
        <v>16</v>
      </c>
      <c r="D379" s="430">
        <v>421</v>
      </c>
      <c r="E379" s="430">
        <v>421</v>
      </c>
      <c r="F379" s="431"/>
      <c r="G379" s="501">
        <v>519.94000000000005</v>
      </c>
      <c r="H379" s="501"/>
      <c r="I379" s="336">
        <f t="shared" si="35"/>
        <v>218894.74</v>
      </c>
      <c r="J379" s="336">
        <f t="shared" si="36"/>
        <v>218894.74</v>
      </c>
      <c r="K379" s="546">
        <f t="shared" si="31"/>
        <v>0</v>
      </c>
      <c r="L379" s="536"/>
      <c r="M379" s="432"/>
      <c r="N379" s="11"/>
      <c r="O379" s="364"/>
      <c r="P379" s="373"/>
      <c r="Q379" s="342"/>
    </row>
    <row r="380" spans="1:17" s="368" customFormat="1" ht="28.5" hidden="1" customHeight="1">
      <c r="A380" s="333">
        <v>22</v>
      </c>
      <c r="B380" s="428" t="s">
        <v>2578</v>
      </c>
      <c r="C380" s="429" t="s">
        <v>16</v>
      </c>
      <c r="D380" s="430">
        <v>28</v>
      </c>
      <c r="E380" s="430">
        <v>28</v>
      </c>
      <c r="F380" s="431"/>
      <c r="G380" s="501">
        <v>1579.81</v>
      </c>
      <c r="H380" s="501"/>
      <c r="I380" s="336">
        <f t="shared" si="35"/>
        <v>44234.68</v>
      </c>
      <c r="J380" s="336">
        <f t="shared" si="36"/>
        <v>44234.68</v>
      </c>
      <c r="K380" s="546">
        <f t="shared" si="31"/>
        <v>0</v>
      </c>
      <c r="L380" s="536"/>
      <c r="M380" s="432"/>
      <c r="N380" s="11"/>
      <c r="O380" s="364"/>
      <c r="P380" s="373"/>
      <c r="Q380" s="342"/>
    </row>
    <row r="381" spans="1:17" s="368" customFormat="1" ht="28.5" hidden="1" customHeight="1">
      <c r="A381" s="333">
        <v>23</v>
      </c>
      <c r="B381" s="428" t="s">
        <v>2579</v>
      </c>
      <c r="C381" s="429" t="s">
        <v>16</v>
      </c>
      <c r="D381" s="430">
        <v>442.5</v>
      </c>
      <c r="E381" s="430">
        <v>442.5</v>
      </c>
      <c r="F381" s="431"/>
      <c r="G381" s="501">
        <v>209.97</v>
      </c>
      <c r="H381" s="501"/>
      <c r="I381" s="336">
        <f t="shared" si="35"/>
        <v>92911.73</v>
      </c>
      <c r="J381" s="336">
        <f t="shared" si="36"/>
        <v>92911.73</v>
      </c>
      <c r="K381" s="546">
        <f t="shared" si="31"/>
        <v>0</v>
      </c>
      <c r="L381" s="536"/>
      <c r="M381" s="432"/>
      <c r="N381" s="11"/>
      <c r="O381" s="364"/>
      <c r="P381" s="373"/>
      <c r="Q381" s="342"/>
    </row>
    <row r="382" spans="1:17" s="368" customFormat="1" ht="28.5" hidden="1" customHeight="1">
      <c r="A382" s="333">
        <v>24</v>
      </c>
      <c r="B382" s="428" t="s">
        <v>2580</v>
      </c>
      <c r="C382" s="429" t="s">
        <v>14</v>
      </c>
      <c r="D382" s="430">
        <v>2</v>
      </c>
      <c r="E382" s="430">
        <v>2</v>
      </c>
      <c r="F382" s="431"/>
      <c r="G382" s="501">
        <v>10798.67</v>
      </c>
      <c r="H382" s="501"/>
      <c r="I382" s="336">
        <f t="shared" si="35"/>
        <v>21597.34</v>
      </c>
      <c r="J382" s="336">
        <f t="shared" si="36"/>
        <v>21597.34</v>
      </c>
      <c r="K382" s="546">
        <f t="shared" si="31"/>
        <v>0</v>
      </c>
      <c r="L382" s="536"/>
      <c r="M382" s="432"/>
      <c r="N382" s="11"/>
      <c r="O382" s="364"/>
      <c r="P382" s="373"/>
      <c r="Q382" s="342"/>
    </row>
    <row r="383" spans="1:17" s="368" customFormat="1" ht="28.5" hidden="1" customHeight="1">
      <c r="A383" s="333">
        <v>25</v>
      </c>
      <c r="B383" s="428" t="s">
        <v>2581</v>
      </c>
      <c r="C383" s="429" t="s">
        <v>14</v>
      </c>
      <c r="D383" s="430">
        <v>12</v>
      </c>
      <c r="E383" s="430">
        <v>12</v>
      </c>
      <c r="F383" s="431"/>
      <c r="G383" s="501">
        <v>7249.11</v>
      </c>
      <c r="H383" s="501"/>
      <c r="I383" s="336">
        <f t="shared" si="35"/>
        <v>86989.32</v>
      </c>
      <c r="J383" s="336">
        <f t="shared" si="36"/>
        <v>86989.32</v>
      </c>
      <c r="K383" s="546">
        <f t="shared" si="31"/>
        <v>0</v>
      </c>
      <c r="L383" s="536"/>
      <c r="M383" s="432"/>
      <c r="N383" s="11"/>
      <c r="O383" s="364"/>
      <c r="P383" s="373"/>
      <c r="Q383" s="342"/>
    </row>
    <row r="384" spans="1:17" s="325" customFormat="1" ht="33" hidden="1">
      <c r="A384" s="406" t="s">
        <v>2252</v>
      </c>
      <c r="B384" s="407" t="s">
        <v>25</v>
      </c>
      <c r="C384" s="408" t="s">
        <v>4</v>
      </c>
      <c r="D384" s="409"/>
      <c r="E384" s="409">
        <f>估驗單!F373</f>
        <v>0</v>
      </c>
      <c r="F384" s="410">
        <f t="shared" si="34"/>
        <v>0</v>
      </c>
      <c r="G384" s="409">
        <f>I384</f>
        <v>3537274.3800000008</v>
      </c>
      <c r="H384" s="409"/>
      <c r="I384" s="411">
        <f>SUM(I385:I423)</f>
        <v>3537274.3800000008</v>
      </c>
      <c r="J384" s="411">
        <f>SUM(J385:J423)</f>
        <v>3537274.3800000008</v>
      </c>
      <c r="K384" s="541">
        <f>SUM(K385:K423)</f>
        <v>0</v>
      </c>
      <c r="L384" s="454">
        <f>SUM(L385:L423)</f>
        <v>0</v>
      </c>
      <c r="M384" s="288" t="s">
        <v>242</v>
      </c>
      <c r="N384" s="11" t="s">
        <v>243</v>
      </c>
      <c r="O384" s="341"/>
      <c r="P384" s="339"/>
    </row>
    <row r="385" spans="1:16" s="325" customFormat="1" ht="42.75" hidden="1">
      <c r="A385" s="333" t="s">
        <v>2154</v>
      </c>
      <c r="B385" s="334" t="s">
        <v>1023</v>
      </c>
      <c r="C385" s="335" t="s">
        <v>7</v>
      </c>
      <c r="D385" s="336">
        <v>295</v>
      </c>
      <c r="E385" s="336">
        <f>估驗單!F374</f>
        <v>295</v>
      </c>
      <c r="F385" s="390">
        <f t="shared" si="34"/>
        <v>0</v>
      </c>
      <c r="G385" s="336">
        <v>299.98</v>
      </c>
      <c r="H385" s="336"/>
      <c r="I385" s="336">
        <f t="shared" ref="I385:I423" si="37">ROUND(D385*G385,2)</f>
        <v>88494.1</v>
      </c>
      <c r="J385" s="336">
        <f t="shared" ref="J385:J423" si="38">ROUND(E385*G385,2)</f>
        <v>88494.1</v>
      </c>
      <c r="K385" s="546">
        <f t="shared" si="31"/>
        <v>0</v>
      </c>
      <c r="L385" s="502"/>
      <c r="M385" s="231" t="s">
        <v>242</v>
      </c>
      <c r="N385" s="11" t="s">
        <v>243</v>
      </c>
      <c r="O385" s="341"/>
      <c r="P385" s="339"/>
    </row>
    <row r="386" spans="1:16" s="325" customFormat="1" ht="42.75" hidden="1">
      <c r="A386" s="333" t="s">
        <v>2155</v>
      </c>
      <c r="B386" s="334" t="s">
        <v>1025</v>
      </c>
      <c r="C386" s="335" t="s">
        <v>15</v>
      </c>
      <c r="D386" s="336">
        <v>59</v>
      </c>
      <c r="E386" s="336">
        <f>估驗單!F375</f>
        <v>59</v>
      </c>
      <c r="F386" s="390">
        <f t="shared" si="34"/>
        <v>0</v>
      </c>
      <c r="G386" s="336">
        <v>2999.84</v>
      </c>
      <c r="H386" s="336"/>
      <c r="I386" s="336">
        <f t="shared" si="37"/>
        <v>176990.56</v>
      </c>
      <c r="J386" s="336">
        <f t="shared" si="38"/>
        <v>176990.56</v>
      </c>
      <c r="K386" s="546">
        <f t="shared" si="31"/>
        <v>0</v>
      </c>
      <c r="L386" s="502"/>
      <c r="M386" s="231" t="s">
        <v>2321</v>
      </c>
      <c r="N386" s="11" t="s">
        <v>243</v>
      </c>
      <c r="O386" s="341"/>
      <c r="P386" s="339"/>
    </row>
    <row r="387" spans="1:16" s="325" customFormat="1" ht="33" hidden="1">
      <c r="A387" s="333" t="s">
        <v>2156</v>
      </c>
      <c r="B387" s="334" t="s">
        <v>1027</v>
      </c>
      <c r="C387" s="335" t="s">
        <v>15</v>
      </c>
      <c r="D387" s="336">
        <v>59</v>
      </c>
      <c r="E387" s="336">
        <f>估驗單!F376</f>
        <v>59</v>
      </c>
      <c r="F387" s="390">
        <f t="shared" si="34"/>
        <v>0</v>
      </c>
      <c r="G387" s="336">
        <v>149.99</v>
      </c>
      <c r="H387" s="336"/>
      <c r="I387" s="336">
        <f t="shared" si="37"/>
        <v>8849.41</v>
      </c>
      <c r="J387" s="336">
        <f t="shared" si="38"/>
        <v>8849.41</v>
      </c>
      <c r="K387" s="546">
        <f t="shared" si="31"/>
        <v>0</v>
      </c>
      <c r="L387" s="502"/>
      <c r="M387" s="231" t="s">
        <v>2321</v>
      </c>
      <c r="N387" s="11" t="s">
        <v>243</v>
      </c>
      <c r="O387" s="341"/>
      <c r="P387" s="339"/>
    </row>
    <row r="388" spans="1:16" s="325" customFormat="1" ht="42.75" hidden="1">
      <c r="A388" s="333" t="s">
        <v>2157</v>
      </c>
      <c r="B388" s="334" t="s">
        <v>1029</v>
      </c>
      <c r="C388" s="335" t="s">
        <v>1030</v>
      </c>
      <c r="D388" s="336">
        <v>9</v>
      </c>
      <c r="E388" s="336">
        <f>估驗單!F377</f>
        <v>9</v>
      </c>
      <c r="F388" s="390">
        <f t="shared" si="34"/>
        <v>0</v>
      </c>
      <c r="G388" s="336">
        <v>1199.93</v>
      </c>
      <c r="H388" s="336"/>
      <c r="I388" s="336">
        <f t="shared" si="37"/>
        <v>10799.37</v>
      </c>
      <c r="J388" s="336">
        <f t="shared" si="38"/>
        <v>10799.37</v>
      </c>
      <c r="K388" s="546">
        <f t="shared" si="31"/>
        <v>0</v>
      </c>
      <c r="L388" s="502"/>
      <c r="M388" s="231" t="s">
        <v>2321</v>
      </c>
      <c r="N388" s="11" t="s">
        <v>243</v>
      </c>
      <c r="O388" s="341"/>
      <c r="P388" s="339"/>
    </row>
    <row r="389" spans="1:16" s="325" customFormat="1" ht="42.75" hidden="1">
      <c r="A389" s="333" t="s">
        <v>2158</v>
      </c>
      <c r="B389" s="334" t="s">
        <v>1032</v>
      </c>
      <c r="C389" s="335" t="s">
        <v>15</v>
      </c>
      <c r="D389" s="336">
        <v>22</v>
      </c>
      <c r="E389" s="336">
        <f>估驗單!F378</f>
        <v>22</v>
      </c>
      <c r="F389" s="390">
        <f t="shared" si="34"/>
        <v>0</v>
      </c>
      <c r="G389" s="336">
        <v>649.96</v>
      </c>
      <c r="H389" s="336"/>
      <c r="I389" s="336">
        <f t="shared" si="37"/>
        <v>14299.12</v>
      </c>
      <c r="J389" s="336">
        <f t="shared" si="38"/>
        <v>14299.12</v>
      </c>
      <c r="K389" s="546">
        <f t="shared" si="31"/>
        <v>0</v>
      </c>
      <c r="L389" s="502"/>
      <c r="M389" s="231" t="s">
        <v>2440</v>
      </c>
      <c r="N389" s="11" t="s">
        <v>243</v>
      </c>
      <c r="O389" s="341"/>
      <c r="P389" s="339"/>
    </row>
    <row r="390" spans="1:16" s="325" customFormat="1" ht="42.75" hidden="1">
      <c r="A390" s="333" t="s">
        <v>2159</v>
      </c>
      <c r="B390" s="334" t="s">
        <v>1034</v>
      </c>
      <c r="C390" s="335" t="s">
        <v>15</v>
      </c>
      <c r="D390" s="336">
        <v>22</v>
      </c>
      <c r="E390" s="336">
        <f>估驗單!F379</f>
        <v>22</v>
      </c>
      <c r="F390" s="390">
        <f t="shared" si="34"/>
        <v>0</v>
      </c>
      <c r="G390" s="336">
        <v>1299.93</v>
      </c>
      <c r="H390" s="336"/>
      <c r="I390" s="336">
        <f t="shared" si="37"/>
        <v>28598.46</v>
      </c>
      <c r="J390" s="336">
        <f t="shared" si="38"/>
        <v>28598.46</v>
      </c>
      <c r="K390" s="546">
        <f t="shared" si="31"/>
        <v>0</v>
      </c>
      <c r="L390" s="502"/>
      <c r="M390" s="231" t="s">
        <v>2440</v>
      </c>
      <c r="N390" s="11" t="s">
        <v>243</v>
      </c>
      <c r="O390" s="341"/>
      <c r="P390" s="339"/>
    </row>
    <row r="391" spans="1:16" s="325" customFormat="1" ht="42.75" hidden="1">
      <c r="A391" s="333" t="s">
        <v>2160</v>
      </c>
      <c r="B391" s="334" t="s">
        <v>1036</v>
      </c>
      <c r="C391" s="335" t="s">
        <v>15</v>
      </c>
      <c r="D391" s="336">
        <v>5</v>
      </c>
      <c r="E391" s="336">
        <f>估驗單!F380</f>
        <v>5</v>
      </c>
      <c r="F391" s="390">
        <f t="shared" si="34"/>
        <v>0</v>
      </c>
      <c r="G391" s="336">
        <v>3499.81</v>
      </c>
      <c r="H391" s="336"/>
      <c r="I391" s="336">
        <f t="shared" si="37"/>
        <v>17499.05</v>
      </c>
      <c r="J391" s="336">
        <f t="shared" si="38"/>
        <v>17499.05</v>
      </c>
      <c r="K391" s="546">
        <f t="shared" si="31"/>
        <v>0</v>
      </c>
      <c r="L391" s="502"/>
      <c r="M391" s="231" t="s">
        <v>242</v>
      </c>
      <c r="N391" s="11" t="s">
        <v>243</v>
      </c>
      <c r="O391" s="341"/>
      <c r="P391" s="339"/>
    </row>
    <row r="392" spans="1:16" s="325" customFormat="1" ht="42.75" hidden="1">
      <c r="A392" s="333" t="s">
        <v>2161</v>
      </c>
      <c r="B392" s="334" t="s">
        <v>1038</v>
      </c>
      <c r="C392" s="335" t="s">
        <v>15</v>
      </c>
      <c r="D392" s="336">
        <v>5</v>
      </c>
      <c r="E392" s="336">
        <f>估驗單!F381</f>
        <v>5</v>
      </c>
      <c r="F392" s="390">
        <f t="shared" si="34"/>
        <v>0</v>
      </c>
      <c r="G392" s="336">
        <v>699.96</v>
      </c>
      <c r="H392" s="336"/>
      <c r="I392" s="336">
        <f t="shared" si="37"/>
        <v>3499.8</v>
      </c>
      <c r="J392" s="336">
        <f t="shared" si="38"/>
        <v>3499.8</v>
      </c>
      <c r="K392" s="546">
        <f t="shared" si="31"/>
        <v>0</v>
      </c>
      <c r="L392" s="502"/>
      <c r="M392" s="231" t="s">
        <v>242</v>
      </c>
      <c r="N392" s="11" t="s">
        <v>243</v>
      </c>
      <c r="O392" s="341"/>
      <c r="P392" s="339"/>
    </row>
    <row r="393" spans="1:16" s="325" customFormat="1" ht="42.75" hidden="1">
      <c r="A393" s="333" t="s">
        <v>2162</v>
      </c>
      <c r="B393" s="334" t="s">
        <v>1040</v>
      </c>
      <c r="C393" s="335" t="s">
        <v>14</v>
      </c>
      <c r="D393" s="336">
        <v>1</v>
      </c>
      <c r="E393" s="336">
        <f>估驗單!F382</f>
        <v>1</v>
      </c>
      <c r="F393" s="390">
        <f t="shared" si="34"/>
        <v>0</v>
      </c>
      <c r="G393" s="336">
        <v>14999.18</v>
      </c>
      <c r="H393" s="336"/>
      <c r="I393" s="336">
        <f t="shared" si="37"/>
        <v>14999.18</v>
      </c>
      <c r="J393" s="336">
        <f t="shared" si="38"/>
        <v>14999.18</v>
      </c>
      <c r="K393" s="546">
        <f t="shared" si="31"/>
        <v>0</v>
      </c>
      <c r="L393" s="502"/>
      <c r="M393" s="231" t="s">
        <v>242</v>
      </c>
      <c r="N393" s="11" t="s">
        <v>243</v>
      </c>
      <c r="O393" s="341"/>
      <c r="P393" s="339"/>
    </row>
    <row r="394" spans="1:16" s="325" customFormat="1" ht="42.75" hidden="1">
      <c r="A394" s="333" t="s">
        <v>2163</v>
      </c>
      <c r="B394" s="334" t="s">
        <v>1043</v>
      </c>
      <c r="C394" s="335" t="s">
        <v>15</v>
      </c>
      <c r="D394" s="336">
        <v>1</v>
      </c>
      <c r="E394" s="336">
        <f>估驗單!F383</f>
        <v>1</v>
      </c>
      <c r="F394" s="390">
        <f t="shared" si="34"/>
        <v>0</v>
      </c>
      <c r="G394" s="336">
        <v>5999.67</v>
      </c>
      <c r="H394" s="336"/>
      <c r="I394" s="336">
        <f t="shared" si="37"/>
        <v>5999.67</v>
      </c>
      <c r="J394" s="336">
        <f t="shared" si="38"/>
        <v>5999.67</v>
      </c>
      <c r="K394" s="546">
        <f t="shared" si="31"/>
        <v>0</v>
      </c>
      <c r="L394" s="502"/>
      <c r="M394" s="231" t="s">
        <v>2321</v>
      </c>
      <c r="N394" s="11" t="s">
        <v>243</v>
      </c>
      <c r="O394" s="341"/>
      <c r="P394" s="339"/>
    </row>
    <row r="395" spans="1:16" s="325" customFormat="1" ht="71.25" hidden="1">
      <c r="A395" s="333" t="s">
        <v>2164</v>
      </c>
      <c r="B395" s="334" t="s">
        <v>1046</v>
      </c>
      <c r="C395" s="335" t="s">
        <v>15</v>
      </c>
      <c r="D395" s="336">
        <v>1</v>
      </c>
      <c r="E395" s="336">
        <f>估驗單!F384</f>
        <v>1</v>
      </c>
      <c r="F395" s="390">
        <f t="shared" si="34"/>
        <v>0</v>
      </c>
      <c r="G395" s="336">
        <v>49497.3</v>
      </c>
      <c r="H395" s="336"/>
      <c r="I395" s="336">
        <f t="shared" si="37"/>
        <v>49497.3</v>
      </c>
      <c r="J395" s="336">
        <f t="shared" si="38"/>
        <v>49497.3</v>
      </c>
      <c r="K395" s="546">
        <f t="shared" si="31"/>
        <v>0</v>
      </c>
      <c r="L395" s="502"/>
      <c r="M395" s="231" t="s">
        <v>242</v>
      </c>
      <c r="N395" s="11" t="s">
        <v>243</v>
      </c>
      <c r="O395" s="341"/>
      <c r="P395" s="339"/>
    </row>
    <row r="396" spans="1:16" s="325" customFormat="1" ht="42.75" hidden="1">
      <c r="A396" s="333" t="s">
        <v>2165</v>
      </c>
      <c r="B396" s="334" t="s">
        <v>1049</v>
      </c>
      <c r="C396" s="335" t="s">
        <v>15</v>
      </c>
      <c r="D396" s="336">
        <v>6</v>
      </c>
      <c r="E396" s="336">
        <f>估驗單!F385</f>
        <v>6</v>
      </c>
      <c r="F396" s="390">
        <f t="shared" si="34"/>
        <v>0</v>
      </c>
      <c r="G396" s="336">
        <v>2999.84</v>
      </c>
      <c r="H396" s="336"/>
      <c r="I396" s="336">
        <f t="shared" si="37"/>
        <v>17999.04</v>
      </c>
      <c r="J396" s="336">
        <f t="shared" si="38"/>
        <v>17999.04</v>
      </c>
      <c r="K396" s="546">
        <f t="shared" si="31"/>
        <v>0</v>
      </c>
      <c r="L396" s="502"/>
      <c r="M396" s="231" t="s">
        <v>242</v>
      </c>
      <c r="N396" s="11" t="s">
        <v>243</v>
      </c>
      <c r="O396" s="341"/>
      <c r="P396" s="339"/>
    </row>
    <row r="397" spans="1:16" s="325" customFormat="1" ht="33" hidden="1">
      <c r="A397" s="333" t="s">
        <v>2166</v>
      </c>
      <c r="B397" s="334" t="s">
        <v>1052</v>
      </c>
      <c r="C397" s="335" t="s">
        <v>14</v>
      </c>
      <c r="D397" s="336">
        <v>75</v>
      </c>
      <c r="E397" s="336">
        <f>估驗單!F386</f>
        <v>75</v>
      </c>
      <c r="F397" s="390">
        <f t="shared" si="34"/>
        <v>0</v>
      </c>
      <c r="G397" s="336">
        <v>11999.35</v>
      </c>
      <c r="H397" s="336"/>
      <c r="I397" s="336">
        <f t="shared" si="37"/>
        <v>899951.25</v>
      </c>
      <c r="J397" s="336">
        <f t="shared" si="38"/>
        <v>899951.25</v>
      </c>
      <c r="K397" s="546">
        <f t="shared" si="31"/>
        <v>0</v>
      </c>
      <c r="L397" s="502"/>
      <c r="M397" s="231" t="s">
        <v>242</v>
      </c>
      <c r="N397" s="11" t="s">
        <v>243</v>
      </c>
      <c r="O397" s="341"/>
      <c r="P397" s="339"/>
    </row>
    <row r="398" spans="1:16" s="325" customFormat="1" ht="33" hidden="1">
      <c r="A398" s="333" t="s">
        <v>2167</v>
      </c>
      <c r="B398" s="334" t="s">
        <v>1055</v>
      </c>
      <c r="C398" s="335" t="s">
        <v>1007</v>
      </c>
      <c r="D398" s="336">
        <v>75</v>
      </c>
      <c r="E398" s="336">
        <f>估驗單!F387</f>
        <v>75</v>
      </c>
      <c r="F398" s="390">
        <f t="shared" si="34"/>
        <v>0</v>
      </c>
      <c r="G398" s="336">
        <v>1499.92</v>
      </c>
      <c r="H398" s="336"/>
      <c r="I398" s="336">
        <f t="shared" si="37"/>
        <v>112494</v>
      </c>
      <c r="J398" s="336">
        <f t="shared" si="38"/>
        <v>112494</v>
      </c>
      <c r="K398" s="546">
        <f t="shared" si="31"/>
        <v>0</v>
      </c>
      <c r="L398" s="502"/>
      <c r="M398" s="231" t="s">
        <v>242</v>
      </c>
      <c r="N398" s="11" t="s">
        <v>243</v>
      </c>
      <c r="O398" s="341"/>
      <c r="P398" s="339"/>
    </row>
    <row r="399" spans="1:16" s="325" customFormat="1" ht="42.75" hidden="1">
      <c r="A399" s="333" t="s">
        <v>2168</v>
      </c>
      <c r="B399" s="334" t="s">
        <v>1058</v>
      </c>
      <c r="C399" s="335" t="s">
        <v>15</v>
      </c>
      <c r="D399" s="336">
        <v>1</v>
      </c>
      <c r="E399" s="336">
        <f>估驗單!F388</f>
        <v>1</v>
      </c>
      <c r="F399" s="390">
        <f t="shared" si="34"/>
        <v>0</v>
      </c>
      <c r="G399" s="336">
        <v>11999.35</v>
      </c>
      <c r="H399" s="336"/>
      <c r="I399" s="336">
        <f t="shared" si="37"/>
        <v>11999.35</v>
      </c>
      <c r="J399" s="336">
        <f t="shared" si="38"/>
        <v>11999.35</v>
      </c>
      <c r="K399" s="546">
        <f t="shared" si="31"/>
        <v>0</v>
      </c>
      <c r="L399" s="502"/>
      <c r="M399" s="231" t="s">
        <v>2321</v>
      </c>
      <c r="N399" s="11" t="s">
        <v>243</v>
      </c>
      <c r="O399" s="341"/>
      <c r="P399" s="339"/>
    </row>
    <row r="400" spans="1:16" s="325" customFormat="1" ht="33" hidden="1">
      <c r="A400" s="333" t="s">
        <v>2169</v>
      </c>
      <c r="B400" s="334" t="s">
        <v>1061</v>
      </c>
      <c r="C400" s="335" t="s">
        <v>15</v>
      </c>
      <c r="D400" s="336">
        <v>1</v>
      </c>
      <c r="E400" s="336">
        <f>估驗單!F389</f>
        <v>1</v>
      </c>
      <c r="F400" s="390">
        <f t="shared" si="34"/>
        <v>0</v>
      </c>
      <c r="G400" s="336">
        <v>1999.89</v>
      </c>
      <c r="H400" s="336"/>
      <c r="I400" s="336">
        <f t="shared" si="37"/>
        <v>1999.89</v>
      </c>
      <c r="J400" s="336">
        <f t="shared" si="38"/>
        <v>1999.89</v>
      </c>
      <c r="K400" s="546">
        <f t="shared" si="31"/>
        <v>0</v>
      </c>
      <c r="L400" s="502"/>
      <c r="M400" s="231" t="s">
        <v>242</v>
      </c>
      <c r="N400" s="11" t="s">
        <v>243</v>
      </c>
      <c r="O400" s="341"/>
      <c r="P400" s="339"/>
    </row>
    <row r="401" spans="1:16" s="325" customFormat="1" ht="42.75" hidden="1">
      <c r="A401" s="333" t="s">
        <v>2170</v>
      </c>
      <c r="B401" s="334" t="s">
        <v>1064</v>
      </c>
      <c r="C401" s="335" t="s">
        <v>15</v>
      </c>
      <c r="D401" s="336">
        <v>11</v>
      </c>
      <c r="E401" s="336">
        <f>估驗單!F390</f>
        <v>11</v>
      </c>
      <c r="F401" s="390">
        <f t="shared" si="34"/>
        <v>0</v>
      </c>
      <c r="G401" s="336">
        <v>2999.84</v>
      </c>
      <c r="H401" s="336"/>
      <c r="I401" s="336">
        <f t="shared" si="37"/>
        <v>32998.239999999998</v>
      </c>
      <c r="J401" s="336">
        <f t="shared" si="38"/>
        <v>32998.239999999998</v>
      </c>
      <c r="K401" s="546">
        <f t="shared" ref="K401:K464" si="39">J401-I401</f>
        <v>0</v>
      </c>
      <c r="L401" s="502"/>
      <c r="M401" s="231" t="s">
        <v>2321</v>
      </c>
      <c r="N401" s="11" t="s">
        <v>243</v>
      </c>
      <c r="O401" s="341"/>
      <c r="P401" s="339"/>
    </row>
    <row r="402" spans="1:16" s="325" customFormat="1" ht="42.75" hidden="1">
      <c r="A402" s="333" t="s">
        <v>2171</v>
      </c>
      <c r="B402" s="334" t="s">
        <v>1067</v>
      </c>
      <c r="C402" s="335" t="s">
        <v>15</v>
      </c>
      <c r="D402" s="336">
        <v>3</v>
      </c>
      <c r="E402" s="336">
        <f>估驗單!F391</f>
        <v>3</v>
      </c>
      <c r="F402" s="390">
        <f t="shared" si="34"/>
        <v>0</v>
      </c>
      <c r="G402" s="336">
        <v>1399.92</v>
      </c>
      <c r="H402" s="336"/>
      <c r="I402" s="336">
        <f t="shared" si="37"/>
        <v>4199.76</v>
      </c>
      <c r="J402" s="336">
        <f t="shared" si="38"/>
        <v>4199.76</v>
      </c>
      <c r="K402" s="546">
        <f t="shared" si="39"/>
        <v>0</v>
      </c>
      <c r="L402" s="502"/>
      <c r="M402" s="231" t="s">
        <v>2321</v>
      </c>
      <c r="N402" s="11" t="s">
        <v>243</v>
      </c>
      <c r="O402" s="341"/>
      <c r="P402" s="339"/>
    </row>
    <row r="403" spans="1:16" s="325" customFormat="1" ht="42.75" hidden="1">
      <c r="A403" s="333" t="s">
        <v>2172</v>
      </c>
      <c r="B403" s="334" t="s">
        <v>1070</v>
      </c>
      <c r="C403" s="335" t="s">
        <v>14</v>
      </c>
      <c r="D403" s="336">
        <v>5</v>
      </c>
      <c r="E403" s="336">
        <f>估驗單!F392</f>
        <v>5</v>
      </c>
      <c r="F403" s="390">
        <f t="shared" si="34"/>
        <v>0</v>
      </c>
      <c r="G403" s="336">
        <v>17999.02</v>
      </c>
      <c r="H403" s="336"/>
      <c r="I403" s="336">
        <f t="shared" si="37"/>
        <v>89995.1</v>
      </c>
      <c r="J403" s="336">
        <f t="shared" si="38"/>
        <v>89995.1</v>
      </c>
      <c r="K403" s="546">
        <f t="shared" si="39"/>
        <v>0</v>
      </c>
      <c r="L403" s="502"/>
      <c r="M403" s="231" t="s">
        <v>242</v>
      </c>
      <c r="N403" s="11" t="s">
        <v>243</v>
      </c>
      <c r="O403" s="341"/>
      <c r="P403" s="339"/>
    </row>
    <row r="404" spans="1:16" s="325" customFormat="1" ht="33" hidden="1">
      <c r="A404" s="333" t="s">
        <v>2173</v>
      </c>
      <c r="B404" s="334" t="s">
        <v>1073</v>
      </c>
      <c r="C404" s="335" t="s">
        <v>14</v>
      </c>
      <c r="D404" s="336">
        <v>1</v>
      </c>
      <c r="E404" s="336">
        <f>估驗單!F393</f>
        <v>1</v>
      </c>
      <c r="F404" s="390">
        <f t="shared" si="34"/>
        <v>0</v>
      </c>
      <c r="G404" s="336">
        <v>8999.51</v>
      </c>
      <c r="H404" s="336"/>
      <c r="I404" s="336">
        <f t="shared" si="37"/>
        <v>8999.51</v>
      </c>
      <c r="J404" s="336">
        <f t="shared" si="38"/>
        <v>8999.51</v>
      </c>
      <c r="K404" s="546">
        <f t="shared" si="39"/>
        <v>0</v>
      </c>
      <c r="L404" s="502"/>
      <c r="M404" s="231" t="s">
        <v>242</v>
      </c>
      <c r="N404" s="11" t="s">
        <v>243</v>
      </c>
      <c r="O404" s="341"/>
      <c r="P404" s="339"/>
    </row>
    <row r="405" spans="1:16" s="325" customFormat="1" ht="33" hidden="1">
      <c r="A405" s="333" t="s">
        <v>2174</v>
      </c>
      <c r="B405" s="334" t="s">
        <v>1076</v>
      </c>
      <c r="C405" s="335" t="s">
        <v>15</v>
      </c>
      <c r="D405" s="336">
        <v>2</v>
      </c>
      <c r="E405" s="336">
        <f>估驗單!F394</f>
        <v>2</v>
      </c>
      <c r="F405" s="390">
        <f t="shared" si="34"/>
        <v>0</v>
      </c>
      <c r="G405" s="336">
        <v>5999.67</v>
      </c>
      <c r="H405" s="336"/>
      <c r="I405" s="336">
        <f t="shared" si="37"/>
        <v>11999.34</v>
      </c>
      <c r="J405" s="336">
        <f t="shared" si="38"/>
        <v>11999.34</v>
      </c>
      <c r="K405" s="546">
        <f t="shared" si="39"/>
        <v>0</v>
      </c>
      <c r="L405" s="502"/>
      <c r="M405" s="231" t="s">
        <v>242</v>
      </c>
      <c r="N405" s="11" t="s">
        <v>243</v>
      </c>
      <c r="O405" s="341"/>
      <c r="P405" s="339"/>
    </row>
    <row r="406" spans="1:16" s="325" customFormat="1" ht="33" hidden="1">
      <c r="A406" s="333" t="s">
        <v>2175</v>
      </c>
      <c r="B406" s="334" t="s">
        <v>1079</v>
      </c>
      <c r="C406" s="335" t="s">
        <v>14</v>
      </c>
      <c r="D406" s="336">
        <v>1</v>
      </c>
      <c r="E406" s="336">
        <f>估驗單!F395</f>
        <v>1</v>
      </c>
      <c r="F406" s="390">
        <f t="shared" si="34"/>
        <v>0</v>
      </c>
      <c r="G406" s="336">
        <v>2499.86</v>
      </c>
      <c r="H406" s="336"/>
      <c r="I406" s="336">
        <f t="shared" si="37"/>
        <v>2499.86</v>
      </c>
      <c r="J406" s="336">
        <f t="shared" si="38"/>
        <v>2499.86</v>
      </c>
      <c r="K406" s="546">
        <f t="shared" si="39"/>
        <v>0</v>
      </c>
      <c r="L406" s="502"/>
      <c r="M406" s="231" t="s">
        <v>242</v>
      </c>
      <c r="N406" s="11" t="s">
        <v>243</v>
      </c>
      <c r="O406" s="341"/>
      <c r="P406" s="339"/>
    </row>
    <row r="407" spans="1:16" s="325" customFormat="1" ht="33" hidden="1">
      <c r="A407" s="333" t="s">
        <v>2177</v>
      </c>
      <c r="B407" s="334" t="s">
        <v>1082</v>
      </c>
      <c r="C407" s="335" t="s">
        <v>14</v>
      </c>
      <c r="D407" s="336">
        <v>1</v>
      </c>
      <c r="E407" s="336">
        <f>估驗單!F396</f>
        <v>1</v>
      </c>
      <c r="F407" s="390">
        <f t="shared" si="34"/>
        <v>0</v>
      </c>
      <c r="G407" s="336">
        <v>2499.86</v>
      </c>
      <c r="H407" s="336"/>
      <c r="I407" s="336">
        <f t="shared" si="37"/>
        <v>2499.86</v>
      </c>
      <c r="J407" s="336">
        <f t="shared" si="38"/>
        <v>2499.86</v>
      </c>
      <c r="K407" s="546">
        <f t="shared" si="39"/>
        <v>0</v>
      </c>
      <c r="L407" s="502"/>
      <c r="M407" s="231" t="s">
        <v>242</v>
      </c>
      <c r="N407" s="11" t="s">
        <v>243</v>
      </c>
      <c r="O407" s="341"/>
      <c r="P407" s="339"/>
    </row>
    <row r="408" spans="1:16" s="325" customFormat="1" ht="42.75" hidden="1">
      <c r="A408" s="333" t="s">
        <v>2178</v>
      </c>
      <c r="B408" s="334" t="s">
        <v>1085</v>
      </c>
      <c r="C408" s="335" t="s">
        <v>15</v>
      </c>
      <c r="D408" s="336">
        <v>4</v>
      </c>
      <c r="E408" s="336">
        <f>估驗單!F397</f>
        <v>4</v>
      </c>
      <c r="F408" s="390">
        <f t="shared" si="34"/>
        <v>0</v>
      </c>
      <c r="G408" s="336">
        <v>2999.84</v>
      </c>
      <c r="H408" s="336"/>
      <c r="I408" s="336">
        <f t="shared" si="37"/>
        <v>11999.36</v>
      </c>
      <c r="J408" s="336">
        <f t="shared" si="38"/>
        <v>11999.36</v>
      </c>
      <c r="K408" s="546">
        <f t="shared" si="39"/>
        <v>0</v>
      </c>
      <c r="L408" s="502"/>
      <c r="M408" s="231" t="s">
        <v>242</v>
      </c>
      <c r="N408" s="11" t="s">
        <v>243</v>
      </c>
      <c r="O408" s="341"/>
      <c r="P408" s="339"/>
    </row>
    <row r="409" spans="1:16" s="325" customFormat="1" ht="57" hidden="1">
      <c r="A409" s="333" t="s">
        <v>2179</v>
      </c>
      <c r="B409" s="334" t="s">
        <v>1088</v>
      </c>
      <c r="C409" s="335" t="s">
        <v>15</v>
      </c>
      <c r="D409" s="336">
        <v>2</v>
      </c>
      <c r="E409" s="336">
        <f>估驗單!F398</f>
        <v>2</v>
      </c>
      <c r="F409" s="390">
        <f t="shared" si="34"/>
        <v>0</v>
      </c>
      <c r="G409" s="336">
        <v>19998.91</v>
      </c>
      <c r="H409" s="336"/>
      <c r="I409" s="336">
        <f t="shared" si="37"/>
        <v>39997.82</v>
      </c>
      <c r="J409" s="336">
        <f t="shared" si="38"/>
        <v>39997.82</v>
      </c>
      <c r="K409" s="546">
        <f t="shared" si="39"/>
        <v>0</v>
      </c>
      <c r="L409" s="502"/>
      <c r="M409" s="231" t="s">
        <v>2321</v>
      </c>
      <c r="N409" s="11" t="s">
        <v>243</v>
      </c>
      <c r="O409" s="341"/>
      <c r="P409" s="339"/>
    </row>
    <row r="410" spans="1:16" s="325" customFormat="1" ht="42.75" hidden="1">
      <c r="A410" s="333" t="s">
        <v>2181</v>
      </c>
      <c r="B410" s="334" t="s">
        <v>1091</v>
      </c>
      <c r="C410" s="335" t="s">
        <v>14</v>
      </c>
      <c r="D410" s="336">
        <v>1</v>
      </c>
      <c r="E410" s="336">
        <f>估驗單!F399</f>
        <v>1</v>
      </c>
      <c r="F410" s="390">
        <f t="shared" si="34"/>
        <v>0</v>
      </c>
      <c r="G410" s="336">
        <v>14999.18</v>
      </c>
      <c r="H410" s="336"/>
      <c r="I410" s="336">
        <f t="shared" si="37"/>
        <v>14999.18</v>
      </c>
      <c r="J410" s="336">
        <f t="shared" si="38"/>
        <v>14999.18</v>
      </c>
      <c r="K410" s="546">
        <f t="shared" si="39"/>
        <v>0</v>
      </c>
      <c r="L410" s="502"/>
      <c r="M410" s="231" t="s">
        <v>242</v>
      </c>
      <c r="N410" s="11" t="s">
        <v>243</v>
      </c>
      <c r="O410" s="341"/>
      <c r="P410" s="339"/>
    </row>
    <row r="411" spans="1:16" s="325" customFormat="1" ht="42.75" hidden="1">
      <c r="A411" s="333" t="s">
        <v>2182</v>
      </c>
      <c r="B411" s="334" t="s">
        <v>1094</v>
      </c>
      <c r="C411" s="335" t="s">
        <v>1095</v>
      </c>
      <c r="D411" s="336">
        <v>3</v>
      </c>
      <c r="E411" s="336">
        <f>估驗單!F400</f>
        <v>3</v>
      </c>
      <c r="F411" s="390">
        <f t="shared" si="34"/>
        <v>0</v>
      </c>
      <c r="G411" s="336">
        <v>1299.93</v>
      </c>
      <c r="H411" s="336"/>
      <c r="I411" s="336">
        <f t="shared" si="37"/>
        <v>3899.79</v>
      </c>
      <c r="J411" s="336">
        <f t="shared" si="38"/>
        <v>3899.79</v>
      </c>
      <c r="K411" s="546">
        <f t="shared" si="39"/>
        <v>0</v>
      </c>
      <c r="L411" s="502"/>
      <c r="M411" s="231" t="s">
        <v>242</v>
      </c>
      <c r="N411" s="11" t="s">
        <v>243</v>
      </c>
      <c r="O411" s="341"/>
      <c r="P411" s="339"/>
    </row>
    <row r="412" spans="1:16" s="325" customFormat="1" ht="33" hidden="1">
      <c r="A412" s="333" t="s">
        <v>2183</v>
      </c>
      <c r="B412" s="334" t="s">
        <v>1098</v>
      </c>
      <c r="C412" s="335" t="s">
        <v>1095</v>
      </c>
      <c r="D412" s="336">
        <v>4</v>
      </c>
      <c r="E412" s="336">
        <f>估驗單!F401</f>
        <v>4</v>
      </c>
      <c r="F412" s="390">
        <f t="shared" si="34"/>
        <v>0</v>
      </c>
      <c r="G412" s="336">
        <v>999.95</v>
      </c>
      <c r="H412" s="336"/>
      <c r="I412" s="336">
        <f t="shared" si="37"/>
        <v>3999.8</v>
      </c>
      <c r="J412" s="336">
        <f t="shared" si="38"/>
        <v>3999.8</v>
      </c>
      <c r="K412" s="546">
        <f t="shared" si="39"/>
        <v>0</v>
      </c>
      <c r="L412" s="502"/>
      <c r="M412" s="231" t="s">
        <v>242</v>
      </c>
      <c r="N412" s="11" t="s">
        <v>243</v>
      </c>
      <c r="O412" s="341"/>
      <c r="P412" s="339"/>
    </row>
    <row r="413" spans="1:16" s="325" customFormat="1" ht="33" hidden="1">
      <c r="A413" s="333" t="s">
        <v>2184</v>
      </c>
      <c r="B413" s="334" t="s">
        <v>1101</v>
      </c>
      <c r="C413" s="335" t="s">
        <v>15</v>
      </c>
      <c r="D413" s="336">
        <v>2</v>
      </c>
      <c r="E413" s="336">
        <f>估驗單!F402</f>
        <v>2</v>
      </c>
      <c r="F413" s="390">
        <f t="shared" si="34"/>
        <v>0</v>
      </c>
      <c r="G413" s="336">
        <v>8999.51</v>
      </c>
      <c r="H413" s="336"/>
      <c r="I413" s="336">
        <f t="shared" si="37"/>
        <v>17999.02</v>
      </c>
      <c r="J413" s="336">
        <f t="shared" si="38"/>
        <v>17999.02</v>
      </c>
      <c r="K413" s="546">
        <f t="shared" si="39"/>
        <v>0</v>
      </c>
      <c r="L413" s="502"/>
      <c r="M413" s="231" t="s">
        <v>2321</v>
      </c>
      <c r="N413" s="11" t="s">
        <v>243</v>
      </c>
      <c r="O413" s="341"/>
      <c r="P413" s="339"/>
    </row>
    <row r="414" spans="1:16" s="325" customFormat="1" ht="42.75" hidden="1">
      <c r="A414" s="333" t="s">
        <v>2185</v>
      </c>
      <c r="B414" s="334" t="s">
        <v>1104</v>
      </c>
      <c r="C414" s="335" t="s">
        <v>15</v>
      </c>
      <c r="D414" s="336">
        <v>4</v>
      </c>
      <c r="E414" s="336">
        <f>估驗單!F403</f>
        <v>4</v>
      </c>
      <c r="F414" s="390">
        <f t="shared" si="34"/>
        <v>0</v>
      </c>
      <c r="G414" s="336">
        <v>4199.7700000000004</v>
      </c>
      <c r="H414" s="336"/>
      <c r="I414" s="336">
        <f t="shared" si="37"/>
        <v>16799.080000000002</v>
      </c>
      <c r="J414" s="336">
        <f t="shared" si="38"/>
        <v>16799.080000000002</v>
      </c>
      <c r="K414" s="546">
        <f t="shared" si="39"/>
        <v>0</v>
      </c>
      <c r="L414" s="502"/>
      <c r="M414" s="231" t="s">
        <v>242</v>
      </c>
      <c r="N414" s="11" t="s">
        <v>243</v>
      </c>
      <c r="O414" s="341"/>
      <c r="P414" s="339"/>
    </row>
    <row r="415" spans="1:16" ht="33" hidden="1">
      <c r="A415" s="333" t="s">
        <v>2186</v>
      </c>
      <c r="B415" s="334" t="s">
        <v>1107</v>
      </c>
      <c r="C415" s="335" t="s">
        <v>14</v>
      </c>
      <c r="D415" s="336">
        <v>2</v>
      </c>
      <c r="E415" s="336">
        <f>估驗單!F404</f>
        <v>2</v>
      </c>
      <c r="F415" s="390">
        <f t="shared" si="34"/>
        <v>0</v>
      </c>
      <c r="G415" s="336">
        <v>999.95</v>
      </c>
      <c r="H415" s="336"/>
      <c r="I415" s="336">
        <f t="shared" si="37"/>
        <v>1999.9</v>
      </c>
      <c r="J415" s="336">
        <f t="shared" si="38"/>
        <v>1999.9</v>
      </c>
      <c r="K415" s="546">
        <f t="shared" si="39"/>
        <v>0</v>
      </c>
      <c r="L415" s="502"/>
      <c r="M415" s="231" t="s">
        <v>242</v>
      </c>
      <c r="N415" s="11" t="s">
        <v>243</v>
      </c>
      <c r="O415" s="341"/>
      <c r="P415" s="339"/>
    </row>
    <row r="416" spans="1:16" ht="33" hidden="1">
      <c r="A416" s="333" t="s">
        <v>2187</v>
      </c>
      <c r="B416" s="334" t="s">
        <v>224</v>
      </c>
      <c r="C416" s="335" t="s">
        <v>15</v>
      </c>
      <c r="D416" s="336">
        <v>12</v>
      </c>
      <c r="E416" s="336">
        <f>估驗單!F405</f>
        <v>12</v>
      </c>
      <c r="F416" s="390">
        <f t="shared" si="34"/>
        <v>0</v>
      </c>
      <c r="G416" s="336">
        <v>4499.75</v>
      </c>
      <c r="H416" s="336"/>
      <c r="I416" s="336">
        <f t="shared" si="37"/>
        <v>53997</v>
      </c>
      <c r="J416" s="336">
        <f t="shared" si="38"/>
        <v>53997</v>
      </c>
      <c r="K416" s="546">
        <f t="shared" si="39"/>
        <v>0</v>
      </c>
      <c r="L416" s="502"/>
      <c r="M416" s="231" t="s">
        <v>242</v>
      </c>
      <c r="N416" s="11" t="s">
        <v>243</v>
      </c>
      <c r="O416" s="341"/>
      <c r="P416" s="339"/>
    </row>
    <row r="417" spans="1:21" ht="33" hidden="1">
      <c r="A417" s="333" t="s">
        <v>2188</v>
      </c>
      <c r="B417" s="334" t="s">
        <v>1112</v>
      </c>
      <c r="C417" s="335" t="s">
        <v>15</v>
      </c>
      <c r="D417" s="336">
        <v>2</v>
      </c>
      <c r="E417" s="336">
        <f>估驗單!F406</f>
        <v>2</v>
      </c>
      <c r="F417" s="390">
        <f t="shared" si="34"/>
        <v>0</v>
      </c>
      <c r="G417" s="336">
        <v>636265.30000000005</v>
      </c>
      <c r="H417" s="336"/>
      <c r="I417" s="336">
        <f t="shared" si="37"/>
        <v>1272530.6000000001</v>
      </c>
      <c r="J417" s="336">
        <f t="shared" si="38"/>
        <v>1272530.6000000001</v>
      </c>
      <c r="K417" s="546">
        <f t="shared" si="39"/>
        <v>0</v>
      </c>
      <c r="L417" s="502"/>
      <c r="M417" s="231" t="s">
        <v>242</v>
      </c>
      <c r="N417" s="11" t="s">
        <v>243</v>
      </c>
      <c r="O417" s="341"/>
      <c r="P417" s="339"/>
    </row>
    <row r="418" spans="1:21" ht="42.75" hidden="1">
      <c r="A418" s="333" t="s">
        <v>2189</v>
      </c>
      <c r="B418" s="334" t="s">
        <v>1115</v>
      </c>
      <c r="C418" s="335" t="s">
        <v>1116</v>
      </c>
      <c r="D418" s="336">
        <v>4</v>
      </c>
      <c r="E418" s="336">
        <f>估驗單!F407</f>
        <v>4</v>
      </c>
      <c r="F418" s="390">
        <f t="shared" si="34"/>
        <v>0</v>
      </c>
      <c r="G418" s="336">
        <v>1999.89</v>
      </c>
      <c r="H418" s="336"/>
      <c r="I418" s="336">
        <f t="shared" si="37"/>
        <v>7999.56</v>
      </c>
      <c r="J418" s="336">
        <f t="shared" si="38"/>
        <v>7999.56</v>
      </c>
      <c r="K418" s="546">
        <f t="shared" si="39"/>
        <v>0</v>
      </c>
      <c r="L418" s="502"/>
      <c r="M418" s="231" t="s">
        <v>2321</v>
      </c>
      <c r="N418" s="11" t="s">
        <v>243</v>
      </c>
      <c r="O418" s="341"/>
      <c r="P418" s="339"/>
    </row>
    <row r="419" spans="1:21" ht="33" hidden="1">
      <c r="A419" s="333" t="s">
        <v>2190</v>
      </c>
      <c r="B419" s="334" t="s">
        <v>1542</v>
      </c>
      <c r="C419" s="335" t="s">
        <v>15</v>
      </c>
      <c r="D419" s="336">
        <v>1</v>
      </c>
      <c r="E419" s="336">
        <f>估驗單!F408</f>
        <v>1</v>
      </c>
      <c r="F419" s="390">
        <f t="shared" si="34"/>
        <v>0</v>
      </c>
      <c r="G419" s="336">
        <v>119722.49</v>
      </c>
      <c r="H419" s="336"/>
      <c r="I419" s="336">
        <f t="shared" si="37"/>
        <v>119722.49</v>
      </c>
      <c r="J419" s="336">
        <f t="shared" si="38"/>
        <v>119722.49</v>
      </c>
      <c r="K419" s="546">
        <f t="shared" si="39"/>
        <v>0</v>
      </c>
      <c r="L419" s="502"/>
      <c r="M419" s="231" t="s">
        <v>242</v>
      </c>
      <c r="N419" s="11" t="s">
        <v>243</v>
      </c>
      <c r="O419" s="341"/>
      <c r="P419" s="339"/>
    </row>
    <row r="420" spans="1:21" s="352" customFormat="1" ht="33.75" hidden="1">
      <c r="A420" s="343">
        <v>36</v>
      </c>
      <c r="B420" s="344" t="s">
        <v>2441</v>
      </c>
      <c r="C420" s="345" t="s">
        <v>2353</v>
      </c>
      <c r="D420" s="340">
        <v>1</v>
      </c>
      <c r="E420" s="336">
        <f>估驗單!F409</f>
        <v>1</v>
      </c>
      <c r="F420" s="390">
        <f t="shared" si="34"/>
        <v>0</v>
      </c>
      <c r="G420" s="340">
        <v>74993.56</v>
      </c>
      <c r="H420" s="340"/>
      <c r="I420" s="336">
        <f t="shared" si="37"/>
        <v>74993.56</v>
      </c>
      <c r="J420" s="336">
        <f t="shared" si="38"/>
        <v>74993.56</v>
      </c>
      <c r="K420" s="546">
        <f t="shared" si="39"/>
        <v>0</v>
      </c>
      <c r="L420" s="502"/>
      <c r="M420" s="350" t="s">
        <v>2442</v>
      </c>
      <c r="N420" s="347" t="s">
        <v>243</v>
      </c>
      <c r="O420" s="348" t="s">
        <v>2443</v>
      </c>
      <c r="P420" s="349"/>
      <c r="Q420" s="362" t="s">
        <v>2356</v>
      </c>
    </row>
    <row r="421" spans="1:21" s="352" customFormat="1" ht="42.75" hidden="1">
      <c r="A421" s="423">
        <v>37</v>
      </c>
      <c r="B421" s="424" t="s">
        <v>1546</v>
      </c>
      <c r="C421" s="425" t="s">
        <v>15</v>
      </c>
      <c r="D421" s="419">
        <v>2</v>
      </c>
      <c r="E421" s="419">
        <f>估驗單!F410</f>
        <v>2</v>
      </c>
      <c r="F421" s="426">
        <f t="shared" si="34"/>
        <v>0</v>
      </c>
      <c r="G421" s="419">
        <v>83492.83</v>
      </c>
      <c r="H421" s="419"/>
      <c r="I421" s="336">
        <f t="shared" si="37"/>
        <v>166985.66</v>
      </c>
      <c r="J421" s="336">
        <f t="shared" si="38"/>
        <v>166985.66</v>
      </c>
      <c r="K421" s="546">
        <f t="shared" si="39"/>
        <v>0</v>
      </c>
      <c r="L421" s="502"/>
      <c r="M421" s="376"/>
      <c r="N421" s="357"/>
      <c r="O421" s="377"/>
      <c r="P421" s="360"/>
      <c r="Q421" s="353" t="s">
        <v>2356</v>
      </c>
    </row>
    <row r="422" spans="1:21" s="352" customFormat="1" ht="42.75" hidden="1">
      <c r="A422" s="423">
        <v>38</v>
      </c>
      <c r="B422" s="424" t="s">
        <v>1548</v>
      </c>
      <c r="C422" s="425" t="s">
        <v>15</v>
      </c>
      <c r="D422" s="419">
        <v>1</v>
      </c>
      <c r="E422" s="419">
        <f>估驗單!F411</f>
        <v>1</v>
      </c>
      <c r="F422" s="426">
        <f t="shared" si="34"/>
        <v>0</v>
      </c>
      <c r="G422" s="419">
        <v>76193.42</v>
      </c>
      <c r="H422" s="419"/>
      <c r="I422" s="336">
        <f t="shared" si="37"/>
        <v>76193.42</v>
      </c>
      <c r="J422" s="336">
        <f t="shared" si="38"/>
        <v>76193.42</v>
      </c>
      <c r="K422" s="546">
        <f t="shared" si="39"/>
        <v>0</v>
      </c>
      <c r="L422" s="502"/>
      <c r="M422" s="376"/>
      <c r="N422" s="357"/>
      <c r="O422" s="377"/>
      <c r="P422" s="360"/>
      <c r="Q422" s="353" t="s">
        <v>2356</v>
      </c>
    </row>
    <row r="423" spans="1:21" s="352" customFormat="1" ht="28.5" hidden="1">
      <c r="A423" s="423">
        <v>39</v>
      </c>
      <c r="B423" s="424" t="s">
        <v>1550</v>
      </c>
      <c r="C423" s="425" t="s">
        <v>15</v>
      </c>
      <c r="D423" s="419">
        <v>2</v>
      </c>
      <c r="E423" s="419">
        <f>估驗單!F412</f>
        <v>2</v>
      </c>
      <c r="F423" s="426">
        <f t="shared" si="34"/>
        <v>0</v>
      </c>
      <c r="G423" s="419">
        <v>17998.46</v>
      </c>
      <c r="H423" s="419"/>
      <c r="I423" s="336">
        <f t="shared" si="37"/>
        <v>35996.92</v>
      </c>
      <c r="J423" s="336">
        <f t="shared" si="38"/>
        <v>35996.92</v>
      </c>
      <c r="K423" s="546">
        <f t="shared" si="39"/>
        <v>0</v>
      </c>
      <c r="L423" s="502"/>
      <c r="M423" s="376"/>
      <c r="N423" s="357"/>
      <c r="O423" s="377"/>
      <c r="P423" s="360"/>
      <c r="Q423" s="353" t="s">
        <v>2356</v>
      </c>
    </row>
    <row r="424" spans="1:21" ht="33" hidden="1">
      <c r="A424" s="406" t="s">
        <v>2253</v>
      </c>
      <c r="B424" s="407" t="s">
        <v>1118</v>
      </c>
      <c r="C424" s="408" t="s">
        <v>4</v>
      </c>
      <c r="D424" s="409"/>
      <c r="E424" s="409"/>
      <c r="F424" s="410">
        <f t="shared" si="34"/>
        <v>0</v>
      </c>
      <c r="G424" s="409">
        <f>I424</f>
        <v>3983954.6799999997</v>
      </c>
      <c r="H424" s="409"/>
      <c r="I424" s="409">
        <f>SUM(I425:I427)</f>
        <v>3983954.6799999997</v>
      </c>
      <c r="J424" s="409">
        <f>SUM(J425:J427)</f>
        <v>3983954.6799999997</v>
      </c>
      <c r="K424" s="542">
        <f>SUM(K425:K427)</f>
        <v>0</v>
      </c>
      <c r="L424" s="534"/>
      <c r="M424" s="288" t="s">
        <v>242</v>
      </c>
      <c r="N424" s="11" t="s">
        <v>243</v>
      </c>
      <c r="O424" s="341"/>
      <c r="P424" s="339"/>
    </row>
    <row r="425" spans="1:21" ht="33" hidden="1">
      <c r="A425" s="333" t="s">
        <v>2154</v>
      </c>
      <c r="B425" s="334" t="s">
        <v>26</v>
      </c>
      <c r="C425" s="335" t="s">
        <v>20</v>
      </c>
      <c r="D425" s="336">
        <v>48</v>
      </c>
      <c r="E425" s="336">
        <f>估驗單!F414</f>
        <v>48</v>
      </c>
      <c r="F425" s="390">
        <f t="shared" si="34"/>
        <v>0</v>
      </c>
      <c r="G425" s="336">
        <v>13067.55</v>
      </c>
      <c r="H425" s="336"/>
      <c r="I425" s="336">
        <f>ROUND(D425*G425,2)</f>
        <v>627242.4</v>
      </c>
      <c r="J425" s="336">
        <f>ROUND(E425*G425,2)</f>
        <v>627242.4</v>
      </c>
      <c r="K425" s="546">
        <f t="shared" si="39"/>
        <v>0</v>
      </c>
      <c r="L425" s="502"/>
      <c r="M425" s="231" t="s">
        <v>242</v>
      </c>
      <c r="N425" s="11" t="s">
        <v>243</v>
      </c>
      <c r="O425" s="341"/>
      <c r="P425" s="339"/>
    </row>
    <row r="426" spans="1:21" ht="33.75" hidden="1">
      <c r="A426" s="333" t="s">
        <v>2155</v>
      </c>
      <c r="B426" s="334" t="s">
        <v>27</v>
      </c>
      <c r="C426" s="335" t="s">
        <v>21</v>
      </c>
      <c r="D426" s="336">
        <v>28448</v>
      </c>
      <c r="E426" s="336">
        <f>估驗單!F415</f>
        <v>28448</v>
      </c>
      <c r="F426" s="390">
        <f t="shared" si="34"/>
        <v>0</v>
      </c>
      <c r="G426" s="336">
        <v>54.56</v>
      </c>
      <c r="H426" s="336"/>
      <c r="I426" s="336">
        <f>ROUND(D426*G426,2)</f>
        <v>1552122.8799999999</v>
      </c>
      <c r="J426" s="336">
        <f>ROUND(E426*G426,2)</f>
        <v>1552122.8799999999</v>
      </c>
      <c r="K426" s="546">
        <f t="shared" si="39"/>
        <v>0</v>
      </c>
      <c r="L426" s="502"/>
      <c r="M426" s="231" t="s">
        <v>2444</v>
      </c>
      <c r="N426" s="11" t="s">
        <v>243</v>
      </c>
      <c r="O426" s="341" t="s">
        <v>2445</v>
      </c>
      <c r="P426" s="339" t="s">
        <v>2446</v>
      </c>
      <c r="Q426" s="362" t="s">
        <v>2356</v>
      </c>
      <c r="S426" s="378" t="s">
        <v>2447</v>
      </c>
      <c r="U426" s="379"/>
    </row>
    <row r="427" spans="1:21" s="363" customFormat="1" ht="67.5" hidden="1">
      <c r="A427" s="343" t="s">
        <v>2156</v>
      </c>
      <c r="B427" s="344" t="s">
        <v>1553</v>
      </c>
      <c r="C427" s="345" t="s">
        <v>2448</v>
      </c>
      <c r="D427" s="340">
        <v>1570</v>
      </c>
      <c r="E427" s="336">
        <f>估驗單!F416</f>
        <v>1570</v>
      </c>
      <c r="F427" s="390">
        <f t="shared" si="34"/>
        <v>0</v>
      </c>
      <c r="G427" s="340">
        <v>1149.42</v>
      </c>
      <c r="H427" s="340"/>
      <c r="I427" s="336">
        <f>ROUND(D427*G427,2)</f>
        <v>1804589.4</v>
      </c>
      <c r="J427" s="336">
        <f>ROUND(E427*G427,2)</f>
        <v>1804589.4</v>
      </c>
      <c r="K427" s="546">
        <f t="shared" si="39"/>
        <v>0</v>
      </c>
      <c r="L427" s="502"/>
      <c r="M427" s="346" t="s">
        <v>242</v>
      </c>
      <c r="N427" s="347" t="s">
        <v>243</v>
      </c>
      <c r="O427" s="354" t="s">
        <v>2449</v>
      </c>
      <c r="P427" s="349" t="s">
        <v>2450</v>
      </c>
      <c r="Q427" s="358" t="s">
        <v>2341</v>
      </c>
    </row>
    <row r="428" spans="1:21" ht="33" hidden="1">
      <c r="A428" s="406" t="s">
        <v>2254</v>
      </c>
      <c r="B428" s="407" t="s">
        <v>1121</v>
      </c>
      <c r="C428" s="408" t="s">
        <v>4</v>
      </c>
      <c r="D428" s="409"/>
      <c r="E428" s="409"/>
      <c r="F428" s="410">
        <f t="shared" si="34"/>
        <v>0</v>
      </c>
      <c r="G428" s="409">
        <f>I428</f>
        <v>10146417.939999999</v>
      </c>
      <c r="H428" s="409"/>
      <c r="I428" s="411">
        <f>SUM(I429:I447)</f>
        <v>10146417.939999999</v>
      </c>
      <c r="J428" s="411">
        <f>SUM(J429:J447)</f>
        <v>10761887.789999999</v>
      </c>
      <c r="K428" s="541">
        <f>SUM(K429:K447)</f>
        <v>615469.85</v>
      </c>
      <c r="L428" s="454">
        <f>SUM(L429:L446)</f>
        <v>0</v>
      </c>
      <c r="M428" s="288" t="s">
        <v>242</v>
      </c>
      <c r="N428" s="11" t="s">
        <v>243</v>
      </c>
      <c r="O428" s="341"/>
      <c r="P428" s="339"/>
    </row>
    <row r="429" spans="1:21" ht="33" hidden="1">
      <c r="A429" s="333" t="s">
        <v>2154</v>
      </c>
      <c r="B429" s="334" t="s">
        <v>1122</v>
      </c>
      <c r="C429" s="335" t="s">
        <v>8</v>
      </c>
      <c r="D429" s="336">
        <v>1294.97</v>
      </c>
      <c r="E429" s="336">
        <f>估驗單!F418</f>
        <v>1294.97</v>
      </c>
      <c r="F429" s="390">
        <f t="shared" si="34"/>
        <v>0</v>
      </c>
      <c r="G429" s="336">
        <v>3662.03</v>
      </c>
      <c r="H429" s="336"/>
      <c r="I429" s="336">
        <f t="shared" ref="I429:I447" si="40">ROUND(D429*G429,2)</f>
        <v>4742218.99</v>
      </c>
      <c r="J429" s="336">
        <f t="shared" ref="J429:J447" si="41">ROUND(E429*G429,2)</f>
        <v>4742218.99</v>
      </c>
      <c r="K429" s="546">
        <f t="shared" si="39"/>
        <v>0</v>
      </c>
      <c r="L429" s="502"/>
      <c r="M429" s="231" t="s">
        <v>2451</v>
      </c>
      <c r="N429" s="11" t="s">
        <v>243</v>
      </c>
      <c r="O429" s="341"/>
      <c r="P429" s="339"/>
    </row>
    <row r="430" spans="1:21" ht="33" hidden="1">
      <c r="A430" s="333" t="s">
        <v>2155</v>
      </c>
      <c r="B430" s="334" t="s">
        <v>1124</v>
      </c>
      <c r="C430" s="335" t="s">
        <v>13</v>
      </c>
      <c r="D430" s="336">
        <v>1840.93</v>
      </c>
      <c r="E430" s="336">
        <f>估驗單!F419</f>
        <v>1840.93</v>
      </c>
      <c r="F430" s="390">
        <f t="shared" si="34"/>
        <v>0</v>
      </c>
      <c r="G430" s="336">
        <v>352.98</v>
      </c>
      <c r="H430" s="336"/>
      <c r="I430" s="336">
        <f t="shared" si="40"/>
        <v>649811.47</v>
      </c>
      <c r="J430" s="336">
        <f t="shared" si="41"/>
        <v>649811.47</v>
      </c>
      <c r="K430" s="546">
        <f t="shared" si="39"/>
        <v>0</v>
      </c>
      <c r="L430" s="502"/>
      <c r="M430" s="231" t="s">
        <v>2452</v>
      </c>
      <c r="N430" s="11" t="s">
        <v>243</v>
      </c>
      <c r="O430" s="341"/>
      <c r="P430" s="339"/>
    </row>
    <row r="431" spans="1:21" ht="33" hidden="1">
      <c r="A431" s="333" t="s">
        <v>2156</v>
      </c>
      <c r="B431" s="334" t="s">
        <v>32</v>
      </c>
      <c r="C431" s="335" t="s">
        <v>7</v>
      </c>
      <c r="D431" s="336">
        <v>59</v>
      </c>
      <c r="E431" s="336">
        <f>估驗單!F420</f>
        <v>59</v>
      </c>
      <c r="F431" s="390">
        <f t="shared" si="34"/>
        <v>0</v>
      </c>
      <c r="G431" s="336">
        <v>217.01</v>
      </c>
      <c r="H431" s="336"/>
      <c r="I431" s="336">
        <f t="shared" si="40"/>
        <v>12803.59</v>
      </c>
      <c r="J431" s="336">
        <f t="shared" si="41"/>
        <v>12803.59</v>
      </c>
      <c r="K431" s="546">
        <f t="shared" si="39"/>
        <v>0</v>
      </c>
      <c r="L431" s="502"/>
      <c r="M431" s="231" t="s">
        <v>242</v>
      </c>
      <c r="N431" s="11" t="s">
        <v>243</v>
      </c>
      <c r="O431" s="341"/>
      <c r="P431" s="339"/>
    </row>
    <row r="432" spans="1:21" ht="33" hidden="1">
      <c r="A432" s="333" t="s">
        <v>2157</v>
      </c>
      <c r="B432" s="334" t="s">
        <v>33</v>
      </c>
      <c r="C432" s="335" t="s">
        <v>5</v>
      </c>
      <c r="D432" s="336">
        <v>30</v>
      </c>
      <c r="E432" s="336">
        <f>估驗單!F421</f>
        <v>30</v>
      </c>
      <c r="F432" s="390">
        <f t="shared" ref="F432:F475" si="42">E432-D432</f>
        <v>0</v>
      </c>
      <c r="G432" s="336">
        <v>50</v>
      </c>
      <c r="H432" s="336"/>
      <c r="I432" s="336">
        <f t="shared" si="40"/>
        <v>1500</v>
      </c>
      <c r="J432" s="336">
        <f t="shared" si="41"/>
        <v>1500</v>
      </c>
      <c r="K432" s="546">
        <f t="shared" si="39"/>
        <v>0</v>
      </c>
      <c r="L432" s="502"/>
      <c r="M432" s="231" t="s">
        <v>242</v>
      </c>
      <c r="N432" s="11" t="s">
        <v>243</v>
      </c>
      <c r="O432" s="341"/>
      <c r="P432" s="339"/>
    </row>
    <row r="433" spans="1:17" ht="33" hidden="1">
      <c r="A433" s="333" t="s">
        <v>2158</v>
      </c>
      <c r="B433" s="334" t="s">
        <v>1128</v>
      </c>
      <c r="C433" s="335" t="s">
        <v>0</v>
      </c>
      <c r="D433" s="336">
        <v>19</v>
      </c>
      <c r="E433" s="336">
        <f>估驗單!F422</f>
        <v>19</v>
      </c>
      <c r="F433" s="390">
        <f t="shared" si="42"/>
        <v>0</v>
      </c>
      <c r="G433" s="336">
        <v>1900.88</v>
      </c>
      <c r="H433" s="336"/>
      <c r="I433" s="336">
        <f t="shared" si="40"/>
        <v>36116.720000000001</v>
      </c>
      <c r="J433" s="336">
        <f t="shared" si="41"/>
        <v>36116.720000000001</v>
      </c>
      <c r="K433" s="546">
        <f t="shared" si="39"/>
        <v>0</v>
      </c>
      <c r="L433" s="502"/>
      <c r="M433" s="231" t="s">
        <v>242</v>
      </c>
      <c r="N433" s="11" t="s">
        <v>243</v>
      </c>
      <c r="O433" s="341"/>
      <c r="P433" s="339"/>
    </row>
    <row r="434" spans="1:17" ht="33" hidden="1">
      <c r="A434" s="333" t="s">
        <v>2159</v>
      </c>
      <c r="B434" s="334" t="s">
        <v>1130</v>
      </c>
      <c r="C434" s="335" t="s">
        <v>0</v>
      </c>
      <c r="D434" s="336">
        <v>10</v>
      </c>
      <c r="E434" s="336">
        <f>估驗單!F423</f>
        <v>10</v>
      </c>
      <c r="F434" s="390">
        <f t="shared" si="42"/>
        <v>0</v>
      </c>
      <c r="G434" s="336">
        <v>1230.67</v>
      </c>
      <c r="H434" s="336"/>
      <c r="I434" s="336">
        <f t="shared" si="40"/>
        <v>12306.7</v>
      </c>
      <c r="J434" s="336">
        <f t="shared" si="41"/>
        <v>12306.7</v>
      </c>
      <c r="K434" s="546">
        <f t="shared" si="39"/>
        <v>0</v>
      </c>
      <c r="L434" s="502"/>
      <c r="M434" s="231" t="s">
        <v>242</v>
      </c>
      <c r="N434" s="11" t="s">
        <v>243</v>
      </c>
      <c r="O434" s="341"/>
      <c r="P434" s="339"/>
    </row>
    <row r="435" spans="1:17" ht="33" hidden="1">
      <c r="A435" s="333" t="s">
        <v>2160</v>
      </c>
      <c r="B435" s="334" t="s">
        <v>30</v>
      </c>
      <c r="C435" s="335" t="s">
        <v>0</v>
      </c>
      <c r="D435" s="336">
        <v>577</v>
      </c>
      <c r="E435" s="336">
        <f>估驗單!F424</f>
        <v>577</v>
      </c>
      <c r="F435" s="390">
        <f t="shared" si="42"/>
        <v>0</v>
      </c>
      <c r="G435" s="336">
        <v>1666.03</v>
      </c>
      <c r="H435" s="336"/>
      <c r="I435" s="336">
        <f t="shared" si="40"/>
        <v>961299.31</v>
      </c>
      <c r="J435" s="336">
        <f t="shared" si="41"/>
        <v>961299.31</v>
      </c>
      <c r="K435" s="546">
        <f t="shared" si="39"/>
        <v>0</v>
      </c>
      <c r="L435" s="502"/>
      <c r="M435" s="231" t="s">
        <v>242</v>
      </c>
      <c r="N435" s="11" t="s">
        <v>243</v>
      </c>
      <c r="O435" s="341"/>
      <c r="P435" s="339"/>
    </row>
    <row r="436" spans="1:17" ht="33" hidden="1">
      <c r="A436" s="503" t="s">
        <v>2161</v>
      </c>
      <c r="B436" s="504" t="s">
        <v>1133</v>
      </c>
      <c r="C436" s="505" t="s">
        <v>0</v>
      </c>
      <c r="D436" s="506">
        <v>2</v>
      </c>
      <c r="E436" s="506">
        <f>估驗單!F425</f>
        <v>3</v>
      </c>
      <c r="F436" s="507">
        <f t="shared" si="42"/>
        <v>1</v>
      </c>
      <c r="G436" s="506">
        <v>48510.35</v>
      </c>
      <c r="H436" s="506"/>
      <c r="I436" s="506">
        <f t="shared" si="40"/>
        <v>97020.7</v>
      </c>
      <c r="J436" s="506">
        <f t="shared" si="41"/>
        <v>145531.04999999999</v>
      </c>
      <c r="K436" s="547">
        <f t="shared" si="39"/>
        <v>48510.349999999991</v>
      </c>
      <c r="L436" s="510"/>
      <c r="M436" s="508" t="s">
        <v>242</v>
      </c>
      <c r="N436" s="11" t="s">
        <v>243</v>
      </c>
      <c r="O436" s="341" t="s">
        <v>2626</v>
      </c>
      <c r="P436" s="339"/>
    </row>
    <row r="437" spans="1:17" ht="71.25" hidden="1">
      <c r="A437" s="333" t="s">
        <v>2162</v>
      </c>
      <c r="B437" s="334" t="s">
        <v>28</v>
      </c>
      <c r="C437" s="335" t="s">
        <v>22</v>
      </c>
      <c r="D437" s="336">
        <v>19</v>
      </c>
      <c r="E437" s="336">
        <f>估驗單!F426</f>
        <v>19</v>
      </c>
      <c r="F437" s="390">
        <f t="shared" si="42"/>
        <v>0</v>
      </c>
      <c r="G437" s="336">
        <v>587.07000000000005</v>
      </c>
      <c r="H437" s="336"/>
      <c r="I437" s="336">
        <f t="shared" si="40"/>
        <v>11154.33</v>
      </c>
      <c r="J437" s="336">
        <f t="shared" si="41"/>
        <v>11154.33</v>
      </c>
      <c r="K437" s="546">
        <f t="shared" si="39"/>
        <v>0</v>
      </c>
      <c r="L437" s="502"/>
      <c r="M437" s="231" t="s">
        <v>2453</v>
      </c>
      <c r="N437" s="11" t="s">
        <v>243</v>
      </c>
      <c r="O437" s="341"/>
      <c r="P437" s="339"/>
    </row>
    <row r="438" spans="1:17" ht="33" hidden="1">
      <c r="A438" s="333" t="s">
        <v>2163</v>
      </c>
      <c r="B438" s="334" t="s">
        <v>1136</v>
      </c>
      <c r="C438" s="335" t="s">
        <v>7</v>
      </c>
      <c r="D438" s="336">
        <v>19</v>
      </c>
      <c r="E438" s="336">
        <f>估驗單!F427</f>
        <v>19</v>
      </c>
      <c r="F438" s="390">
        <f t="shared" si="42"/>
        <v>0</v>
      </c>
      <c r="G438" s="336">
        <v>664.14</v>
      </c>
      <c r="H438" s="336"/>
      <c r="I438" s="336">
        <f t="shared" si="40"/>
        <v>12618.66</v>
      </c>
      <c r="J438" s="336">
        <f t="shared" si="41"/>
        <v>12618.66</v>
      </c>
      <c r="K438" s="546">
        <f t="shared" si="39"/>
        <v>0</v>
      </c>
      <c r="L438" s="502"/>
      <c r="M438" s="231" t="s">
        <v>242</v>
      </c>
      <c r="N438" s="11" t="s">
        <v>243</v>
      </c>
      <c r="O438" s="341"/>
      <c r="P438" s="339"/>
    </row>
    <row r="439" spans="1:17" ht="33" hidden="1">
      <c r="A439" s="333" t="s">
        <v>2164</v>
      </c>
      <c r="B439" s="334" t="s">
        <v>1138</v>
      </c>
      <c r="C439" s="335" t="s">
        <v>1139</v>
      </c>
      <c r="D439" s="336">
        <v>2</v>
      </c>
      <c r="E439" s="336">
        <f>估驗單!F428</f>
        <v>2</v>
      </c>
      <c r="F439" s="390">
        <f t="shared" si="42"/>
        <v>0</v>
      </c>
      <c r="G439" s="336">
        <v>9999.4500000000007</v>
      </c>
      <c r="H439" s="336"/>
      <c r="I439" s="336">
        <f t="shared" si="40"/>
        <v>19998.900000000001</v>
      </c>
      <c r="J439" s="336">
        <f t="shared" si="41"/>
        <v>19998.900000000001</v>
      </c>
      <c r="K439" s="546">
        <f t="shared" si="39"/>
        <v>0</v>
      </c>
      <c r="L439" s="502"/>
      <c r="M439" s="231" t="s">
        <v>242</v>
      </c>
      <c r="N439" s="11" t="s">
        <v>243</v>
      </c>
      <c r="O439" s="341"/>
      <c r="P439" s="339"/>
    </row>
    <row r="440" spans="1:17" ht="33" hidden="1">
      <c r="A440" s="333" t="s">
        <v>2165</v>
      </c>
      <c r="B440" s="334" t="s">
        <v>1142</v>
      </c>
      <c r="C440" s="335" t="s">
        <v>8</v>
      </c>
      <c r="D440" s="336">
        <v>698.15</v>
      </c>
      <c r="E440" s="336">
        <f>估驗單!F429</f>
        <v>698.15</v>
      </c>
      <c r="F440" s="390">
        <f t="shared" si="42"/>
        <v>0</v>
      </c>
      <c r="G440" s="336">
        <v>209.99</v>
      </c>
      <c r="H440" s="336"/>
      <c r="I440" s="336">
        <f t="shared" si="40"/>
        <v>146604.51999999999</v>
      </c>
      <c r="J440" s="336">
        <f t="shared" si="41"/>
        <v>146604.51999999999</v>
      </c>
      <c r="K440" s="546">
        <f t="shared" si="39"/>
        <v>0</v>
      </c>
      <c r="L440" s="502"/>
      <c r="M440" s="231" t="s">
        <v>2454</v>
      </c>
      <c r="N440" s="11" t="s">
        <v>243</v>
      </c>
      <c r="O440" s="341"/>
      <c r="P440" s="339"/>
    </row>
    <row r="441" spans="1:17" ht="33" hidden="1">
      <c r="A441" s="333" t="s">
        <v>2166</v>
      </c>
      <c r="B441" s="334" t="s">
        <v>1145</v>
      </c>
      <c r="C441" s="335" t="s">
        <v>8</v>
      </c>
      <c r="D441" s="336">
        <v>2498.77</v>
      </c>
      <c r="E441" s="336">
        <f>估驗單!F430</f>
        <v>2498.77</v>
      </c>
      <c r="F441" s="390">
        <f t="shared" si="42"/>
        <v>0</v>
      </c>
      <c r="G441" s="336">
        <v>299.98</v>
      </c>
      <c r="H441" s="336"/>
      <c r="I441" s="336">
        <f t="shared" si="40"/>
        <v>749581.02</v>
      </c>
      <c r="J441" s="336">
        <f t="shared" si="41"/>
        <v>749581.02</v>
      </c>
      <c r="K441" s="546">
        <f t="shared" si="39"/>
        <v>0</v>
      </c>
      <c r="L441" s="502"/>
      <c r="M441" s="231" t="s">
        <v>242</v>
      </c>
      <c r="N441" s="11" t="s">
        <v>243</v>
      </c>
      <c r="O441" s="341"/>
      <c r="P441" s="339"/>
    </row>
    <row r="442" spans="1:17" ht="33" hidden="1">
      <c r="A442" s="333" t="s">
        <v>2167</v>
      </c>
      <c r="B442" s="334" t="s">
        <v>1148</v>
      </c>
      <c r="C442" s="335" t="s">
        <v>8</v>
      </c>
      <c r="D442" s="336">
        <v>1396.3</v>
      </c>
      <c r="E442" s="336">
        <f>估驗單!F431</f>
        <v>1396.3</v>
      </c>
      <c r="F442" s="390">
        <f t="shared" si="42"/>
        <v>0</v>
      </c>
      <c r="G442" s="336">
        <v>199.99</v>
      </c>
      <c r="H442" s="336"/>
      <c r="I442" s="336">
        <f t="shared" si="40"/>
        <v>279246.03999999998</v>
      </c>
      <c r="J442" s="336">
        <f t="shared" si="41"/>
        <v>279246.03999999998</v>
      </c>
      <c r="K442" s="546">
        <f t="shared" si="39"/>
        <v>0</v>
      </c>
      <c r="L442" s="502"/>
      <c r="M442" s="231" t="s">
        <v>242</v>
      </c>
      <c r="N442" s="11" t="s">
        <v>243</v>
      </c>
      <c r="O442" s="341"/>
      <c r="P442" s="339"/>
    </row>
    <row r="443" spans="1:17" ht="33" hidden="1">
      <c r="A443" s="333" t="s">
        <v>2168</v>
      </c>
      <c r="B443" s="334" t="s">
        <v>1151</v>
      </c>
      <c r="C443" s="335" t="s">
        <v>4</v>
      </c>
      <c r="D443" s="336">
        <v>1</v>
      </c>
      <c r="E443" s="336">
        <f>估驗單!F432</f>
        <v>1</v>
      </c>
      <c r="F443" s="390">
        <f t="shared" si="42"/>
        <v>0</v>
      </c>
      <c r="G443" s="336">
        <v>21835.68</v>
      </c>
      <c r="H443" s="336"/>
      <c r="I443" s="336">
        <f t="shared" si="40"/>
        <v>21835.68</v>
      </c>
      <c r="J443" s="336">
        <f t="shared" si="41"/>
        <v>21835.68</v>
      </c>
      <c r="K443" s="546">
        <f t="shared" si="39"/>
        <v>0</v>
      </c>
      <c r="L443" s="502"/>
      <c r="M443" s="231" t="s">
        <v>242</v>
      </c>
      <c r="N443" s="11" t="s">
        <v>243</v>
      </c>
      <c r="O443" s="341"/>
      <c r="P443" s="339"/>
    </row>
    <row r="444" spans="1:17" ht="42.75" hidden="1">
      <c r="A444" s="333" t="s">
        <v>2169</v>
      </c>
      <c r="B444" s="334" t="s">
        <v>1556</v>
      </c>
      <c r="C444" s="335" t="s">
        <v>8</v>
      </c>
      <c r="D444" s="336">
        <v>355</v>
      </c>
      <c r="E444" s="336">
        <f>估驗單!F433</f>
        <v>355</v>
      </c>
      <c r="F444" s="390">
        <f t="shared" si="42"/>
        <v>0</v>
      </c>
      <c r="G444" s="336">
        <v>1859.79</v>
      </c>
      <c r="H444" s="336"/>
      <c r="I444" s="336">
        <f t="shared" si="40"/>
        <v>660225.44999999995</v>
      </c>
      <c r="J444" s="336">
        <f t="shared" si="41"/>
        <v>660225.44999999995</v>
      </c>
      <c r="K444" s="546">
        <f t="shared" si="39"/>
        <v>0</v>
      </c>
      <c r="L444" s="502"/>
      <c r="M444" s="231" t="s">
        <v>2455</v>
      </c>
      <c r="N444" s="11" t="s">
        <v>243</v>
      </c>
      <c r="O444" s="341"/>
      <c r="P444" s="339"/>
    </row>
    <row r="445" spans="1:17" s="352" customFormat="1" ht="114" hidden="1">
      <c r="A445" s="343">
        <v>17</v>
      </c>
      <c r="B445" s="344" t="s">
        <v>29</v>
      </c>
      <c r="C445" s="345" t="s">
        <v>8</v>
      </c>
      <c r="D445" s="340">
        <v>465</v>
      </c>
      <c r="E445" s="336">
        <f>估驗單!F434</f>
        <v>465</v>
      </c>
      <c r="F445" s="390">
        <f t="shared" si="42"/>
        <v>0</v>
      </c>
      <c r="G445" s="340">
        <v>293.70999999999998</v>
      </c>
      <c r="H445" s="340"/>
      <c r="I445" s="336">
        <f t="shared" si="40"/>
        <v>136575.15</v>
      </c>
      <c r="J445" s="336">
        <f t="shared" si="41"/>
        <v>136575.15</v>
      </c>
      <c r="K445" s="546">
        <f t="shared" si="39"/>
        <v>0</v>
      </c>
      <c r="L445" s="502"/>
      <c r="M445" s="346" t="s">
        <v>2456</v>
      </c>
      <c r="N445" s="347" t="s">
        <v>243</v>
      </c>
      <c r="O445" s="348" t="s">
        <v>2457</v>
      </c>
      <c r="P445" s="349" t="s">
        <v>2458</v>
      </c>
      <c r="Q445" s="342" t="s">
        <v>2318</v>
      </c>
    </row>
    <row r="446" spans="1:17" s="352" customFormat="1" ht="78.75" hidden="1">
      <c r="A446" s="512" t="s">
        <v>2171</v>
      </c>
      <c r="B446" s="513" t="s">
        <v>2459</v>
      </c>
      <c r="C446" s="514" t="s">
        <v>16</v>
      </c>
      <c r="D446" s="515">
        <v>4920</v>
      </c>
      <c r="E446" s="506">
        <f>估驗單!F435</f>
        <v>6945</v>
      </c>
      <c r="F446" s="507">
        <f t="shared" si="42"/>
        <v>2025</v>
      </c>
      <c r="G446" s="515">
        <v>279.98</v>
      </c>
      <c r="H446" s="515"/>
      <c r="I446" s="506">
        <f t="shared" si="40"/>
        <v>1377501.6</v>
      </c>
      <c r="J446" s="506">
        <f t="shared" si="41"/>
        <v>1944461.1</v>
      </c>
      <c r="K446" s="547">
        <f t="shared" si="39"/>
        <v>566959.5</v>
      </c>
      <c r="L446" s="510"/>
      <c r="M446" s="528" t="s">
        <v>2460</v>
      </c>
      <c r="N446" s="347" t="s">
        <v>243</v>
      </c>
      <c r="O446" s="348" t="s">
        <v>2461</v>
      </c>
      <c r="P446" s="349" t="s">
        <v>2462</v>
      </c>
      <c r="Q446" s="342" t="s">
        <v>2318</v>
      </c>
    </row>
    <row r="447" spans="1:17" s="352" customFormat="1" ht="28.5" hidden="1" customHeight="1">
      <c r="A447" s="495">
        <v>19</v>
      </c>
      <c r="B447" s="496" t="s">
        <v>2585</v>
      </c>
      <c r="C447" s="497" t="s">
        <v>4</v>
      </c>
      <c r="D447" s="498">
        <v>1</v>
      </c>
      <c r="E447" s="430">
        <v>1</v>
      </c>
      <c r="F447" s="431"/>
      <c r="G447" s="498">
        <v>217999.11</v>
      </c>
      <c r="H447" s="498"/>
      <c r="I447" s="336">
        <f t="shared" si="40"/>
        <v>217999.11</v>
      </c>
      <c r="J447" s="336">
        <f t="shared" si="41"/>
        <v>217999.11</v>
      </c>
      <c r="K447" s="546">
        <f t="shared" si="39"/>
        <v>0</v>
      </c>
      <c r="L447" s="536"/>
      <c r="M447" s="499"/>
      <c r="N447" s="347"/>
      <c r="O447" s="348"/>
      <c r="P447" s="349"/>
      <c r="Q447" s="342"/>
    </row>
    <row r="448" spans="1:17" ht="33" hidden="1">
      <c r="A448" s="406" t="s">
        <v>2255</v>
      </c>
      <c r="B448" s="407" t="s">
        <v>34</v>
      </c>
      <c r="C448" s="408" t="s">
        <v>4</v>
      </c>
      <c r="D448" s="409"/>
      <c r="E448" s="409"/>
      <c r="F448" s="410">
        <f t="shared" si="42"/>
        <v>0</v>
      </c>
      <c r="G448" s="409">
        <f>I448</f>
        <v>3112577.47</v>
      </c>
      <c r="H448" s="409"/>
      <c r="I448" s="409">
        <f>SUM(I449:I467)</f>
        <v>3112577.47</v>
      </c>
      <c r="J448" s="409">
        <f>SUM(J449:J467)</f>
        <v>3112577.47</v>
      </c>
      <c r="K448" s="542">
        <f>SUM(K449:K467)</f>
        <v>0</v>
      </c>
      <c r="L448" s="452">
        <f>SUM(L449:L467)</f>
        <v>0</v>
      </c>
      <c r="M448" s="288"/>
      <c r="N448" s="11" t="s">
        <v>243</v>
      </c>
      <c r="O448" s="341"/>
      <c r="P448" s="339"/>
    </row>
    <row r="449" spans="1:16" ht="33" hidden="1">
      <c r="A449" s="333" t="s">
        <v>2154</v>
      </c>
      <c r="B449" s="334" t="s">
        <v>146</v>
      </c>
      <c r="C449" s="335" t="s">
        <v>1007</v>
      </c>
      <c r="D449" s="336">
        <v>10</v>
      </c>
      <c r="E449" s="336">
        <f>估驗單!F438</f>
        <v>10</v>
      </c>
      <c r="F449" s="390">
        <f t="shared" si="42"/>
        <v>0</v>
      </c>
      <c r="G449" s="336">
        <v>770</v>
      </c>
      <c r="H449" s="336"/>
      <c r="I449" s="336">
        <f t="shared" ref="I449:I467" si="43">ROUND(D449*G449,2)</f>
        <v>7700</v>
      </c>
      <c r="J449" s="336">
        <f t="shared" ref="J449:J467" si="44">ROUND(E449*G449,2)</f>
        <v>7700</v>
      </c>
      <c r="K449" s="546">
        <f t="shared" si="39"/>
        <v>0</v>
      </c>
      <c r="L449" s="502"/>
      <c r="M449" s="231" t="s">
        <v>242</v>
      </c>
      <c r="N449" s="11" t="s">
        <v>243</v>
      </c>
      <c r="O449" s="341"/>
      <c r="P449" s="339"/>
    </row>
    <row r="450" spans="1:16" ht="33" hidden="1">
      <c r="A450" s="333" t="s">
        <v>2155</v>
      </c>
      <c r="B450" s="334" t="s">
        <v>145</v>
      </c>
      <c r="C450" s="335" t="s">
        <v>1</v>
      </c>
      <c r="D450" s="336">
        <v>100</v>
      </c>
      <c r="E450" s="336">
        <f>估驗單!F439</f>
        <v>100</v>
      </c>
      <c r="F450" s="390">
        <f t="shared" si="42"/>
        <v>0</v>
      </c>
      <c r="G450" s="336">
        <v>201</v>
      </c>
      <c r="H450" s="336"/>
      <c r="I450" s="336">
        <f t="shared" si="43"/>
        <v>20100</v>
      </c>
      <c r="J450" s="336">
        <f t="shared" si="44"/>
        <v>20100</v>
      </c>
      <c r="K450" s="546">
        <f t="shared" si="39"/>
        <v>0</v>
      </c>
      <c r="L450" s="502"/>
      <c r="M450" s="231" t="s">
        <v>242</v>
      </c>
      <c r="N450" s="11" t="s">
        <v>243</v>
      </c>
      <c r="O450" s="341"/>
      <c r="P450" s="339"/>
    </row>
    <row r="451" spans="1:16" ht="33" hidden="1">
      <c r="A451" s="333" t="s">
        <v>2156</v>
      </c>
      <c r="B451" s="334" t="s">
        <v>144</v>
      </c>
      <c r="C451" s="335" t="s">
        <v>9</v>
      </c>
      <c r="D451" s="336">
        <v>50</v>
      </c>
      <c r="E451" s="336">
        <f>估驗單!F440</f>
        <v>50</v>
      </c>
      <c r="F451" s="390">
        <f t="shared" si="42"/>
        <v>0</v>
      </c>
      <c r="G451" s="336">
        <v>300</v>
      </c>
      <c r="H451" s="336"/>
      <c r="I451" s="336">
        <f t="shared" si="43"/>
        <v>15000</v>
      </c>
      <c r="J451" s="336">
        <f t="shared" si="44"/>
        <v>15000</v>
      </c>
      <c r="K451" s="546">
        <f t="shared" si="39"/>
        <v>0</v>
      </c>
      <c r="L451" s="502"/>
      <c r="M451" s="231" t="s">
        <v>242</v>
      </c>
      <c r="N451" s="11" t="s">
        <v>243</v>
      </c>
      <c r="O451" s="341"/>
      <c r="P451" s="339"/>
    </row>
    <row r="452" spans="1:16" s="325" customFormat="1" ht="33" hidden="1">
      <c r="A452" s="333" t="s">
        <v>2157</v>
      </c>
      <c r="B452" s="334" t="s">
        <v>35</v>
      </c>
      <c r="C452" s="335" t="s">
        <v>15</v>
      </c>
      <c r="D452" s="336">
        <v>75</v>
      </c>
      <c r="E452" s="336">
        <f>估驗單!F441</f>
        <v>75</v>
      </c>
      <c r="F452" s="390">
        <f t="shared" si="42"/>
        <v>0</v>
      </c>
      <c r="G452" s="336">
        <v>650</v>
      </c>
      <c r="H452" s="336"/>
      <c r="I452" s="336">
        <f t="shared" si="43"/>
        <v>48750</v>
      </c>
      <c r="J452" s="336">
        <f t="shared" si="44"/>
        <v>48750</v>
      </c>
      <c r="K452" s="546">
        <f t="shared" si="39"/>
        <v>0</v>
      </c>
      <c r="L452" s="502"/>
      <c r="M452" s="231" t="s">
        <v>242</v>
      </c>
      <c r="N452" s="11" t="s">
        <v>243</v>
      </c>
      <c r="O452" s="341"/>
      <c r="P452" s="339"/>
    </row>
    <row r="453" spans="1:16" s="325" customFormat="1" ht="33" hidden="1">
      <c r="A453" s="333" t="s">
        <v>2158</v>
      </c>
      <c r="B453" s="334" t="s">
        <v>2479</v>
      </c>
      <c r="C453" s="335" t="s">
        <v>3</v>
      </c>
      <c r="D453" s="336">
        <v>200</v>
      </c>
      <c r="E453" s="336">
        <f>估驗單!F442</f>
        <v>200</v>
      </c>
      <c r="F453" s="390">
        <f t="shared" si="42"/>
        <v>0</v>
      </c>
      <c r="G453" s="336">
        <v>28</v>
      </c>
      <c r="H453" s="336"/>
      <c r="I453" s="336">
        <f t="shared" si="43"/>
        <v>5600</v>
      </c>
      <c r="J453" s="336">
        <f t="shared" si="44"/>
        <v>5600</v>
      </c>
      <c r="K453" s="546">
        <f t="shared" si="39"/>
        <v>0</v>
      </c>
      <c r="L453" s="502"/>
      <c r="M453" s="231"/>
      <c r="N453" s="11" t="s">
        <v>243</v>
      </c>
      <c r="O453" s="341" t="s">
        <v>2627</v>
      </c>
      <c r="P453" s="339"/>
    </row>
    <row r="454" spans="1:16" s="325" customFormat="1" ht="33" hidden="1">
      <c r="A454" s="333" t="s">
        <v>2159</v>
      </c>
      <c r="B454" s="334" t="s">
        <v>36</v>
      </c>
      <c r="C454" s="335" t="s">
        <v>3</v>
      </c>
      <c r="D454" s="336">
        <v>100</v>
      </c>
      <c r="E454" s="336">
        <f>估驗單!F443</f>
        <v>100</v>
      </c>
      <c r="F454" s="390">
        <f t="shared" si="42"/>
        <v>0</v>
      </c>
      <c r="G454" s="336">
        <v>500</v>
      </c>
      <c r="H454" s="336"/>
      <c r="I454" s="336">
        <f t="shared" si="43"/>
        <v>50000</v>
      </c>
      <c r="J454" s="336">
        <f t="shared" si="44"/>
        <v>50000</v>
      </c>
      <c r="K454" s="546">
        <f t="shared" si="39"/>
        <v>0</v>
      </c>
      <c r="L454" s="502"/>
      <c r="M454" s="231" t="s">
        <v>242</v>
      </c>
      <c r="N454" s="11" t="s">
        <v>243</v>
      </c>
      <c r="O454" s="341"/>
      <c r="P454" s="339"/>
    </row>
    <row r="455" spans="1:16" s="325" customFormat="1" ht="33" hidden="1">
      <c r="A455" s="333" t="s">
        <v>2160</v>
      </c>
      <c r="B455" s="334" t="s">
        <v>2478</v>
      </c>
      <c r="C455" s="335" t="s">
        <v>18</v>
      </c>
      <c r="D455" s="336">
        <v>75</v>
      </c>
      <c r="E455" s="336">
        <f>估驗單!F444</f>
        <v>75</v>
      </c>
      <c r="F455" s="418">
        <f t="shared" si="42"/>
        <v>0</v>
      </c>
      <c r="G455" s="336">
        <v>280</v>
      </c>
      <c r="H455" s="336"/>
      <c r="I455" s="336">
        <f t="shared" si="43"/>
        <v>21000</v>
      </c>
      <c r="J455" s="336">
        <f t="shared" si="44"/>
        <v>21000</v>
      </c>
      <c r="K455" s="546">
        <f t="shared" si="39"/>
        <v>0</v>
      </c>
      <c r="L455" s="453"/>
      <c r="M455" s="231" t="s">
        <v>242</v>
      </c>
      <c r="N455" s="11" t="s">
        <v>243</v>
      </c>
      <c r="O455" s="341"/>
      <c r="P455" s="339"/>
    </row>
    <row r="456" spans="1:16" s="325" customFormat="1" ht="42.75" hidden="1">
      <c r="A456" s="333" t="s">
        <v>2161</v>
      </c>
      <c r="B456" s="334" t="s">
        <v>37</v>
      </c>
      <c r="C456" s="335" t="s">
        <v>18</v>
      </c>
      <c r="D456" s="336">
        <v>50</v>
      </c>
      <c r="E456" s="336">
        <f>估驗單!F445</f>
        <v>50</v>
      </c>
      <c r="F456" s="390">
        <f t="shared" si="42"/>
        <v>0</v>
      </c>
      <c r="G456" s="336">
        <v>350</v>
      </c>
      <c r="H456" s="336"/>
      <c r="I456" s="336">
        <f t="shared" si="43"/>
        <v>17500</v>
      </c>
      <c r="J456" s="336">
        <f t="shared" si="44"/>
        <v>17500</v>
      </c>
      <c r="K456" s="546">
        <f t="shared" si="39"/>
        <v>0</v>
      </c>
      <c r="L456" s="502"/>
      <c r="M456" s="231" t="s">
        <v>242</v>
      </c>
      <c r="N456" s="11" t="s">
        <v>243</v>
      </c>
      <c r="O456" s="341"/>
      <c r="P456" s="339"/>
    </row>
    <row r="457" spans="1:16" s="325" customFormat="1" ht="33" hidden="1">
      <c r="A457" s="333" t="s">
        <v>2162</v>
      </c>
      <c r="B457" s="334" t="s">
        <v>1162</v>
      </c>
      <c r="C457" s="335" t="s">
        <v>15</v>
      </c>
      <c r="D457" s="336">
        <v>10</v>
      </c>
      <c r="E457" s="336">
        <f>估驗單!F446</f>
        <v>10</v>
      </c>
      <c r="F457" s="390">
        <f t="shared" si="42"/>
        <v>0</v>
      </c>
      <c r="G457" s="336">
        <v>560</v>
      </c>
      <c r="H457" s="336"/>
      <c r="I457" s="336">
        <f t="shared" si="43"/>
        <v>5600</v>
      </c>
      <c r="J457" s="336">
        <f t="shared" si="44"/>
        <v>5600</v>
      </c>
      <c r="K457" s="546">
        <f t="shared" si="39"/>
        <v>0</v>
      </c>
      <c r="L457" s="502"/>
      <c r="M457" s="231" t="s">
        <v>242</v>
      </c>
      <c r="N457" s="11" t="s">
        <v>243</v>
      </c>
      <c r="O457" s="341"/>
      <c r="P457" s="339"/>
    </row>
    <row r="458" spans="1:16" s="325" customFormat="1" ht="33" hidden="1">
      <c r="A458" s="333" t="s">
        <v>2163</v>
      </c>
      <c r="B458" s="334" t="s">
        <v>38</v>
      </c>
      <c r="C458" s="335" t="s">
        <v>7</v>
      </c>
      <c r="D458" s="336">
        <v>4</v>
      </c>
      <c r="E458" s="336">
        <f>估驗單!F447</f>
        <v>4</v>
      </c>
      <c r="F458" s="390">
        <f t="shared" si="42"/>
        <v>0</v>
      </c>
      <c r="G458" s="336">
        <v>250</v>
      </c>
      <c r="H458" s="336"/>
      <c r="I458" s="336">
        <f t="shared" si="43"/>
        <v>1000</v>
      </c>
      <c r="J458" s="336">
        <f t="shared" si="44"/>
        <v>1000</v>
      </c>
      <c r="K458" s="546">
        <f t="shared" si="39"/>
        <v>0</v>
      </c>
      <c r="L458" s="502"/>
      <c r="M458" s="231" t="s">
        <v>242</v>
      </c>
      <c r="N458" s="11" t="s">
        <v>243</v>
      </c>
      <c r="O458" s="341"/>
      <c r="P458" s="339"/>
    </row>
    <row r="459" spans="1:16" s="325" customFormat="1" ht="33" hidden="1">
      <c r="A459" s="333" t="s">
        <v>2164</v>
      </c>
      <c r="B459" s="334" t="s">
        <v>1165</v>
      </c>
      <c r="C459" s="335" t="s">
        <v>15</v>
      </c>
      <c r="D459" s="336">
        <v>5</v>
      </c>
      <c r="E459" s="336">
        <f>估驗單!F448</f>
        <v>5</v>
      </c>
      <c r="F459" s="390">
        <f t="shared" si="42"/>
        <v>0</v>
      </c>
      <c r="G459" s="336">
        <v>8300</v>
      </c>
      <c r="H459" s="336"/>
      <c r="I459" s="336">
        <f t="shared" si="43"/>
        <v>41500</v>
      </c>
      <c r="J459" s="336">
        <f t="shared" si="44"/>
        <v>41500</v>
      </c>
      <c r="K459" s="546">
        <f t="shared" si="39"/>
        <v>0</v>
      </c>
      <c r="L459" s="502"/>
      <c r="M459" s="231" t="s">
        <v>242</v>
      </c>
      <c r="N459" s="11" t="s">
        <v>243</v>
      </c>
      <c r="O459" s="341"/>
      <c r="P459" s="339"/>
    </row>
    <row r="460" spans="1:16" s="325" customFormat="1" ht="33" hidden="1">
      <c r="A460" s="333" t="s">
        <v>2165</v>
      </c>
      <c r="B460" s="334" t="s">
        <v>1168</v>
      </c>
      <c r="C460" s="335" t="s">
        <v>15</v>
      </c>
      <c r="D460" s="336">
        <v>5</v>
      </c>
      <c r="E460" s="336">
        <f>估驗單!F449</f>
        <v>5</v>
      </c>
      <c r="F460" s="390">
        <f t="shared" si="42"/>
        <v>0</v>
      </c>
      <c r="G460" s="336">
        <v>1160</v>
      </c>
      <c r="H460" s="336"/>
      <c r="I460" s="336">
        <f t="shared" si="43"/>
        <v>5800</v>
      </c>
      <c r="J460" s="336">
        <f t="shared" si="44"/>
        <v>5800</v>
      </c>
      <c r="K460" s="546">
        <f t="shared" si="39"/>
        <v>0</v>
      </c>
      <c r="L460" s="502"/>
      <c r="M460" s="231" t="s">
        <v>242</v>
      </c>
      <c r="N460" s="11" t="s">
        <v>243</v>
      </c>
      <c r="O460" s="341"/>
      <c r="P460" s="339"/>
    </row>
    <row r="461" spans="1:16" s="325" customFormat="1" ht="33" hidden="1">
      <c r="A461" s="333" t="s">
        <v>2166</v>
      </c>
      <c r="B461" s="334" t="s">
        <v>1171</v>
      </c>
      <c r="C461" s="335" t="s">
        <v>15</v>
      </c>
      <c r="D461" s="336">
        <v>5</v>
      </c>
      <c r="E461" s="336">
        <f>估驗單!F450</f>
        <v>5</v>
      </c>
      <c r="F461" s="390">
        <f t="shared" si="42"/>
        <v>0</v>
      </c>
      <c r="G461" s="336">
        <v>600</v>
      </c>
      <c r="H461" s="336"/>
      <c r="I461" s="336">
        <f t="shared" si="43"/>
        <v>3000</v>
      </c>
      <c r="J461" s="336">
        <f t="shared" si="44"/>
        <v>3000</v>
      </c>
      <c r="K461" s="546">
        <f t="shared" si="39"/>
        <v>0</v>
      </c>
      <c r="L461" s="502"/>
      <c r="M461" s="231" t="s">
        <v>242</v>
      </c>
      <c r="N461" s="11" t="s">
        <v>243</v>
      </c>
      <c r="O461" s="341"/>
      <c r="P461" s="339"/>
    </row>
    <row r="462" spans="1:16" s="325" customFormat="1" ht="33" hidden="1">
      <c r="A462" s="333" t="s">
        <v>2167</v>
      </c>
      <c r="B462" s="334" t="s">
        <v>1174</v>
      </c>
      <c r="C462" s="335" t="s">
        <v>15</v>
      </c>
      <c r="D462" s="336">
        <v>5</v>
      </c>
      <c r="E462" s="336">
        <f>估驗單!F451</f>
        <v>5</v>
      </c>
      <c r="F462" s="390">
        <f t="shared" si="42"/>
        <v>0</v>
      </c>
      <c r="G462" s="336">
        <v>1800</v>
      </c>
      <c r="H462" s="336"/>
      <c r="I462" s="336">
        <f t="shared" si="43"/>
        <v>9000</v>
      </c>
      <c r="J462" s="336">
        <f t="shared" si="44"/>
        <v>9000</v>
      </c>
      <c r="K462" s="546">
        <f t="shared" si="39"/>
        <v>0</v>
      </c>
      <c r="L462" s="502"/>
      <c r="M462" s="231" t="s">
        <v>242</v>
      </c>
      <c r="N462" s="11" t="s">
        <v>243</v>
      </c>
      <c r="O462" s="341"/>
      <c r="P462" s="339"/>
    </row>
    <row r="463" spans="1:16" s="325" customFormat="1" ht="33" hidden="1">
      <c r="A463" s="333" t="s">
        <v>2168</v>
      </c>
      <c r="B463" s="334" t="s">
        <v>1177</v>
      </c>
      <c r="C463" s="335" t="s">
        <v>15</v>
      </c>
      <c r="D463" s="336">
        <v>80</v>
      </c>
      <c r="E463" s="336">
        <f>估驗單!F452</f>
        <v>80</v>
      </c>
      <c r="F463" s="390">
        <f t="shared" si="42"/>
        <v>0</v>
      </c>
      <c r="G463" s="336">
        <v>2200</v>
      </c>
      <c r="H463" s="336"/>
      <c r="I463" s="336">
        <f t="shared" si="43"/>
        <v>176000</v>
      </c>
      <c r="J463" s="336">
        <f t="shared" si="44"/>
        <v>176000</v>
      </c>
      <c r="K463" s="546">
        <f t="shared" si="39"/>
        <v>0</v>
      </c>
      <c r="L463" s="502"/>
      <c r="M463" s="231" t="s">
        <v>242</v>
      </c>
      <c r="N463" s="11" t="s">
        <v>243</v>
      </c>
      <c r="O463" s="341"/>
      <c r="P463" s="339"/>
    </row>
    <row r="464" spans="1:16" s="325" customFormat="1" ht="33" hidden="1">
      <c r="A464" s="333" t="s">
        <v>2169</v>
      </c>
      <c r="B464" s="334" t="s">
        <v>39</v>
      </c>
      <c r="C464" s="335" t="s">
        <v>4</v>
      </c>
      <c r="D464" s="336">
        <v>1</v>
      </c>
      <c r="E464" s="336">
        <f>估驗單!F453</f>
        <v>1</v>
      </c>
      <c r="F464" s="390">
        <f t="shared" si="42"/>
        <v>0</v>
      </c>
      <c r="G464" s="336">
        <v>232697.98</v>
      </c>
      <c r="H464" s="336"/>
      <c r="I464" s="336">
        <f t="shared" si="43"/>
        <v>232697.98</v>
      </c>
      <c r="J464" s="336">
        <f t="shared" si="44"/>
        <v>232697.98</v>
      </c>
      <c r="K464" s="546">
        <f t="shared" si="39"/>
        <v>0</v>
      </c>
      <c r="L464" s="502"/>
      <c r="M464" s="231" t="s">
        <v>242</v>
      </c>
      <c r="N464" s="11" t="s">
        <v>243</v>
      </c>
      <c r="O464" s="341"/>
      <c r="P464" s="339"/>
    </row>
    <row r="465" spans="1:16" s="325" customFormat="1" ht="33" hidden="1">
      <c r="A465" s="333" t="s">
        <v>2170</v>
      </c>
      <c r="B465" s="334" t="s">
        <v>1182</v>
      </c>
      <c r="C465" s="335" t="s">
        <v>8</v>
      </c>
      <c r="D465" s="336">
        <v>5000</v>
      </c>
      <c r="E465" s="336">
        <f>估驗單!F454</f>
        <v>5000</v>
      </c>
      <c r="F465" s="390">
        <f t="shared" si="42"/>
        <v>0</v>
      </c>
      <c r="G465" s="336">
        <v>13</v>
      </c>
      <c r="H465" s="336"/>
      <c r="I465" s="336">
        <f t="shared" si="43"/>
        <v>65000</v>
      </c>
      <c r="J465" s="336">
        <f t="shared" si="44"/>
        <v>65000</v>
      </c>
      <c r="K465" s="546">
        <f t="shared" ref="K465:K471" si="45">J465-I465</f>
        <v>0</v>
      </c>
      <c r="L465" s="502"/>
      <c r="M465" s="231" t="s">
        <v>242</v>
      </c>
      <c r="N465" s="11" t="s">
        <v>243</v>
      </c>
      <c r="O465" s="341"/>
      <c r="P465" s="339"/>
    </row>
    <row r="466" spans="1:16" s="325" customFormat="1" ht="33" hidden="1">
      <c r="A466" s="333" t="s">
        <v>2171</v>
      </c>
      <c r="B466" s="334" t="s">
        <v>225</v>
      </c>
      <c r="C466" s="335" t="s">
        <v>226</v>
      </c>
      <c r="D466" s="336">
        <v>48</v>
      </c>
      <c r="E466" s="336">
        <f>估驗單!F455</f>
        <v>48</v>
      </c>
      <c r="F466" s="390">
        <f t="shared" si="42"/>
        <v>0</v>
      </c>
      <c r="G466" s="336">
        <v>47468</v>
      </c>
      <c r="H466" s="336"/>
      <c r="I466" s="336">
        <f t="shared" si="43"/>
        <v>2278464</v>
      </c>
      <c r="J466" s="336">
        <f t="shared" si="44"/>
        <v>2278464</v>
      </c>
      <c r="K466" s="546">
        <f t="shared" si="45"/>
        <v>0</v>
      </c>
      <c r="L466" s="502"/>
      <c r="M466" s="231" t="s">
        <v>2463</v>
      </c>
      <c r="N466" s="11" t="s">
        <v>243</v>
      </c>
      <c r="O466" s="341"/>
      <c r="P466" s="339"/>
    </row>
    <row r="467" spans="1:16" s="325" customFormat="1" ht="33" hidden="1">
      <c r="A467" s="333" t="s">
        <v>2172</v>
      </c>
      <c r="B467" s="334" t="s">
        <v>1187</v>
      </c>
      <c r="C467" s="335" t="s">
        <v>4</v>
      </c>
      <c r="D467" s="336">
        <v>1</v>
      </c>
      <c r="E467" s="336">
        <f>估驗單!F456</f>
        <v>1</v>
      </c>
      <c r="F467" s="390">
        <f t="shared" si="42"/>
        <v>0</v>
      </c>
      <c r="G467" s="336">
        <v>108865.49</v>
      </c>
      <c r="H467" s="336"/>
      <c r="I467" s="336">
        <f t="shared" si="43"/>
        <v>108865.49</v>
      </c>
      <c r="J467" s="336">
        <f t="shared" si="44"/>
        <v>108865.49</v>
      </c>
      <c r="K467" s="546">
        <f t="shared" si="45"/>
        <v>0</v>
      </c>
      <c r="L467" s="502"/>
      <c r="M467" s="231" t="s">
        <v>2464</v>
      </c>
      <c r="N467" s="11" t="s">
        <v>243</v>
      </c>
      <c r="O467" s="341"/>
      <c r="P467" s="339"/>
    </row>
    <row r="468" spans="1:16" s="325" customFormat="1" ht="33" hidden="1">
      <c r="A468" s="406" t="s">
        <v>2256</v>
      </c>
      <c r="B468" s="407" t="s">
        <v>227</v>
      </c>
      <c r="C468" s="408" t="s">
        <v>4</v>
      </c>
      <c r="D468" s="409"/>
      <c r="E468" s="409"/>
      <c r="F468" s="410">
        <f t="shared" si="42"/>
        <v>0</v>
      </c>
      <c r="G468" s="409">
        <f>I468</f>
        <v>2769229.16</v>
      </c>
      <c r="H468" s="409"/>
      <c r="I468" s="409">
        <f>SUM(I469:I470)</f>
        <v>2769229.16</v>
      </c>
      <c r="J468" s="409">
        <f>SUM(J469:J470)</f>
        <v>2769229.16</v>
      </c>
      <c r="K468" s="542">
        <f>SUM(K469:K470)</f>
        <v>0</v>
      </c>
      <c r="L468" s="534">
        <f>SUM(L469:L470)</f>
        <v>0</v>
      </c>
      <c r="M468" s="288" t="s">
        <v>242</v>
      </c>
      <c r="N468" s="11" t="s">
        <v>243</v>
      </c>
      <c r="O468" s="341"/>
      <c r="P468" s="339"/>
    </row>
    <row r="469" spans="1:16" s="325" customFormat="1" ht="33" hidden="1">
      <c r="A469" s="333" t="s">
        <v>2154</v>
      </c>
      <c r="B469" s="334" t="s">
        <v>228</v>
      </c>
      <c r="C469" s="335" t="s">
        <v>226</v>
      </c>
      <c r="D469" s="336">
        <v>48</v>
      </c>
      <c r="E469" s="336">
        <f>估驗單!F458</f>
        <v>48</v>
      </c>
      <c r="F469" s="390">
        <f t="shared" si="42"/>
        <v>0</v>
      </c>
      <c r="G469" s="336">
        <v>47468</v>
      </c>
      <c r="H469" s="336"/>
      <c r="I469" s="336">
        <f>ROUND(D469*G469,2)</f>
        <v>2278464</v>
      </c>
      <c r="J469" s="336">
        <f>ROUND(E469*G469,2)</f>
        <v>2278464</v>
      </c>
      <c r="K469" s="546">
        <f t="shared" si="45"/>
        <v>0</v>
      </c>
      <c r="L469" s="502"/>
      <c r="M469" s="231" t="s">
        <v>2463</v>
      </c>
      <c r="N469" s="11" t="s">
        <v>243</v>
      </c>
      <c r="O469" s="341"/>
      <c r="P469" s="339"/>
    </row>
    <row r="470" spans="1:16" s="325" customFormat="1" ht="33" hidden="1">
      <c r="A470" s="333" t="s">
        <v>2155</v>
      </c>
      <c r="B470" s="334" t="s">
        <v>1193</v>
      </c>
      <c r="C470" s="335" t="s">
        <v>4</v>
      </c>
      <c r="D470" s="336">
        <v>1</v>
      </c>
      <c r="E470" s="336">
        <f>估驗單!F459</f>
        <v>1</v>
      </c>
      <c r="F470" s="390">
        <f t="shared" si="42"/>
        <v>0</v>
      </c>
      <c r="G470" s="336">
        <v>490765.16</v>
      </c>
      <c r="H470" s="336"/>
      <c r="I470" s="336">
        <f>ROUND(D470*G470,2)</f>
        <v>490765.16</v>
      </c>
      <c r="J470" s="336">
        <f>ROUND(E470*G470,2)</f>
        <v>490765.16</v>
      </c>
      <c r="K470" s="546">
        <f t="shared" si="45"/>
        <v>0</v>
      </c>
      <c r="L470" s="502"/>
      <c r="M470" s="231" t="s">
        <v>2465</v>
      </c>
      <c r="N470" s="11" t="s">
        <v>243</v>
      </c>
      <c r="O470" s="341"/>
      <c r="P470" s="339"/>
    </row>
    <row r="471" spans="1:16" s="325" customFormat="1" ht="33" hidden="1">
      <c r="A471" s="503" t="s">
        <v>2257</v>
      </c>
      <c r="B471" s="504" t="s">
        <v>1196</v>
      </c>
      <c r="C471" s="505" t="s">
        <v>4</v>
      </c>
      <c r="D471" s="506">
        <v>1</v>
      </c>
      <c r="E471" s="506">
        <f>估驗單!F460</f>
        <v>1</v>
      </c>
      <c r="F471" s="507">
        <f t="shared" si="42"/>
        <v>0</v>
      </c>
      <c r="G471" s="506">
        <f>I471</f>
        <v>30205923.059999999</v>
      </c>
      <c r="H471" s="506"/>
      <c r="I471" s="530">
        <v>30205923.059999999</v>
      </c>
      <c r="J471" s="506" t="e">
        <f>ROUND((J10+J358+J384+J424+J428+J448+J468)*10.94944113%,2)</f>
        <v>#VALUE!</v>
      </c>
      <c r="K471" s="547" t="e">
        <f t="shared" si="45"/>
        <v>#VALUE!</v>
      </c>
      <c r="L471" s="510"/>
      <c r="M471" s="508" t="s">
        <v>2258</v>
      </c>
      <c r="N471" s="11" t="s">
        <v>243</v>
      </c>
      <c r="O471" s="338" t="e">
        <f>ROUND((J468+J448+J428+J424+J384+J358+J10)*10.94944113%,2)</f>
        <v>#VALUE!</v>
      </c>
      <c r="P471" s="339"/>
    </row>
    <row r="472" spans="1:16" s="325" customFormat="1" ht="99.75" hidden="1">
      <c r="A472" s="406" t="s">
        <v>2259</v>
      </c>
      <c r="B472" s="407" t="s">
        <v>1199</v>
      </c>
      <c r="C472" s="408" t="s">
        <v>4</v>
      </c>
      <c r="D472" s="409">
        <v>1</v>
      </c>
      <c r="E472" s="409">
        <f>估驗單!F461</f>
        <v>1</v>
      </c>
      <c r="F472" s="410">
        <f t="shared" si="42"/>
        <v>0</v>
      </c>
      <c r="G472" s="409">
        <v>1987650</v>
      </c>
      <c r="H472" s="409"/>
      <c r="I472" s="409">
        <f>ROUND(D472*G472,2)</f>
        <v>1987650</v>
      </c>
      <c r="J472" s="409">
        <f>ROUND(E472*G472,2)</f>
        <v>1987650</v>
      </c>
      <c r="K472" s="542"/>
      <c r="L472" s="534"/>
      <c r="M472" s="288" t="s">
        <v>1200</v>
      </c>
      <c r="N472" s="11" t="s">
        <v>243</v>
      </c>
      <c r="O472" s="341"/>
      <c r="P472" s="339"/>
    </row>
    <row r="473" spans="1:16" s="325" customFormat="1" ht="33" hidden="1">
      <c r="A473" s="333" t="s">
        <v>2154</v>
      </c>
      <c r="B473" s="334" t="s">
        <v>1199</v>
      </c>
      <c r="C473" s="335" t="s">
        <v>6</v>
      </c>
      <c r="D473" s="336">
        <v>13251</v>
      </c>
      <c r="E473" s="336">
        <f>估驗單!F462</f>
        <v>18245</v>
      </c>
      <c r="F473" s="390">
        <f t="shared" si="42"/>
        <v>4994</v>
      </c>
      <c r="G473" s="336">
        <v>150</v>
      </c>
      <c r="H473" s="336"/>
      <c r="I473" s="336">
        <v>1987650</v>
      </c>
      <c r="J473" s="336">
        <f>ROUND(E473*G473,2)</f>
        <v>2736750</v>
      </c>
      <c r="K473" s="544"/>
      <c r="L473" s="502"/>
      <c r="M473" s="231" t="s">
        <v>242</v>
      </c>
      <c r="N473" s="11" t="s">
        <v>243</v>
      </c>
      <c r="O473" s="341"/>
      <c r="P473" s="339"/>
    </row>
    <row r="474" spans="1:16" s="325" customFormat="1" ht="114" hidden="1">
      <c r="A474" s="406" t="s">
        <v>2260</v>
      </c>
      <c r="B474" s="407" t="s">
        <v>1204</v>
      </c>
      <c r="C474" s="408" t="s">
        <v>4</v>
      </c>
      <c r="D474" s="409">
        <v>1</v>
      </c>
      <c r="E474" s="409">
        <v>1</v>
      </c>
      <c r="F474" s="410">
        <f t="shared" si="42"/>
        <v>0</v>
      </c>
      <c r="G474" s="409">
        <v>179691.68</v>
      </c>
      <c r="H474" s="409"/>
      <c r="I474" s="409">
        <v>179691.68</v>
      </c>
      <c r="J474" s="409">
        <f>ROUND(E474*G474,2)</f>
        <v>179691.68</v>
      </c>
      <c r="K474" s="542"/>
      <c r="L474" s="534"/>
      <c r="M474" s="288" t="s">
        <v>1205</v>
      </c>
      <c r="N474" s="11" t="s">
        <v>243</v>
      </c>
      <c r="O474" s="341"/>
      <c r="P474" s="339"/>
    </row>
    <row r="475" spans="1:16" s="325" customFormat="1" ht="33" hidden="1">
      <c r="A475" s="427" t="s">
        <v>2154</v>
      </c>
      <c r="B475" s="428" t="s">
        <v>1207</v>
      </c>
      <c r="C475" s="429" t="s">
        <v>13</v>
      </c>
      <c r="D475" s="430">
        <v>3208.78</v>
      </c>
      <c r="E475" s="430">
        <f>估驗單!F464</f>
        <v>3208.78</v>
      </c>
      <c r="F475" s="390">
        <f t="shared" si="42"/>
        <v>0</v>
      </c>
      <c r="G475" s="430">
        <v>56</v>
      </c>
      <c r="H475" s="430"/>
      <c r="I475" s="430">
        <v>179691.68</v>
      </c>
      <c r="J475" s="336">
        <f>ROUND(E475*G475,2)</f>
        <v>179691.68</v>
      </c>
      <c r="K475" s="544"/>
      <c r="L475" s="502"/>
      <c r="M475" s="432" t="s">
        <v>242</v>
      </c>
      <c r="N475" s="11" t="s">
        <v>243</v>
      </c>
      <c r="O475" s="380"/>
      <c r="P475" s="381"/>
    </row>
    <row r="476" spans="1:16" ht="23.45" customHeight="1">
      <c r="B476" s="82">
        <v>140</v>
      </c>
      <c r="F476" s="94">
        <f>F200</f>
        <v>-142.67000000000002</v>
      </c>
    </row>
    <row r="477" spans="1:16" ht="23.45" customHeight="1">
      <c r="B477" s="82">
        <v>210</v>
      </c>
      <c r="F477" s="604">
        <f>F172+F201+F226</f>
        <v>0</v>
      </c>
      <c r="I477" s="82" t="s">
        <v>2739</v>
      </c>
      <c r="O477" s="325">
        <f>183.7-150.03+166.42</f>
        <v>200.08999999999997</v>
      </c>
    </row>
    <row r="478" spans="1:16" ht="23.45" customHeight="1">
      <c r="B478" s="82">
        <v>280</v>
      </c>
      <c r="F478" s="604">
        <f>F132+F173</f>
        <v>0</v>
      </c>
    </row>
    <row r="479" spans="1:16" ht="23.45" customHeight="1">
      <c r="B479" s="87" t="s">
        <v>2731</v>
      </c>
      <c r="F479" s="607">
        <f>F197</f>
        <v>0</v>
      </c>
    </row>
    <row r="480" spans="1:16" ht="23.45" customHeight="1">
      <c r="B480" s="668" t="s">
        <v>2733</v>
      </c>
    </row>
    <row r="481" spans="2:9" ht="23.45" customHeight="1">
      <c r="B481" s="569" t="s">
        <v>2740</v>
      </c>
      <c r="D481" s="569" t="s">
        <v>2736</v>
      </c>
      <c r="E481" s="101">
        <f>E171+E172+E173+E197</f>
        <v>1501.9</v>
      </c>
      <c r="F481" s="569" t="s">
        <v>2737</v>
      </c>
      <c r="G481" s="101">
        <f>E200+E201+998</f>
        <v>3597.33</v>
      </c>
      <c r="H481" s="569" t="s">
        <v>2738</v>
      </c>
      <c r="I481" s="101">
        <f>E225+E226</f>
        <v>377</v>
      </c>
    </row>
    <row r="482" spans="2:9" ht="23.45" customHeight="1"/>
  </sheetData>
  <autoFilter ref="B1:B475" xr:uid="{F2620A91-C958-41AC-9677-501FD2802CA1}">
    <filterColumn colId="0">
      <filters>
        <filter val="結構用混凝土，泵送及澆注費"/>
        <filter val="結構用混凝土，預拌，140kgf/cm2"/>
        <filter val="結構用混凝土，預拌，210kgf/cm2"/>
        <filter val="結構用混凝土，預拌，280kgf/cm2"/>
        <filter val="結構用混凝土，預拌，280kgf/cm2(第二型水泥)"/>
      </filters>
    </filterColumn>
  </autoFilter>
  <mergeCells count="56">
    <mergeCell ref="A4:I4"/>
    <mergeCell ref="L4:M4"/>
    <mergeCell ref="C1:K1"/>
    <mergeCell ref="A2:B2"/>
    <mergeCell ref="C2:K2"/>
    <mergeCell ref="A3:J3"/>
    <mergeCell ref="L3:M3"/>
    <mergeCell ref="A5:I5"/>
    <mergeCell ref="L5:M5"/>
    <mergeCell ref="A6:I6"/>
    <mergeCell ref="L6:M6"/>
    <mergeCell ref="A7:A8"/>
    <mergeCell ref="B7:B8"/>
    <mergeCell ref="C7:C8"/>
    <mergeCell ref="D7:D8"/>
    <mergeCell ref="E7:E8"/>
    <mergeCell ref="F7:F8"/>
    <mergeCell ref="M7:M8"/>
    <mergeCell ref="O7:O8"/>
    <mergeCell ref="P7:P8"/>
    <mergeCell ref="Q7:Q8"/>
    <mergeCell ref="A135:A136"/>
    <mergeCell ref="B135:B136"/>
    <mergeCell ref="C135:C136"/>
    <mergeCell ref="D135:D136"/>
    <mergeCell ref="E135:E136"/>
    <mergeCell ref="F135:F136"/>
    <mergeCell ref="G7:G8"/>
    <mergeCell ref="H7:H8"/>
    <mergeCell ref="I7:I8"/>
    <mergeCell ref="J7:J8"/>
    <mergeCell ref="K7:K8"/>
    <mergeCell ref="L7:L8"/>
    <mergeCell ref="M135:M136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G135:G136"/>
    <mergeCell ref="H135:H136"/>
    <mergeCell ref="I135:I136"/>
    <mergeCell ref="J135:J136"/>
    <mergeCell ref="K135:K136"/>
    <mergeCell ref="L135:L136"/>
    <mergeCell ref="Q41:Q42"/>
    <mergeCell ref="J41:J42"/>
    <mergeCell ref="K41:K42"/>
    <mergeCell ref="L41:L42"/>
    <mergeCell ref="M41:M42"/>
    <mergeCell ref="O41:O42"/>
    <mergeCell ref="P41:P42"/>
  </mergeCells>
  <phoneticPr fontId="1" type="noConversion"/>
  <printOptions horizontalCentered="1"/>
  <pageMargins left="0.51181102362204722" right="0.51181102362204722" top="0.15748031496062992" bottom="0.15748031496062992" header="0.31496062992125984" footer="0.31496062992125984"/>
  <pageSetup paperSize="9" scale="80" orientation="landscape" r:id="rId1"/>
  <colBreaks count="1" manualBreakCount="1">
    <brk id="13" max="454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E463-A9C8-4E90-81B0-2D703ABFF987}">
  <sheetPr filterMode="1"/>
  <dimension ref="A1:U484"/>
  <sheetViews>
    <sheetView view="pageBreakPreview" zoomScale="112" zoomScaleNormal="100" zoomScaleSheetLayoutView="112" workbookViewId="0">
      <pane ySplit="8" topLeftCell="A135" activePane="bottomLeft" state="frozen"/>
      <selection pane="bottomLeft" activeCell="F478" sqref="F478"/>
    </sheetView>
  </sheetViews>
  <sheetFormatPr defaultColWidth="9.140625" defaultRowHeight="12.75"/>
  <cols>
    <col min="1" max="1" width="3.28515625" style="82" customWidth="1"/>
    <col min="2" max="2" width="31.140625" style="82" customWidth="1"/>
    <col min="3" max="3" width="4.140625" style="82" customWidth="1"/>
    <col min="4" max="6" width="9.28515625" style="82" customWidth="1"/>
    <col min="7" max="7" width="11.7109375" style="82" customWidth="1"/>
    <col min="8" max="8" width="10.7109375" style="82" customWidth="1"/>
    <col min="9" max="10" width="14.7109375" style="82" customWidth="1"/>
    <col min="11" max="11" width="14.7109375" style="545" customWidth="1"/>
    <col min="12" max="12" width="14.7109375" style="94" customWidth="1"/>
    <col min="13" max="13" width="14.28515625" style="82" customWidth="1"/>
    <col min="14" max="14" width="2.28515625" style="82" customWidth="1"/>
    <col min="15" max="15" width="24.140625" style="325" customWidth="1"/>
    <col min="16" max="16" width="26.42578125" style="325" customWidth="1"/>
    <col min="17" max="17" width="21.7109375" style="82" customWidth="1"/>
    <col min="18" max="18" width="28.5703125" style="82" customWidth="1"/>
    <col min="19" max="19" width="25" style="82" customWidth="1"/>
    <col min="20" max="20" width="16.140625" style="82" customWidth="1"/>
    <col min="21" max="16384" width="9.140625" style="82"/>
  </cols>
  <sheetData>
    <row r="1" spans="1:17" ht="25.5">
      <c r="A1" s="323"/>
      <c r="B1" s="323"/>
      <c r="C1" s="980" t="s">
        <v>230</v>
      </c>
      <c r="D1" s="980"/>
      <c r="E1" s="980"/>
      <c r="F1" s="980"/>
      <c r="G1" s="980"/>
      <c r="H1" s="980"/>
      <c r="I1" s="980"/>
      <c r="J1" s="980"/>
      <c r="K1" s="980"/>
      <c r="L1" s="531"/>
      <c r="M1" s="324"/>
      <c r="N1" s="1"/>
      <c r="O1" s="325">
        <f>759925.2+3237744.6-1826612.36+355445.15+94917.34+240906+651749+802562.58-298416.97</f>
        <v>4018220.5399999991</v>
      </c>
      <c r="P1" s="325">
        <f>759925+1411132+651749+802562+240906+450362</f>
        <v>4316636</v>
      </c>
    </row>
    <row r="2" spans="1:17" ht="19.5" hidden="1">
      <c r="A2" s="981" t="s">
        <v>242</v>
      </c>
      <c r="B2" s="981"/>
      <c r="C2" s="982" t="s">
        <v>2603</v>
      </c>
      <c r="D2" s="982"/>
      <c r="E2" s="982"/>
      <c r="F2" s="982"/>
      <c r="G2" s="982"/>
      <c r="H2" s="982"/>
      <c r="I2" s="982"/>
      <c r="J2" s="982"/>
      <c r="K2" s="982"/>
      <c r="L2" s="532"/>
      <c r="M2" s="29"/>
      <c r="N2" s="1"/>
    </row>
    <row r="3" spans="1:17" ht="16.5" hidden="1">
      <c r="A3" s="983" t="s">
        <v>2140</v>
      </c>
      <c r="B3" s="983"/>
      <c r="C3" s="983"/>
      <c r="D3" s="983"/>
      <c r="E3" s="983"/>
      <c r="F3" s="983"/>
      <c r="G3" s="983"/>
      <c r="H3" s="983"/>
      <c r="I3" s="983"/>
      <c r="J3" s="983"/>
      <c r="K3" s="537" t="s">
        <v>2299</v>
      </c>
      <c r="L3" s="984">
        <v>45653</v>
      </c>
      <c r="M3" s="984"/>
      <c r="N3" s="327"/>
      <c r="P3" s="328"/>
    </row>
    <row r="4" spans="1:17" ht="16.5" hidden="1">
      <c r="A4" s="975" t="s">
        <v>2486</v>
      </c>
      <c r="B4" s="976"/>
      <c r="C4" s="976"/>
      <c r="D4" s="976"/>
      <c r="E4" s="976"/>
      <c r="F4" s="976"/>
      <c r="G4" s="976"/>
      <c r="H4" s="976"/>
      <c r="I4" s="977"/>
      <c r="J4" s="329" t="s">
        <v>2300</v>
      </c>
      <c r="K4" s="538"/>
      <c r="L4" s="973">
        <v>257600000</v>
      </c>
      <c r="M4" s="974"/>
      <c r="N4" s="327"/>
      <c r="O4" s="328"/>
    </row>
    <row r="5" spans="1:17" ht="16.5" hidden="1">
      <c r="A5" s="970" t="s">
        <v>2604</v>
      </c>
      <c r="B5" s="971"/>
      <c r="C5" s="971"/>
      <c r="D5" s="971"/>
      <c r="E5" s="971"/>
      <c r="F5" s="971"/>
      <c r="G5" s="971"/>
      <c r="H5" s="971"/>
      <c r="I5" s="972"/>
      <c r="J5" s="387" t="s">
        <v>2301</v>
      </c>
      <c r="K5" s="539"/>
      <c r="L5" s="973">
        <v>308240521</v>
      </c>
      <c r="M5" s="974"/>
      <c r="N5" s="327"/>
    </row>
    <row r="6" spans="1:17" ht="16.5" hidden="1">
      <c r="A6" s="975" t="s">
        <v>2637</v>
      </c>
      <c r="B6" s="976"/>
      <c r="C6" s="976"/>
      <c r="D6" s="976"/>
      <c r="E6" s="976"/>
      <c r="F6" s="976"/>
      <c r="G6" s="976"/>
      <c r="H6" s="976"/>
      <c r="I6" s="977"/>
      <c r="J6" s="329" t="s">
        <v>2302</v>
      </c>
      <c r="K6" s="538"/>
      <c r="L6" s="978" t="e">
        <f>J9</f>
        <v>#VALUE!</v>
      </c>
      <c r="M6" s="979"/>
      <c r="N6" s="327"/>
      <c r="O6" s="331"/>
      <c r="P6" s="331"/>
    </row>
    <row r="7" spans="1:17" ht="14.25" hidden="1" customHeight="1">
      <c r="A7" s="957" t="s">
        <v>235</v>
      </c>
      <c r="B7" s="964" t="s">
        <v>2303</v>
      </c>
      <c r="C7" s="964" t="s">
        <v>237</v>
      </c>
      <c r="D7" s="957" t="s">
        <v>2605</v>
      </c>
      <c r="E7" s="957" t="s">
        <v>2602</v>
      </c>
      <c r="F7" s="968" t="s">
        <v>2305</v>
      </c>
      <c r="G7" s="957" t="s">
        <v>2306</v>
      </c>
      <c r="H7" s="957" t="s">
        <v>2307</v>
      </c>
      <c r="I7" s="957" t="s">
        <v>2308</v>
      </c>
      <c r="J7" s="957" t="s">
        <v>2612</v>
      </c>
      <c r="K7" s="959" t="s">
        <v>2309</v>
      </c>
      <c r="L7" s="961" t="s">
        <v>2310</v>
      </c>
      <c r="M7" s="964" t="s">
        <v>2311</v>
      </c>
      <c r="N7" s="332"/>
      <c r="O7" s="966" t="s">
        <v>2312</v>
      </c>
      <c r="P7" s="967" t="s">
        <v>2313</v>
      </c>
      <c r="Q7" s="963" t="s">
        <v>2314</v>
      </c>
    </row>
    <row r="8" spans="1:17" ht="14.25" hidden="1">
      <c r="A8" s="958"/>
      <c r="B8" s="965"/>
      <c r="C8" s="965"/>
      <c r="D8" s="958"/>
      <c r="E8" s="958"/>
      <c r="F8" s="969"/>
      <c r="G8" s="958"/>
      <c r="H8" s="958"/>
      <c r="I8" s="958"/>
      <c r="J8" s="958"/>
      <c r="K8" s="960"/>
      <c r="L8" s="962"/>
      <c r="M8" s="965"/>
      <c r="N8" s="332"/>
      <c r="O8" s="966"/>
      <c r="P8" s="967"/>
      <c r="Q8" s="963"/>
    </row>
    <row r="9" spans="1:17" ht="33" hidden="1">
      <c r="A9" s="333" t="s">
        <v>10</v>
      </c>
      <c r="B9" s="334" t="s">
        <v>12</v>
      </c>
      <c r="C9" s="335" t="s">
        <v>4</v>
      </c>
      <c r="D9" s="336"/>
      <c r="E9" s="336"/>
      <c r="F9" s="336"/>
      <c r="G9" s="336">
        <f>I9</f>
        <v>306896057.1500001</v>
      </c>
      <c r="H9" s="336"/>
      <c r="I9" s="419">
        <f>I10+I356+I382+I422+I426+I446+I466+I469+I470+I472</f>
        <v>306896057.1500001</v>
      </c>
      <c r="J9" s="419" t="e">
        <f>J10+J356+J382+J422+J426+J446+J466+J469+J470+J472</f>
        <v>#VALUE!</v>
      </c>
      <c r="K9" s="540" t="e">
        <f>K10+K356+K382+K422+K426+K446+K466+K469+K470+K472</f>
        <v>#VALUE!</v>
      </c>
      <c r="L9" s="453" t="e">
        <f>L10+L356+L382+L422+L426+L446+L466+L469+L470+L472</f>
        <v>#VALUE!</v>
      </c>
      <c r="M9" s="419"/>
      <c r="N9" s="11" t="s">
        <v>243</v>
      </c>
      <c r="O9" s="338" t="e">
        <f>K9+L9</f>
        <v>#VALUE!</v>
      </c>
      <c r="P9" s="339"/>
    </row>
    <row r="10" spans="1:17" ht="33" hidden="1">
      <c r="A10" s="333" t="s">
        <v>2152</v>
      </c>
      <c r="B10" s="334" t="s">
        <v>2</v>
      </c>
      <c r="C10" s="335" t="s">
        <v>4</v>
      </c>
      <c r="D10" s="336"/>
      <c r="E10" s="336"/>
      <c r="F10" s="336"/>
      <c r="G10" s="336">
        <f>I10</f>
        <v>231523624.68000001</v>
      </c>
      <c r="H10" s="336"/>
      <c r="I10" s="419">
        <f>I11+I37+I127+I167+I197+I217+I234+I312+I346</f>
        <v>231523624.68000001</v>
      </c>
      <c r="J10" s="419" t="e">
        <f>J11+J37+J127+J167+J197+J217+J234+J312+J346</f>
        <v>#VALUE!</v>
      </c>
      <c r="K10" s="540" t="e">
        <f>K11+K37+K127+K167+K197+K217+K234+K312+K346</f>
        <v>#VALUE!</v>
      </c>
      <c r="L10" s="453" t="e">
        <f>L11+L37+L127+L167+L197+L217+L234+L312+L346</f>
        <v>#VALUE!</v>
      </c>
      <c r="M10" s="231" t="s">
        <v>242</v>
      </c>
      <c r="N10" s="11" t="s">
        <v>243</v>
      </c>
      <c r="O10" s="341"/>
      <c r="P10" s="339"/>
    </row>
    <row r="11" spans="1:17" ht="33" hidden="1">
      <c r="A11" s="406" t="s">
        <v>2153</v>
      </c>
      <c r="B11" s="407" t="s">
        <v>244</v>
      </c>
      <c r="C11" s="408" t="s">
        <v>4</v>
      </c>
      <c r="D11" s="409"/>
      <c r="E11" s="409"/>
      <c r="F11" s="409"/>
      <c r="G11" s="409">
        <v>61233815.539999999</v>
      </c>
      <c r="H11" s="409"/>
      <c r="I11" s="411">
        <f>SUM(I12:I36)</f>
        <v>61233815.539999984</v>
      </c>
      <c r="J11" s="411" t="e">
        <f>SUM(J12:J36)</f>
        <v>#VALUE!</v>
      </c>
      <c r="K11" s="541" t="e">
        <f>SUM(K12:K36)</f>
        <v>#VALUE!</v>
      </c>
      <c r="L11" s="454" t="e">
        <f>SUM(L12:L36)</f>
        <v>#VALUE!</v>
      </c>
      <c r="M11" s="288" t="s">
        <v>242</v>
      </c>
      <c r="N11" s="11" t="s">
        <v>243</v>
      </c>
      <c r="O11" s="338"/>
      <c r="P11" s="339"/>
    </row>
    <row r="12" spans="1:17" ht="33" hidden="1">
      <c r="A12" s="333" t="s">
        <v>2154</v>
      </c>
      <c r="B12" s="334" t="s">
        <v>245</v>
      </c>
      <c r="C12" s="335" t="s">
        <v>6</v>
      </c>
      <c r="D12" s="336">
        <v>720.24</v>
      </c>
      <c r="E12" s="336">
        <f>估驗單!F8</f>
        <v>720.24</v>
      </c>
      <c r="F12" s="390"/>
      <c r="G12" s="336">
        <v>193.11</v>
      </c>
      <c r="H12" s="336"/>
      <c r="I12" s="336">
        <f t="shared" ref="I12:I36" si="0">ROUND(D12*G12,2)</f>
        <v>139085.54999999999</v>
      </c>
      <c r="J12" s="336">
        <f t="shared" ref="J12:J36" si="1">ROUND(E12*G12,2)</f>
        <v>139085.54999999999</v>
      </c>
      <c r="K12" s="546">
        <f>J12-I12</f>
        <v>0</v>
      </c>
      <c r="L12" s="546">
        <f>I12-J12</f>
        <v>0</v>
      </c>
      <c r="M12" s="231" t="s">
        <v>242</v>
      </c>
      <c r="N12" s="11" t="s">
        <v>243</v>
      </c>
      <c r="O12" s="341"/>
      <c r="P12" s="339"/>
    </row>
    <row r="13" spans="1:17" ht="33" hidden="1">
      <c r="A13" s="333" t="s">
        <v>2155</v>
      </c>
      <c r="B13" s="334" t="s">
        <v>247</v>
      </c>
      <c r="C13" s="335" t="s">
        <v>6</v>
      </c>
      <c r="D13" s="336">
        <v>4813.4399999999996</v>
      </c>
      <c r="E13" s="336">
        <f>估驗單!F9</f>
        <v>4813.4399999999996</v>
      </c>
      <c r="F13" s="390"/>
      <c r="G13" s="336">
        <v>1046.1600000000001</v>
      </c>
      <c r="H13" s="336"/>
      <c r="I13" s="336">
        <f t="shared" si="0"/>
        <v>5035628.3899999997</v>
      </c>
      <c r="J13" s="336">
        <f t="shared" si="1"/>
        <v>5035628.3899999997</v>
      </c>
      <c r="K13" s="546">
        <f t="shared" ref="K13:K77" si="2">J13-I13</f>
        <v>0</v>
      </c>
      <c r="L13" s="546">
        <f t="shared" ref="L13:L36" si="3">I13-J13</f>
        <v>0</v>
      </c>
      <c r="M13" s="231" t="s">
        <v>242</v>
      </c>
      <c r="N13" s="11" t="s">
        <v>243</v>
      </c>
      <c r="O13" s="341"/>
      <c r="P13" s="339"/>
    </row>
    <row r="14" spans="1:17" ht="57" hidden="1">
      <c r="A14" s="333" t="s">
        <v>2156</v>
      </c>
      <c r="B14" s="334" t="s">
        <v>249</v>
      </c>
      <c r="C14" s="335" t="s">
        <v>8</v>
      </c>
      <c r="D14" s="336">
        <v>1743</v>
      </c>
      <c r="E14" s="336">
        <f>估驗單!F10</f>
        <v>1743</v>
      </c>
      <c r="F14" s="390"/>
      <c r="G14" s="336">
        <v>6199.66</v>
      </c>
      <c r="H14" s="336"/>
      <c r="I14" s="336">
        <f t="shared" si="0"/>
        <v>10806007.380000001</v>
      </c>
      <c r="J14" s="336">
        <f t="shared" si="1"/>
        <v>10806007.380000001</v>
      </c>
      <c r="K14" s="546">
        <f t="shared" si="2"/>
        <v>0</v>
      </c>
      <c r="L14" s="546">
        <f t="shared" si="3"/>
        <v>0</v>
      </c>
      <c r="M14" s="231" t="s">
        <v>2315</v>
      </c>
      <c r="N14" s="11" t="s">
        <v>243</v>
      </c>
      <c r="O14" s="341"/>
      <c r="P14" s="339"/>
    </row>
    <row r="15" spans="1:17" ht="56.25" hidden="1">
      <c r="A15" s="333" t="s">
        <v>2157</v>
      </c>
      <c r="B15" s="334" t="s">
        <v>194</v>
      </c>
      <c r="C15" s="335" t="s">
        <v>23</v>
      </c>
      <c r="D15" s="336">
        <v>28009.56</v>
      </c>
      <c r="E15" s="336">
        <f>估驗單!F11</f>
        <v>28009.56</v>
      </c>
      <c r="F15" s="390"/>
      <c r="G15" s="336">
        <v>48.28</v>
      </c>
      <c r="H15" s="336"/>
      <c r="I15" s="336">
        <f t="shared" si="0"/>
        <v>1352301.56</v>
      </c>
      <c r="J15" s="336">
        <f t="shared" si="1"/>
        <v>1352301.56</v>
      </c>
      <c r="K15" s="546">
        <f t="shared" si="2"/>
        <v>0</v>
      </c>
      <c r="L15" s="546">
        <f t="shared" si="3"/>
        <v>0</v>
      </c>
      <c r="M15" s="231" t="s">
        <v>242</v>
      </c>
      <c r="N15" s="11" t="s">
        <v>243</v>
      </c>
      <c r="O15" s="341" t="s">
        <v>2316</v>
      </c>
      <c r="P15" s="339" t="s">
        <v>2317</v>
      </c>
      <c r="Q15" s="342" t="s">
        <v>2318</v>
      </c>
    </row>
    <row r="16" spans="1:17" ht="33" hidden="1">
      <c r="A16" s="333" t="s">
        <v>2158</v>
      </c>
      <c r="B16" s="334" t="s">
        <v>252</v>
      </c>
      <c r="C16" s="335" t="s">
        <v>6</v>
      </c>
      <c r="D16" s="336">
        <v>4726.67</v>
      </c>
      <c r="E16" s="336">
        <f>估驗單!F12</f>
        <v>4726.67</v>
      </c>
      <c r="F16" s="390"/>
      <c r="G16" s="336">
        <v>599.71</v>
      </c>
      <c r="H16" s="336"/>
      <c r="I16" s="336">
        <f t="shared" si="0"/>
        <v>2834631.27</v>
      </c>
      <c r="J16" s="336">
        <f t="shared" si="1"/>
        <v>2834631.27</v>
      </c>
      <c r="K16" s="546">
        <f t="shared" si="2"/>
        <v>0</v>
      </c>
      <c r="L16" s="546">
        <f t="shared" si="3"/>
        <v>0</v>
      </c>
      <c r="M16" s="231" t="s">
        <v>242</v>
      </c>
      <c r="N16" s="11" t="s">
        <v>243</v>
      </c>
      <c r="O16" s="341"/>
      <c r="P16" s="339"/>
    </row>
    <row r="17" spans="1:16" ht="33" hidden="1">
      <c r="A17" s="333" t="s">
        <v>2159</v>
      </c>
      <c r="B17" s="334" t="s">
        <v>255</v>
      </c>
      <c r="C17" s="335" t="s">
        <v>6</v>
      </c>
      <c r="D17" s="336">
        <v>13120</v>
      </c>
      <c r="E17" s="336">
        <f>估驗單!F13</f>
        <v>13120</v>
      </c>
      <c r="F17" s="390"/>
      <c r="G17" s="336">
        <v>104.64</v>
      </c>
      <c r="H17" s="336"/>
      <c r="I17" s="336">
        <f t="shared" si="0"/>
        <v>1372876.8</v>
      </c>
      <c r="J17" s="336">
        <f t="shared" si="1"/>
        <v>1372876.8</v>
      </c>
      <c r="K17" s="546">
        <f t="shared" si="2"/>
        <v>0</v>
      </c>
      <c r="L17" s="546">
        <f t="shared" si="3"/>
        <v>0</v>
      </c>
      <c r="M17" s="231" t="s">
        <v>242</v>
      </c>
      <c r="N17" s="11" t="s">
        <v>243</v>
      </c>
      <c r="O17" s="341"/>
      <c r="P17" s="339"/>
    </row>
    <row r="18" spans="1:16" ht="57" hidden="1">
      <c r="A18" s="333" t="s">
        <v>2160</v>
      </c>
      <c r="B18" s="334" t="s">
        <v>258</v>
      </c>
      <c r="C18" s="335" t="s">
        <v>23</v>
      </c>
      <c r="D18" s="336">
        <v>13251</v>
      </c>
      <c r="E18" s="336">
        <f>估驗單!F14</f>
        <v>4994</v>
      </c>
      <c r="F18" s="390"/>
      <c r="G18" s="336">
        <v>1027.3699999999999</v>
      </c>
      <c r="H18" s="336"/>
      <c r="I18" s="336">
        <f t="shared" si="0"/>
        <v>13613679.869999999</v>
      </c>
      <c r="J18" s="336">
        <f t="shared" si="1"/>
        <v>5130685.78</v>
      </c>
      <c r="K18" s="546">
        <f t="shared" si="2"/>
        <v>-8482994.0899999999</v>
      </c>
      <c r="L18" s="546">
        <f t="shared" si="3"/>
        <v>8482994.0899999999</v>
      </c>
      <c r="M18" s="231" t="s">
        <v>2319</v>
      </c>
      <c r="N18" s="11" t="s">
        <v>243</v>
      </c>
      <c r="O18" s="341"/>
      <c r="P18" s="339"/>
    </row>
    <row r="19" spans="1:16" ht="33" hidden="1">
      <c r="A19" s="333" t="s">
        <v>2161</v>
      </c>
      <c r="B19" s="334" t="s">
        <v>261</v>
      </c>
      <c r="C19" s="335" t="s">
        <v>6</v>
      </c>
      <c r="D19" s="336">
        <v>4601.4399999999996</v>
      </c>
      <c r="E19" s="336" t="str">
        <f>估驗單!F15</f>
        <v>0_x000D_</v>
      </c>
      <c r="F19" s="390"/>
      <c r="G19" s="336">
        <v>1084.98</v>
      </c>
      <c r="H19" s="336"/>
      <c r="I19" s="336">
        <f t="shared" si="0"/>
        <v>4992470.37</v>
      </c>
      <c r="J19" s="336" t="e">
        <f t="shared" si="1"/>
        <v>#VALUE!</v>
      </c>
      <c r="K19" s="546" t="e">
        <f t="shared" si="2"/>
        <v>#VALUE!</v>
      </c>
      <c r="L19" s="546" t="e">
        <f t="shared" si="3"/>
        <v>#VALUE!</v>
      </c>
      <c r="M19" s="231" t="s">
        <v>242</v>
      </c>
      <c r="N19" s="11" t="s">
        <v>243</v>
      </c>
      <c r="O19" s="341"/>
      <c r="P19" s="339"/>
    </row>
    <row r="20" spans="1:16" ht="42.75" hidden="1">
      <c r="A20" s="333" t="s">
        <v>2162</v>
      </c>
      <c r="B20" s="334" t="s">
        <v>264</v>
      </c>
      <c r="C20" s="335" t="s">
        <v>13</v>
      </c>
      <c r="D20" s="336">
        <v>2588.5</v>
      </c>
      <c r="E20" s="336">
        <f>估驗單!F16</f>
        <v>2588.5</v>
      </c>
      <c r="F20" s="390"/>
      <c r="G20" s="336">
        <v>30.45</v>
      </c>
      <c r="H20" s="336"/>
      <c r="I20" s="336">
        <f t="shared" si="0"/>
        <v>78819.83</v>
      </c>
      <c r="J20" s="336">
        <f t="shared" si="1"/>
        <v>78819.83</v>
      </c>
      <c r="K20" s="546">
        <f t="shared" si="2"/>
        <v>0</v>
      </c>
      <c r="L20" s="546">
        <f t="shared" si="3"/>
        <v>0</v>
      </c>
      <c r="M20" s="231" t="s">
        <v>2320</v>
      </c>
      <c r="N20" s="11" t="s">
        <v>243</v>
      </c>
      <c r="O20" s="341"/>
      <c r="P20" s="339"/>
    </row>
    <row r="21" spans="1:16" ht="33" hidden="1">
      <c r="A21" s="333" t="s">
        <v>2163</v>
      </c>
      <c r="B21" s="334" t="s">
        <v>267</v>
      </c>
      <c r="C21" s="335" t="s">
        <v>13</v>
      </c>
      <c r="D21" s="336">
        <v>9177</v>
      </c>
      <c r="E21" s="336">
        <f>估驗單!F17</f>
        <v>9177</v>
      </c>
      <c r="F21" s="390"/>
      <c r="G21" s="336">
        <v>28.48</v>
      </c>
      <c r="H21" s="336"/>
      <c r="I21" s="336">
        <f t="shared" si="0"/>
        <v>261360.96</v>
      </c>
      <c r="J21" s="336">
        <f t="shared" si="1"/>
        <v>261360.96</v>
      </c>
      <c r="K21" s="546">
        <f t="shared" si="2"/>
        <v>0</v>
      </c>
      <c r="L21" s="546">
        <f t="shared" si="3"/>
        <v>0</v>
      </c>
      <c r="M21" s="231" t="s">
        <v>242</v>
      </c>
      <c r="N21" s="11" t="s">
        <v>243</v>
      </c>
      <c r="O21" s="341"/>
      <c r="P21" s="339"/>
    </row>
    <row r="22" spans="1:16" ht="33" hidden="1">
      <c r="A22" s="333" t="s">
        <v>2164</v>
      </c>
      <c r="B22" s="334" t="s">
        <v>270</v>
      </c>
      <c r="C22" s="335" t="s">
        <v>8</v>
      </c>
      <c r="D22" s="336">
        <v>162.5</v>
      </c>
      <c r="E22" s="336">
        <f>估驗單!F18</f>
        <v>162.5</v>
      </c>
      <c r="F22" s="390"/>
      <c r="G22" s="336">
        <v>65.400000000000006</v>
      </c>
      <c r="H22" s="336"/>
      <c r="I22" s="336">
        <f t="shared" si="0"/>
        <v>10627.5</v>
      </c>
      <c r="J22" s="336">
        <f t="shared" si="1"/>
        <v>10627.5</v>
      </c>
      <c r="K22" s="546">
        <f t="shared" si="2"/>
        <v>0</v>
      </c>
      <c r="L22" s="546">
        <f t="shared" si="3"/>
        <v>0</v>
      </c>
      <c r="M22" s="231" t="s">
        <v>242</v>
      </c>
      <c r="N22" s="11" t="s">
        <v>243</v>
      </c>
      <c r="O22" s="341"/>
      <c r="P22" s="339"/>
    </row>
    <row r="23" spans="1:16" ht="33" hidden="1">
      <c r="A23" s="333" t="s">
        <v>2165</v>
      </c>
      <c r="B23" s="334" t="s">
        <v>273</v>
      </c>
      <c r="C23" s="335" t="s">
        <v>13</v>
      </c>
      <c r="D23" s="336">
        <v>5217.7</v>
      </c>
      <c r="E23" s="336">
        <f>估驗單!F19</f>
        <v>5217.7</v>
      </c>
      <c r="F23" s="390"/>
      <c r="G23" s="336">
        <v>20.190000000000001</v>
      </c>
      <c r="H23" s="336"/>
      <c r="I23" s="336">
        <f t="shared" si="0"/>
        <v>105345.36</v>
      </c>
      <c r="J23" s="336">
        <f t="shared" si="1"/>
        <v>105345.36</v>
      </c>
      <c r="K23" s="546">
        <f t="shared" si="2"/>
        <v>0</v>
      </c>
      <c r="L23" s="546">
        <f t="shared" si="3"/>
        <v>0</v>
      </c>
      <c r="M23" s="231" t="s">
        <v>242</v>
      </c>
      <c r="N23" s="11" t="s">
        <v>243</v>
      </c>
      <c r="O23" s="341"/>
      <c r="P23" s="339"/>
    </row>
    <row r="24" spans="1:16" ht="33" hidden="1">
      <c r="A24" s="343" t="s">
        <v>2166</v>
      </c>
      <c r="B24" s="344" t="s">
        <v>276</v>
      </c>
      <c r="C24" s="345" t="s">
        <v>6</v>
      </c>
      <c r="D24" s="340">
        <v>782.66</v>
      </c>
      <c r="E24" s="336">
        <f>估驗單!F20</f>
        <v>782.66</v>
      </c>
      <c r="F24" s="390"/>
      <c r="G24" s="340">
        <v>2286.6799999999998</v>
      </c>
      <c r="H24" s="340"/>
      <c r="I24" s="336">
        <f t="shared" si="0"/>
        <v>1789692.97</v>
      </c>
      <c r="J24" s="336">
        <f t="shared" si="1"/>
        <v>1789692.97</v>
      </c>
      <c r="K24" s="546">
        <f t="shared" si="2"/>
        <v>0</v>
      </c>
      <c r="L24" s="546">
        <f t="shared" si="3"/>
        <v>0</v>
      </c>
      <c r="M24" s="346" t="s">
        <v>2321</v>
      </c>
      <c r="N24" s="347" t="s">
        <v>243</v>
      </c>
      <c r="O24" s="348"/>
      <c r="P24" s="349"/>
    </row>
    <row r="25" spans="1:16" ht="33" hidden="1">
      <c r="A25" s="333" t="s">
        <v>2167</v>
      </c>
      <c r="B25" s="334" t="s">
        <v>279</v>
      </c>
      <c r="C25" s="335" t="s">
        <v>14</v>
      </c>
      <c r="D25" s="336">
        <v>425</v>
      </c>
      <c r="E25" s="336">
        <f>估驗單!F21</f>
        <v>425</v>
      </c>
      <c r="F25" s="390"/>
      <c r="G25" s="336">
        <v>521.15</v>
      </c>
      <c r="H25" s="336"/>
      <c r="I25" s="336">
        <f t="shared" si="0"/>
        <v>221488.75</v>
      </c>
      <c r="J25" s="336">
        <f t="shared" si="1"/>
        <v>221488.75</v>
      </c>
      <c r="K25" s="546">
        <f t="shared" si="2"/>
        <v>0</v>
      </c>
      <c r="L25" s="546">
        <f t="shared" si="3"/>
        <v>0</v>
      </c>
      <c r="M25" s="231" t="s">
        <v>2322</v>
      </c>
      <c r="N25" s="11" t="s">
        <v>243</v>
      </c>
      <c r="O25" s="341"/>
      <c r="P25" s="339"/>
    </row>
    <row r="26" spans="1:16" ht="33" hidden="1">
      <c r="A26" s="503" t="s">
        <v>2168</v>
      </c>
      <c r="B26" s="504" t="s">
        <v>282</v>
      </c>
      <c r="C26" s="505" t="s">
        <v>8</v>
      </c>
      <c r="D26" s="506">
        <v>255.5</v>
      </c>
      <c r="E26" s="506">
        <f>估驗單!F22</f>
        <v>415.08000000000004</v>
      </c>
      <c r="F26" s="507">
        <f t="shared" ref="F26:F90" si="4">E26-D26</f>
        <v>159.58000000000004</v>
      </c>
      <c r="G26" s="506">
        <v>289.67</v>
      </c>
      <c r="H26" s="506"/>
      <c r="I26" s="506">
        <f t="shared" si="0"/>
        <v>74010.69</v>
      </c>
      <c r="J26" s="506">
        <f t="shared" si="1"/>
        <v>120236.22</v>
      </c>
      <c r="K26" s="547">
        <f t="shared" si="2"/>
        <v>46225.53</v>
      </c>
      <c r="L26" s="547"/>
      <c r="M26" s="508" t="s">
        <v>242</v>
      </c>
      <c r="N26" s="11" t="s">
        <v>243</v>
      </c>
      <c r="O26" s="341"/>
      <c r="P26" s="339"/>
    </row>
    <row r="27" spans="1:16" ht="33" hidden="1">
      <c r="A27" s="333" t="s">
        <v>2169</v>
      </c>
      <c r="B27" s="334" t="s">
        <v>285</v>
      </c>
      <c r="C27" s="335" t="s">
        <v>286</v>
      </c>
      <c r="D27" s="336">
        <v>2204</v>
      </c>
      <c r="E27" s="336">
        <f>估驗單!F23</f>
        <v>2204</v>
      </c>
      <c r="F27" s="390"/>
      <c r="G27" s="336">
        <v>3082.11</v>
      </c>
      <c r="H27" s="336"/>
      <c r="I27" s="336">
        <f t="shared" si="0"/>
        <v>6792970.4400000004</v>
      </c>
      <c r="J27" s="336">
        <f t="shared" si="1"/>
        <v>6792970.4400000004</v>
      </c>
      <c r="K27" s="546">
        <f t="shared" si="2"/>
        <v>0</v>
      </c>
      <c r="L27" s="546">
        <f t="shared" si="3"/>
        <v>0</v>
      </c>
      <c r="M27" s="231" t="s">
        <v>242</v>
      </c>
      <c r="N27" s="11" t="s">
        <v>243</v>
      </c>
      <c r="O27" s="341"/>
      <c r="P27" s="339"/>
    </row>
    <row r="28" spans="1:16" ht="33" hidden="1">
      <c r="A28" s="333" t="s">
        <v>2170</v>
      </c>
      <c r="B28" s="334" t="s">
        <v>289</v>
      </c>
      <c r="C28" s="335" t="s">
        <v>290</v>
      </c>
      <c r="D28" s="336">
        <v>66</v>
      </c>
      <c r="E28" s="336">
        <f>估驗單!F24</f>
        <v>66</v>
      </c>
      <c r="F28" s="390"/>
      <c r="G28" s="336">
        <v>3311.26</v>
      </c>
      <c r="H28" s="336"/>
      <c r="I28" s="336">
        <f t="shared" si="0"/>
        <v>218543.16</v>
      </c>
      <c r="J28" s="336">
        <f t="shared" si="1"/>
        <v>218543.16</v>
      </c>
      <c r="K28" s="546">
        <f t="shared" si="2"/>
        <v>0</v>
      </c>
      <c r="L28" s="546">
        <f t="shared" si="3"/>
        <v>0</v>
      </c>
      <c r="M28" s="231" t="s">
        <v>2323</v>
      </c>
      <c r="N28" s="11" t="s">
        <v>243</v>
      </c>
      <c r="O28" s="341"/>
      <c r="P28" s="339"/>
    </row>
    <row r="29" spans="1:16" ht="33" hidden="1">
      <c r="A29" s="333" t="s">
        <v>2171</v>
      </c>
      <c r="B29" s="334" t="s">
        <v>293</v>
      </c>
      <c r="C29" s="335" t="s">
        <v>0</v>
      </c>
      <c r="D29" s="336">
        <v>18</v>
      </c>
      <c r="E29" s="336">
        <f>估驗單!F25</f>
        <v>18</v>
      </c>
      <c r="F29" s="390"/>
      <c r="G29" s="336">
        <v>1199.93</v>
      </c>
      <c r="H29" s="336"/>
      <c r="I29" s="336">
        <f t="shared" si="0"/>
        <v>21598.74</v>
      </c>
      <c r="J29" s="336">
        <f t="shared" si="1"/>
        <v>21598.74</v>
      </c>
      <c r="K29" s="546">
        <f t="shared" si="2"/>
        <v>0</v>
      </c>
      <c r="L29" s="546">
        <f t="shared" si="3"/>
        <v>0</v>
      </c>
      <c r="M29" s="231" t="s">
        <v>2323</v>
      </c>
      <c r="N29" s="11" t="s">
        <v>243</v>
      </c>
      <c r="O29" s="341"/>
      <c r="P29" s="339"/>
    </row>
    <row r="30" spans="1:16" ht="33" hidden="1">
      <c r="A30" s="333" t="s">
        <v>2172</v>
      </c>
      <c r="B30" s="334" t="s">
        <v>296</v>
      </c>
      <c r="C30" s="335" t="s">
        <v>0</v>
      </c>
      <c r="D30" s="336">
        <v>4</v>
      </c>
      <c r="E30" s="336">
        <f>估驗單!F26</f>
        <v>4</v>
      </c>
      <c r="F30" s="390"/>
      <c r="G30" s="336">
        <v>2999.84</v>
      </c>
      <c r="H30" s="336"/>
      <c r="I30" s="336">
        <f t="shared" si="0"/>
        <v>11999.36</v>
      </c>
      <c r="J30" s="336">
        <f t="shared" si="1"/>
        <v>11999.36</v>
      </c>
      <c r="K30" s="546">
        <f t="shared" si="2"/>
        <v>0</v>
      </c>
      <c r="L30" s="546">
        <f t="shared" si="3"/>
        <v>0</v>
      </c>
      <c r="M30" s="231" t="s">
        <v>2323</v>
      </c>
      <c r="N30" s="11" t="s">
        <v>243</v>
      </c>
      <c r="O30" s="341"/>
      <c r="P30" s="339"/>
    </row>
    <row r="31" spans="1:16" ht="33" hidden="1">
      <c r="A31" s="333" t="s">
        <v>2173</v>
      </c>
      <c r="B31" s="334" t="s">
        <v>299</v>
      </c>
      <c r="C31" s="335" t="s">
        <v>0</v>
      </c>
      <c r="D31" s="336">
        <v>20</v>
      </c>
      <c r="E31" s="336">
        <f>估驗單!F27</f>
        <v>20</v>
      </c>
      <c r="F31" s="390"/>
      <c r="G31" s="336">
        <v>2999.84</v>
      </c>
      <c r="H31" s="336"/>
      <c r="I31" s="336">
        <f t="shared" si="0"/>
        <v>59996.800000000003</v>
      </c>
      <c r="J31" s="336">
        <f t="shared" si="1"/>
        <v>59996.800000000003</v>
      </c>
      <c r="K31" s="546">
        <f t="shared" si="2"/>
        <v>0</v>
      </c>
      <c r="L31" s="546">
        <f t="shared" si="3"/>
        <v>0</v>
      </c>
      <c r="M31" s="231" t="s">
        <v>2323</v>
      </c>
      <c r="N31" s="11" t="s">
        <v>243</v>
      </c>
      <c r="O31" s="341"/>
      <c r="P31" s="339"/>
    </row>
    <row r="32" spans="1:16" ht="33" hidden="1">
      <c r="A32" s="333" t="s">
        <v>2174</v>
      </c>
      <c r="B32" s="334" t="s">
        <v>302</v>
      </c>
      <c r="C32" s="335" t="s">
        <v>0</v>
      </c>
      <c r="D32" s="336">
        <v>15</v>
      </c>
      <c r="E32" s="336">
        <f>估驗單!F28</f>
        <v>15</v>
      </c>
      <c r="F32" s="390"/>
      <c r="G32" s="336">
        <v>2999.84</v>
      </c>
      <c r="H32" s="336"/>
      <c r="I32" s="336">
        <f t="shared" si="0"/>
        <v>44997.599999999999</v>
      </c>
      <c r="J32" s="336">
        <f t="shared" si="1"/>
        <v>44997.599999999999</v>
      </c>
      <c r="K32" s="546">
        <f t="shared" si="2"/>
        <v>0</v>
      </c>
      <c r="L32" s="546">
        <f t="shared" si="3"/>
        <v>0</v>
      </c>
      <c r="M32" s="231" t="s">
        <v>2323</v>
      </c>
      <c r="N32" s="11" t="s">
        <v>243</v>
      </c>
      <c r="O32" s="341"/>
      <c r="P32" s="339"/>
    </row>
    <row r="33" spans="1:19" ht="33" hidden="1">
      <c r="A33" s="333" t="s">
        <v>2175</v>
      </c>
      <c r="B33" s="334" t="s">
        <v>305</v>
      </c>
      <c r="C33" s="335" t="s">
        <v>4</v>
      </c>
      <c r="D33" s="336">
        <v>1</v>
      </c>
      <c r="E33" s="336">
        <f>估驗單!F29</f>
        <v>1</v>
      </c>
      <c r="F33" s="390"/>
      <c r="G33" s="336">
        <v>399978.19</v>
      </c>
      <c r="H33" s="336"/>
      <c r="I33" s="336">
        <f t="shared" si="0"/>
        <v>399978.19</v>
      </c>
      <c r="J33" s="336">
        <f t="shared" si="1"/>
        <v>399978.19</v>
      </c>
      <c r="K33" s="546">
        <f t="shared" si="2"/>
        <v>0</v>
      </c>
      <c r="L33" s="546">
        <f t="shared" si="3"/>
        <v>0</v>
      </c>
      <c r="M33" s="231" t="s">
        <v>2324</v>
      </c>
      <c r="N33" s="11" t="s">
        <v>243</v>
      </c>
      <c r="O33" s="341"/>
      <c r="P33" s="339"/>
    </row>
    <row r="34" spans="1:19" ht="33" hidden="1">
      <c r="A34" s="333" t="s">
        <v>2177</v>
      </c>
      <c r="B34" s="334" t="s">
        <v>31</v>
      </c>
      <c r="C34" s="335" t="s">
        <v>16</v>
      </c>
      <c r="D34" s="336">
        <v>30800</v>
      </c>
      <c r="E34" s="336">
        <f>估驗單!F30</f>
        <v>30800</v>
      </c>
      <c r="F34" s="390">
        <f t="shared" si="4"/>
        <v>0</v>
      </c>
      <c r="G34" s="336">
        <v>280</v>
      </c>
      <c r="H34" s="336"/>
      <c r="I34" s="336">
        <f t="shared" si="0"/>
        <v>8624000</v>
      </c>
      <c r="J34" s="336">
        <f t="shared" si="1"/>
        <v>8624000</v>
      </c>
      <c r="K34" s="546">
        <f t="shared" si="2"/>
        <v>0</v>
      </c>
      <c r="L34" s="546">
        <f t="shared" si="3"/>
        <v>0</v>
      </c>
      <c r="M34" s="231" t="s">
        <v>2325</v>
      </c>
      <c r="N34" s="11" t="s">
        <v>243</v>
      </c>
      <c r="O34" s="341"/>
      <c r="P34" s="339"/>
    </row>
    <row r="35" spans="1:19" ht="33" hidden="1">
      <c r="A35" s="333" t="s">
        <v>2178</v>
      </c>
      <c r="B35" s="334" t="s">
        <v>1312</v>
      </c>
      <c r="C35" s="335" t="s">
        <v>13</v>
      </c>
      <c r="D35" s="336">
        <v>2150</v>
      </c>
      <c r="E35" s="336">
        <f>估驗單!F31</f>
        <v>2150</v>
      </c>
      <c r="F35" s="390">
        <f t="shared" si="4"/>
        <v>0</v>
      </c>
      <c r="G35" s="336">
        <v>70.56</v>
      </c>
      <c r="H35" s="336"/>
      <c r="I35" s="336">
        <f t="shared" si="0"/>
        <v>151704</v>
      </c>
      <c r="J35" s="336">
        <f t="shared" si="1"/>
        <v>151704</v>
      </c>
      <c r="K35" s="546">
        <f t="shared" si="2"/>
        <v>0</v>
      </c>
      <c r="L35" s="546">
        <f t="shared" si="3"/>
        <v>0</v>
      </c>
      <c r="M35" s="231" t="s">
        <v>2326</v>
      </c>
      <c r="N35" s="11" t="s">
        <v>243</v>
      </c>
      <c r="O35" s="341"/>
      <c r="P35" s="339"/>
    </row>
    <row r="36" spans="1:19" s="352" customFormat="1" ht="33.75" hidden="1">
      <c r="A36" s="343">
        <v>25</v>
      </c>
      <c r="B36" s="344" t="s">
        <v>2327</v>
      </c>
      <c r="C36" s="335" t="s">
        <v>2328</v>
      </c>
      <c r="D36" s="340">
        <v>111</v>
      </c>
      <c r="E36" s="336">
        <f>估驗單!F32</f>
        <v>111</v>
      </c>
      <c r="F36" s="390">
        <f t="shared" si="4"/>
        <v>0</v>
      </c>
      <c r="G36" s="340">
        <v>20000</v>
      </c>
      <c r="H36" s="340"/>
      <c r="I36" s="336">
        <f t="shared" si="0"/>
        <v>2220000</v>
      </c>
      <c r="J36" s="336">
        <f t="shared" si="1"/>
        <v>2220000</v>
      </c>
      <c r="K36" s="546">
        <f t="shared" si="2"/>
        <v>0</v>
      </c>
      <c r="L36" s="546">
        <f t="shared" si="3"/>
        <v>0</v>
      </c>
      <c r="M36" s="350" t="s">
        <v>2329</v>
      </c>
      <c r="N36" s="347" t="s">
        <v>243</v>
      </c>
      <c r="O36" s="348" t="s">
        <v>2330</v>
      </c>
      <c r="P36" s="351" t="s">
        <v>2331</v>
      </c>
      <c r="Q36" s="325" t="s">
        <v>2332</v>
      </c>
      <c r="S36" s="353" t="s">
        <v>2333</v>
      </c>
    </row>
    <row r="37" spans="1:19" ht="33" hidden="1">
      <c r="A37" s="406" t="s">
        <v>2180</v>
      </c>
      <c r="B37" s="407" t="s">
        <v>309</v>
      </c>
      <c r="C37" s="408" t="s">
        <v>4</v>
      </c>
      <c r="D37" s="409"/>
      <c r="E37" s="409">
        <f>估驗單!F33</f>
        <v>0</v>
      </c>
      <c r="F37" s="410">
        <f t="shared" si="4"/>
        <v>0</v>
      </c>
      <c r="G37" s="409">
        <v>30807124.300000001</v>
      </c>
      <c r="H37" s="409"/>
      <c r="I37" s="409">
        <f>SUM(I38:I126)</f>
        <v>29778927.199999996</v>
      </c>
      <c r="J37" s="409">
        <f>SUM(J38:J126)</f>
        <v>31258005.57</v>
      </c>
      <c r="K37" s="542">
        <f>SUM(K38:K126)</f>
        <v>3305690.73</v>
      </c>
      <c r="L37" s="452">
        <f>SUM(L38:L126)</f>
        <v>-1826612.36</v>
      </c>
      <c r="M37" s="288" t="s">
        <v>242</v>
      </c>
      <c r="N37" s="11" t="s">
        <v>243</v>
      </c>
      <c r="O37" s="338"/>
      <c r="P37" s="339"/>
    </row>
    <row r="38" spans="1:19" ht="33" hidden="1">
      <c r="A38" s="333" t="s">
        <v>2154</v>
      </c>
      <c r="B38" s="334" t="s">
        <v>310</v>
      </c>
      <c r="C38" s="335" t="s">
        <v>223</v>
      </c>
      <c r="D38" s="336">
        <v>1887.64</v>
      </c>
      <c r="E38" s="336">
        <f>估驗單!F34</f>
        <v>1887.64</v>
      </c>
      <c r="F38" s="390">
        <f t="shared" si="4"/>
        <v>0</v>
      </c>
      <c r="G38" s="336">
        <v>320.72000000000003</v>
      </c>
      <c r="H38" s="336"/>
      <c r="I38" s="336">
        <f t="shared" ref="I38:I102" si="5">ROUND(D38*G38,2)</f>
        <v>605403.9</v>
      </c>
      <c r="J38" s="336">
        <f t="shared" ref="J38:J102" si="6">ROUND(E38*G38,2)</f>
        <v>605403.9</v>
      </c>
      <c r="K38" s="546">
        <f t="shared" si="2"/>
        <v>0</v>
      </c>
      <c r="L38" s="502"/>
      <c r="M38" s="231" t="s">
        <v>242</v>
      </c>
      <c r="N38" s="11" t="s">
        <v>243</v>
      </c>
      <c r="O38" s="341"/>
      <c r="P38" s="339"/>
    </row>
    <row r="39" spans="1:19" ht="33" hidden="1">
      <c r="A39" s="333" t="s">
        <v>2155</v>
      </c>
      <c r="B39" s="334" t="s">
        <v>312</v>
      </c>
      <c r="C39" s="335" t="s">
        <v>223</v>
      </c>
      <c r="D39" s="336">
        <v>402.21</v>
      </c>
      <c r="E39" s="336">
        <f>估驗單!F35</f>
        <v>402.21</v>
      </c>
      <c r="F39" s="390">
        <f t="shared" si="4"/>
        <v>0</v>
      </c>
      <c r="G39" s="336">
        <v>346.06</v>
      </c>
      <c r="H39" s="336"/>
      <c r="I39" s="336">
        <f t="shared" si="5"/>
        <v>139188.79</v>
      </c>
      <c r="J39" s="336">
        <f t="shared" si="6"/>
        <v>139188.79</v>
      </c>
      <c r="K39" s="546">
        <f t="shared" si="2"/>
        <v>0</v>
      </c>
      <c r="L39" s="502"/>
      <c r="M39" s="231" t="s">
        <v>242</v>
      </c>
      <c r="N39" s="11" t="s">
        <v>243</v>
      </c>
      <c r="O39" s="341"/>
      <c r="P39" s="339"/>
    </row>
    <row r="40" spans="1:19" ht="42.75" hidden="1">
      <c r="A40" s="333" t="s">
        <v>2156</v>
      </c>
      <c r="B40" s="334" t="s">
        <v>2730</v>
      </c>
      <c r="C40" s="335" t="s">
        <v>17</v>
      </c>
      <c r="D40" s="336">
        <v>18865.759999999998</v>
      </c>
      <c r="E40" s="336">
        <f>估驗單!F36</f>
        <v>18865.759999999998</v>
      </c>
      <c r="F40" s="390">
        <f t="shared" si="4"/>
        <v>0</v>
      </c>
      <c r="G40" s="336">
        <v>36.4</v>
      </c>
      <c r="H40" s="336"/>
      <c r="I40" s="336">
        <f t="shared" si="5"/>
        <v>686713.66</v>
      </c>
      <c r="J40" s="336">
        <f t="shared" si="6"/>
        <v>686713.66</v>
      </c>
      <c r="K40" s="546">
        <f t="shared" si="2"/>
        <v>0</v>
      </c>
      <c r="L40" s="502"/>
      <c r="M40" s="231" t="s">
        <v>2334</v>
      </c>
      <c r="N40" s="11" t="s">
        <v>243</v>
      </c>
      <c r="O40" s="341"/>
      <c r="P40" s="339"/>
    </row>
    <row r="41" spans="1:19" ht="33" hidden="1">
      <c r="A41" s="333" t="s">
        <v>2157</v>
      </c>
      <c r="B41" s="334" t="s">
        <v>315</v>
      </c>
      <c r="C41" s="335" t="s">
        <v>6</v>
      </c>
      <c r="D41" s="336">
        <v>107.91</v>
      </c>
      <c r="E41" s="336">
        <f>估驗單!F37</f>
        <v>107.91</v>
      </c>
      <c r="F41" s="390">
        <f t="shared" si="4"/>
        <v>0</v>
      </c>
      <c r="G41" s="336">
        <v>3114.97</v>
      </c>
      <c r="H41" s="336"/>
      <c r="I41" s="336">
        <f t="shared" si="5"/>
        <v>336136.41</v>
      </c>
      <c r="J41" s="336">
        <f t="shared" si="6"/>
        <v>336136.41</v>
      </c>
      <c r="K41" s="546">
        <f t="shared" si="2"/>
        <v>0</v>
      </c>
      <c r="L41" s="502"/>
      <c r="M41" s="231" t="s">
        <v>242</v>
      </c>
      <c r="N41" s="11" t="s">
        <v>243</v>
      </c>
      <c r="O41" s="341"/>
      <c r="P41" s="339"/>
    </row>
    <row r="42" spans="1:19" ht="33" hidden="1">
      <c r="A42" s="333" t="s">
        <v>2158</v>
      </c>
      <c r="B42" s="334" t="s">
        <v>24</v>
      </c>
      <c r="C42" s="335" t="s">
        <v>6</v>
      </c>
      <c r="D42" s="336">
        <v>564.01</v>
      </c>
      <c r="E42" s="336">
        <f>估驗單!F38</f>
        <v>564.01</v>
      </c>
      <c r="F42" s="390">
        <f t="shared" si="4"/>
        <v>0</v>
      </c>
      <c r="G42" s="336">
        <v>3320.96</v>
      </c>
      <c r="H42" s="336"/>
      <c r="I42" s="336">
        <f t="shared" si="5"/>
        <v>1873054.65</v>
      </c>
      <c r="J42" s="336">
        <f t="shared" si="6"/>
        <v>1873054.65</v>
      </c>
      <c r="K42" s="546">
        <f t="shared" si="2"/>
        <v>0</v>
      </c>
      <c r="L42" s="502"/>
      <c r="M42" s="231" t="s">
        <v>242</v>
      </c>
      <c r="N42" s="11" t="s">
        <v>243</v>
      </c>
      <c r="O42" s="341"/>
      <c r="P42" s="339"/>
    </row>
    <row r="43" spans="1:19" ht="14.25" customHeight="1">
      <c r="A43" s="957" t="s">
        <v>235</v>
      </c>
      <c r="B43" s="964" t="s">
        <v>2303</v>
      </c>
      <c r="C43" s="964" t="s">
        <v>237</v>
      </c>
      <c r="D43" s="957" t="s">
        <v>2605</v>
      </c>
      <c r="E43" s="957" t="s">
        <v>2602</v>
      </c>
      <c r="F43" s="968" t="s">
        <v>2305</v>
      </c>
      <c r="G43" s="957" t="s">
        <v>2306</v>
      </c>
      <c r="H43" s="957" t="s">
        <v>2307</v>
      </c>
      <c r="I43" s="957" t="s">
        <v>2308</v>
      </c>
      <c r="J43" s="957" t="s">
        <v>2612</v>
      </c>
      <c r="K43" s="959" t="s">
        <v>2309</v>
      </c>
      <c r="L43" s="961" t="s">
        <v>2310</v>
      </c>
      <c r="M43" s="964" t="s">
        <v>2311</v>
      </c>
      <c r="N43" s="332"/>
      <c r="O43" s="966" t="s">
        <v>2312</v>
      </c>
      <c r="P43" s="967" t="s">
        <v>2313</v>
      </c>
      <c r="Q43" s="963" t="s">
        <v>2314</v>
      </c>
    </row>
    <row r="44" spans="1:19" ht="14.25">
      <c r="A44" s="958"/>
      <c r="B44" s="965"/>
      <c r="C44" s="965"/>
      <c r="D44" s="958"/>
      <c r="E44" s="958"/>
      <c r="F44" s="969"/>
      <c r="G44" s="958"/>
      <c r="H44" s="958"/>
      <c r="I44" s="958"/>
      <c r="J44" s="958"/>
      <c r="K44" s="960"/>
      <c r="L44" s="962"/>
      <c r="M44" s="965"/>
      <c r="N44" s="332"/>
      <c r="O44" s="966"/>
      <c r="P44" s="967"/>
      <c r="Q44" s="963"/>
    </row>
    <row r="45" spans="1:19" ht="42.75" hidden="1">
      <c r="A45" s="333" t="s">
        <v>2160</v>
      </c>
      <c r="B45" s="334" t="s">
        <v>319</v>
      </c>
      <c r="C45" s="335" t="s">
        <v>13</v>
      </c>
      <c r="D45" s="336">
        <v>301.33</v>
      </c>
      <c r="E45" s="336">
        <f>估驗單!F40</f>
        <v>301.33</v>
      </c>
      <c r="F45" s="390">
        <f t="shared" si="4"/>
        <v>0</v>
      </c>
      <c r="G45" s="336">
        <v>1299.82</v>
      </c>
      <c r="H45" s="336"/>
      <c r="I45" s="336">
        <f t="shared" si="5"/>
        <v>391674.76</v>
      </c>
      <c r="J45" s="336">
        <f t="shared" si="6"/>
        <v>391674.76</v>
      </c>
      <c r="K45" s="546">
        <f t="shared" si="2"/>
        <v>0</v>
      </c>
      <c r="L45" s="502"/>
      <c r="M45" s="231" t="s">
        <v>2336</v>
      </c>
      <c r="N45" s="11" t="s">
        <v>243</v>
      </c>
      <c r="O45" s="341"/>
      <c r="P45" s="339"/>
    </row>
    <row r="46" spans="1:19" ht="42.75" hidden="1">
      <c r="A46" s="503" t="s">
        <v>2161</v>
      </c>
      <c r="B46" s="504" t="s">
        <v>321</v>
      </c>
      <c r="C46" s="505" t="s">
        <v>17</v>
      </c>
      <c r="D46" s="506">
        <v>5991.34</v>
      </c>
      <c r="E46" s="506">
        <f>估驗單!F41</f>
        <v>5991.34</v>
      </c>
      <c r="F46" s="507">
        <f t="shared" si="4"/>
        <v>0</v>
      </c>
      <c r="G46" s="506">
        <v>60</v>
      </c>
      <c r="H46" s="506"/>
      <c r="I46" s="506">
        <f t="shared" si="5"/>
        <v>359480.4</v>
      </c>
      <c r="J46" s="506">
        <f t="shared" si="6"/>
        <v>359480.4</v>
      </c>
      <c r="K46" s="547">
        <f t="shared" si="2"/>
        <v>0</v>
      </c>
      <c r="L46" s="510"/>
      <c r="M46" s="508" t="s">
        <v>2337</v>
      </c>
      <c r="N46" s="11" t="s">
        <v>243</v>
      </c>
      <c r="O46" s="341"/>
      <c r="P46" s="339"/>
    </row>
    <row r="47" spans="1:19" ht="33" hidden="1">
      <c r="A47" s="503" t="s">
        <v>2162</v>
      </c>
      <c r="B47" s="504" t="s">
        <v>323</v>
      </c>
      <c r="C47" s="505" t="s">
        <v>17</v>
      </c>
      <c r="D47" s="506">
        <v>5991.34</v>
      </c>
      <c r="E47" s="506">
        <f>估驗單!F42</f>
        <v>5991.34</v>
      </c>
      <c r="F47" s="507">
        <f t="shared" si="4"/>
        <v>0</v>
      </c>
      <c r="G47" s="506">
        <v>31.9</v>
      </c>
      <c r="H47" s="506"/>
      <c r="I47" s="506">
        <f t="shared" si="5"/>
        <v>191123.75</v>
      </c>
      <c r="J47" s="506">
        <f t="shared" si="6"/>
        <v>191123.75</v>
      </c>
      <c r="K47" s="547">
        <f t="shared" si="2"/>
        <v>0</v>
      </c>
      <c r="L47" s="510"/>
      <c r="M47" s="508" t="s">
        <v>242</v>
      </c>
      <c r="N47" s="11" t="s">
        <v>243</v>
      </c>
      <c r="O47" s="341"/>
      <c r="P47" s="339"/>
    </row>
    <row r="48" spans="1:19" ht="57" hidden="1">
      <c r="A48" s="333" t="s">
        <v>2163</v>
      </c>
      <c r="B48" s="334" t="s">
        <v>325</v>
      </c>
      <c r="C48" s="335" t="s">
        <v>17</v>
      </c>
      <c r="D48" s="336">
        <v>1180.03</v>
      </c>
      <c r="E48" s="336">
        <f>估驗單!F43</f>
        <v>1180.03</v>
      </c>
      <c r="F48" s="390">
        <f t="shared" si="4"/>
        <v>0</v>
      </c>
      <c r="G48" s="336">
        <v>107.3</v>
      </c>
      <c r="H48" s="336"/>
      <c r="I48" s="336">
        <f t="shared" si="5"/>
        <v>126617.22</v>
      </c>
      <c r="J48" s="336">
        <f t="shared" si="6"/>
        <v>126617.22</v>
      </c>
      <c r="K48" s="546">
        <f t="shared" si="2"/>
        <v>0</v>
      </c>
      <c r="L48" s="502"/>
      <c r="M48" s="231" t="s">
        <v>2337</v>
      </c>
      <c r="N48" s="11" t="s">
        <v>243</v>
      </c>
      <c r="O48" s="341"/>
      <c r="P48" s="339"/>
    </row>
    <row r="49" spans="1:16" ht="33" hidden="1">
      <c r="A49" s="333" t="s">
        <v>2164</v>
      </c>
      <c r="B49" s="334" t="s">
        <v>327</v>
      </c>
      <c r="C49" s="335" t="s">
        <v>13</v>
      </c>
      <c r="D49" s="336">
        <v>3879.21</v>
      </c>
      <c r="E49" s="336">
        <f>估驗單!F44</f>
        <v>3879.21</v>
      </c>
      <c r="F49" s="390">
        <f t="shared" si="4"/>
        <v>0</v>
      </c>
      <c r="G49" s="336">
        <v>3092.69</v>
      </c>
      <c r="H49" s="336"/>
      <c r="I49" s="336">
        <f t="shared" si="5"/>
        <v>11997193.970000001</v>
      </c>
      <c r="J49" s="336">
        <f t="shared" si="6"/>
        <v>11997193.970000001</v>
      </c>
      <c r="K49" s="546">
        <f t="shared" si="2"/>
        <v>0</v>
      </c>
      <c r="L49" s="502"/>
      <c r="M49" s="231" t="s">
        <v>242</v>
      </c>
      <c r="N49" s="11" t="s">
        <v>243</v>
      </c>
      <c r="O49" s="341"/>
      <c r="P49" s="339"/>
    </row>
    <row r="50" spans="1:16" ht="33" hidden="1">
      <c r="A50" s="333" t="s">
        <v>2165</v>
      </c>
      <c r="B50" s="334" t="s">
        <v>329</v>
      </c>
      <c r="C50" s="335" t="s">
        <v>13</v>
      </c>
      <c r="D50" s="336">
        <v>462.9</v>
      </c>
      <c r="E50" s="336">
        <f>估驗單!F45</f>
        <v>462.9</v>
      </c>
      <c r="F50" s="390">
        <f t="shared" si="4"/>
        <v>0</v>
      </c>
      <c r="G50" s="336">
        <v>3961.37</v>
      </c>
      <c r="H50" s="336"/>
      <c r="I50" s="336">
        <f t="shared" si="5"/>
        <v>1833718.17</v>
      </c>
      <c r="J50" s="336">
        <f t="shared" si="6"/>
        <v>1833718.17</v>
      </c>
      <c r="K50" s="546">
        <f t="shared" si="2"/>
        <v>0</v>
      </c>
      <c r="L50" s="502"/>
      <c r="M50" s="231" t="s">
        <v>242</v>
      </c>
      <c r="N50" s="11" t="s">
        <v>243</v>
      </c>
      <c r="O50" s="341"/>
      <c r="P50" s="339"/>
    </row>
    <row r="51" spans="1:16" ht="33" hidden="1">
      <c r="A51" s="503" t="s">
        <v>2166</v>
      </c>
      <c r="B51" s="504" t="s">
        <v>331</v>
      </c>
      <c r="C51" s="505" t="s">
        <v>13</v>
      </c>
      <c r="D51" s="506">
        <v>5.09</v>
      </c>
      <c r="E51" s="506">
        <f>估驗單!F46</f>
        <v>5.09</v>
      </c>
      <c r="F51" s="507">
        <f t="shared" si="4"/>
        <v>0</v>
      </c>
      <c r="G51" s="506">
        <v>3965.59</v>
      </c>
      <c r="H51" s="506"/>
      <c r="I51" s="506">
        <f t="shared" si="5"/>
        <v>20184.849999999999</v>
      </c>
      <c r="J51" s="506">
        <f t="shared" si="6"/>
        <v>20184.849999999999</v>
      </c>
      <c r="K51" s="547">
        <f t="shared" si="2"/>
        <v>0</v>
      </c>
      <c r="L51" s="510"/>
      <c r="M51" s="508" t="s">
        <v>242</v>
      </c>
      <c r="N51" s="11" t="s">
        <v>243</v>
      </c>
      <c r="O51" s="341" t="s">
        <v>2619</v>
      </c>
      <c r="P51" s="339"/>
    </row>
    <row r="52" spans="1:16" ht="33" hidden="1">
      <c r="A52" s="333" t="s">
        <v>2167</v>
      </c>
      <c r="B52" s="334" t="s">
        <v>333</v>
      </c>
      <c r="C52" s="335" t="s">
        <v>13</v>
      </c>
      <c r="D52" s="336">
        <v>18.760000000000002</v>
      </c>
      <c r="E52" s="336">
        <f>估驗單!F47</f>
        <v>18.760000000000002</v>
      </c>
      <c r="F52" s="390">
        <f t="shared" si="4"/>
        <v>0</v>
      </c>
      <c r="G52" s="336">
        <v>3391.22</v>
      </c>
      <c r="H52" s="336"/>
      <c r="I52" s="336">
        <f t="shared" si="5"/>
        <v>63619.29</v>
      </c>
      <c r="J52" s="336">
        <f t="shared" si="6"/>
        <v>63619.29</v>
      </c>
      <c r="K52" s="546">
        <f t="shared" si="2"/>
        <v>0</v>
      </c>
      <c r="L52" s="502"/>
      <c r="M52" s="231" t="s">
        <v>242</v>
      </c>
      <c r="N52" s="11" t="s">
        <v>243</v>
      </c>
      <c r="O52" s="341"/>
      <c r="P52" s="339"/>
    </row>
    <row r="53" spans="1:16" ht="33" hidden="1">
      <c r="A53" s="333" t="s">
        <v>2168</v>
      </c>
      <c r="B53" s="334" t="s">
        <v>335</v>
      </c>
      <c r="C53" s="335" t="s">
        <v>13</v>
      </c>
      <c r="D53" s="336">
        <v>118.92</v>
      </c>
      <c r="E53" s="336">
        <f>估驗單!F48</f>
        <v>118.92</v>
      </c>
      <c r="F53" s="390">
        <f t="shared" si="4"/>
        <v>0</v>
      </c>
      <c r="G53" s="336">
        <v>773.85</v>
      </c>
      <c r="H53" s="336"/>
      <c r="I53" s="336">
        <f t="shared" si="5"/>
        <v>92026.240000000005</v>
      </c>
      <c r="J53" s="336">
        <f t="shared" si="6"/>
        <v>92026.240000000005</v>
      </c>
      <c r="K53" s="546">
        <f t="shared" si="2"/>
        <v>0</v>
      </c>
      <c r="L53" s="502"/>
      <c r="M53" s="231" t="s">
        <v>242</v>
      </c>
      <c r="N53" s="11" t="s">
        <v>243</v>
      </c>
      <c r="O53" s="341"/>
      <c r="P53" s="339"/>
    </row>
    <row r="54" spans="1:16" ht="33" hidden="1">
      <c r="A54" s="333" t="s">
        <v>2169</v>
      </c>
      <c r="B54" s="334" t="s">
        <v>337</v>
      </c>
      <c r="C54" s="335" t="s">
        <v>13</v>
      </c>
      <c r="D54" s="336">
        <v>173.3</v>
      </c>
      <c r="E54" s="336">
        <f>估驗單!F49</f>
        <v>173.3</v>
      </c>
      <c r="F54" s="390">
        <f t="shared" si="4"/>
        <v>0</v>
      </c>
      <c r="G54" s="336">
        <v>948.34</v>
      </c>
      <c r="H54" s="336"/>
      <c r="I54" s="336">
        <f t="shared" si="5"/>
        <v>164347.32</v>
      </c>
      <c r="J54" s="336">
        <f t="shared" si="6"/>
        <v>164347.32</v>
      </c>
      <c r="K54" s="546">
        <f t="shared" si="2"/>
        <v>0</v>
      </c>
      <c r="L54" s="502"/>
      <c r="M54" s="231" t="s">
        <v>242</v>
      </c>
      <c r="N54" s="11" t="s">
        <v>243</v>
      </c>
      <c r="O54" s="341"/>
      <c r="P54" s="339"/>
    </row>
    <row r="55" spans="1:16" ht="33" hidden="1">
      <c r="A55" s="333" t="s">
        <v>2170</v>
      </c>
      <c r="B55" s="334" t="s">
        <v>339</v>
      </c>
      <c r="C55" s="335" t="s">
        <v>0</v>
      </c>
      <c r="D55" s="336">
        <v>1</v>
      </c>
      <c r="E55" s="336">
        <f>估驗單!F50</f>
        <v>1</v>
      </c>
      <c r="F55" s="390">
        <f t="shared" si="4"/>
        <v>0</v>
      </c>
      <c r="G55" s="336">
        <v>144378.63</v>
      </c>
      <c r="H55" s="336"/>
      <c r="I55" s="336">
        <f t="shared" si="5"/>
        <v>144378.63</v>
      </c>
      <c r="J55" s="336">
        <f t="shared" si="6"/>
        <v>144378.63</v>
      </c>
      <c r="K55" s="546">
        <f t="shared" si="2"/>
        <v>0</v>
      </c>
      <c r="L55" s="502"/>
      <c r="M55" s="231" t="s">
        <v>242</v>
      </c>
      <c r="N55" s="11" t="s">
        <v>243</v>
      </c>
      <c r="O55" s="341"/>
      <c r="P55" s="339"/>
    </row>
    <row r="56" spans="1:16" ht="33" hidden="1">
      <c r="A56" s="333" t="s">
        <v>2171</v>
      </c>
      <c r="B56" s="334" t="s">
        <v>341</v>
      </c>
      <c r="C56" s="335" t="s">
        <v>223</v>
      </c>
      <c r="D56" s="336">
        <v>156.68</v>
      </c>
      <c r="E56" s="336">
        <f>估驗單!F51</f>
        <v>156.68</v>
      </c>
      <c r="F56" s="390">
        <f t="shared" si="4"/>
        <v>0</v>
      </c>
      <c r="G56" s="336">
        <v>145.21</v>
      </c>
      <c r="H56" s="336"/>
      <c r="I56" s="336">
        <f t="shared" si="5"/>
        <v>22751.5</v>
      </c>
      <c r="J56" s="336">
        <f t="shared" si="6"/>
        <v>22751.5</v>
      </c>
      <c r="K56" s="546">
        <f t="shared" si="2"/>
        <v>0</v>
      </c>
      <c r="L56" s="502"/>
      <c r="M56" s="231" t="s">
        <v>242</v>
      </c>
      <c r="N56" s="11" t="s">
        <v>243</v>
      </c>
      <c r="O56" s="341"/>
      <c r="P56" s="339"/>
    </row>
    <row r="57" spans="1:16" ht="33" hidden="1">
      <c r="A57" s="333" t="s">
        <v>2172</v>
      </c>
      <c r="B57" s="334" t="s">
        <v>343</v>
      </c>
      <c r="C57" s="335" t="s">
        <v>8</v>
      </c>
      <c r="D57" s="336">
        <v>689.86</v>
      </c>
      <c r="E57" s="336">
        <f>估驗單!F52</f>
        <v>689.86</v>
      </c>
      <c r="F57" s="390">
        <f t="shared" si="4"/>
        <v>0</v>
      </c>
      <c r="G57" s="336">
        <v>2755.78</v>
      </c>
      <c r="H57" s="336"/>
      <c r="I57" s="336">
        <f t="shared" si="5"/>
        <v>1901102.39</v>
      </c>
      <c r="J57" s="336">
        <f t="shared" si="6"/>
        <v>1901102.39</v>
      </c>
      <c r="K57" s="546">
        <f t="shared" si="2"/>
        <v>0</v>
      </c>
      <c r="L57" s="502"/>
      <c r="M57" s="231" t="s">
        <v>2321</v>
      </c>
      <c r="N57" s="11" t="s">
        <v>243</v>
      </c>
      <c r="O57" s="341"/>
      <c r="P57" s="339"/>
    </row>
    <row r="58" spans="1:16" ht="33" hidden="1">
      <c r="A58" s="333" t="s">
        <v>2173</v>
      </c>
      <c r="B58" s="334" t="s">
        <v>345</v>
      </c>
      <c r="C58" s="335" t="s">
        <v>8</v>
      </c>
      <c r="D58" s="336">
        <v>12.91</v>
      </c>
      <c r="E58" s="336">
        <f>估驗單!F53</f>
        <v>12.91</v>
      </c>
      <c r="F58" s="390">
        <f t="shared" si="4"/>
        <v>0</v>
      </c>
      <c r="G58" s="336">
        <v>576.77</v>
      </c>
      <c r="H58" s="336"/>
      <c r="I58" s="336">
        <f t="shared" si="5"/>
        <v>7446.1</v>
      </c>
      <c r="J58" s="336">
        <f t="shared" si="6"/>
        <v>7446.1</v>
      </c>
      <c r="K58" s="546">
        <f t="shared" si="2"/>
        <v>0</v>
      </c>
      <c r="L58" s="502"/>
      <c r="M58" s="231" t="s">
        <v>2321</v>
      </c>
      <c r="N58" s="11" t="s">
        <v>243</v>
      </c>
      <c r="O58" s="341"/>
      <c r="P58" s="339"/>
    </row>
    <row r="59" spans="1:16" ht="33" hidden="1">
      <c r="A59" s="333" t="s">
        <v>2174</v>
      </c>
      <c r="B59" s="334" t="s">
        <v>347</v>
      </c>
      <c r="C59" s="335" t="s">
        <v>8</v>
      </c>
      <c r="D59" s="336">
        <v>56.09</v>
      </c>
      <c r="E59" s="336">
        <f>估驗單!F54</f>
        <v>56.09</v>
      </c>
      <c r="F59" s="390">
        <f t="shared" si="4"/>
        <v>0</v>
      </c>
      <c r="G59" s="336">
        <v>615.30999999999995</v>
      </c>
      <c r="H59" s="336"/>
      <c r="I59" s="336">
        <f t="shared" si="5"/>
        <v>34512.74</v>
      </c>
      <c r="J59" s="336">
        <f t="shared" si="6"/>
        <v>34512.74</v>
      </c>
      <c r="K59" s="546">
        <f t="shared" si="2"/>
        <v>0</v>
      </c>
      <c r="L59" s="502"/>
      <c r="M59" s="231" t="s">
        <v>242</v>
      </c>
      <c r="N59" s="11" t="s">
        <v>243</v>
      </c>
      <c r="O59" s="341"/>
      <c r="P59" s="339"/>
    </row>
    <row r="60" spans="1:16" ht="33" hidden="1">
      <c r="A60" s="333" t="s">
        <v>2175</v>
      </c>
      <c r="B60" s="334" t="s">
        <v>349</v>
      </c>
      <c r="C60" s="335" t="s">
        <v>8</v>
      </c>
      <c r="D60" s="336">
        <v>656.91</v>
      </c>
      <c r="E60" s="336">
        <f>估驗單!F55</f>
        <v>656.91</v>
      </c>
      <c r="F60" s="390">
        <f t="shared" si="4"/>
        <v>0</v>
      </c>
      <c r="G60" s="336">
        <v>685.27</v>
      </c>
      <c r="H60" s="336"/>
      <c r="I60" s="336">
        <f t="shared" si="5"/>
        <v>450160.72</v>
      </c>
      <c r="J60" s="336">
        <f t="shared" si="6"/>
        <v>450160.72</v>
      </c>
      <c r="K60" s="546">
        <f t="shared" si="2"/>
        <v>0</v>
      </c>
      <c r="L60" s="502"/>
      <c r="M60" s="231" t="s">
        <v>2321</v>
      </c>
      <c r="N60" s="11" t="s">
        <v>243</v>
      </c>
      <c r="O60" s="341"/>
      <c r="P60" s="339"/>
    </row>
    <row r="61" spans="1:16" ht="33" hidden="1">
      <c r="A61" s="333" t="s">
        <v>2177</v>
      </c>
      <c r="B61" s="334" t="s">
        <v>351</v>
      </c>
      <c r="C61" s="335" t="s">
        <v>8</v>
      </c>
      <c r="D61" s="336">
        <v>1254.1300000000001</v>
      </c>
      <c r="E61" s="336">
        <f>估驗單!F56</f>
        <v>1254.1300000000001</v>
      </c>
      <c r="F61" s="390">
        <f t="shared" si="4"/>
        <v>0</v>
      </c>
      <c r="G61" s="336">
        <v>699.69</v>
      </c>
      <c r="H61" s="336"/>
      <c r="I61" s="336">
        <f t="shared" si="5"/>
        <v>877502.22</v>
      </c>
      <c r="J61" s="336">
        <f t="shared" si="6"/>
        <v>877502.22</v>
      </c>
      <c r="K61" s="546">
        <f t="shared" si="2"/>
        <v>0</v>
      </c>
      <c r="L61" s="502"/>
      <c r="M61" s="231" t="s">
        <v>2321</v>
      </c>
      <c r="N61" s="11" t="s">
        <v>243</v>
      </c>
      <c r="O61" s="341"/>
      <c r="P61" s="339"/>
    </row>
    <row r="62" spans="1:16" ht="33" hidden="1">
      <c r="A62" s="333" t="s">
        <v>2178</v>
      </c>
      <c r="B62" s="334" t="s">
        <v>353</v>
      </c>
      <c r="C62" s="335" t="s">
        <v>8</v>
      </c>
      <c r="D62" s="336">
        <v>44.64</v>
      </c>
      <c r="E62" s="336">
        <f>估驗單!F57</f>
        <v>44.64</v>
      </c>
      <c r="F62" s="390">
        <f t="shared" si="4"/>
        <v>0</v>
      </c>
      <c r="G62" s="336">
        <v>1199.27</v>
      </c>
      <c r="H62" s="336"/>
      <c r="I62" s="336">
        <f t="shared" si="5"/>
        <v>53535.41</v>
      </c>
      <c r="J62" s="336">
        <f t="shared" si="6"/>
        <v>53535.41</v>
      </c>
      <c r="K62" s="546">
        <f t="shared" si="2"/>
        <v>0</v>
      </c>
      <c r="L62" s="502"/>
      <c r="M62" s="231" t="s">
        <v>2321</v>
      </c>
      <c r="N62" s="11" t="s">
        <v>243</v>
      </c>
      <c r="O62" s="341"/>
      <c r="P62" s="339"/>
    </row>
    <row r="63" spans="1:16" ht="33" hidden="1">
      <c r="A63" s="333" t="s">
        <v>2179</v>
      </c>
      <c r="B63" s="334" t="s">
        <v>355</v>
      </c>
      <c r="C63" s="335" t="s">
        <v>8</v>
      </c>
      <c r="D63" s="336">
        <v>142.26</v>
      </c>
      <c r="E63" s="336">
        <f>估驗單!F58</f>
        <v>142.26</v>
      </c>
      <c r="F63" s="390">
        <f t="shared" si="4"/>
        <v>0</v>
      </c>
      <c r="G63" s="336">
        <v>57.68</v>
      </c>
      <c r="H63" s="336"/>
      <c r="I63" s="336">
        <f t="shared" si="5"/>
        <v>8205.56</v>
      </c>
      <c r="J63" s="336">
        <f t="shared" si="6"/>
        <v>8205.56</v>
      </c>
      <c r="K63" s="546">
        <f t="shared" si="2"/>
        <v>0</v>
      </c>
      <c r="L63" s="502"/>
      <c r="M63" s="231" t="s">
        <v>2321</v>
      </c>
      <c r="N63" s="11" t="s">
        <v>243</v>
      </c>
      <c r="O63" s="341"/>
      <c r="P63" s="339"/>
    </row>
    <row r="64" spans="1:16" ht="33" hidden="1">
      <c r="A64" s="333" t="s">
        <v>2181</v>
      </c>
      <c r="B64" s="334" t="s">
        <v>357</v>
      </c>
      <c r="C64" s="335" t="s">
        <v>8</v>
      </c>
      <c r="D64" s="336">
        <v>8.5</v>
      </c>
      <c r="E64" s="336">
        <f>估驗單!F59</f>
        <v>8.5</v>
      </c>
      <c r="F64" s="390">
        <f t="shared" si="4"/>
        <v>0</v>
      </c>
      <c r="G64" s="336">
        <v>138.84</v>
      </c>
      <c r="H64" s="336"/>
      <c r="I64" s="336">
        <f t="shared" si="5"/>
        <v>1180.1400000000001</v>
      </c>
      <c r="J64" s="336">
        <f t="shared" si="6"/>
        <v>1180.1400000000001</v>
      </c>
      <c r="K64" s="546">
        <f t="shared" si="2"/>
        <v>0</v>
      </c>
      <c r="L64" s="502"/>
      <c r="M64" s="231" t="s">
        <v>242</v>
      </c>
      <c r="N64" s="11" t="s">
        <v>243</v>
      </c>
      <c r="O64" s="341"/>
      <c r="P64" s="339"/>
    </row>
    <row r="65" spans="1:16" ht="33" hidden="1">
      <c r="A65" s="333" t="s">
        <v>2182</v>
      </c>
      <c r="B65" s="334" t="s">
        <v>359</v>
      </c>
      <c r="C65" s="335" t="s">
        <v>13</v>
      </c>
      <c r="D65" s="336">
        <v>20.48</v>
      </c>
      <c r="E65" s="336">
        <f>估驗單!F60</f>
        <v>20.48</v>
      </c>
      <c r="F65" s="390">
        <f t="shared" si="4"/>
        <v>0</v>
      </c>
      <c r="G65" s="336">
        <v>2145.31</v>
      </c>
      <c r="H65" s="336"/>
      <c r="I65" s="336">
        <f t="shared" si="5"/>
        <v>43935.95</v>
      </c>
      <c r="J65" s="336">
        <f t="shared" si="6"/>
        <v>43935.95</v>
      </c>
      <c r="K65" s="546">
        <f t="shared" si="2"/>
        <v>0</v>
      </c>
      <c r="L65" s="502"/>
      <c r="M65" s="231" t="s">
        <v>2321</v>
      </c>
      <c r="N65" s="11" t="s">
        <v>243</v>
      </c>
      <c r="O65" s="341"/>
      <c r="P65" s="339"/>
    </row>
    <row r="66" spans="1:16" ht="33" hidden="1">
      <c r="A66" s="333" t="s">
        <v>2183</v>
      </c>
      <c r="B66" s="334" t="s">
        <v>361</v>
      </c>
      <c r="C66" s="335" t="s">
        <v>8</v>
      </c>
      <c r="D66" s="336">
        <v>56.1</v>
      </c>
      <c r="E66" s="336">
        <f>估驗單!F61</f>
        <v>56.1</v>
      </c>
      <c r="F66" s="390">
        <f t="shared" si="4"/>
        <v>0</v>
      </c>
      <c r="G66" s="336">
        <v>511.36</v>
      </c>
      <c r="H66" s="336"/>
      <c r="I66" s="336">
        <f t="shared" si="5"/>
        <v>28687.3</v>
      </c>
      <c r="J66" s="336">
        <f t="shared" si="6"/>
        <v>28687.3</v>
      </c>
      <c r="K66" s="546">
        <f t="shared" si="2"/>
        <v>0</v>
      </c>
      <c r="L66" s="502"/>
      <c r="M66" s="231" t="s">
        <v>242</v>
      </c>
      <c r="N66" s="11" t="s">
        <v>243</v>
      </c>
      <c r="O66" s="341"/>
      <c r="P66" s="339"/>
    </row>
    <row r="67" spans="1:16" ht="33" hidden="1">
      <c r="A67" s="333" t="s">
        <v>2184</v>
      </c>
      <c r="B67" s="334" t="s">
        <v>363</v>
      </c>
      <c r="C67" s="335" t="s">
        <v>8</v>
      </c>
      <c r="D67" s="336">
        <v>16.600000000000001</v>
      </c>
      <c r="E67" s="336">
        <f>估驗單!F62</f>
        <v>16.600000000000001</v>
      </c>
      <c r="F67" s="390">
        <f t="shared" si="4"/>
        <v>0</v>
      </c>
      <c r="G67" s="336">
        <v>829.1</v>
      </c>
      <c r="H67" s="336"/>
      <c r="I67" s="336">
        <f t="shared" si="5"/>
        <v>13763.06</v>
      </c>
      <c r="J67" s="336">
        <f t="shared" si="6"/>
        <v>13763.06</v>
      </c>
      <c r="K67" s="546">
        <f t="shared" si="2"/>
        <v>0</v>
      </c>
      <c r="L67" s="502"/>
      <c r="M67" s="231" t="s">
        <v>242</v>
      </c>
      <c r="N67" s="11" t="s">
        <v>243</v>
      </c>
      <c r="O67" s="341"/>
      <c r="P67" s="339"/>
    </row>
    <row r="68" spans="1:16" ht="33" hidden="1">
      <c r="A68" s="333" t="s">
        <v>2185</v>
      </c>
      <c r="B68" s="334" t="s">
        <v>365</v>
      </c>
      <c r="C68" s="335" t="s">
        <v>8</v>
      </c>
      <c r="D68" s="336">
        <v>2</v>
      </c>
      <c r="E68" s="336">
        <f>估驗單!F63</f>
        <v>2</v>
      </c>
      <c r="F68" s="390">
        <f t="shared" si="4"/>
        <v>0</v>
      </c>
      <c r="G68" s="336">
        <v>443.91</v>
      </c>
      <c r="H68" s="336"/>
      <c r="I68" s="336">
        <f t="shared" si="5"/>
        <v>887.82</v>
      </c>
      <c r="J68" s="336">
        <f t="shared" si="6"/>
        <v>887.82</v>
      </c>
      <c r="K68" s="546">
        <f t="shared" si="2"/>
        <v>0</v>
      </c>
      <c r="L68" s="502"/>
      <c r="M68" s="231" t="s">
        <v>242</v>
      </c>
      <c r="N68" s="11" t="s">
        <v>243</v>
      </c>
      <c r="O68" s="341"/>
      <c r="P68" s="339"/>
    </row>
    <row r="69" spans="1:16" ht="33" hidden="1">
      <c r="A69" s="333" t="s">
        <v>2186</v>
      </c>
      <c r="B69" s="334" t="s">
        <v>367</v>
      </c>
      <c r="C69" s="335" t="s">
        <v>0</v>
      </c>
      <c r="D69" s="336">
        <v>7</v>
      </c>
      <c r="E69" s="336">
        <f>估驗單!F64</f>
        <v>7</v>
      </c>
      <c r="F69" s="390">
        <f t="shared" si="4"/>
        <v>0</v>
      </c>
      <c r="G69" s="336">
        <v>26450.3</v>
      </c>
      <c r="H69" s="336"/>
      <c r="I69" s="336">
        <f t="shared" si="5"/>
        <v>185152.1</v>
      </c>
      <c r="J69" s="336">
        <f t="shared" si="6"/>
        <v>185152.1</v>
      </c>
      <c r="K69" s="546">
        <f t="shared" si="2"/>
        <v>0</v>
      </c>
      <c r="L69" s="502"/>
      <c r="M69" s="231" t="s">
        <v>242</v>
      </c>
      <c r="N69" s="11" t="s">
        <v>243</v>
      </c>
      <c r="O69" s="341"/>
      <c r="P69" s="339"/>
    </row>
    <row r="70" spans="1:16" ht="33" hidden="1">
      <c r="A70" s="333" t="s">
        <v>2187</v>
      </c>
      <c r="B70" s="334" t="s">
        <v>369</v>
      </c>
      <c r="C70" s="335" t="s">
        <v>8</v>
      </c>
      <c r="D70" s="336">
        <v>19.2</v>
      </c>
      <c r="E70" s="336">
        <f>估驗單!F65</f>
        <v>19.2</v>
      </c>
      <c r="F70" s="390">
        <f t="shared" si="4"/>
        <v>0</v>
      </c>
      <c r="G70" s="336">
        <v>443.91</v>
      </c>
      <c r="H70" s="336"/>
      <c r="I70" s="336">
        <f t="shared" si="5"/>
        <v>8523.07</v>
      </c>
      <c r="J70" s="336">
        <f t="shared" si="6"/>
        <v>8523.07</v>
      </c>
      <c r="K70" s="546">
        <f t="shared" si="2"/>
        <v>0</v>
      </c>
      <c r="L70" s="502"/>
      <c r="M70" s="231" t="s">
        <v>2321</v>
      </c>
      <c r="N70" s="11" t="s">
        <v>243</v>
      </c>
      <c r="O70" s="341"/>
      <c r="P70" s="339"/>
    </row>
    <row r="71" spans="1:16" ht="33" hidden="1">
      <c r="A71" s="333" t="s">
        <v>2188</v>
      </c>
      <c r="B71" s="334" t="s">
        <v>372</v>
      </c>
      <c r="C71" s="335" t="s">
        <v>0</v>
      </c>
      <c r="D71" s="336">
        <v>2</v>
      </c>
      <c r="E71" s="336">
        <f>估驗單!F66</f>
        <v>2</v>
      </c>
      <c r="F71" s="390">
        <f t="shared" si="4"/>
        <v>0</v>
      </c>
      <c r="G71" s="336">
        <v>23899.56</v>
      </c>
      <c r="H71" s="336"/>
      <c r="I71" s="336">
        <f t="shared" si="5"/>
        <v>47799.12</v>
      </c>
      <c r="J71" s="336">
        <f t="shared" si="6"/>
        <v>47799.12</v>
      </c>
      <c r="K71" s="546">
        <f t="shared" si="2"/>
        <v>0</v>
      </c>
      <c r="L71" s="502"/>
      <c r="M71" s="231" t="s">
        <v>242</v>
      </c>
      <c r="N71" s="11" t="s">
        <v>243</v>
      </c>
      <c r="O71" s="341"/>
      <c r="P71" s="339"/>
    </row>
    <row r="72" spans="1:16" ht="33" hidden="1">
      <c r="A72" s="333" t="s">
        <v>2189</v>
      </c>
      <c r="B72" s="334" t="s">
        <v>374</v>
      </c>
      <c r="C72" s="335" t="s">
        <v>0</v>
      </c>
      <c r="D72" s="336">
        <v>8</v>
      </c>
      <c r="E72" s="336">
        <f>估驗單!F67</f>
        <v>8</v>
      </c>
      <c r="F72" s="390">
        <f t="shared" si="4"/>
        <v>0</v>
      </c>
      <c r="G72" s="336">
        <v>25125.57</v>
      </c>
      <c r="H72" s="336"/>
      <c r="I72" s="336">
        <f t="shared" si="5"/>
        <v>201004.56</v>
      </c>
      <c r="J72" s="336">
        <f t="shared" si="6"/>
        <v>201004.56</v>
      </c>
      <c r="K72" s="546">
        <f t="shared" si="2"/>
        <v>0</v>
      </c>
      <c r="L72" s="502"/>
      <c r="M72" s="231" t="s">
        <v>2321</v>
      </c>
      <c r="N72" s="11" t="s">
        <v>243</v>
      </c>
      <c r="O72" s="341"/>
      <c r="P72" s="339"/>
    </row>
    <row r="73" spans="1:16" ht="33" hidden="1">
      <c r="A73" s="333" t="s">
        <v>2190</v>
      </c>
      <c r="B73" s="334" t="s">
        <v>376</v>
      </c>
      <c r="C73" s="335" t="s">
        <v>0</v>
      </c>
      <c r="D73" s="336">
        <v>3</v>
      </c>
      <c r="E73" s="336">
        <f>估驗單!F68</f>
        <v>3</v>
      </c>
      <c r="F73" s="390">
        <f t="shared" si="4"/>
        <v>0</v>
      </c>
      <c r="G73" s="336">
        <v>24022.04</v>
      </c>
      <c r="H73" s="336"/>
      <c r="I73" s="336">
        <f t="shared" si="5"/>
        <v>72066.12</v>
      </c>
      <c r="J73" s="336">
        <f t="shared" si="6"/>
        <v>72066.12</v>
      </c>
      <c r="K73" s="546">
        <f t="shared" si="2"/>
        <v>0</v>
      </c>
      <c r="L73" s="502"/>
      <c r="M73" s="231" t="s">
        <v>242</v>
      </c>
      <c r="N73" s="11" t="s">
        <v>243</v>
      </c>
      <c r="O73" s="341"/>
      <c r="P73" s="339"/>
    </row>
    <row r="74" spans="1:16" ht="33" hidden="1">
      <c r="A74" s="333" t="s">
        <v>2191</v>
      </c>
      <c r="B74" s="334" t="s">
        <v>378</v>
      </c>
      <c r="C74" s="335" t="s">
        <v>8</v>
      </c>
      <c r="D74" s="336">
        <v>30.1</v>
      </c>
      <c r="E74" s="336">
        <f>估驗單!F69</f>
        <v>30.1</v>
      </c>
      <c r="F74" s="390">
        <f t="shared" si="4"/>
        <v>0</v>
      </c>
      <c r="G74" s="336">
        <v>545.1</v>
      </c>
      <c r="H74" s="336"/>
      <c r="I74" s="336">
        <f t="shared" si="5"/>
        <v>16407.509999999998</v>
      </c>
      <c r="J74" s="336">
        <f t="shared" si="6"/>
        <v>16407.509999999998</v>
      </c>
      <c r="K74" s="546">
        <f t="shared" si="2"/>
        <v>0</v>
      </c>
      <c r="L74" s="502"/>
      <c r="M74" s="231" t="s">
        <v>2321</v>
      </c>
      <c r="N74" s="11" t="s">
        <v>243</v>
      </c>
      <c r="O74" s="341"/>
      <c r="P74" s="339"/>
    </row>
    <row r="75" spans="1:16" ht="33" hidden="1">
      <c r="A75" s="503" t="s">
        <v>2192</v>
      </c>
      <c r="B75" s="504" t="s">
        <v>380</v>
      </c>
      <c r="C75" s="505" t="s">
        <v>8</v>
      </c>
      <c r="D75" s="506">
        <v>31.2</v>
      </c>
      <c r="E75" s="506">
        <f>估驗單!F70</f>
        <v>35.200000000000003</v>
      </c>
      <c r="F75" s="507">
        <f t="shared" si="4"/>
        <v>4.0000000000000036</v>
      </c>
      <c r="G75" s="506">
        <v>8355.11</v>
      </c>
      <c r="H75" s="506"/>
      <c r="I75" s="506">
        <f t="shared" si="5"/>
        <v>260679.43</v>
      </c>
      <c r="J75" s="506">
        <f t="shared" si="6"/>
        <v>294099.87</v>
      </c>
      <c r="K75" s="547">
        <f t="shared" si="2"/>
        <v>33420.44</v>
      </c>
      <c r="L75" s="510"/>
      <c r="M75" s="508" t="s">
        <v>242</v>
      </c>
      <c r="N75" s="11" t="s">
        <v>243</v>
      </c>
      <c r="O75" s="341" t="s">
        <v>2616</v>
      </c>
      <c r="P75" s="339"/>
    </row>
    <row r="76" spans="1:16" ht="33" hidden="1">
      <c r="A76" s="503" t="s">
        <v>2193</v>
      </c>
      <c r="B76" s="504" t="s">
        <v>383</v>
      </c>
      <c r="C76" s="505" t="s">
        <v>8</v>
      </c>
      <c r="D76" s="506">
        <v>17.899999999999999</v>
      </c>
      <c r="E76" s="506">
        <f>估驗單!F71</f>
        <v>24.3</v>
      </c>
      <c r="F76" s="507">
        <f t="shared" si="4"/>
        <v>6.4000000000000021</v>
      </c>
      <c r="G76" s="506">
        <v>5394.64</v>
      </c>
      <c r="H76" s="506"/>
      <c r="I76" s="506">
        <f t="shared" si="5"/>
        <v>96564.06</v>
      </c>
      <c r="J76" s="506">
        <f t="shared" si="6"/>
        <v>131089.75</v>
      </c>
      <c r="K76" s="547">
        <f t="shared" si="2"/>
        <v>34525.69</v>
      </c>
      <c r="L76" s="510"/>
      <c r="M76" s="508" t="s">
        <v>242</v>
      </c>
      <c r="N76" s="11" t="s">
        <v>243</v>
      </c>
      <c r="O76" s="341" t="s">
        <v>2616</v>
      </c>
      <c r="P76" s="339"/>
    </row>
    <row r="77" spans="1:16" ht="33" hidden="1">
      <c r="A77" s="333" t="s">
        <v>2194</v>
      </c>
      <c r="B77" s="334" t="s">
        <v>386</v>
      </c>
      <c r="C77" s="335" t="s">
        <v>8</v>
      </c>
      <c r="D77" s="336">
        <v>19.600000000000001</v>
      </c>
      <c r="E77" s="336">
        <f>估驗單!F72</f>
        <v>19.600000000000001</v>
      </c>
      <c r="F77" s="390">
        <f t="shared" si="4"/>
        <v>0</v>
      </c>
      <c r="G77" s="336">
        <v>432.57</v>
      </c>
      <c r="H77" s="336"/>
      <c r="I77" s="336">
        <f t="shared" si="5"/>
        <v>8478.3700000000008</v>
      </c>
      <c r="J77" s="336">
        <f t="shared" si="6"/>
        <v>8478.3700000000008</v>
      </c>
      <c r="K77" s="546">
        <f t="shared" si="2"/>
        <v>0</v>
      </c>
      <c r="L77" s="502"/>
      <c r="M77" s="231" t="s">
        <v>242</v>
      </c>
      <c r="N77" s="11" t="s">
        <v>243</v>
      </c>
      <c r="O77" s="341"/>
      <c r="P77" s="339"/>
    </row>
    <row r="78" spans="1:16" ht="33" hidden="1">
      <c r="A78" s="333" t="s">
        <v>2195</v>
      </c>
      <c r="B78" s="334" t="s">
        <v>389</v>
      </c>
      <c r="C78" s="335" t="s">
        <v>8</v>
      </c>
      <c r="D78" s="336">
        <v>24.9</v>
      </c>
      <c r="E78" s="336">
        <f>估驗單!F73</f>
        <v>24.9</v>
      </c>
      <c r="F78" s="390">
        <f t="shared" si="4"/>
        <v>0</v>
      </c>
      <c r="G78" s="336">
        <v>1224.22</v>
      </c>
      <c r="H78" s="336"/>
      <c r="I78" s="336">
        <f t="shared" si="5"/>
        <v>30483.08</v>
      </c>
      <c r="J78" s="336">
        <f t="shared" si="6"/>
        <v>30483.08</v>
      </c>
      <c r="K78" s="546">
        <f t="shared" ref="K78:K141" si="7">J78-I78</f>
        <v>0</v>
      </c>
      <c r="L78" s="502"/>
      <c r="M78" s="231" t="s">
        <v>242</v>
      </c>
      <c r="N78" s="11" t="s">
        <v>243</v>
      </c>
      <c r="O78" s="341"/>
      <c r="P78" s="339"/>
    </row>
    <row r="79" spans="1:16" ht="33" hidden="1">
      <c r="A79" s="333" t="s">
        <v>2196</v>
      </c>
      <c r="B79" s="334" t="s">
        <v>392</v>
      </c>
      <c r="C79" s="335" t="s">
        <v>8</v>
      </c>
      <c r="D79" s="336">
        <v>3.5</v>
      </c>
      <c r="E79" s="336">
        <f>估驗單!F74</f>
        <v>3.5</v>
      </c>
      <c r="F79" s="390">
        <f t="shared" si="4"/>
        <v>0</v>
      </c>
      <c r="G79" s="336">
        <v>1148.6300000000001</v>
      </c>
      <c r="H79" s="336"/>
      <c r="I79" s="336">
        <f t="shared" si="5"/>
        <v>4020.21</v>
      </c>
      <c r="J79" s="336">
        <f t="shared" si="6"/>
        <v>4020.21</v>
      </c>
      <c r="K79" s="546">
        <f t="shared" si="7"/>
        <v>0</v>
      </c>
      <c r="L79" s="502"/>
      <c r="M79" s="231" t="s">
        <v>242</v>
      </c>
      <c r="N79" s="11" t="s">
        <v>243</v>
      </c>
      <c r="O79" s="341"/>
      <c r="P79" s="339"/>
    </row>
    <row r="80" spans="1:16" ht="33" hidden="1">
      <c r="A80" s="333" t="s">
        <v>2197</v>
      </c>
      <c r="B80" s="334" t="s">
        <v>395</v>
      </c>
      <c r="C80" s="335" t="s">
        <v>0</v>
      </c>
      <c r="D80" s="336">
        <v>1</v>
      </c>
      <c r="E80" s="336">
        <f>估驗單!F75</f>
        <v>1</v>
      </c>
      <c r="F80" s="390">
        <f t="shared" si="4"/>
        <v>0</v>
      </c>
      <c r="G80" s="336">
        <v>5698.63</v>
      </c>
      <c r="H80" s="336"/>
      <c r="I80" s="336">
        <f t="shared" si="5"/>
        <v>5698.63</v>
      </c>
      <c r="J80" s="336">
        <f t="shared" si="6"/>
        <v>5698.63</v>
      </c>
      <c r="K80" s="546">
        <f t="shared" si="7"/>
        <v>0</v>
      </c>
      <c r="L80" s="502"/>
      <c r="M80" s="231" t="s">
        <v>242</v>
      </c>
      <c r="N80" s="11" t="s">
        <v>243</v>
      </c>
      <c r="O80" s="341"/>
      <c r="P80" s="339"/>
    </row>
    <row r="81" spans="1:16" ht="33" hidden="1">
      <c r="A81" s="333" t="s">
        <v>2198</v>
      </c>
      <c r="B81" s="334" t="s">
        <v>398</v>
      </c>
      <c r="C81" s="335" t="s">
        <v>0</v>
      </c>
      <c r="D81" s="336">
        <v>1</v>
      </c>
      <c r="E81" s="336">
        <f>估驗單!F76</f>
        <v>1</v>
      </c>
      <c r="F81" s="390">
        <f t="shared" si="4"/>
        <v>0</v>
      </c>
      <c r="G81" s="336">
        <v>5963.22</v>
      </c>
      <c r="H81" s="336"/>
      <c r="I81" s="336">
        <f t="shared" si="5"/>
        <v>5963.22</v>
      </c>
      <c r="J81" s="336">
        <f t="shared" si="6"/>
        <v>5963.22</v>
      </c>
      <c r="K81" s="546">
        <f t="shared" si="7"/>
        <v>0</v>
      </c>
      <c r="L81" s="502"/>
      <c r="M81" s="231" t="s">
        <v>242</v>
      </c>
      <c r="N81" s="11" t="s">
        <v>243</v>
      </c>
      <c r="O81" s="341"/>
      <c r="P81" s="339"/>
    </row>
    <row r="82" spans="1:16" ht="33" hidden="1">
      <c r="A82" s="333" t="s">
        <v>2199</v>
      </c>
      <c r="B82" s="334" t="s">
        <v>401</v>
      </c>
      <c r="C82" s="335" t="s">
        <v>0</v>
      </c>
      <c r="D82" s="336">
        <v>1</v>
      </c>
      <c r="E82" s="336">
        <f>估驗單!F77</f>
        <v>1</v>
      </c>
      <c r="F82" s="390">
        <f t="shared" si="4"/>
        <v>0</v>
      </c>
      <c r="G82" s="336">
        <v>1421.11</v>
      </c>
      <c r="H82" s="336"/>
      <c r="I82" s="336">
        <f t="shared" si="5"/>
        <v>1421.11</v>
      </c>
      <c r="J82" s="336">
        <f t="shared" si="6"/>
        <v>1421.11</v>
      </c>
      <c r="K82" s="546">
        <f t="shared" si="7"/>
        <v>0</v>
      </c>
      <c r="L82" s="502"/>
      <c r="M82" s="231" t="s">
        <v>242</v>
      </c>
      <c r="N82" s="11" t="s">
        <v>243</v>
      </c>
      <c r="O82" s="341"/>
      <c r="P82" s="339"/>
    </row>
    <row r="83" spans="1:16" ht="33" hidden="1">
      <c r="A83" s="333" t="s">
        <v>2200</v>
      </c>
      <c r="B83" s="334" t="s">
        <v>404</v>
      </c>
      <c r="C83" s="335" t="s">
        <v>0</v>
      </c>
      <c r="D83" s="336">
        <v>1</v>
      </c>
      <c r="E83" s="336">
        <f>估驗單!F78</f>
        <v>1</v>
      </c>
      <c r="F83" s="390">
        <f t="shared" si="4"/>
        <v>0</v>
      </c>
      <c r="G83" s="336">
        <v>4031.83</v>
      </c>
      <c r="H83" s="336"/>
      <c r="I83" s="336">
        <f t="shared" si="5"/>
        <v>4031.83</v>
      </c>
      <c r="J83" s="336">
        <f t="shared" si="6"/>
        <v>4031.83</v>
      </c>
      <c r="K83" s="546">
        <f t="shared" si="7"/>
        <v>0</v>
      </c>
      <c r="L83" s="502"/>
      <c r="M83" s="231" t="s">
        <v>242</v>
      </c>
      <c r="N83" s="11" t="s">
        <v>243</v>
      </c>
      <c r="O83" s="341"/>
      <c r="P83" s="339"/>
    </row>
    <row r="84" spans="1:16" ht="33" hidden="1">
      <c r="A84" s="333" t="s">
        <v>2201</v>
      </c>
      <c r="B84" s="334" t="s">
        <v>407</v>
      </c>
      <c r="C84" s="335" t="s">
        <v>0</v>
      </c>
      <c r="D84" s="336">
        <v>1</v>
      </c>
      <c r="E84" s="336">
        <f>估驗單!F79</f>
        <v>1</v>
      </c>
      <c r="F84" s="390">
        <f t="shared" si="4"/>
        <v>0</v>
      </c>
      <c r="G84" s="336">
        <v>3313.67</v>
      </c>
      <c r="H84" s="336"/>
      <c r="I84" s="336">
        <f t="shared" si="5"/>
        <v>3313.67</v>
      </c>
      <c r="J84" s="336">
        <f t="shared" si="6"/>
        <v>3313.67</v>
      </c>
      <c r="K84" s="546">
        <f t="shared" si="7"/>
        <v>0</v>
      </c>
      <c r="L84" s="502"/>
      <c r="M84" s="231" t="s">
        <v>242</v>
      </c>
      <c r="N84" s="11" t="s">
        <v>243</v>
      </c>
      <c r="O84" s="341"/>
      <c r="P84" s="339"/>
    </row>
    <row r="85" spans="1:16" ht="33" hidden="1">
      <c r="A85" s="333" t="s">
        <v>2202</v>
      </c>
      <c r="B85" s="334" t="s">
        <v>410</v>
      </c>
      <c r="C85" s="335" t="s">
        <v>8</v>
      </c>
      <c r="D85" s="336">
        <v>149.5</v>
      </c>
      <c r="E85" s="336">
        <f>估驗單!F80</f>
        <v>149.5</v>
      </c>
      <c r="F85" s="390">
        <f t="shared" si="4"/>
        <v>0</v>
      </c>
      <c r="G85" s="336">
        <v>1975.94</v>
      </c>
      <c r="H85" s="336"/>
      <c r="I85" s="336">
        <f t="shared" si="5"/>
        <v>295403.03000000003</v>
      </c>
      <c r="J85" s="336">
        <f t="shared" si="6"/>
        <v>295403.03000000003</v>
      </c>
      <c r="K85" s="546">
        <f t="shared" si="7"/>
        <v>0</v>
      </c>
      <c r="L85" s="502"/>
      <c r="M85" s="231" t="s">
        <v>242</v>
      </c>
      <c r="N85" s="11" t="s">
        <v>243</v>
      </c>
      <c r="O85" s="341"/>
      <c r="P85" s="339"/>
    </row>
    <row r="86" spans="1:16" ht="33" hidden="1">
      <c r="A86" s="333" t="s">
        <v>2203</v>
      </c>
      <c r="B86" s="334" t="s">
        <v>413</v>
      </c>
      <c r="C86" s="335" t="s">
        <v>8</v>
      </c>
      <c r="D86" s="336">
        <v>39.299999999999997</v>
      </c>
      <c r="E86" s="336">
        <f>估驗單!F81</f>
        <v>39.299999999999997</v>
      </c>
      <c r="F86" s="390">
        <f t="shared" si="4"/>
        <v>0</v>
      </c>
      <c r="G86" s="336">
        <v>4874.2299999999996</v>
      </c>
      <c r="H86" s="336"/>
      <c r="I86" s="336">
        <f t="shared" si="5"/>
        <v>191557.24</v>
      </c>
      <c r="J86" s="336">
        <f t="shared" si="6"/>
        <v>191557.24</v>
      </c>
      <c r="K86" s="546">
        <f t="shared" si="7"/>
        <v>0</v>
      </c>
      <c r="L86" s="502"/>
      <c r="M86" s="231" t="s">
        <v>242</v>
      </c>
      <c r="N86" s="11" t="s">
        <v>243</v>
      </c>
      <c r="O86" s="341"/>
      <c r="P86" s="339"/>
    </row>
    <row r="87" spans="1:16" ht="33" hidden="1">
      <c r="A87" s="333" t="s">
        <v>2204</v>
      </c>
      <c r="B87" s="334" t="s">
        <v>416</v>
      </c>
      <c r="C87" s="335" t="s">
        <v>8</v>
      </c>
      <c r="D87" s="336">
        <v>51.3</v>
      </c>
      <c r="E87" s="336">
        <f>估驗單!F82</f>
        <v>51.3</v>
      </c>
      <c r="F87" s="390">
        <f t="shared" si="4"/>
        <v>0</v>
      </c>
      <c r="G87" s="336">
        <v>2938.96</v>
      </c>
      <c r="H87" s="336"/>
      <c r="I87" s="336">
        <f t="shared" si="5"/>
        <v>150768.65</v>
      </c>
      <c r="J87" s="336">
        <f t="shared" si="6"/>
        <v>150768.65</v>
      </c>
      <c r="K87" s="546">
        <f t="shared" si="7"/>
        <v>0</v>
      </c>
      <c r="L87" s="502"/>
      <c r="M87" s="231" t="s">
        <v>242</v>
      </c>
      <c r="N87" s="11" t="s">
        <v>243</v>
      </c>
      <c r="O87" s="341"/>
      <c r="P87" s="339"/>
    </row>
    <row r="88" spans="1:16" ht="33" hidden="1">
      <c r="A88" s="333" t="s">
        <v>2205</v>
      </c>
      <c r="B88" s="334" t="s">
        <v>419</v>
      </c>
      <c r="C88" s="335" t="s">
        <v>0</v>
      </c>
      <c r="D88" s="336">
        <v>1</v>
      </c>
      <c r="E88" s="336">
        <f>估驗單!F83</f>
        <v>1</v>
      </c>
      <c r="F88" s="390">
        <f t="shared" si="4"/>
        <v>0</v>
      </c>
      <c r="G88" s="336">
        <v>23029.53</v>
      </c>
      <c r="H88" s="336"/>
      <c r="I88" s="336">
        <f t="shared" si="5"/>
        <v>23029.53</v>
      </c>
      <c r="J88" s="336">
        <f t="shared" si="6"/>
        <v>23029.53</v>
      </c>
      <c r="K88" s="546">
        <f t="shared" si="7"/>
        <v>0</v>
      </c>
      <c r="L88" s="502"/>
      <c r="M88" s="231" t="s">
        <v>2321</v>
      </c>
      <c r="N88" s="11" t="s">
        <v>243</v>
      </c>
      <c r="O88" s="341"/>
      <c r="P88" s="339"/>
    </row>
    <row r="89" spans="1:16" ht="33" hidden="1">
      <c r="A89" s="333" t="s">
        <v>2206</v>
      </c>
      <c r="B89" s="334" t="s">
        <v>422</v>
      </c>
      <c r="C89" s="335" t="s">
        <v>0</v>
      </c>
      <c r="D89" s="336">
        <v>2</v>
      </c>
      <c r="E89" s="336">
        <f>估驗單!F84</f>
        <v>2</v>
      </c>
      <c r="F89" s="390">
        <f t="shared" si="4"/>
        <v>0</v>
      </c>
      <c r="G89" s="336">
        <v>18604.87</v>
      </c>
      <c r="H89" s="336"/>
      <c r="I89" s="336">
        <f t="shared" si="5"/>
        <v>37209.74</v>
      </c>
      <c r="J89" s="336">
        <f t="shared" si="6"/>
        <v>37209.74</v>
      </c>
      <c r="K89" s="546">
        <f t="shared" si="7"/>
        <v>0</v>
      </c>
      <c r="L89" s="502"/>
      <c r="M89" s="231" t="s">
        <v>2321</v>
      </c>
      <c r="N89" s="11" t="s">
        <v>243</v>
      </c>
      <c r="O89" s="341"/>
      <c r="P89" s="339"/>
    </row>
    <row r="90" spans="1:16" ht="33" hidden="1">
      <c r="A90" s="333" t="s">
        <v>2207</v>
      </c>
      <c r="B90" s="334" t="s">
        <v>425</v>
      </c>
      <c r="C90" s="335" t="s">
        <v>0</v>
      </c>
      <c r="D90" s="336">
        <v>1</v>
      </c>
      <c r="E90" s="336">
        <f>估驗單!F85</f>
        <v>1</v>
      </c>
      <c r="F90" s="390">
        <f t="shared" si="4"/>
        <v>0</v>
      </c>
      <c r="G90" s="336">
        <v>18604.87</v>
      </c>
      <c r="H90" s="336"/>
      <c r="I90" s="336">
        <f t="shared" si="5"/>
        <v>18604.87</v>
      </c>
      <c r="J90" s="336">
        <f t="shared" si="6"/>
        <v>18604.87</v>
      </c>
      <c r="K90" s="546">
        <f t="shared" si="7"/>
        <v>0</v>
      </c>
      <c r="L90" s="502"/>
      <c r="M90" s="231" t="s">
        <v>242</v>
      </c>
      <c r="N90" s="11" t="s">
        <v>243</v>
      </c>
      <c r="O90" s="341"/>
      <c r="P90" s="339"/>
    </row>
    <row r="91" spans="1:16" ht="33" hidden="1">
      <c r="A91" s="333" t="s">
        <v>2208</v>
      </c>
      <c r="B91" s="334" t="s">
        <v>428</v>
      </c>
      <c r="C91" s="335" t="s">
        <v>0</v>
      </c>
      <c r="D91" s="336">
        <v>2</v>
      </c>
      <c r="E91" s="336">
        <f>估驗單!F86</f>
        <v>2</v>
      </c>
      <c r="F91" s="390">
        <f t="shared" ref="F91:F157" si="8">E91-D91</f>
        <v>0</v>
      </c>
      <c r="G91" s="336">
        <v>11654.82</v>
      </c>
      <c r="H91" s="336"/>
      <c r="I91" s="336">
        <f t="shared" si="5"/>
        <v>23309.64</v>
      </c>
      <c r="J91" s="336">
        <f t="shared" si="6"/>
        <v>23309.64</v>
      </c>
      <c r="K91" s="546">
        <f t="shared" si="7"/>
        <v>0</v>
      </c>
      <c r="L91" s="502"/>
      <c r="M91" s="231" t="s">
        <v>242</v>
      </c>
      <c r="N91" s="11" t="s">
        <v>243</v>
      </c>
      <c r="O91" s="341"/>
      <c r="P91" s="339"/>
    </row>
    <row r="92" spans="1:16" ht="33" hidden="1">
      <c r="A92" s="333" t="s">
        <v>2209</v>
      </c>
      <c r="B92" s="334" t="s">
        <v>431</v>
      </c>
      <c r="C92" s="335" t="s">
        <v>0</v>
      </c>
      <c r="D92" s="336">
        <v>2</v>
      </c>
      <c r="E92" s="336">
        <f>估驗單!F87</f>
        <v>2</v>
      </c>
      <c r="F92" s="390">
        <f t="shared" si="8"/>
        <v>0</v>
      </c>
      <c r="G92" s="336">
        <v>25107.48</v>
      </c>
      <c r="H92" s="336"/>
      <c r="I92" s="336">
        <f t="shared" si="5"/>
        <v>50214.96</v>
      </c>
      <c r="J92" s="336">
        <f t="shared" si="6"/>
        <v>50214.96</v>
      </c>
      <c r="K92" s="546">
        <f t="shared" si="7"/>
        <v>0</v>
      </c>
      <c r="L92" s="502"/>
      <c r="M92" s="231" t="s">
        <v>242</v>
      </c>
      <c r="N92" s="11" t="s">
        <v>243</v>
      </c>
      <c r="O92" s="341"/>
      <c r="P92" s="339"/>
    </row>
    <row r="93" spans="1:16" ht="33" hidden="1">
      <c r="A93" s="333" t="s">
        <v>2210</v>
      </c>
      <c r="B93" s="334" t="s">
        <v>434</v>
      </c>
      <c r="C93" s="335" t="s">
        <v>0</v>
      </c>
      <c r="D93" s="336">
        <v>1</v>
      </c>
      <c r="E93" s="336">
        <f>估驗單!F88</f>
        <v>1</v>
      </c>
      <c r="F93" s="390">
        <f t="shared" si="8"/>
        <v>0</v>
      </c>
      <c r="G93" s="336">
        <v>22415.66</v>
      </c>
      <c r="H93" s="336"/>
      <c r="I93" s="336">
        <f t="shared" si="5"/>
        <v>22415.66</v>
      </c>
      <c r="J93" s="336">
        <f t="shared" si="6"/>
        <v>22415.66</v>
      </c>
      <c r="K93" s="546">
        <f t="shared" si="7"/>
        <v>0</v>
      </c>
      <c r="L93" s="502"/>
      <c r="M93" s="231" t="s">
        <v>242</v>
      </c>
      <c r="N93" s="11" t="s">
        <v>243</v>
      </c>
      <c r="O93" s="341"/>
      <c r="P93" s="339"/>
    </row>
    <row r="94" spans="1:16" ht="33" hidden="1">
      <c r="A94" s="333" t="s">
        <v>2211</v>
      </c>
      <c r="B94" s="334" t="s">
        <v>437</v>
      </c>
      <c r="C94" s="335" t="s">
        <v>0</v>
      </c>
      <c r="D94" s="336">
        <v>1</v>
      </c>
      <c r="E94" s="336">
        <f>估驗單!F89</f>
        <v>1</v>
      </c>
      <c r="F94" s="390">
        <f t="shared" si="8"/>
        <v>0</v>
      </c>
      <c r="G94" s="336">
        <v>21723.54</v>
      </c>
      <c r="H94" s="336"/>
      <c r="I94" s="336">
        <f t="shared" si="5"/>
        <v>21723.54</v>
      </c>
      <c r="J94" s="336">
        <f t="shared" si="6"/>
        <v>21723.54</v>
      </c>
      <c r="K94" s="546">
        <f t="shared" si="7"/>
        <v>0</v>
      </c>
      <c r="L94" s="502"/>
      <c r="M94" s="231" t="s">
        <v>242</v>
      </c>
      <c r="N94" s="11" t="s">
        <v>243</v>
      </c>
      <c r="O94" s="341"/>
      <c r="P94" s="339"/>
    </row>
    <row r="95" spans="1:16" ht="33" hidden="1">
      <c r="A95" s="333" t="s">
        <v>2212</v>
      </c>
      <c r="B95" s="334" t="s">
        <v>440</v>
      </c>
      <c r="C95" s="335" t="s">
        <v>0</v>
      </c>
      <c r="D95" s="336">
        <v>1</v>
      </c>
      <c r="E95" s="336">
        <f>估驗單!F90</f>
        <v>1</v>
      </c>
      <c r="F95" s="390">
        <f t="shared" si="8"/>
        <v>0</v>
      </c>
      <c r="G95" s="336">
        <v>22646.36</v>
      </c>
      <c r="H95" s="336"/>
      <c r="I95" s="336">
        <f t="shared" si="5"/>
        <v>22646.36</v>
      </c>
      <c r="J95" s="336">
        <f t="shared" si="6"/>
        <v>22646.36</v>
      </c>
      <c r="K95" s="546">
        <f t="shared" si="7"/>
        <v>0</v>
      </c>
      <c r="L95" s="502"/>
      <c r="M95" s="231" t="s">
        <v>242</v>
      </c>
      <c r="N95" s="11" t="s">
        <v>243</v>
      </c>
      <c r="O95" s="341"/>
      <c r="P95" s="339"/>
    </row>
    <row r="96" spans="1:16" ht="33" hidden="1">
      <c r="A96" s="333" t="s">
        <v>2213</v>
      </c>
      <c r="B96" s="334" t="s">
        <v>443</v>
      </c>
      <c r="C96" s="335" t="s">
        <v>0</v>
      </c>
      <c r="D96" s="336">
        <v>4</v>
      </c>
      <c r="E96" s="336">
        <f>估驗單!F91</f>
        <v>4</v>
      </c>
      <c r="F96" s="390">
        <f t="shared" si="8"/>
        <v>0</v>
      </c>
      <c r="G96" s="336">
        <v>17340.05</v>
      </c>
      <c r="H96" s="336"/>
      <c r="I96" s="336">
        <f t="shared" si="5"/>
        <v>69360.2</v>
      </c>
      <c r="J96" s="336">
        <f t="shared" si="6"/>
        <v>69360.2</v>
      </c>
      <c r="K96" s="546">
        <f t="shared" si="7"/>
        <v>0</v>
      </c>
      <c r="L96" s="502"/>
      <c r="M96" s="231" t="s">
        <v>242</v>
      </c>
      <c r="N96" s="11" t="s">
        <v>243</v>
      </c>
      <c r="O96" s="341"/>
      <c r="P96" s="339"/>
    </row>
    <row r="97" spans="1:16" ht="33" hidden="1">
      <c r="A97" s="333" t="s">
        <v>2214</v>
      </c>
      <c r="B97" s="334" t="s">
        <v>446</v>
      </c>
      <c r="C97" s="335" t="s">
        <v>0</v>
      </c>
      <c r="D97" s="336">
        <v>6</v>
      </c>
      <c r="E97" s="336">
        <f>估驗單!F92</f>
        <v>6</v>
      </c>
      <c r="F97" s="390">
        <f t="shared" si="8"/>
        <v>0</v>
      </c>
      <c r="G97" s="336">
        <v>17340.05</v>
      </c>
      <c r="H97" s="336"/>
      <c r="I97" s="336">
        <f t="shared" si="5"/>
        <v>104040.3</v>
      </c>
      <c r="J97" s="336">
        <f t="shared" si="6"/>
        <v>104040.3</v>
      </c>
      <c r="K97" s="546">
        <f t="shared" si="7"/>
        <v>0</v>
      </c>
      <c r="L97" s="502"/>
      <c r="M97" s="231" t="s">
        <v>242</v>
      </c>
      <c r="N97" s="11" t="s">
        <v>243</v>
      </c>
      <c r="O97" s="341"/>
      <c r="P97" s="339"/>
    </row>
    <row r="98" spans="1:16" ht="33" hidden="1">
      <c r="A98" s="333" t="s">
        <v>2215</v>
      </c>
      <c r="B98" s="334" t="s">
        <v>449</v>
      </c>
      <c r="C98" s="335" t="s">
        <v>0</v>
      </c>
      <c r="D98" s="336">
        <v>1</v>
      </c>
      <c r="E98" s="336">
        <f>估驗單!F93</f>
        <v>1</v>
      </c>
      <c r="F98" s="390">
        <f t="shared" si="8"/>
        <v>0</v>
      </c>
      <c r="G98" s="336">
        <v>17496.650000000001</v>
      </c>
      <c r="H98" s="336"/>
      <c r="I98" s="336">
        <f t="shared" si="5"/>
        <v>17496.650000000001</v>
      </c>
      <c r="J98" s="336">
        <f t="shared" si="6"/>
        <v>17496.650000000001</v>
      </c>
      <c r="K98" s="546">
        <f t="shared" si="7"/>
        <v>0</v>
      </c>
      <c r="L98" s="502"/>
      <c r="M98" s="231" t="s">
        <v>242</v>
      </c>
      <c r="N98" s="11" t="s">
        <v>243</v>
      </c>
      <c r="O98" s="341"/>
      <c r="P98" s="339"/>
    </row>
    <row r="99" spans="1:16" ht="33" hidden="1">
      <c r="A99" s="333" t="s">
        <v>2216</v>
      </c>
      <c r="B99" s="334" t="s">
        <v>452</v>
      </c>
      <c r="C99" s="335" t="s">
        <v>0</v>
      </c>
      <c r="D99" s="336">
        <v>1</v>
      </c>
      <c r="E99" s="336">
        <f>估驗單!F94</f>
        <v>1</v>
      </c>
      <c r="F99" s="390">
        <f t="shared" si="8"/>
        <v>0</v>
      </c>
      <c r="G99" s="336">
        <v>1501.66</v>
      </c>
      <c r="H99" s="336"/>
      <c r="I99" s="336">
        <f t="shared" si="5"/>
        <v>1501.66</v>
      </c>
      <c r="J99" s="336">
        <f t="shared" si="6"/>
        <v>1501.66</v>
      </c>
      <c r="K99" s="546">
        <f t="shared" si="7"/>
        <v>0</v>
      </c>
      <c r="L99" s="502"/>
      <c r="M99" s="231" t="s">
        <v>242</v>
      </c>
      <c r="N99" s="11" t="s">
        <v>243</v>
      </c>
      <c r="O99" s="341"/>
      <c r="P99" s="339"/>
    </row>
    <row r="100" spans="1:16" ht="33" hidden="1">
      <c r="A100" s="333" t="s">
        <v>2217</v>
      </c>
      <c r="B100" s="334" t="s">
        <v>455</v>
      </c>
      <c r="C100" s="335" t="s">
        <v>0</v>
      </c>
      <c r="D100" s="336">
        <v>1</v>
      </c>
      <c r="E100" s="336">
        <f>估驗單!F95</f>
        <v>1</v>
      </c>
      <c r="F100" s="390">
        <f t="shared" si="8"/>
        <v>0</v>
      </c>
      <c r="G100" s="336">
        <v>1240.05</v>
      </c>
      <c r="H100" s="336"/>
      <c r="I100" s="336">
        <f t="shared" si="5"/>
        <v>1240.05</v>
      </c>
      <c r="J100" s="336">
        <f t="shared" si="6"/>
        <v>1240.05</v>
      </c>
      <c r="K100" s="546">
        <f t="shared" si="7"/>
        <v>0</v>
      </c>
      <c r="L100" s="502"/>
      <c r="M100" s="231" t="s">
        <v>242</v>
      </c>
      <c r="N100" s="11" t="s">
        <v>243</v>
      </c>
      <c r="O100" s="341"/>
      <c r="P100" s="339"/>
    </row>
    <row r="101" spans="1:16" ht="33" hidden="1">
      <c r="A101" s="333" t="s">
        <v>2218</v>
      </c>
      <c r="B101" s="334" t="s">
        <v>458</v>
      </c>
      <c r="C101" s="335" t="s">
        <v>0</v>
      </c>
      <c r="D101" s="336">
        <v>1</v>
      </c>
      <c r="E101" s="336">
        <f>估驗單!F96</f>
        <v>1</v>
      </c>
      <c r="F101" s="390">
        <f t="shared" si="8"/>
        <v>0</v>
      </c>
      <c r="G101" s="336">
        <v>1470.75</v>
      </c>
      <c r="H101" s="336"/>
      <c r="I101" s="336">
        <f t="shared" si="5"/>
        <v>1470.75</v>
      </c>
      <c r="J101" s="336">
        <f t="shared" si="6"/>
        <v>1470.75</v>
      </c>
      <c r="K101" s="546">
        <f t="shared" si="7"/>
        <v>0</v>
      </c>
      <c r="L101" s="502"/>
      <c r="M101" s="231" t="s">
        <v>242</v>
      </c>
      <c r="N101" s="11" t="s">
        <v>243</v>
      </c>
      <c r="O101" s="341"/>
      <c r="P101" s="339"/>
    </row>
    <row r="102" spans="1:16" ht="33" hidden="1">
      <c r="A102" s="333" t="s">
        <v>2219</v>
      </c>
      <c r="B102" s="334" t="s">
        <v>461</v>
      </c>
      <c r="C102" s="335" t="s">
        <v>0</v>
      </c>
      <c r="D102" s="336">
        <v>1</v>
      </c>
      <c r="E102" s="336">
        <f>估驗單!F97</f>
        <v>1</v>
      </c>
      <c r="F102" s="390">
        <f t="shared" si="8"/>
        <v>0</v>
      </c>
      <c r="G102" s="336">
        <v>1326.56</v>
      </c>
      <c r="H102" s="336"/>
      <c r="I102" s="336">
        <f t="shared" si="5"/>
        <v>1326.56</v>
      </c>
      <c r="J102" s="336">
        <f t="shared" si="6"/>
        <v>1326.56</v>
      </c>
      <c r="K102" s="546">
        <f t="shared" si="7"/>
        <v>0</v>
      </c>
      <c r="L102" s="502"/>
      <c r="M102" s="231" t="s">
        <v>242</v>
      </c>
      <c r="N102" s="11" t="s">
        <v>243</v>
      </c>
      <c r="O102" s="341"/>
      <c r="P102" s="339"/>
    </row>
    <row r="103" spans="1:16" ht="33" hidden="1">
      <c r="A103" s="333" t="s">
        <v>2220</v>
      </c>
      <c r="B103" s="334" t="s">
        <v>464</v>
      </c>
      <c r="C103" s="335" t="s">
        <v>0</v>
      </c>
      <c r="D103" s="336">
        <v>3</v>
      </c>
      <c r="E103" s="336">
        <f>估驗單!F98</f>
        <v>3</v>
      </c>
      <c r="F103" s="390">
        <f t="shared" si="8"/>
        <v>0</v>
      </c>
      <c r="G103" s="336">
        <v>331.64</v>
      </c>
      <c r="H103" s="336"/>
      <c r="I103" s="336">
        <f t="shared" ref="I103:I126" si="9">ROUND(D103*G103,2)</f>
        <v>994.92</v>
      </c>
      <c r="J103" s="336">
        <f t="shared" ref="J103:J123" si="10">ROUND(E103*G103,2)</f>
        <v>994.92</v>
      </c>
      <c r="K103" s="546">
        <f t="shared" si="7"/>
        <v>0</v>
      </c>
      <c r="L103" s="502"/>
      <c r="M103" s="231" t="s">
        <v>242</v>
      </c>
      <c r="N103" s="11" t="s">
        <v>243</v>
      </c>
      <c r="O103" s="341"/>
      <c r="P103" s="339"/>
    </row>
    <row r="104" spans="1:16" ht="33" hidden="1">
      <c r="A104" s="333" t="s">
        <v>2221</v>
      </c>
      <c r="B104" s="334" t="s">
        <v>467</v>
      </c>
      <c r="C104" s="335" t="s">
        <v>0</v>
      </c>
      <c r="D104" s="336">
        <v>7</v>
      </c>
      <c r="E104" s="336">
        <f>估驗單!F99</f>
        <v>7</v>
      </c>
      <c r="F104" s="390">
        <f t="shared" si="8"/>
        <v>0</v>
      </c>
      <c r="G104" s="336">
        <v>952.18</v>
      </c>
      <c r="H104" s="336"/>
      <c r="I104" s="336">
        <f t="shared" si="9"/>
        <v>6665.26</v>
      </c>
      <c r="J104" s="336">
        <f t="shared" si="10"/>
        <v>6665.26</v>
      </c>
      <c r="K104" s="546">
        <f t="shared" si="7"/>
        <v>0</v>
      </c>
      <c r="L104" s="502"/>
      <c r="M104" s="231" t="s">
        <v>242</v>
      </c>
      <c r="N104" s="11" t="s">
        <v>243</v>
      </c>
      <c r="O104" s="341"/>
      <c r="P104" s="339"/>
    </row>
    <row r="105" spans="1:16" ht="33" hidden="1">
      <c r="A105" s="333" t="s">
        <v>2222</v>
      </c>
      <c r="B105" s="334" t="s">
        <v>470</v>
      </c>
      <c r="C105" s="335" t="s">
        <v>0</v>
      </c>
      <c r="D105" s="336">
        <v>1</v>
      </c>
      <c r="E105" s="336">
        <f>估驗單!F100</f>
        <v>1</v>
      </c>
      <c r="F105" s="390">
        <f t="shared" si="8"/>
        <v>0</v>
      </c>
      <c r="G105" s="336">
        <v>272825.21000000002</v>
      </c>
      <c r="H105" s="336"/>
      <c r="I105" s="336">
        <f t="shared" si="9"/>
        <v>272825.21000000002</v>
      </c>
      <c r="J105" s="336">
        <f t="shared" si="10"/>
        <v>272825.21000000002</v>
      </c>
      <c r="K105" s="546">
        <f t="shared" si="7"/>
        <v>0</v>
      </c>
      <c r="L105" s="502"/>
      <c r="M105" s="231" t="s">
        <v>242</v>
      </c>
      <c r="N105" s="11" t="s">
        <v>243</v>
      </c>
      <c r="O105" s="341"/>
      <c r="P105" s="339"/>
    </row>
    <row r="106" spans="1:16" ht="33" hidden="1">
      <c r="A106" s="333" t="s">
        <v>2223</v>
      </c>
      <c r="B106" s="334" t="s">
        <v>473</v>
      </c>
      <c r="C106" s="335" t="s">
        <v>13</v>
      </c>
      <c r="D106" s="336">
        <v>759.43</v>
      </c>
      <c r="E106" s="336">
        <f>估驗單!F101</f>
        <v>759.43</v>
      </c>
      <c r="F106" s="390">
        <f t="shared" si="8"/>
        <v>0</v>
      </c>
      <c r="G106" s="336">
        <v>647.65</v>
      </c>
      <c r="H106" s="336"/>
      <c r="I106" s="336">
        <f t="shared" si="9"/>
        <v>491844.84</v>
      </c>
      <c r="J106" s="336">
        <f t="shared" si="10"/>
        <v>491844.84</v>
      </c>
      <c r="K106" s="546">
        <f t="shared" si="7"/>
        <v>0</v>
      </c>
      <c r="L106" s="502"/>
      <c r="M106" s="231" t="s">
        <v>242</v>
      </c>
      <c r="N106" s="11" t="s">
        <v>243</v>
      </c>
      <c r="O106" s="341"/>
      <c r="P106" s="339"/>
    </row>
    <row r="107" spans="1:16" ht="33" hidden="1">
      <c r="A107" s="333" t="s">
        <v>2224</v>
      </c>
      <c r="B107" s="334" t="s">
        <v>476</v>
      </c>
      <c r="C107" s="335" t="s">
        <v>15</v>
      </c>
      <c r="D107" s="336">
        <v>1</v>
      </c>
      <c r="E107" s="336">
        <f>估驗單!F102</f>
        <v>1</v>
      </c>
      <c r="F107" s="390">
        <f t="shared" si="8"/>
        <v>0</v>
      </c>
      <c r="G107" s="336">
        <v>10412.73</v>
      </c>
      <c r="H107" s="336"/>
      <c r="I107" s="336">
        <f t="shared" si="9"/>
        <v>10412.73</v>
      </c>
      <c r="J107" s="336">
        <f t="shared" si="10"/>
        <v>10412.73</v>
      </c>
      <c r="K107" s="546">
        <f t="shared" si="7"/>
        <v>0</v>
      </c>
      <c r="L107" s="502"/>
      <c r="M107" s="231" t="s">
        <v>2321</v>
      </c>
      <c r="N107" s="11" t="s">
        <v>243</v>
      </c>
      <c r="O107" s="341"/>
      <c r="P107" s="339"/>
    </row>
    <row r="108" spans="1:16" ht="33" hidden="1">
      <c r="A108" s="333" t="s">
        <v>2225</v>
      </c>
      <c r="B108" s="334" t="s">
        <v>479</v>
      </c>
      <c r="C108" s="335" t="s">
        <v>15</v>
      </c>
      <c r="D108" s="336">
        <v>3</v>
      </c>
      <c r="E108" s="336">
        <f>估驗單!F103</f>
        <v>3</v>
      </c>
      <c r="F108" s="390">
        <f t="shared" si="8"/>
        <v>0</v>
      </c>
      <c r="G108" s="336">
        <v>4575.03</v>
      </c>
      <c r="H108" s="336"/>
      <c r="I108" s="336">
        <f t="shared" si="9"/>
        <v>13725.09</v>
      </c>
      <c r="J108" s="336">
        <f t="shared" si="10"/>
        <v>13725.09</v>
      </c>
      <c r="K108" s="546">
        <f t="shared" si="7"/>
        <v>0</v>
      </c>
      <c r="L108" s="502"/>
      <c r="M108" s="231" t="s">
        <v>2338</v>
      </c>
      <c r="N108" s="11" t="s">
        <v>243</v>
      </c>
      <c r="O108" s="341"/>
      <c r="P108" s="339"/>
    </row>
    <row r="109" spans="1:16" ht="33" hidden="1">
      <c r="A109" s="503" t="s">
        <v>2226</v>
      </c>
      <c r="B109" s="504" t="s">
        <v>482</v>
      </c>
      <c r="C109" s="505" t="s">
        <v>483</v>
      </c>
      <c r="D109" s="506">
        <v>88.17</v>
      </c>
      <c r="E109" s="506">
        <f>估驗單!F104</f>
        <v>88.17</v>
      </c>
      <c r="F109" s="507">
        <f t="shared" si="8"/>
        <v>0</v>
      </c>
      <c r="G109" s="506">
        <v>15299.17</v>
      </c>
      <c r="H109" s="506"/>
      <c r="I109" s="506">
        <f t="shared" si="9"/>
        <v>1348927.82</v>
      </c>
      <c r="J109" s="506">
        <f t="shared" si="10"/>
        <v>1348927.82</v>
      </c>
      <c r="K109" s="547">
        <f t="shared" si="7"/>
        <v>0</v>
      </c>
      <c r="L109" s="510"/>
      <c r="M109" s="508" t="s">
        <v>2339</v>
      </c>
      <c r="N109" s="11" t="s">
        <v>243</v>
      </c>
      <c r="O109" s="474" t="s">
        <v>2614</v>
      </c>
      <c r="P109" s="339" t="s">
        <v>2615</v>
      </c>
    </row>
    <row r="110" spans="1:16" ht="33" hidden="1">
      <c r="A110" s="333" t="s">
        <v>2227</v>
      </c>
      <c r="B110" s="334" t="s">
        <v>486</v>
      </c>
      <c r="C110" s="335" t="s">
        <v>0</v>
      </c>
      <c r="D110" s="336">
        <v>25</v>
      </c>
      <c r="E110" s="336">
        <f>估驗單!F105</f>
        <v>25</v>
      </c>
      <c r="F110" s="390">
        <f t="shared" si="8"/>
        <v>0</v>
      </c>
      <c r="G110" s="336">
        <v>4498.3100000000004</v>
      </c>
      <c r="H110" s="336"/>
      <c r="I110" s="336">
        <f t="shared" si="9"/>
        <v>112457.75</v>
      </c>
      <c r="J110" s="336">
        <f t="shared" si="10"/>
        <v>112457.75</v>
      </c>
      <c r="K110" s="546">
        <f t="shared" si="7"/>
        <v>0</v>
      </c>
      <c r="L110" s="502"/>
      <c r="M110" s="231" t="s">
        <v>242</v>
      </c>
      <c r="N110" s="11" t="s">
        <v>243</v>
      </c>
      <c r="O110" s="341"/>
      <c r="P110" s="339"/>
    </row>
    <row r="111" spans="1:16" ht="33" hidden="1">
      <c r="A111" s="333" t="s">
        <v>2228</v>
      </c>
      <c r="B111" s="334" t="s">
        <v>489</v>
      </c>
      <c r="C111" s="335" t="s">
        <v>0</v>
      </c>
      <c r="D111" s="336">
        <v>13</v>
      </c>
      <c r="E111" s="336">
        <f>估驗單!F106</f>
        <v>13</v>
      </c>
      <c r="F111" s="390">
        <f t="shared" si="8"/>
        <v>0</v>
      </c>
      <c r="G111" s="336">
        <v>3353.5</v>
      </c>
      <c r="H111" s="336"/>
      <c r="I111" s="336">
        <f t="shared" si="9"/>
        <v>43595.5</v>
      </c>
      <c r="J111" s="336">
        <f t="shared" si="10"/>
        <v>43595.5</v>
      </c>
      <c r="K111" s="546">
        <f t="shared" si="7"/>
        <v>0</v>
      </c>
      <c r="L111" s="502"/>
      <c r="M111" s="231" t="s">
        <v>242</v>
      </c>
      <c r="N111" s="11" t="s">
        <v>243</v>
      </c>
      <c r="O111" s="341"/>
      <c r="P111" s="339"/>
    </row>
    <row r="112" spans="1:16" ht="33" hidden="1">
      <c r="A112" s="333" t="s">
        <v>2229</v>
      </c>
      <c r="B112" s="334" t="s">
        <v>492</v>
      </c>
      <c r="C112" s="335" t="s">
        <v>8</v>
      </c>
      <c r="D112" s="336">
        <v>9.8000000000000007</v>
      </c>
      <c r="E112" s="336">
        <f>估驗單!F107</f>
        <v>9.8000000000000007</v>
      </c>
      <c r="F112" s="390">
        <f t="shared" si="8"/>
        <v>0</v>
      </c>
      <c r="G112" s="336">
        <v>9873.85</v>
      </c>
      <c r="H112" s="336"/>
      <c r="I112" s="336">
        <f t="shared" si="9"/>
        <v>96763.73</v>
      </c>
      <c r="J112" s="336">
        <f t="shared" si="10"/>
        <v>96763.73</v>
      </c>
      <c r="K112" s="546">
        <f t="shared" si="7"/>
        <v>0</v>
      </c>
      <c r="L112" s="502"/>
      <c r="M112" s="231" t="s">
        <v>242</v>
      </c>
      <c r="N112" s="11" t="s">
        <v>243</v>
      </c>
      <c r="O112" s="341"/>
      <c r="P112" s="339"/>
    </row>
    <row r="113" spans="1:17" ht="33" hidden="1">
      <c r="A113" s="333" t="s">
        <v>2230</v>
      </c>
      <c r="B113" s="334" t="s">
        <v>495</v>
      </c>
      <c r="C113" s="335" t="s">
        <v>8</v>
      </c>
      <c r="D113" s="336">
        <v>6.2</v>
      </c>
      <c r="E113" s="336">
        <f>估驗單!F108</f>
        <v>6.2</v>
      </c>
      <c r="F113" s="390">
        <f t="shared" si="8"/>
        <v>0</v>
      </c>
      <c r="G113" s="336">
        <v>6554</v>
      </c>
      <c r="H113" s="336"/>
      <c r="I113" s="336">
        <f t="shared" si="9"/>
        <v>40634.800000000003</v>
      </c>
      <c r="J113" s="336">
        <f t="shared" si="10"/>
        <v>40634.800000000003</v>
      </c>
      <c r="K113" s="546">
        <f t="shared" si="7"/>
        <v>0</v>
      </c>
      <c r="L113" s="502"/>
      <c r="M113" s="231" t="s">
        <v>242</v>
      </c>
      <c r="N113" s="11" t="s">
        <v>243</v>
      </c>
      <c r="O113" s="341"/>
      <c r="P113" s="339"/>
    </row>
    <row r="114" spans="1:17" ht="33" hidden="1">
      <c r="A114" s="333" t="s">
        <v>2231</v>
      </c>
      <c r="B114" s="334" t="s">
        <v>498</v>
      </c>
      <c r="C114" s="335" t="s">
        <v>8</v>
      </c>
      <c r="D114" s="336">
        <v>3.3</v>
      </c>
      <c r="E114" s="336">
        <f>估驗單!F109</f>
        <v>3.3</v>
      </c>
      <c r="F114" s="390">
        <f t="shared" si="8"/>
        <v>0</v>
      </c>
      <c r="G114" s="336">
        <v>8390.27</v>
      </c>
      <c r="H114" s="336"/>
      <c r="I114" s="336">
        <f t="shared" si="9"/>
        <v>27687.89</v>
      </c>
      <c r="J114" s="336">
        <f t="shared" si="10"/>
        <v>27687.89</v>
      </c>
      <c r="K114" s="546">
        <f t="shared" si="7"/>
        <v>0</v>
      </c>
      <c r="L114" s="502"/>
      <c r="M114" s="231" t="s">
        <v>242</v>
      </c>
      <c r="N114" s="11" t="s">
        <v>243</v>
      </c>
      <c r="O114" s="341"/>
      <c r="P114" s="339"/>
    </row>
    <row r="115" spans="1:17" ht="33" hidden="1">
      <c r="A115" s="333" t="s">
        <v>2232</v>
      </c>
      <c r="B115" s="334" t="s">
        <v>501</v>
      </c>
      <c r="C115" s="335" t="s">
        <v>8</v>
      </c>
      <c r="D115" s="336">
        <v>40.6</v>
      </c>
      <c r="E115" s="336">
        <f>估驗單!F110</f>
        <v>40.6</v>
      </c>
      <c r="F115" s="390">
        <f t="shared" si="8"/>
        <v>0</v>
      </c>
      <c r="G115" s="336">
        <v>671.95</v>
      </c>
      <c r="H115" s="336"/>
      <c r="I115" s="336">
        <f t="shared" si="9"/>
        <v>27281.17</v>
      </c>
      <c r="J115" s="336">
        <f t="shared" si="10"/>
        <v>27281.17</v>
      </c>
      <c r="K115" s="546">
        <f t="shared" si="7"/>
        <v>0</v>
      </c>
      <c r="L115" s="502"/>
      <c r="M115" s="231" t="s">
        <v>2321</v>
      </c>
      <c r="N115" s="11" t="s">
        <v>243</v>
      </c>
      <c r="O115" s="341"/>
      <c r="P115" s="339"/>
    </row>
    <row r="116" spans="1:17" ht="33" hidden="1">
      <c r="A116" s="333" t="s">
        <v>2233</v>
      </c>
      <c r="B116" s="334" t="s">
        <v>504</v>
      </c>
      <c r="C116" s="335" t="s">
        <v>8</v>
      </c>
      <c r="D116" s="336">
        <v>176.7</v>
      </c>
      <c r="E116" s="336">
        <f>估驗單!F111</f>
        <v>176.7</v>
      </c>
      <c r="F116" s="390">
        <f t="shared" si="8"/>
        <v>0</v>
      </c>
      <c r="G116" s="336">
        <v>658.27</v>
      </c>
      <c r="H116" s="336"/>
      <c r="I116" s="336">
        <f t="shared" si="9"/>
        <v>116316.31</v>
      </c>
      <c r="J116" s="336">
        <f t="shared" si="10"/>
        <v>116316.31</v>
      </c>
      <c r="K116" s="546">
        <f t="shared" si="7"/>
        <v>0</v>
      </c>
      <c r="L116" s="502"/>
      <c r="M116" s="231" t="s">
        <v>242</v>
      </c>
      <c r="N116" s="11" t="s">
        <v>243</v>
      </c>
      <c r="O116" s="341"/>
      <c r="P116" s="339"/>
    </row>
    <row r="117" spans="1:17" ht="33" hidden="1">
      <c r="A117" s="333" t="s">
        <v>2234</v>
      </c>
      <c r="B117" s="334" t="s">
        <v>507</v>
      </c>
      <c r="C117" s="335" t="s">
        <v>8</v>
      </c>
      <c r="D117" s="336">
        <v>251.7</v>
      </c>
      <c r="E117" s="336">
        <f>估驗單!F112</f>
        <v>251.7</v>
      </c>
      <c r="F117" s="390">
        <f t="shared" si="8"/>
        <v>0</v>
      </c>
      <c r="G117" s="336">
        <v>730.37</v>
      </c>
      <c r="H117" s="336"/>
      <c r="I117" s="336">
        <f t="shared" si="9"/>
        <v>183834.13</v>
      </c>
      <c r="J117" s="336">
        <f t="shared" si="10"/>
        <v>183834.13</v>
      </c>
      <c r="K117" s="546">
        <f t="shared" si="7"/>
        <v>0</v>
      </c>
      <c r="L117" s="502"/>
      <c r="M117" s="231" t="s">
        <v>242</v>
      </c>
      <c r="N117" s="11" t="s">
        <v>243</v>
      </c>
      <c r="O117" s="341"/>
      <c r="P117" s="339"/>
    </row>
    <row r="118" spans="1:17" ht="33" hidden="1">
      <c r="A118" s="333" t="s">
        <v>2235</v>
      </c>
      <c r="B118" s="334" t="s">
        <v>510</v>
      </c>
      <c r="C118" s="335" t="s">
        <v>8</v>
      </c>
      <c r="D118" s="336">
        <v>6.8</v>
      </c>
      <c r="E118" s="336">
        <f>估驗單!F113</f>
        <v>6.8</v>
      </c>
      <c r="F118" s="390">
        <f t="shared" si="8"/>
        <v>0</v>
      </c>
      <c r="G118" s="336">
        <v>406.38</v>
      </c>
      <c r="H118" s="336"/>
      <c r="I118" s="336">
        <f t="shared" si="9"/>
        <v>2763.38</v>
      </c>
      <c r="J118" s="336">
        <f t="shared" si="10"/>
        <v>2763.38</v>
      </c>
      <c r="K118" s="546">
        <f t="shared" si="7"/>
        <v>0</v>
      </c>
      <c r="L118" s="502"/>
      <c r="M118" s="231" t="s">
        <v>242</v>
      </c>
      <c r="N118" s="11" t="s">
        <v>243</v>
      </c>
      <c r="O118" s="341"/>
      <c r="P118" s="339"/>
    </row>
    <row r="119" spans="1:17" ht="33" hidden="1">
      <c r="A119" s="333" t="s">
        <v>2236</v>
      </c>
      <c r="B119" s="334" t="s">
        <v>513</v>
      </c>
      <c r="C119" s="335" t="s">
        <v>8</v>
      </c>
      <c r="D119" s="336">
        <v>44.2</v>
      </c>
      <c r="E119" s="336">
        <f>估驗單!F114</f>
        <v>44.2</v>
      </c>
      <c r="F119" s="390">
        <f t="shared" si="8"/>
        <v>0</v>
      </c>
      <c r="G119" s="336">
        <v>457.88</v>
      </c>
      <c r="H119" s="336"/>
      <c r="I119" s="336">
        <f t="shared" si="9"/>
        <v>20238.3</v>
      </c>
      <c r="J119" s="336">
        <f t="shared" si="10"/>
        <v>20238.3</v>
      </c>
      <c r="K119" s="546">
        <f t="shared" si="7"/>
        <v>0</v>
      </c>
      <c r="L119" s="502"/>
      <c r="M119" s="231" t="s">
        <v>2321</v>
      </c>
      <c r="N119" s="11" t="s">
        <v>243</v>
      </c>
      <c r="O119" s="341"/>
      <c r="P119" s="339"/>
    </row>
    <row r="120" spans="1:17" ht="33" hidden="1">
      <c r="A120" s="333" t="s">
        <v>2237</v>
      </c>
      <c r="B120" s="334" t="s">
        <v>516</v>
      </c>
      <c r="C120" s="335" t="s">
        <v>8</v>
      </c>
      <c r="D120" s="336">
        <v>10.7</v>
      </c>
      <c r="E120" s="336">
        <f>估驗單!F115</f>
        <v>10.7</v>
      </c>
      <c r="F120" s="390">
        <f t="shared" si="8"/>
        <v>0</v>
      </c>
      <c r="G120" s="336">
        <v>499.08</v>
      </c>
      <c r="H120" s="336"/>
      <c r="I120" s="336">
        <f t="shared" si="9"/>
        <v>5340.16</v>
      </c>
      <c r="J120" s="336">
        <f t="shared" si="10"/>
        <v>5340.16</v>
      </c>
      <c r="K120" s="546">
        <f t="shared" si="7"/>
        <v>0</v>
      </c>
      <c r="L120" s="502"/>
      <c r="M120" s="231" t="s">
        <v>2321</v>
      </c>
      <c r="N120" s="11" t="s">
        <v>243</v>
      </c>
      <c r="O120" s="341"/>
      <c r="P120" s="339"/>
    </row>
    <row r="121" spans="1:17" ht="33" hidden="1">
      <c r="A121" s="333" t="s">
        <v>2238</v>
      </c>
      <c r="B121" s="334" t="s">
        <v>519</v>
      </c>
      <c r="C121" s="335" t="s">
        <v>8</v>
      </c>
      <c r="D121" s="336">
        <v>62.5</v>
      </c>
      <c r="E121" s="336">
        <f>估驗單!F116</f>
        <v>62.5</v>
      </c>
      <c r="F121" s="390">
        <f t="shared" si="8"/>
        <v>0</v>
      </c>
      <c r="G121" s="336">
        <v>545.82000000000005</v>
      </c>
      <c r="H121" s="336"/>
      <c r="I121" s="336">
        <f t="shared" si="9"/>
        <v>34113.75</v>
      </c>
      <c r="J121" s="336">
        <f t="shared" si="10"/>
        <v>34113.75</v>
      </c>
      <c r="K121" s="546">
        <f t="shared" si="7"/>
        <v>0</v>
      </c>
      <c r="L121" s="502"/>
      <c r="M121" s="231" t="s">
        <v>2321</v>
      </c>
      <c r="N121" s="11" t="s">
        <v>243</v>
      </c>
      <c r="O121" s="341"/>
      <c r="P121" s="339"/>
    </row>
    <row r="122" spans="1:17" ht="42.75" hidden="1">
      <c r="A122" s="333" t="s">
        <v>2239</v>
      </c>
      <c r="B122" s="334" t="s">
        <v>522</v>
      </c>
      <c r="C122" s="335" t="s">
        <v>8</v>
      </c>
      <c r="D122" s="336">
        <v>84.8</v>
      </c>
      <c r="E122" s="336">
        <f>估驗單!F117</f>
        <v>84.8</v>
      </c>
      <c r="F122" s="390">
        <f t="shared" si="8"/>
        <v>0</v>
      </c>
      <c r="G122" s="336">
        <v>7340.02</v>
      </c>
      <c r="H122" s="336"/>
      <c r="I122" s="336">
        <f t="shared" si="9"/>
        <v>622433.69999999995</v>
      </c>
      <c r="J122" s="336">
        <f t="shared" si="10"/>
        <v>622433.69999999995</v>
      </c>
      <c r="K122" s="546">
        <f t="shared" si="7"/>
        <v>0</v>
      </c>
      <c r="L122" s="502"/>
      <c r="M122" s="231" t="s">
        <v>2336</v>
      </c>
      <c r="N122" s="11" t="s">
        <v>243</v>
      </c>
      <c r="O122" s="341"/>
      <c r="P122" s="339"/>
    </row>
    <row r="123" spans="1:17" ht="45" hidden="1">
      <c r="A123" s="503" t="s">
        <v>2240</v>
      </c>
      <c r="B123" s="504" t="s">
        <v>525</v>
      </c>
      <c r="C123" s="505" t="s">
        <v>0</v>
      </c>
      <c r="D123" s="506">
        <v>2</v>
      </c>
      <c r="E123" s="506">
        <v>0</v>
      </c>
      <c r="F123" s="509">
        <f t="shared" si="8"/>
        <v>-2</v>
      </c>
      <c r="G123" s="506">
        <v>913306.18</v>
      </c>
      <c r="H123" s="506"/>
      <c r="I123" s="506">
        <f t="shared" si="9"/>
        <v>1826612.36</v>
      </c>
      <c r="J123" s="506">
        <f t="shared" si="10"/>
        <v>0</v>
      </c>
      <c r="K123" s="547"/>
      <c r="L123" s="510">
        <f>J123-I123</f>
        <v>-1826612.36</v>
      </c>
      <c r="M123" s="508" t="s">
        <v>2321</v>
      </c>
      <c r="N123" s="11" t="s">
        <v>243</v>
      </c>
      <c r="O123" s="341" t="s">
        <v>2613</v>
      </c>
      <c r="P123" s="339"/>
    </row>
    <row r="124" spans="1:17" ht="27.95" hidden="1" customHeight="1">
      <c r="A124" s="503" t="s">
        <v>2606</v>
      </c>
      <c r="B124" s="504" t="s">
        <v>2609</v>
      </c>
      <c r="C124" s="505" t="s">
        <v>0</v>
      </c>
      <c r="D124" s="511">
        <v>0</v>
      </c>
      <c r="E124" s="511">
        <v>1</v>
      </c>
      <c r="F124" s="507">
        <f t="shared" si="8"/>
        <v>1</v>
      </c>
      <c r="G124" s="511">
        <v>0</v>
      </c>
      <c r="H124" s="511">
        <v>704273.82</v>
      </c>
      <c r="I124" s="506">
        <f t="shared" si="9"/>
        <v>0</v>
      </c>
      <c r="J124" s="506">
        <f>ROUND(E124*H124,2)</f>
        <v>704273.82</v>
      </c>
      <c r="K124" s="547">
        <f t="shared" si="7"/>
        <v>704273.82</v>
      </c>
      <c r="L124" s="533"/>
      <c r="M124" s="529" t="s">
        <v>2625</v>
      </c>
      <c r="N124" s="11"/>
      <c r="O124" s="341"/>
      <c r="P124" s="339"/>
    </row>
    <row r="125" spans="1:17" ht="27.95" hidden="1" customHeight="1">
      <c r="A125" s="503" t="s">
        <v>2607</v>
      </c>
      <c r="B125" s="504" t="s">
        <v>2610</v>
      </c>
      <c r="C125" s="505" t="s">
        <v>0</v>
      </c>
      <c r="D125" s="511">
        <v>0</v>
      </c>
      <c r="E125" s="511">
        <v>1</v>
      </c>
      <c r="F125" s="507">
        <f t="shared" si="8"/>
        <v>1</v>
      </c>
      <c r="G125" s="511">
        <v>0</v>
      </c>
      <c r="H125" s="511">
        <v>1255553.18</v>
      </c>
      <c r="I125" s="506">
        <f t="shared" si="9"/>
        <v>0</v>
      </c>
      <c r="J125" s="506">
        <f>ROUND(E125*H125,2)</f>
        <v>1255553.18</v>
      </c>
      <c r="K125" s="547">
        <f t="shared" si="7"/>
        <v>1255553.18</v>
      </c>
      <c r="L125" s="533"/>
      <c r="M125" s="529" t="s">
        <v>2625</v>
      </c>
      <c r="N125" s="11"/>
      <c r="O125" s="341"/>
      <c r="P125" s="339"/>
    </row>
    <row r="126" spans="1:17" ht="27.95" hidden="1" customHeight="1">
      <c r="A126" s="503" t="s">
        <v>2608</v>
      </c>
      <c r="B126" s="504" t="s">
        <v>2611</v>
      </c>
      <c r="C126" s="505" t="s">
        <v>0</v>
      </c>
      <c r="D126" s="511">
        <v>0</v>
      </c>
      <c r="E126" s="511">
        <v>1</v>
      </c>
      <c r="F126" s="507">
        <f t="shared" si="8"/>
        <v>1</v>
      </c>
      <c r="G126" s="511">
        <v>0</v>
      </c>
      <c r="H126" s="511">
        <v>1277917.6000000001</v>
      </c>
      <c r="I126" s="506">
        <f t="shared" si="9"/>
        <v>0</v>
      </c>
      <c r="J126" s="506">
        <f>ROUND(E126*H126,2)</f>
        <v>1277917.6000000001</v>
      </c>
      <c r="K126" s="547">
        <f t="shared" si="7"/>
        <v>1277917.6000000001</v>
      </c>
      <c r="L126" s="533"/>
      <c r="M126" s="529" t="s">
        <v>2625</v>
      </c>
      <c r="N126" s="11"/>
      <c r="O126" s="341"/>
      <c r="P126" s="339"/>
    </row>
    <row r="127" spans="1:17" ht="33" hidden="1">
      <c r="A127" s="406" t="s">
        <v>2241</v>
      </c>
      <c r="B127" s="407" t="s">
        <v>527</v>
      </c>
      <c r="C127" s="408" t="s">
        <v>4</v>
      </c>
      <c r="D127" s="409"/>
      <c r="E127" s="409">
        <f>估驗單!F119</f>
        <v>0</v>
      </c>
      <c r="F127" s="410">
        <f t="shared" si="8"/>
        <v>0</v>
      </c>
      <c r="G127" s="409">
        <f>I127</f>
        <v>45369259.610000014</v>
      </c>
      <c r="H127" s="409"/>
      <c r="I127" s="409">
        <f>SUM(I128:I166)</f>
        <v>45369259.610000014</v>
      </c>
      <c r="J127" s="409">
        <f>SUM(J128:J166)</f>
        <v>45442982.900000013</v>
      </c>
      <c r="K127" s="542">
        <f>SUM(K128:K166)</f>
        <v>73723.289999999746</v>
      </c>
      <c r="L127" s="534">
        <f>SUM(L128:L166)</f>
        <v>0</v>
      </c>
      <c r="M127" s="288" t="s">
        <v>242</v>
      </c>
      <c r="N127" s="11" t="s">
        <v>243</v>
      </c>
      <c r="O127" s="338"/>
      <c r="P127" s="339"/>
    </row>
    <row r="128" spans="1:17" ht="33.75" hidden="1">
      <c r="A128" s="333" t="s">
        <v>2154</v>
      </c>
      <c r="B128" s="334" t="s">
        <v>310</v>
      </c>
      <c r="C128" s="335" t="s">
        <v>223</v>
      </c>
      <c r="D128" s="336">
        <v>928.51</v>
      </c>
      <c r="E128" s="336">
        <f>估驗單!F120</f>
        <v>928.51</v>
      </c>
      <c r="F128" s="390">
        <f t="shared" si="8"/>
        <v>0</v>
      </c>
      <c r="G128" s="336">
        <v>320.72000000000003</v>
      </c>
      <c r="H128" s="336"/>
      <c r="I128" s="336">
        <f t="shared" ref="I128:I166" si="11">ROUND(D128*G128,2)</f>
        <v>297791.73</v>
      </c>
      <c r="J128" s="336">
        <f t="shared" ref="J128:J166" si="12">ROUND(E128*G128,2)</f>
        <v>297791.73</v>
      </c>
      <c r="K128" s="546">
        <f t="shared" si="7"/>
        <v>0</v>
      </c>
      <c r="L128" s="502"/>
      <c r="M128" s="231" t="s">
        <v>242</v>
      </c>
      <c r="N128" s="11" t="s">
        <v>243</v>
      </c>
      <c r="O128" s="341" t="s">
        <v>2316</v>
      </c>
      <c r="P128" s="339" t="s">
        <v>2340</v>
      </c>
      <c r="Q128" s="342" t="s">
        <v>2341</v>
      </c>
    </row>
    <row r="129" spans="1:16" ht="33" hidden="1">
      <c r="A129" s="333" t="s">
        <v>2155</v>
      </c>
      <c r="B129" s="334" t="s">
        <v>315</v>
      </c>
      <c r="C129" s="335" t="s">
        <v>6</v>
      </c>
      <c r="D129" s="336">
        <v>26.33</v>
      </c>
      <c r="E129" s="336">
        <f>估驗單!F121</f>
        <v>26.33</v>
      </c>
      <c r="F129" s="390">
        <f t="shared" si="8"/>
        <v>0</v>
      </c>
      <c r="G129" s="336">
        <v>3114.97</v>
      </c>
      <c r="H129" s="336"/>
      <c r="I129" s="336">
        <f t="shared" si="11"/>
        <v>82017.16</v>
      </c>
      <c r="J129" s="336">
        <f t="shared" si="12"/>
        <v>82017.16</v>
      </c>
      <c r="K129" s="546">
        <f t="shared" si="7"/>
        <v>0</v>
      </c>
      <c r="L129" s="502"/>
      <c r="M129" s="231" t="s">
        <v>242</v>
      </c>
      <c r="N129" s="11" t="s">
        <v>243</v>
      </c>
      <c r="O129" s="341"/>
      <c r="P129" s="339"/>
    </row>
    <row r="130" spans="1:16" ht="33" hidden="1">
      <c r="A130" s="333" t="s">
        <v>2156</v>
      </c>
      <c r="B130" s="334" t="s">
        <v>24</v>
      </c>
      <c r="C130" s="335" t="s">
        <v>6</v>
      </c>
      <c r="D130" s="336">
        <v>36.86</v>
      </c>
      <c r="E130" s="336">
        <f>估驗單!F122</f>
        <v>36.86</v>
      </c>
      <c r="F130" s="390">
        <f t="shared" si="8"/>
        <v>0</v>
      </c>
      <c r="G130" s="336">
        <v>3320.96</v>
      </c>
      <c r="H130" s="336"/>
      <c r="I130" s="336">
        <f t="shared" si="11"/>
        <v>122410.59</v>
      </c>
      <c r="J130" s="336">
        <f t="shared" si="12"/>
        <v>122410.59</v>
      </c>
      <c r="K130" s="546">
        <f t="shared" si="7"/>
        <v>0</v>
      </c>
      <c r="L130" s="502"/>
      <c r="M130" s="231" t="s">
        <v>242</v>
      </c>
      <c r="N130" s="11" t="s">
        <v>243</v>
      </c>
      <c r="O130" s="341"/>
      <c r="P130" s="339"/>
    </row>
    <row r="131" spans="1:16" ht="33" hidden="1">
      <c r="A131" s="333" t="s">
        <v>2157</v>
      </c>
      <c r="B131" s="334" t="s">
        <v>528</v>
      </c>
      <c r="C131" s="335" t="s">
        <v>6</v>
      </c>
      <c r="D131" s="336">
        <v>654.83000000000004</v>
      </c>
      <c r="E131" s="336">
        <f>估驗單!F123</f>
        <v>654.83000000000004</v>
      </c>
      <c r="F131" s="390">
        <f t="shared" si="8"/>
        <v>0</v>
      </c>
      <c r="G131" s="336">
        <v>3643.53</v>
      </c>
      <c r="H131" s="336"/>
      <c r="I131" s="336">
        <f t="shared" si="11"/>
        <v>2385892.75</v>
      </c>
      <c r="J131" s="336">
        <f t="shared" si="12"/>
        <v>2385892.75</v>
      </c>
      <c r="K131" s="546">
        <f t="shared" si="7"/>
        <v>0</v>
      </c>
      <c r="L131" s="502"/>
      <c r="M131" s="231" t="s">
        <v>242</v>
      </c>
      <c r="N131" s="11" t="s">
        <v>243</v>
      </c>
      <c r="O131" s="341"/>
      <c r="P131" s="339"/>
    </row>
    <row r="132" spans="1:16" ht="42.75" hidden="1">
      <c r="A132" s="333" t="s">
        <v>2158</v>
      </c>
      <c r="B132" s="334" t="s">
        <v>192</v>
      </c>
      <c r="C132" s="335" t="s">
        <v>17</v>
      </c>
      <c r="D132" s="336">
        <v>6240.88</v>
      </c>
      <c r="E132" s="336">
        <f>估驗單!F124</f>
        <v>6240.88</v>
      </c>
      <c r="F132" s="390">
        <f t="shared" si="8"/>
        <v>0</v>
      </c>
      <c r="G132" s="336">
        <v>36.4</v>
      </c>
      <c r="H132" s="336"/>
      <c r="I132" s="336">
        <f t="shared" si="11"/>
        <v>227168.03</v>
      </c>
      <c r="J132" s="336">
        <f t="shared" si="12"/>
        <v>227168.03</v>
      </c>
      <c r="K132" s="546">
        <f t="shared" si="7"/>
        <v>0</v>
      </c>
      <c r="L132" s="502"/>
      <c r="M132" s="231" t="s">
        <v>2334</v>
      </c>
      <c r="N132" s="11" t="s">
        <v>243</v>
      </c>
      <c r="O132" s="341"/>
      <c r="P132" s="339"/>
    </row>
    <row r="133" spans="1:16" ht="42.75" hidden="1">
      <c r="A133" s="333" t="s">
        <v>2159</v>
      </c>
      <c r="B133" s="334" t="s">
        <v>530</v>
      </c>
      <c r="C133" s="335" t="s">
        <v>17</v>
      </c>
      <c r="D133" s="336">
        <v>102796.95</v>
      </c>
      <c r="E133" s="336">
        <f>估驗單!F125</f>
        <v>102796.95</v>
      </c>
      <c r="F133" s="390">
        <f t="shared" si="8"/>
        <v>0</v>
      </c>
      <c r="G133" s="336">
        <v>38.71</v>
      </c>
      <c r="H133" s="336"/>
      <c r="I133" s="336">
        <f t="shared" si="11"/>
        <v>3979269.93</v>
      </c>
      <c r="J133" s="336">
        <f t="shared" si="12"/>
        <v>3979269.93</v>
      </c>
      <c r="K133" s="546">
        <f t="shared" si="7"/>
        <v>0</v>
      </c>
      <c r="L133" s="502"/>
      <c r="M133" s="231" t="s">
        <v>2334</v>
      </c>
      <c r="N133" s="11" t="s">
        <v>243</v>
      </c>
      <c r="O133" s="341"/>
      <c r="P133" s="339"/>
    </row>
    <row r="134" spans="1:16" ht="33">
      <c r="A134" s="333" t="s">
        <v>2160</v>
      </c>
      <c r="B134" s="334" t="s">
        <v>532</v>
      </c>
      <c r="C134" s="335" t="s">
        <v>13</v>
      </c>
      <c r="D134" s="336">
        <v>223.3</v>
      </c>
      <c r="E134" s="336">
        <f>估驗單!F126</f>
        <v>223.3</v>
      </c>
      <c r="F134" s="390">
        <f t="shared" si="8"/>
        <v>0</v>
      </c>
      <c r="G134" s="336">
        <v>1154.9100000000001</v>
      </c>
      <c r="H134" s="336"/>
      <c r="I134" s="336">
        <f t="shared" si="11"/>
        <v>257891.4</v>
      </c>
      <c r="J134" s="336">
        <f t="shared" si="12"/>
        <v>257891.4</v>
      </c>
      <c r="K134" s="546">
        <f t="shared" si="7"/>
        <v>0</v>
      </c>
      <c r="L134" s="502"/>
      <c r="M134" s="231"/>
      <c r="N134" s="11" t="s">
        <v>243</v>
      </c>
      <c r="O134" s="341"/>
      <c r="P134" s="339"/>
    </row>
    <row r="135" spans="1:16" ht="33">
      <c r="A135" s="503" t="s">
        <v>2161</v>
      </c>
      <c r="B135" s="504" t="s">
        <v>534</v>
      </c>
      <c r="C135" s="505" t="s">
        <v>13</v>
      </c>
      <c r="D135" s="506">
        <v>450.04</v>
      </c>
      <c r="E135" s="506">
        <f>估驗單!F127</f>
        <v>484.31400000000008</v>
      </c>
      <c r="F135" s="507">
        <f t="shared" si="8"/>
        <v>34.274000000000058</v>
      </c>
      <c r="G135" s="506">
        <v>982.93</v>
      </c>
      <c r="H135" s="506"/>
      <c r="I135" s="506">
        <f t="shared" si="11"/>
        <v>442357.82</v>
      </c>
      <c r="J135" s="506">
        <f t="shared" si="12"/>
        <v>476046.76</v>
      </c>
      <c r="K135" s="547">
        <f t="shared" si="7"/>
        <v>33688.94</v>
      </c>
      <c r="L135" s="510"/>
      <c r="M135" s="508"/>
      <c r="N135" s="11" t="s">
        <v>243</v>
      </c>
      <c r="O135" s="341"/>
      <c r="P135" s="339"/>
    </row>
    <row r="136" spans="1:16" ht="33">
      <c r="A136" s="333" t="s">
        <v>2162</v>
      </c>
      <c r="B136" s="334" t="s">
        <v>536</v>
      </c>
      <c r="C136" s="335" t="s">
        <v>13</v>
      </c>
      <c r="D136" s="336">
        <v>28.27</v>
      </c>
      <c r="E136" s="336">
        <f>估驗單!F128</f>
        <v>42.534999999999997</v>
      </c>
      <c r="F136" s="390">
        <f t="shared" si="8"/>
        <v>14.264999999999997</v>
      </c>
      <c r="G136" s="336">
        <v>804.75</v>
      </c>
      <c r="H136" s="336"/>
      <c r="I136" s="336">
        <f t="shared" si="11"/>
        <v>22750.28</v>
      </c>
      <c r="J136" s="336">
        <f t="shared" si="12"/>
        <v>34230.04</v>
      </c>
      <c r="K136" s="546">
        <f t="shared" si="7"/>
        <v>11479.760000000002</v>
      </c>
      <c r="L136" s="502"/>
      <c r="M136" s="231"/>
      <c r="N136" s="11" t="s">
        <v>243</v>
      </c>
      <c r="O136" s="341"/>
      <c r="P136" s="339"/>
    </row>
    <row r="137" spans="1:16" ht="33" hidden="1">
      <c r="A137" s="333" t="s">
        <v>2163</v>
      </c>
      <c r="B137" s="334" t="s">
        <v>538</v>
      </c>
      <c r="C137" s="335" t="s">
        <v>539</v>
      </c>
      <c r="D137" s="336">
        <v>25655</v>
      </c>
      <c r="E137" s="336">
        <f>估驗單!F129</f>
        <v>25655</v>
      </c>
      <c r="F137" s="390">
        <f t="shared" si="8"/>
        <v>0</v>
      </c>
      <c r="G137" s="336">
        <v>75</v>
      </c>
      <c r="H137" s="336"/>
      <c r="I137" s="336">
        <f t="shared" si="11"/>
        <v>1924125</v>
      </c>
      <c r="J137" s="336">
        <f t="shared" si="12"/>
        <v>1924125</v>
      </c>
      <c r="K137" s="546">
        <f t="shared" si="7"/>
        <v>0</v>
      </c>
      <c r="L137" s="502"/>
      <c r="M137" s="231" t="s">
        <v>242</v>
      </c>
      <c r="N137" s="11" t="s">
        <v>243</v>
      </c>
      <c r="O137" s="341"/>
      <c r="P137" s="339"/>
    </row>
    <row r="138" spans="1:16" ht="42.75" hidden="1">
      <c r="A138" s="333" t="s">
        <v>2164</v>
      </c>
      <c r="B138" s="334" t="s">
        <v>321</v>
      </c>
      <c r="C138" s="335" t="s">
        <v>17</v>
      </c>
      <c r="D138" s="336">
        <v>3691</v>
      </c>
      <c r="E138" s="336">
        <f>估驗單!F130</f>
        <v>3691</v>
      </c>
      <c r="F138" s="390">
        <f t="shared" si="8"/>
        <v>0</v>
      </c>
      <c r="G138" s="336">
        <v>60</v>
      </c>
      <c r="H138" s="336"/>
      <c r="I138" s="336">
        <f t="shared" si="11"/>
        <v>221460</v>
      </c>
      <c r="J138" s="336">
        <f t="shared" si="12"/>
        <v>221460</v>
      </c>
      <c r="K138" s="546">
        <f t="shared" si="7"/>
        <v>0</v>
      </c>
      <c r="L138" s="502"/>
      <c r="M138" s="231" t="s">
        <v>2337</v>
      </c>
      <c r="N138" s="11" t="s">
        <v>243</v>
      </c>
      <c r="O138" s="341"/>
      <c r="P138" s="339"/>
    </row>
    <row r="139" spans="1:16" ht="33" hidden="1">
      <c r="A139" s="333" t="s">
        <v>2165</v>
      </c>
      <c r="B139" s="334" t="s">
        <v>323</v>
      </c>
      <c r="C139" s="335" t="s">
        <v>17</v>
      </c>
      <c r="D139" s="336">
        <v>3691</v>
      </c>
      <c r="E139" s="336">
        <f>估驗單!F131</f>
        <v>3691</v>
      </c>
      <c r="F139" s="390">
        <f t="shared" si="8"/>
        <v>0</v>
      </c>
      <c r="G139" s="336">
        <v>31.9</v>
      </c>
      <c r="H139" s="336"/>
      <c r="I139" s="336">
        <f t="shared" si="11"/>
        <v>117742.9</v>
      </c>
      <c r="J139" s="336">
        <f t="shared" si="12"/>
        <v>117742.9</v>
      </c>
      <c r="K139" s="546">
        <f t="shared" si="7"/>
        <v>0</v>
      </c>
      <c r="L139" s="502"/>
      <c r="M139" s="231" t="s">
        <v>242</v>
      </c>
      <c r="N139" s="11" t="s">
        <v>243</v>
      </c>
      <c r="O139" s="341"/>
      <c r="P139" s="339"/>
    </row>
    <row r="140" spans="1:16" ht="33" hidden="1">
      <c r="A140" s="333" t="s">
        <v>2166</v>
      </c>
      <c r="B140" s="334" t="s">
        <v>542</v>
      </c>
      <c r="C140" s="335" t="s">
        <v>17</v>
      </c>
      <c r="D140" s="336">
        <v>2162</v>
      </c>
      <c r="E140" s="336">
        <f>估驗單!F132</f>
        <v>2162</v>
      </c>
      <c r="F140" s="390">
        <f t="shared" si="8"/>
        <v>0</v>
      </c>
      <c r="G140" s="336">
        <v>278.08</v>
      </c>
      <c r="H140" s="336"/>
      <c r="I140" s="336">
        <f t="shared" si="11"/>
        <v>601208.96</v>
      </c>
      <c r="J140" s="336">
        <f t="shared" si="12"/>
        <v>601208.96</v>
      </c>
      <c r="K140" s="546">
        <f t="shared" si="7"/>
        <v>0</v>
      </c>
      <c r="L140" s="502"/>
      <c r="M140" s="231" t="s">
        <v>242</v>
      </c>
      <c r="N140" s="11" t="s">
        <v>243</v>
      </c>
      <c r="O140" s="341"/>
      <c r="P140" s="339"/>
    </row>
    <row r="141" spans="1:16" ht="33" hidden="1">
      <c r="A141" s="333" t="s">
        <v>2167</v>
      </c>
      <c r="B141" s="334" t="s">
        <v>544</v>
      </c>
      <c r="C141" s="335" t="s">
        <v>13</v>
      </c>
      <c r="D141" s="336">
        <v>99.7</v>
      </c>
      <c r="E141" s="336">
        <f>估驗單!F133</f>
        <v>99.7</v>
      </c>
      <c r="F141" s="390">
        <f t="shared" si="8"/>
        <v>0</v>
      </c>
      <c r="G141" s="336">
        <v>1399.92</v>
      </c>
      <c r="H141" s="336"/>
      <c r="I141" s="336">
        <f t="shared" si="11"/>
        <v>139572.01999999999</v>
      </c>
      <c r="J141" s="336">
        <f t="shared" si="12"/>
        <v>139572.01999999999</v>
      </c>
      <c r="K141" s="546">
        <f t="shared" si="7"/>
        <v>0</v>
      </c>
      <c r="L141" s="502"/>
      <c r="M141" s="231" t="s">
        <v>2321</v>
      </c>
      <c r="N141" s="11" t="s">
        <v>243</v>
      </c>
      <c r="O141" s="341"/>
      <c r="P141" s="339"/>
    </row>
    <row r="142" spans="1:16" ht="57" hidden="1">
      <c r="A142" s="503" t="s">
        <v>2168</v>
      </c>
      <c r="B142" s="504" t="s">
        <v>325</v>
      </c>
      <c r="C142" s="505" t="s">
        <v>17</v>
      </c>
      <c r="D142" s="506">
        <v>95900</v>
      </c>
      <c r="E142" s="506">
        <f>估驗單!F134</f>
        <v>96604.35</v>
      </c>
      <c r="F142" s="507">
        <f t="shared" si="8"/>
        <v>704.35000000000582</v>
      </c>
      <c r="G142" s="506">
        <v>107.3</v>
      </c>
      <c r="H142" s="506"/>
      <c r="I142" s="506">
        <f t="shared" si="11"/>
        <v>10290070</v>
      </c>
      <c r="J142" s="506">
        <f t="shared" si="12"/>
        <v>10365646.76</v>
      </c>
      <c r="K142" s="547">
        <f t="shared" ref="K142:K206" si="13">J142-I142</f>
        <v>75576.759999999776</v>
      </c>
      <c r="L142" s="510"/>
      <c r="M142" s="508" t="s">
        <v>2337</v>
      </c>
      <c r="N142" s="11" t="s">
        <v>243</v>
      </c>
      <c r="O142" s="341"/>
      <c r="P142" s="339"/>
    </row>
    <row r="143" spans="1:16" ht="42.75" hidden="1">
      <c r="A143" s="503" t="s">
        <v>2169</v>
      </c>
      <c r="B143" s="504" t="s">
        <v>222</v>
      </c>
      <c r="C143" s="505" t="s">
        <v>13</v>
      </c>
      <c r="D143" s="506">
        <v>438.86</v>
      </c>
      <c r="E143" s="506">
        <f>估驗單!F135</f>
        <v>611.66</v>
      </c>
      <c r="F143" s="507">
        <f t="shared" si="8"/>
        <v>172.79999999999995</v>
      </c>
      <c r="G143" s="506">
        <v>692.12</v>
      </c>
      <c r="H143" s="506"/>
      <c r="I143" s="506">
        <f t="shared" si="11"/>
        <v>303743.78000000003</v>
      </c>
      <c r="J143" s="506">
        <f t="shared" si="12"/>
        <v>423342.12</v>
      </c>
      <c r="K143" s="547">
        <f t="shared" si="13"/>
        <v>119598.33999999997</v>
      </c>
      <c r="L143" s="510"/>
      <c r="M143" s="508" t="s">
        <v>2345</v>
      </c>
      <c r="N143" s="11" t="s">
        <v>243</v>
      </c>
      <c r="O143" s="341"/>
      <c r="P143" s="339"/>
    </row>
    <row r="144" spans="1:16" ht="33" hidden="1">
      <c r="A144" s="333" t="s">
        <v>2170</v>
      </c>
      <c r="B144" s="334" t="s">
        <v>194</v>
      </c>
      <c r="C144" s="335" t="s">
        <v>23</v>
      </c>
      <c r="D144" s="336">
        <v>342.71</v>
      </c>
      <c r="E144" s="336">
        <f>估驗單!F136</f>
        <v>342.71</v>
      </c>
      <c r="F144" s="390">
        <f t="shared" si="8"/>
        <v>0</v>
      </c>
      <c r="G144" s="336">
        <v>48.28</v>
      </c>
      <c r="H144" s="336"/>
      <c r="I144" s="336">
        <f t="shared" si="11"/>
        <v>16546.04</v>
      </c>
      <c r="J144" s="336">
        <f t="shared" si="12"/>
        <v>16546.04</v>
      </c>
      <c r="K144" s="546">
        <f t="shared" si="13"/>
        <v>0</v>
      </c>
      <c r="L144" s="502"/>
      <c r="M144" s="231" t="s">
        <v>242</v>
      </c>
      <c r="N144" s="11" t="s">
        <v>243</v>
      </c>
      <c r="O144" s="341"/>
      <c r="P144" s="339"/>
    </row>
    <row r="145" spans="1:16" ht="33" hidden="1">
      <c r="A145" s="333" t="s">
        <v>2171</v>
      </c>
      <c r="B145" s="334" t="s">
        <v>205</v>
      </c>
      <c r="C145" s="335" t="s">
        <v>23</v>
      </c>
      <c r="D145" s="336">
        <v>231.09</v>
      </c>
      <c r="E145" s="336">
        <f>估驗單!F137</f>
        <v>0</v>
      </c>
      <c r="F145" s="390">
        <f t="shared" si="8"/>
        <v>-231.09</v>
      </c>
      <c r="G145" s="336">
        <v>721.02</v>
      </c>
      <c r="H145" s="336"/>
      <c r="I145" s="336">
        <f t="shared" si="11"/>
        <v>166620.51</v>
      </c>
      <c r="J145" s="336">
        <f t="shared" si="12"/>
        <v>0</v>
      </c>
      <c r="K145" s="546">
        <f t="shared" si="13"/>
        <v>-166620.51</v>
      </c>
      <c r="L145" s="502"/>
      <c r="M145" s="231" t="s">
        <v>242</v>
      </c>
      <c r="N145" s="11" t="s">
        <v>243</v>
      </c>
      <c r="O145" s="341"/>
      <c r="P145" s="339"/>
    </row>
    <row r="146" spans="1:16" ht="33" hidden="1">
      <c r="A146" s="333" t="s">
        <v>2172</v>
      </c>
      <c r="B146" s="334" t="s">
        <v>548</v>
      </c>
      <c r="C146" s="335" t="s">
        <v>13</v>
      </c>
      <c r="D146" s="336">
        <v>27956</v>
      </c>
      <c r="E146" s="336">
        <f>估驗單!F138</f>
        <v>27956</v>
      </c>
      <c r="F146" s="390">
        <f t="shared" si="8"/>
        <v>0</v>
      </c>
      <c r="G146" s="336">
        <v>28</v>
      </c>
      <c r="H146" s="336"/>
      <c r="I146" s="336">
        <f t="shared" si="11"/>
        <v>782768</v>
      </c>
      <c r="J146" s="336">
        <f t="shared" si="12"/>
        <v>782768</v>
      </c>
      <c r="K146" s="546">
        <f t="shared" si="13"/>
        <v>0</v>
      </c>
      <c r="L146" s="502"/>
      <c r="M146" s="231" t="s">
        <v>2321</v>
      </c>
      <c r="N146" s="11" t="s">
        <v>243</v>
      </c>
      <c r="O146" s="341"/>
      <c r="P146" s="339"/>
    </row>
    <row r="147" spans="1:16" ht="42.75" hidden="1">
      <c r="A147" s="333" t="s">
        <v>2173</v>
      </c>
      <c r="B147" s="334" t="s">
        <v>2242</v>
      </c>
      <c r="C147" s="335" t="s">
        <v>8</v>
      </c>
      <c r="D147" s="336">
        <v>322</v>
      </c>
      <c r="E147" s="336">
        <f>估驗單!F139</f>
        <v>322</v>
      </c>
      <c r="F147" s="390">
        <f t="shared" si="8"/>
        <v>0</v>
      </c>
      <c r="G147" s="336">
        <v>19011.37</v>
      </c>
      <c r="H147" s="336"/>
      <c r="I147" s="336">
        <f t="shared" si="11"/>
        <v>6121661.1399999997</v>
      </c>
      <c r="J147" s="336">
        <f t="shared" si="12"/>
        <v>6121661.1399999997</v>
      </c>
      <c r="K147" s="546">
        <f t="shared" si="13"/>
        <v>0</v>
      </c>
      <c r="L147" s="502"/>
      <c r="M147" s="231" t="s">
        <v>2334</v>
      </c>
      <c r="N147" s="11" t="s">
        <v>243</v>
      </c>
      <c r="O147" s="341"/>
      <c r="P147" s="339"/>
    </row>
    <row r="148" spans="1:16" ht="33" hidden="1">
      <c r="A148" s="333" t="s">
        <v>2174</v>
      </c>
      <c r="B148" s="334" t="s">
        <v>552</v>
      </c>
      <c r="C148" s="335" t="s">
        <v>13</v>
      </c>
      <c r="D148" s="336">
        <v>100</v>
      </c>
      <c r="E148" s="336">
        <f>估驗單!F140</f>
        <v>100</v>
      </c>
      <c r="F148" s="390">
        <f t="shared" si="8"/>
        <v>0</v>
      </c>
      <c r="G148" s="336">
        <v>373.08</v>
      </c>
      <c r="H148" s="336"/>
      <c r="I148" s="336">
        <f t="shared" si="11"/>
        <v>37308</v>
      </c>
      <c r="J148" s="336">
        <f t="shared" si="12"/>
        <v>37308</v>
      </c>
      <c r="K148" s="546">
        <f t="shared" si="13"/>
        <v>0</v>
      </c>
      <c r="L148" s="502"/>
      <c r="M148" s="231" t="s">
        <v>242</v>
      </c>
      <c r="N148" s="11" t="s">
        <v>243</v>
      </c>
      <c r="O148" s="341"/>
      <c r="P148" s="339"/>
    </row>
    <row r="149" spans="1:16" ht="33" hidden="1">
      <c r="A149" s="333" t="s">
        <v>2175</v>
      </c>
      <c r="B149" s="334" t="s">
        <v>554</v>
      </c>
      <c r="C149" s="335" t="s">
        <v>13</v>
      </c>
      <c r="D149" s="336">
        <v>83</v>
      </c>
      <c r="E149" s="336">
        <f>估驗單!F141</f>
        <v>83</v>
      </c>
      <c r="F149" s="390">
        <f t="shared" si="8"/>
        <v>0</v>
      </c>
      <c r="G149" s="336">
        <v>616.49</v>
      </c>
      <c r="H149" s="336"/>
      <c r="I149" s="336">
        <f t="shared" si="11"/>
        <v>51168.67</v>
      </c>
      <c r="J149" s="336">
        <f t="shared" si="12"/>
        <v>51168.67</v>
      </c>
      <c r="K149" s="546">
        <f t="shared" si="13"/>
        <v>0</v>
      </c>
      <c r="L149" s="502"/>
      <c r="M149" s="231" t="s">
        <v>242</v>
      </c>
      <c r="N149" s="11" t="s">
        <v>243</v>
      </c>
      <c r="O149" s="341"/>
      <c r="P149" s="339"/>
    </row>
    <row r="150" spans="1:16" ht="33" hidden="1">
      <c r="A150" s="333" t="s">
        <v>2177</v>
      </c>
      <c r="B150" s="334" t="s">
        <v>556</v>
      </c>
      <c r="C150" s="335" t="s">
        <v>13</v>
      </c>
      <c r="D150" s="336">
        <v>2.1</v>
      </c>
      <c r="E150" s="336">
        <f>估驗單!F142</f>
        <v>2.1</v>
      </c>
      <c r="F150" s="390">
        <f t="shared" si="8"/>
        <v>0</v>
      </c>
      <c r="G150" s="336">
        <v>1874.26</v>
      </c>
      <c r="H150" s="336"/>
      <c r="I150" s="336">
        <f t="shared" si="11"/>
        <v>3935.95</v>
      </c>
      <c r="J150" s="336">
        <f t="shared" si="12"/>
        <v>3935.95</v>
      </c>
      <c r="K150" s="546">
        <f t="shared" si="13"/>
        <v>0</v>
      </c>
      <c r="L150" s="502"/>
      <c r="M150" s="231" t="s">
        <v>242</v>
      </c>
      <c r="N150" s="11" t="s">
        <v>243</v>
      </c>
      <c r="O150" s="341"/>
      <c r="P150" s="339"/>
    </row>
    <row r="151" spans="1:16" ht="33" hidden="1">
      <c r="A151" s="333" t="s">
        <v>2178</v>
      </c>
      <c r="B151" s="334" t="s">
        <v>558</v>
      </c>
      <c r="C151" s="335" t="s">
        <v>8</v>
      </c>
      <c r="D151" s="336">
        <v>62</v>
      </c>
      <c r="E151" s="336">
        <f>估驗單!F143</f>
        <v>62</v>
      </c>
      <c r="F151" s="390">
        <f t="shared" si="8"/>
        <v>0</v>
      </c>
      <c r="G151" s="336">
        <v>2388.4299999999998</v>
      </c>
      <c r="H151" s="336"/>
      <c r="I151" s="336">
        <f t="shared" si="11"/>
        <v>148082.66</v>
      </c>
      <c r="J151" s="336">
        <f t="shared" si="12"/>
        <v>148082.66</v>
      </c>
      <c r="K151" s="546">
        <f t="shared" si="13"/>
        <v>0</v>
      </c>
      <c r="L151" s="502"/>
      <c r="M151" s="231" t="s">
        <v>2321</v>
      </c>
      <c r="N151" s="11" t="s">
        <v>243</v>
      </c>
      <c r="O151" s="341"/>
      <c r="P151" s="339"/>
    </row>
    <row r="152" spans="1:16" ht="33" hidden="1">
      <c r="A152" s="333" t="s">
        <v>2179</v>
      </c>
      <c r="B152" s="334" t="s">
        <v>560</v>
      </c>
      <c r="C152" s="335" t="s">
        <v>8</v>
      </c>
      <c r="D152" s="336">
        <v>33</v>
      </c>
      <c r="E152" s="336">
        <f>估驗單!F144</f>
        <v>33</v>
      </c>
      <c r="F152" s="390">
        <f t="shared" si="8"/>
        <v>0</v>
      </c>
      <c r="G152" s="336">
        <v>12777.68</v>
      </c>
      <c r="H152" s="336"/>
      <c r="I152" s="336">
        <f t="shared" si="11"/>
        <v>421663.44</v>
      </c>
      <c r="J152" s="336">
        <f t="shared" si="12"/>
        <v>421663.44</v>
      </c>
      <c r="K152" s="546">
        <f t="shared" si="13"/>
        <v>0</v>
      </c>
      <c r="L152" s="502"/>
      <c r="M152" s="231" t="s">
        <v>2321</v>
      </c>
      <c r="N152" s="11" t="s">
        <v>243</v>
      </c>
      <c r="O152" s="341"/>
      <c r="P152" s="339"/>
    </row>
    <row r="153" spans="1:16" ht="33" hidden="1">
      <c r="A153" s="333" t="s">
        <v>2181</v>
      </c>
      <c r="B153" s="334" t="s">
        <v>562</v>
      </c>
      <c r="C153" s="335" t="s">
        <v>8</v>
      </c>
      <c r="D153" s="336">
        <v>32.6</v>
      </c>
      <c r="E153" s="336">
        <f>估驗單!F145</f>
        <v>32.6</v>
      </c>
      <c r="F153" s="390">
        <f t="shared" si="8"/>
        <v>0</v>
      </c>
      <c r="G153" s="336">
        <v>71914.34</v>
      </c>
      <c r="H153" s="336"/>
      <c r="I153" s="336">
        <f t="shared" si="11"/>
        <v>2344407.48</v>
      </c>
      <c r="J153" s="336">
        <f t="shared" si="12"/>
        <v>2344407.48</v>
      </c>
      <c r="K153" s="546">
        <f t="shared" si="13"/>
        <v>0</v>
      </c>
      <c r="L153" s="502"/>
      <c r="M153" s="231" t="s">
        <v>2321</v>
      </c>
      <c r="N153" s="11" t="s">
        <v>243</v>
      </c>
      <c r="O153" s="341"/>
      <c r="P153" s="339"/>
    </row>
    <row r="154" spans="1:16" ht="33" hidden="1">
      <c r="A154" s="333" t="s">
        <v>2182</v>
      </c>
      <c r="B154" s="334" t="s">
        <v>564</v>
      </c>
      <c r="C154" s="335" t="s">
        <v>8</v>
      </c>
      <c r="D154" s="336">
        <v>32.6</v>
      </c>
      <c r="E154" s="336">
        <f>估驗單!F146</f>
        <v>32.6</v>
      </c>
      <c r="F154" s="390">
        <f t="shared" si="8"/>
        <v>0</v>
      </c>
      <c r="G154" s="336">
        <v>189793.78</v>
      </c>
      <c r="H154" s="336"/>
      <c r="I154" s="336">
        <f t="shared" si="11"/>
        <v>6187277.2300000004</v>
      </c>
      <c r="J154" s="336">
        <f t="shared" si="12"/>
        <v>6187277.2300000004</v>
      </c>
      <c r="K154" s="546">
        <f t="shared" si="13"/>
        <v>0</v>
      </c>
      <c r="L154" s="502"/>
      <c r="M154" s="231" t="s">
        <v>2321</v>
      </c>
      <c r="N154" s="11" t="s">
        <v>243</v>
      </c>
      <c r="O154" s="341"/>
      <c r="P154" s="339"/>
    </row>
    <row r="155" spans="1:16" ht="33" hidden="1">
      <c r="A155" s="333" t="s">
        <v>2183</v>
      </c>
      <c r="B155" s="334" t="s">
        <v>567</v>
      </c>
      <c r="C155" s="335" t="s">
        <v>0</v>
      </c>
      <c r="D155" s="336">
        <v>1</v>
      </c>
      <c r="E155" s="336">
        <f>估驗單!F147</f>
        <v>1</v>
      </c>
      <c r="F155" s="390">
        <f t="shared" si="8"/>
        <v>0</v>
      </c>
      <c r="G155" s="336">
        <v>78208.240000000005</v>
      </c>
      <c r="H155" s="336"/>
      <c r="I155" s="336">
        <f t="shared" si="11"/>
        <v>78208.240000000005</v>
      </c>
      <c r="J155" s="336">
        <f t="shared" si="12"/>
        <v>78208.240000000005</v>
      </c>
      <c r="K155" s="546">
        <f t="shared" si="13"/>
        <v>0</v>
      </c>
      <c r="L155" s="502"/>
      <c r="M155" s="231" t="s">
        <v>2321</v>
      </c>
      <c r="N155" s="11" t="s">
        <v>243</v>
      </c>
      <c r="O155" s="341"/>
      <c r="P155" s="339"/>
    </row>
    <row r="156" spans="1:16" ht="33" hidden="1">
      <c r="A156" s="333" t="s">
        <v>2184</v>
      </c>
      <c r="B156" s="334" t="s">
        <v>570</v>
      </c>
      <c r="C156" s="335" t="s">
        <v>8</v>
      </c>
      <c r="D156" s="336">
        <v>9.6</v>
      </c>
      <c r="E156" s="336">
        <f>估驗單!F148</f>
        <v>9.6</v>
      </c>
      <c r="F156" s="390">
        <f t="shared" si="8"/>
        <v>0</v>
      </c>
      <c r="G156" s="336">
        <v>4213.4799999999996</v>
      </c>
      <c r="H156" s="336"/>
      <c r="I156" s="336">
        <f t="shared" si="11"/>
        <v>40449.410000000003</v>
      </c>
      <c r="J156" s="336">
        <f t="shared" si="12"/>
        <v>40449.410000000003</v>
      </c>
      <c r="K156" s="546">
        <f t="shared" si="13"/>
        <v>0</v>
      </c>
      <c r="L156" s="502"/>
      <c r="M156" s="231" t="s">
        <v>2321</v>
      </c>
      <c r="N156" s="11" t="s">
        <v>243</v>
      </c>
      <c r="O156" s="341"/>
      <c r="P156" s="339"/>
    </row>
    <row r="157" spans="1:16" ht="33" hidden="1">
      <c r="A157" s="333" t="s">
        <v>2185</v>
      </c>
      <c r="B157" s="334" t="s">
        <v>573</v>
      </c>
      <c r="C157" s="335" t="s">
        <v>0</v>
      </c>
      <c r="D157" s="336">
        <v>1</v>
      </c>
      <c r="E157" s="336">
        <f>估驗單!F149</f>
        <v>1</v>
      </c>
      <c r="F157" s="390">
        <f t="shared" si="8"/>
        <v>0</v>
      </c>
      <c r="G157" s="336">
        <v>2005.23</v>
      </c>
      <c r="H157" s="336"/>
      <c r="I157" s="336">
        <f t="shared" si="11"/>
        <v>2005.23</v>
      </c>
      <c r="J157" s="336">
        <f t="shared" si="12"/>
        <v>2005.23</v>
      </c>
      <c r="K157" s="546">
        <f t="shared" si="13"/>
        <v>0</v>
      </c>
      <c r="L157" s="502"/>
      <c r="M157" s="231" t="s">
        <v>242</v>
      </c>
      <c r="N157" s="11" t="s">
        <v>243</v>
      </c>
      <c r="O157" s="341"/>
      <c r="P157" s="339"/>
    </row>
    <row r="158" spans="1:16" ht="33" hidden="1">
      <c r="A158" s="333" t="s">
        <v>2186</v>
      </c>
      <c r="B158" s="334" t="s">
        <v>576</v>
      </c>
      <c r="C158" s="335" t="s">
        <v>8</v>
      </c>
      <c r="D158" s="336">
        <v>32.6</v>
      </c>
      <c r="E158" s="336">
        <f>估驗單!F150</f>
        <v>32.6</v>
      </c>
      <c r="F158" s="390">
        <f t="shared" ref="F158:F222" si="14">E158-D158</f>
        <v>0</v>
      </c>
      <c r="G158" s="336">
        <v>21727.78</v>
      </c>
      <c r="H158" s="336"/>
      <c r="I158" s="336">
        <f t="shared" si="11"/>
        <v>708325.63</v>
      </c>
      <c r="J158" s="336">
        <f t="shared" si="12"/>
        <v>708325.63</v>
      </c>
      <c r="K158" s="546">
        <f t="shared" si="13"/>
        <v>0</v>
      </c>
      <c r="L158" s="502"/>
      <c r="M158" s="231" t="s">
        <v>2321</v>
      </c>
      <c r="N158" s="11" t="s">
        <v>243</v>
      </c>
      <c r="O158" s="341"/>
      <c r="P158" s="339"/>
    </row>
    <row r="159" spans="1:16" ht="33" hidden="1">
      <c r="A159" s="333" t="s">
        <v>2187</v>
      </c>
      <c r="B159" s="334" t="s">
        <v>579</v>
      </c>
      <c r="C159" s="335" t="s">
        <v>8</v>
      </c>
      <c r="D159" s="336">
        <v>32.6</v>
      </c>
      <c r="E159" s="336">
        <f>估驗單!F151</f>
        <v>32.6</v>
      </c>
      <c r="F159" s="390">
        <f t="shared" si="14"/>
        <v>0</v>
      </c>
      <c r="G159" s="336">
        <v>15955.67</v>
      </c>
      <c r="H159" s="336"/>
      <c r="I159" s="336">
        <f t="shared" si="11"/>
        <v>520154.84</v>
      </c>
      <c r="J159" s="336">
        <f t="shared" si="12"/>
        <v>520154.84</v>
      </c>
      <c r="K159" s="546">
        <f t="shared" si="13"/>
        <v>0</v>
      </c>
      <c r="L159" s="502"/>
      <c r="M159" s="231" t="s">
        <v>2321</v>
      </c>
      <c r="N159" s="11" t="s">
        <v>243</v>
      </c>
      <c r="O159" s="341"/>
      <c r="P159" s="339"/>
    </row>
    <row r="160" spans="1:16" ht="33" hidden="1">
      <c r="A160" s="333" t="s">
        <v>2188</v>
      </c>
      <c r="B160" s="334" t="s">
        <v>582</v>
      </c>
      <c r="C160" s="335" t="s">
        <v>583</v>
      </c>
      <c r="D160" s="336">
        <v>4</v>
      </c>
      <c r="E160" s="336">
        <f>估驗單!F152</f>
        <v>4</v>
      </c>
      <c r="F160" s="390">
        <f t="shared" si="14"/>
        <v>0</v>
      </c>
      <c r="G160" s="336">
        <v>299.98</v>
      </c>
      <c r="H160" s="336"/>
      <c r="I160" s="336">
        <f t="shared" si="11"/>
        <v>1199.92</v>
      </c>
      <c r="J160" s="336">
        <f t="shared" si="12"/>
        <v>1199.92</v>
      </c>
      <c r="K160" s="546">
        <f t="shared" si="13"/>
        <v>0</v>
      </c>
      <c r="L160" s="502"/>
      <c r="M160" s="231" t="s">
        <v>242</v>
      </c>
      <c r="N160" s="11" t="s">
        <v>243</v>
      </c>
      <c r="O160" s="341"/>
      <c r="P160" s="339"/>
    </row>
    <row r="161" spans="1:19" ht="33" hidden="1">
      <c r="A161" s="343" t="s">
        <v>2189</v>
      </c>
      <c r="B161" s="344" t="s">
        <v>2346</v>
      </c>
      <c r="C161" s="345" t="s">
        <v>8</v>
      </c>
      <c r="D161" s="340">
        <v>4.8</v>
      </c>
      <c r="E161" s="336">
        <f>估驗單!F153</f>
        <v>4.8</v>
      </c>
      <c r="F161" s="390">
        <f t="shared" si="14"/>
        <v>0</v>
      </c>
      <c r="G161" s="340">
        <v>119.99</v>
      </c>
      <c r="H161" s="340"/>
      <c r="I161" s="336">
        <f t="shared" si="11"/>
        <v>575.95000000000005</v>
      </c>
      <c r="J161" s="336">
        <f t="shared" si="12"/>
        <v>575.95000000000005</v>
      </c>
      <c r="K161" s="546">
        <f t="shared" si="13"/>
        <v>0</v>
      </c>
      <c r="L161" s="502"/>
      <c r="M161" s="346" t="s">
        <v>2321</v>
      </c>
      <c r="N161" s="347" t="s">
        <v>243</v>
      </c>
      <c r="O161" s="354"/>
      <c r="P161" s="322"/>
    </row>
    <row r="162" spans="1:19" ht="33" hidden="1">
      <c r="A162" s="333" t="s">
        <v>2190</v>
      </c>
      <c r="B162" s="334" t="s">
        <v>589</v>
      </c>
      <c r="C162" s="335" t="s">
        <v>0</v>
      </c>
      <c r="D162" s="336">
        <v>1</v>
      </c>
      <c r="E162" s="336">
        <f>估驗單!F154</f>
        <v>1</v>
      </c>
      <c r="F162" s="390">
        <f t="shared" si="14"/>
        <v>0</v>
      </c>
      <c r="G162" s="336">
        <v>849172.02</v>
      </c>
      <c r="H162" s="336"/>
      <c r="I162" s="336">
        <f t="shared" si="11"/>
        <v>849172.02</v>
      </c>
      <c r="J162" s="336">
        <f t="shared" si="12"/>
        <v>849172.02</v>
      </c>
      <c r="K162" s="546">
        <f t="shared" si="13"/>
        <v>0</v>
      </c>
      <c r="L162" s="502"/>
      <c r="M162" s="231" t="s">
        <v>242</v>
      </c>
      <c r="N162" s="11" t="s">
        <v>243</v>
      </c>
      <c r="O162" s="341"/>
      <c r="P162" s="339"/>
    </row>
    <row r="163" spans="1:19" ht="33" hidden="1">
      <c r="A163" s="333" t="s">
        <v>2191</v>
      </c>
      <c r="B163" s="334" t="s">
        <v>592</v>
      </c>
      <c r="C163" s="335" t="s">
        <v>0</v>
      </c>
      <c r="D163" s="336">
        <v>1</v>
      </c>
      <c r="E163" s="336">
        <f>估驗單!F155</f>
        <v>1</v>
      </c>
      <c r="F163" s="390">
        <f t="shared" si="14"/>
        <v>0</v>
      </c>
      <c r="G163" s="336">
        <v>2066157.04</v>
      </c>
      <c r="H163" s="336"/>
      <c r="I163" s="336">
        <f t="shared" si="11"/>
        <v>2066157.04</v>
      </c>
      <c r="J163" s="336">
        <f t="shared" si="12"/>
        <v>2066157.04</v>
      </c>
      <c r="K163" s="546">
        <f t="shared" si="13"/>
        <v>0</v>
      </c>
      <c r="L163" s="502"/>
      <c r="M163" s="231" t="s">
        <v>242</v>
      </c>
      <c r="N163" s="11" t="s">
        <v>243</v>
      </c>
      <c r="O163" s="341"/>
      <c r="P163" s="339"/>
    </row>
    <row r="164" spans="1:19" ht="33" hidden="1" customHeight="1">
      <c r="A164" s="333" t="s">
        <v>2192</v>
      </c>
      <c r="B164" s="334" t="s">
        <v>1360</v>
      </c>
      <c r="C164" s="335" t="s">
        <v>606</v>
      </c>
      <c r="D164" s="336">
        <v>2</v>
      </c>
      <c r="E164" s="336">
        <f>估驗單!F156</f>
        <v>2</v>
      </c>
      <c r="F164" s="390">
        <f t="shared" si="14"/>
        <v>0</v>
      </c>
      <c r="G164" s="336">
        <v>201796.15</v>
      </c>
      <c r="H164" s="336"/>
      <c r="I164" s="336">
        <f t="shared" si="11"/>
        <v>403592.3</v>
      </c>
      <c r="J164" s="336">
        <f t="shared" si="12"/>
        <v>403592.3</v>
      </c>
      <c r="K164" s="546">
        <f t="shared" si="13"/>
        <v>0</v>
      </c>
      <c r="L164" s="502"/>
      <c r="M164" s="231" t="s">
        <v>242</v>
      </c>
      <c r="N164" s="11" t="s">
        <v>243</v>
      </c>
      <c r="O164" s="341"/>
      <c r="P164" s="339"/>
    </row>
    <row r="165" spans="1:19" s="356" customFormat="1" ht="33" hidden="1" customHeight="1">
      <c r="A165" s="512">
        <v>38</v>
      </c>
      <c r="B165" s="513" t="s">
        <v>2347</v>
      </c>
      <c r="C165" s="514" t="s">
        <v>2348</v>
      </c>
      <c r="D165" s="515">
        <v>96850</v>
      </c>
      <c r="E165" s="506">
        <f>估驗單!F157</f>
        <v>96850</v>
      </c>
      <c r="F165" s="507">
        <f t="shared" si="14"/>
        <v>0</v>
      </c>
      <c r="G165" s="515">
        <v>16.21</v>
      </c>
      <c r="H165" s="515"/>
      <c r="I165" s="506">
        <f t="shared" si="11"/>
        <v>1569938.5</v>
      </c>
      <c r="J165" s="506">
        <f t="shared" si="12"/>
        <v>1569938.5</v>
      </c>
      <c r="K165" s="547">
        <f t="shared" si="13"/>
        <v>0</v>
      </c>
      <c r="L165" s="510"/>
      <c r="M165" s="516"/>
      <c r="N165" s="347"/>
      <c r="O165" s="517" t="s">
        <v>2617</v>
      </c>
      <c r="P165" s="349"/>
      <c r="Q165" s="325"/>
    </row>
    <row r="166" spans="1:19" s="359" customFormat="1" ht="33" hidden="1" customHeight="1">
      <c r="A166" s="343">
        <v>39</v>
      </c>
      <c r="B166" s="344" t="s">
        <v>2352</v>
      </c>
      <c r="C166" s="345" t="s">
        <v>2353</v>
      </c>
      <c r="D166" s="340">
        <v>18</v>
      </c>
      <c r="E166" s="336">
        <f>估驗單!F158</f>
        <v>18</v>
      </c>
      <c r="F166" s="390">
        <f t="shared" si="14"/>
        <v>0</v>
      </c>
      <c r="G166" s="340">
        <v>79587.17</v>
      </c>
      <c r="H166" s="340"/>
      <c r="I166" s="336">
        <f t="shared" si="11"/>
        <v>1432569.06</v>
      </c>
      <c r="J166" s="336">
        <f t="shared" si="12"/>
        <v>1432569.06</v>
      </c>
      <c r="K166" s="546">
        <f t="shared" si="13"/>
        <v>0</v>
      </c>
      <c r="L166" s="502"/>
      <c r="M166" s="346"/>
      <c r="N166" s="357"/>
      <c r="O166" s="355"/>
      <c r="P166" s="349"/>
      <c r="Q166" s="358"/>
      <c r="S166" s="359" t="s">
        <v>2357</v>
      </c>
    </row>
    <row r="167" spans="1:19" ht="33" hidden="1">
      <c r="A167" s="406" t="s">
        <v>2243</v>
      </c>
      <c r="B167" s="407" t="s">
        <v>594</v>
      </c>
      <c r="C167" s="408" t="s">
        <v>4</v>
      </c>
      <c r="D167" s="409"/>
      <c r="E167" s="409">
        <f>估驗單!F159</f>
        <v>0</v>
      </c>
      <c r="F167" s="410">
        <f t="shared" si="14"/>
        <v>0</v>
      </c>
      <c r="G167" s="409">
        <f>I167</f>
        <v>31407621.519999996</v>
      </c>
      <c r="H167" s="409"/>
      <c r="I167" s="448">
        <f>SUM(I168:I196)</f>
        <v>31407621.519999996</v>
      </c>
      <c r="J167" s="448">
        <f>SUM(J168:J196)</f>
        <v>34396999.619999997</v>
      </c>
      <c r="K167" s="543">
        <f>SUM(K168:K196)</f>
        <v>2989378.1</v>
      </c>
      <c r="L167" s="452">
        <f>SUM(L168:L196)</f>
        <v>0</v>
      </c>
      <c r="M167" s="288" t="s">
        <v>242</v>
      </c>
      <c r="N167" s="11" t="s">
        <v>243</v>
      </c>
      <c r="O167" s="338"/>
      <c r="P167" s="339"/>
    </row>
    <row r="168" spans="1:19" ht="33" hidden="1">
      <c r="A168" s="333" t="s">
        <v>2154</v>
      </c>
      <c r="B168" s="334" t="s">
        <v>315</v>
      </c>
      <c r="C168" s="335" t="s">
        <v>6</v>
      </c>
      <c r="D168" s="336">
        <v>22</v>
      </c>
      <c r="E168" s="336">
        <f>估驗單!F160</f>
        <v>22</v>
      </c>
      <c r="F168" s="390">
        <f t="shared" si="14"/>
        <v>0</v>
      </c>
      <c r="G168" s="336">
        <v>3114.97</v>
      </c>
      <c r="H168" s="336"/>
      <c r="I168" s="336">
        <f t="shared" ref="I168:I196" si="15">ROUND(D168*G168,2)</f>
        <v>68529.34</v>
      </c>
      <c r="J168" s="336">
        <f t="shared" ref="J168:J196" si="16">ROUND(E168*G168,2)</f>
        <v>68529.34</v>
      </c>
      <c r="K168" s="546">
        <f t="shared" si="13"/>
        <v>0</v>
      </c>
      <c r="L168" s="502"/>
      <c r="M168" s="231" t="s">
        <v>242</v>
      </c>
      <c r="N168" s="11" t="s">
        <v>243</v>
      </c>
      <c r="O168" s="341"/>
      <c r="P168" s="339"/>
    </row>
    <row r="169" spans="1:19" ht="33" hidden="1">
      <c r="A169" s="503" t="s">
        <v>2155</v>
      </c>
      <c r="B169" s="504" t="s">
        <v>24</v>
      </c>
      <c r="C169" s="505" t="s">
        <v>6</v>
      </c>
      <c r="D169" s="506">
        <v>302</v>
      </c>
      <c r="E169" s="506">
        <f>估驗單!F161</f>
        <v>302</v>
      </c>
      <c r="F169" s="519">
        <f t="shared" si="14"/>
        <v>0</v>
      </c>
      <c r="G169" s="506">
        <v>3320.96</v>
      </c>
      <c r="H169" s="506"/>
      <c r="I169" s="506">
        <f t="shared" si="15"/>
        <v>1002929.92</v>
      </c>
      <c r="J169" s="506">
        <f t="shared" si="16"/>
        <v>1002929.92</v>
      </c>
      <c r="K169" s="547"/>
      <c r="L169" s="519">
        <f>J169-I169</f>
        <v>0</v>
      </c>
      <c r="M169" s="520"/>
      <c r="N169" s="11" t="s">
        <v>243</v>
      </c>
      <c r="O169" s="338" t="s">
        <v>2620</v>
      </c>
      <c r="P169" s="339"/>
    </row>
    <row r="170" spans="1:19" ht="33" hidden="1">
      <c r="A170" s="333" t="s">
        <v>2156</v>
      </c>
      <c r="B170" s="334" t="s">
        <v>528</v>
      </c>
      <c r="C170" s="335" t="s">
        <v>6</v>
      </c>
      <c r="D170" s="336">
        <v>0</v>
      </c>
      <c r="E170" s="336">
        <f>估驗單!F162</f>
        <v>0</v>
      </c>
      <c r="F170" s="390">
        <f t="shared" si="14"/>
        <v>0</v>
      </c>
      <c r="G170" s="340">
        <v>3643.53</v>
      </c>
      <c r="H170" s="340"/>
      <c r="I170" s="336">
        <f t="shared" si="15"/>
        <v>0</v>
      </c>
      <c r="J170" s="336">
        <f t="shared" si="16"/>
        <v>0</v>
      </c>
      <c r="K170" s="546">
        <f t="shared" si="13"/>
        <v>0</v>
      </c>
      <c r="L170" s="502"/>
      <c r="M170" s="231" t="s">
        <v>242</v>
      </c>
      <c r="N170" s="11" t="s">
        <v>243</v>
      </c>
      <c r="O170" s="341" t="s">
        <v>2358</v>
      </c>
      <c r="P170" s="339"/>
      <c r="Q170" s="358" t="s">
        <v>2356</v>
      </c>
    </row>
    <row r="171" spans="1:19" ht="33" hidden="1">
      <c r="A171" s="503" t="s">
        <v>2157</v>
      </c>
      <c r="B171" s="504" t="s">
        <v>595</v>
      </c>
      <c r="C171" s="505" t="s">
        <v>6</v>
      </c>
      <c r="D171" s="506">
        <v>1090</v>
      </c>
      <c r="E171" s="506">
        <f>估驗單!F163</f>
        <v>1501.8982857142857</v>
      </c>
      <c r="F171" s="507">
        <f t="shared" si="14"/>
        <v>411.89828571428575</v>
      </c>
      <c r="G171" s="506">
        <v>199.99</v>
      </c>
      <c r="H171" s="506"/>
      <c r="I171" s="506">
        <f t="shared" si="15"/>
        <v>217989.1</v>
      </c>
      <c r="J171" s="506">
        <f t="shared" si="16"/>
        <v>300364.64</v>
      </c>
      <c r="K171" s="547">
        <f t="shared" si="13"/>
        <v>82375.540000000008</v>
      </c>
      <c r="L171" s="510"/>
      <c r="M171" s="508" t="s">
        <v>242</v>
      </c>
      <c r="N171" s="11" t="s">
        <v>243</v>
      </c>
      <c r="O171" s="341" t="s">
        <v>2618</v>
      </c>
      <c r="P171" s="339"/>
    </row>
    <row r="172" spans="1:19" ht="33">
      <c r="A172" s="503" t="s">
        <v>2158</v>
      </c>
      <c r="B172" s="504" t="s">
        <v>534</v>
      </c>
      <c r="C172" s="505" t="s">
        <v>13</v>
      </c>
      <c r="D172" s="506">
        <v>1203</v>
      </c>
      <c r="E172" s="506">
        <f>估驗單!F164</f>
        <v>1274.9890000000003</v>
      </c>
      <c r="F172" s="507">
        <f t="shared" si="14"/>
        <v>71.98900000000026</v>
      </c>
      <c r="G172" s="506">
        <v>982.93</v>
      </c>
      <c r="H172" s="506"/>
      <c r="I172" s="506">
        <f t="shared" si="15"/>
        <v>1182464.79</v>
      </c>
      <c r="J172" s="506">
        <f t="shared" si="16"/>
        <v>1253224.94</v>
      </c>
      <c r="K172" s="547">
        <f t="shared" si="13"/>
        <v>70760.149999999907</v>
      </c>
      <c r="L172" s="510"/>
      <c r="M172" s="508"/>
      <c r="N172" s="11" t="s">
        <v>243</v>
      </c>
      <c r="O172" s="341"/>
      <c r="P172" s="339"/>
    </row>
    <row r="173" spans="1:19" ht="16.5" hidden="1" customHeight="1">
      <c r="A173" s="503" t="s">
        <v>235</v>
      </c>
      <c r="B173" s="504" t="s">
        <v>2303</v>
      </c>
      <c r="C173" s="505" t="s">
        <v>237</v>
      </c>
      <c r="D173" s="506" t="s">
        <v>2605</v>
      </c>
      <c r="E173" s="506" t="s">
        <v>2602</v>
      </c>
      <c r="F173" s="507" t="s">
        <v>2305</v>
      </c>
      <c r="G173" s="506" t="s">
        <v>2306</v>
      </c>
      <c r="H173" s="506" t="s">
        <v>2307</v>
      </c>
      <c r="I173" s="506" t="s">
        <v>2308</v>
      </c>
      <c r="J173" s="506" t="s">
        <v>2612</v>
      </c>
      <c r="K173" s="547" t="s">
        <v>2309</v>
      </c>
      <c r="L173" s="510" t="s">
        <v>2310</v>
      </c>
      <c r="M173" s="508" t="s">
        <v>2311</v>
      </c>
      <c r="N173" s="11"/>
      <c r="O173" s="341"/>
      <c r="P173" s="339"/>
    </row>
    <row r="174" spans="1:19" ht="33" hidden="1" customHeight="1">
      <c r="A174" s="503"/>
      <c r="B174" s="504"/>
      <c r="C174" s="505"/>
      <c r="D174" s="506"/>
      <c r="E174" s="506"/>
      <c r="F174" s="507"/>
      <c r="G174" s="506"/>
      <c r="H174" s="506"/>
      <c r="I174" s="506"/>
      <c r="J174" s="506"/>
      <c r="K174" s="547"/>
      <c r="L174" s="510"/>
      <c r="M174" s="508"/>
      <c r="N174" s="11" t="s">
        <v>243</v>
      </c>
      <c r="O174" s="341"/>
      <c r="P174" s="339"/>
    </row>
    <row r="175" spans="1:19" ht="42.75" hidden="1" customHeight="1">
      <c r="A175" s="503" t="s">
        <v>2160</v>
      </c>
      <c r="B175" s="504" t="s">
        <v>192</v>
      </c>
      <c r="C175" s="505" t="s">
        <v>17</v>
      </c>
      <c r="D175" s="506">
        <v>13138</v>
      </c>
      <c r="E175" s="506">
        <f>估驗單!F166</f>
        <v>35217.512975700003</v>
      </c>
      <c r="F175" s="507">
        <f t="shared" si="14"/>
        <v>22079.512975700003</v>
      </c>
      <c r="G175" s="506">
        <v>36.4</v>
      </c>
      <c r="H175" s="506"/>
      <c r="I175" s="506">
        <f t="shared" si="15"/>
        <v>478223.2</v>
      </c>
      <c r="J175" s="506">
        <f t="shared" si="16"/>
        <v>1281917.47</v>
      </c>
      <c r="K175" s="547">
        <f t="shared" si="13"/>
        <v>803694.27</v>
      </c>
      <c r="L175" s="510"/>
      <c r="M175" s="508" t="s">
        <v>2334</v>
      </c>
      <c r="N175" s="11" t="s">
        <v>243</v>
      </c>
      <c r="O175" s="341"/>
      <c r="P175" s="339"/>
    </row>
    <row r="176" spans="1:19" ht="42.75" hidden="1" customHeight="1">
      <c r="A176" s="503" t="s">
        <v>2161</v>
      </c>
      <c r="B176" s="504" t="s">
        <v>530</v>
      </c>
      <c r="C176" s="505" t="s">
        <v>17</v>
      </c>
      <c r="D176" s="506">
        <v>15589</v>
      </c>
      <c r="E176" s="506">
        <f>估驗單!F167</f>
        <v>25125.1749375</v>
      </c>
      <c r="F176" s="507">
        <f t="shared" si="14"/>
        <v>9536.1749374999999</v>
      </c>
      <c r="G176" s="506">
        <v>38.71</v>
      </c>
      <c r="H176" s="506"/>
      <c r="I176" s="506">
        <f t="shared" si="15"/>
        <v>603450.18999999994</v>
      </c>
      <c r="J176" s="506">
        <f t="shared" si="16"/>
        <v>972595.52</v>
      </c>
      <c r="K176" s="547">
        <f t="shared" si="13"/>
        <v>369145.33000000007</v>
      </c>
      <c r="L176" s="510"/>
      <c r="M176" s="508" t="s">
        <v>2334</v>
      </c>
      <c r="N176" s="11" t="s">
        <v>243</v>
      </c>
      <c r="O176" s="341"/>
      <c r="P176" s="339"/>
    </row>
    <row r="177" spans="1:19" ht="33" hidden="1" customHeight="1">
      <c r="A177" s="503" t="s">
        <v>2162</v>
      </c>
      <c r="B177" s="504" t="s">
        <v>597</v>
      </c>
      <c r="C177" s="505" t="s">
        <v>13</v>
      </c>
      <c r="D177" s="506">
        <v>776</v>
      </c>
      <c r="E177" s="506">
        <f>估驗單!F168</f>
        <v>776</v>
      </c>
      <c r="F177" s="507">
        <f t="shared" si="14"/>
        <v>0</v>
      </c>
      <c r="G177" s="506">
        <v>2510.64</v>
      </c>
      <c r="H177" s="506"/>
      <c r="I177" s="506">
        <f t="shared" si="15"/>
        <v>1948256.64</v>
      </c>
      <c r="J177" s="506">
        <f t="shared" si="16"/>
        <v>1948256.64</v>
      </c>
      <c r="K177" s="547">
        <f t="shared" si="13"/>
        <v>0</v>
      </c>
      <c r="L177" s="510"/>
      <c r="M177" s="508" t="s">
        <v>2359</v>
      </c>
      <c r="N177" s="347" t="s">
        <v>243</v>
      </c>
      <c r="O177" s="354"/>
      <c r="P177" s="349"/>
    </row>
    <row r="178" spans="1:19" ht="33" hidden="1" customHeight="1">
      <c r="A178" s="503" t="s">
        <v>2163</v>
      </c>
      <c r="B178" s="504" t="s">
        <v>599</v>
      </c>
      <c r="C178" s="505" t="s">
        <v>223</v>
      </c>
      <c r="D178" s="506">
        <v>235</v>
      </c>
      <c r="E178" s="506">
        <f>估驗單!F169</f>
        <v>251.85</v>
      </c>
      <c r="F178" s="507">
        <f t="shared" si="14"/>
        <v>16.849999999999994</v>
      </c>
      <c r="G178" s="506">
        <v>3297.86</v>
      </c>
      <c r="H178" s="506"/>
      <c r="I178" s="506">
        <f t="shared" si="15"/>
        <v>774997.1</v>
      </c>
      <c r="J178" s="506">
        <f t="shared" si="16"/>
        <v>830566.04</v>
      </c>
      <c r="K178" s="547">
        <f t="shared" si="13"/>
        <v>55568.940000000061</v>
      </c>
      <c r="L178" s="510"/>
      <c r="M178" s="508" t="s">
        <v>2321</v>
      </c>
      <c r="N178" s="11" t="s">
        <v>243</v>
      </c>
      <c r="O178" s="341"/>
      <c r="P178" s="339"/>
    </row>
    <row r="179" spans="1:19" ht="33" hidden="1" customHeight="1">
      <c r="A179" s="503" t="s">
        <v>2164</v>
      </c>
      <c r="B179" s="504" t="s">
        <v>601</v>
      </c>
      <c r="C179" s="505" t="s">
        <v>13</v>
      </c>
      <c r="D179" s="506">
        <v>102</v>
      </c>
      <c r="E179" s="506">
        <f>估驗單!F170</f>
        <v>173.82</v>
      </c>
      <c r="F179" s="507">
        <f t="shared" si="14"/>
        <v>71.819999999999993</v>
      </c>
      <c r="G179" s="506">
        <v>2952.01</v>
      </c>
      <c r="H179" s="506"/>
      <c r="I179" s="506">
        <f t="shared" si="15"/>
        <v>301105.02</v>
      </c>
      <c r="J179" s="506">
        <f t="shared" si="16"/>
        <v>513118.38</v>
      </c>
      <c r="K179" s="547">
        <f t="shared" si="13"/>
        <v>212013.36</v>
      </c>
      <c r="L179" s="510"/>
      <c r="M179" s="508" t="s">
        <v>2321</v>
      </c>
      <c r="N179" s="11" t="s">
        <v>243</v>
      </c>
      <c r="O179" s="341"/>
      <c r="P179" s="339"/>
    </row>
    <row r="180" spans="1:19" ht="33" hidden="1" customHeight="1">
      <c r="A180" s="503" t="s">
        <v>2165</v>
      </c>
      <c r="B180" s="504" t="s">
        <v>603</v>
      </c>
      <c r="C180" s="505" t="s">
        <v>13</v>
      </c>
      <c r="D180" s="506">
        <v>400</v>
      </c>
      <c r="E180" s="506">
        <f>估驗單!F171</f>
        <v>400</v>
      </c>
      <c r="F180" s="507">
        <f t="shared" si="14"/>
        <v>0</v>
      </c>
      <c r="G180" s="506">
        <v>1454.49</v>
      </c>
      <c r="H180" s="506"/>
      <c r="I180" s="506">
        <f t="shared" si="15"/>
        <v>581796</v>
      </c>
      <c r="J180" s="506">
        <f t="shared" si="16"/>
        <v>581796</v>
      </c>
      <c r="K180" s="547">
        <f t="shared" si="13"/>
        <v>0</v>
      </c>
      <c r="L180" s="510"/>
      <c r="M180" s="508" t="s">
        <v>242</v>
      </c>
      <c r="N180" s="11" t="s">
        <v>243</v>
      </c>
      <c r="O180" s="341"/>
      <c r="P180" s="339"/>
    </row>
    <row r="181" spans="1:19" ht="33" hidden="1" customHeight="1">
      <c r="A181" s="503" t="s">
        <v>2166</v>
      </c>
      <c r="B181" s="504" t="s">
        <v>605</v>
      </c>
      <c r="C181" s="505" t="s">
        <v>606</v>
      </c>
      <c r="D181" s="506">
        <v>333</v>
      </c>
      <c r="E181" s="506">
        <f>估驗單!F172</f>
        <v>333</v>
      </c>
      <c r="F181" s="507">
        <f t="shared" si="14"/>
        <v>0</v>
      </c>
      <c r="G181" s="506">
        <v>434.98</v>
      </c>
      <c r="H181" s="506"/>
      <c r="I181" s="506">
        <f t="shared" si="15"/>
        <v>144848.34</v>
      </c>
      <c r="J181" s="506">
        <f t="shared" si="16"/>
        <v>144848.34</v>
      </c>
      <c r="K181" s="547">
        <f t="shared" si="13"/>
        <v>0</v>
      </c>
      <c r="L181" s="510"/>
      <c r="M181" s="508" t="s">
        <v>242</v>
      </c>
      <c r="N181" s="11" t="s">
        <v>243</v>
      </c>
      <c r="O181" s="341"/>
      <c r="P181" s="339"/>
    </row>
    <row r="182" spans="1:19" ht="33" hidden="1" customHeight="1">
      <c r="A182" s="503" t="s">
        <v>2167</v>
      </c>
      <c r="B182" s="504" t="s">
        <v>608</v>
      </c>
      <c r="C182" s="505" t="s">
        <v>13</v>
      </c>
      <c r="D182" s="506">
        <v>1702</v>
      </c>
      <c r="E182" s="506">
        <f>估驗單!G173</f>
        <v>1702</v>
      </c>
      <c r="F182" s="507">
        <f t="shared" si="14"/>
        <v>0</v>
      </c>
      <c r="G182" s="506">
        <v>885.76</v>
      </c>
      <c r="H182" s="506"/>
      <c r="I182" s="506">
        <f t="shared" si="15"/>
        <v>1507563.52</v>
      </c>
      <c r="J182" s="506">
        <f t="shared" si="16"/>
        <v>1507563.52</v>
      </c>
      <c r="K182" s="547"/>
      <c r="L182" s="510">
        <f>J182-I182</f>
        <v>0</v>
      </c>
      <c r="M182" s="508" t="s">
        <v>2321</v>
      </c>
      <c r="N182" s="11" t="s">
        <v>243</v>
      </c>
      <c r="O182" s="341"/>
      <c r="P182" s="339"/>
    </row>
    <row r="183" spans="1:19" ht="33" hidden="1" customHeight="1">
      <c r="A183" s="503" t="s">
        <v>2168</v>
      </c>
      <c r="B183" s="504" t="s">
        <v>357</v>
      </c>
      <c r="C183" s="505" t="s">
        <v>8</v>
      </c>
      <c r="D183" s="506">
        <v>49</v>
      </c>
      <c r="E183" s="506">
        <f>估驗單!F174</f>
        <v>49</v>
      </c>
      <c r="F183" s="507">
        <f t="shared" si="14"/>
        <v>0</v>
      </c>
      <c r="G183" s="506">
        <v>138.84</v>
      </c>
      <c r="H183" s="506"/>
      <c r="I183" s="506">
        <f t="shared" si="15"/>
        <v>6803.16</v>
      </c>
      <c r="J183" s="506">
        <f t="shared" si="16"/>
        <v>6803.16</v>
      </c>
      <c r="K183" s="547">
        <f t="shared" si="13"/>
        <v>0</v>
      </c>
      <c r="L183" s="510"/>
      <c r="M183" s="508" t="s">
        <v>242</v>
      </c>
      <c r="N183" s="11" t="s">
        <v>243</v>
      </c>
      <c r="O183" s="341"/>
      <c r="P183" s="339"/>
    </row>
    <row r="184" spans="1:19" ht="33" hidden="1" customHeight="1">
      <c r="A184" s="503" t="s">
        <v>2169</v>
      </c>
      <c r="B184" s="504" t="s">
        <v>611</v>
      </c>
      <c r="C184" s="505" t="s">
        <v>8</v>
      </c>
      <c r="D184" s="506">
        <v>85</v>
      </c>
      <c r="E184" s="506">
        <f>估驗單!F175</f>
        <v>85</v>
      </c>
      <c r="F184" s="507">
        <f t="shared" si="14"/>
        <v>0</v>
      </c>
      <c r="G184" s="506">
        <v>326.27999999999997</v>
      </c>
      <c r="H184" s="506"/>
      <c r="I184" s="506">
        <f t="shared" si="15"/>
        <v>27733.8</v>
      </c>
      <c r="J184" s="506">
        <f t="shared" si="16"/>
        <v>27733.8</v>
      </c>
      <c r="K184" s="547">
        <f t="shared" si="13"/>
        <v>0</v>
      </c>
      <c r="L184" s="510"/>
      <c r="M184" s="508" t="s">
        <v>242</v>
      </c>
      <c r="N184" s="11" t="s">
        <v>243</v>
      </c>
      <c r="O184" s="341"/>
      <c r="P184" s="339"/>
    </row>
    <row r="185" spans="1:19" ht="42.75" hidden="1" customHeight="1">
      <c r="A185" s="503" t="s">
        <v>2170</v>
      </c>
      <c r="B185" s="504" t="s">
        <v>222</v>
      </c>
      <c r="C185" s="505" t="s">
        <v>13</v>
      </c>
      <c r="D185" s="506">
        <v>385</v>
      </c>
      <c r="E185" s="506">
        <f>估驗單!F176</f>
        <v>2005</v>
      </c>
      <c r="F185" s="507">
        <f t="shared" si="14"/>
        <v>1620</v>
      </c>
      <c r="G185" s="506">
        <v>692.12</v>
      </c>
      <c r="H185" s="506"/>
      <c r="I185" s="506">
        <f t="shared" si="15"/>
        <v>266466.2</v>
      </c>
      <c r="J185" s="506">
        <f t="shared" si="16"/>
        <v>1387700.6</v>
      </c>
      <c r="K185" s="547">
        <f t="shared" si="13"/>
        <v>1121234.4000000001</v>
      </c>
      <c r="L185" s="510"/>
      <c r="M185" s="508" t="s">
        <v>2345</v>
      </c>
      <c r="N185" s="11" t="s">
        <v>243</v>
      </c>
      <c r="O185" s="341" t="s">
        <v>2622</v>
      </c>
      <c r="P185" s="339"/>
    </row>
    <row r="186" spans="1:19" ht="71.25" hidden="1" customHeight="1">
      <c r="A186" s="503" t="s">
        <v>2171</v>
      </c>
      <c r="B186" s="504" t="s">
        <v>615</v>
      </c>
      <c r="C186" s="505" t="s">
        <v>8</v>
      </c>
      <c r="D186" s="506">
        <v>0</v>
      </c>
      <c r="E186" s="506">
        <f>估驗單!F177</f>
        <v>0</v>
      </c>
      <c r="F186" s="507">
        <f t="shared" si="14"/>
        <v>0</v>
      </c>
      <c r="G186" s="506">
        <v>1706.44</v>
      </c>
      <c r="H186" s="506"/>
      <c r="I186" s="506">
        <f t="shared" si="15"/>
        <v>0</v>
      </c>
      <c r="J186" s="506">
        <f t="shared" si="16"/>
        <v>0</v>
      </c>
      <c r="K186" s="547">
        <f t="shared" si="13"/>
        <v>0</v>
      </c>
      <c r="L186" s="510"/>
      <c r="M186" s="508" t="s">
        <v>2360</v>
      </c>
      <c r="N186" s="11" t="s">
        <v>243</v>
      </c>
      <c r="O186" s="341"/>
      <c r="P186" s="339"/>
    </row>
    <row r="187" spans="1:19" ht="33" hidden="1" customHeight="1">
      <c r="A187" s="503" t="s">
        <v>2172</v>
      </c>
      <c r="B187" s="504" t="s">
        <v>618</v>
      </c>
      <c r="C187" s="505" t="s">
        <v>23</v>
      </c>
      <c r="D187" s="506">
        <v>1070.5</v>
      </c>
      <c r="E187" s="506">
        <f>估驗單!F178</f>
        <v>1070.5</v>
      </c>
      <c r="F187" s="507">
        <f t="shared" si="14"/>
        <v>0</v>
      </c>
      <c r="G187" s="506">
        <v>49</v>
      </c>
      <c r="H187" s="506"/>
      <c r="I187" s="506">
        <f t="shared" si="15"/>
        <v>52454.5</v>
      </c>
      <c r="J187" s="506">
        <f t="shared" si="16"/>
        <v>52454.5</v>
      </c>
      <c r="K187" s="547">
        <f t="shared" si="13"/>
        <v>0</v>
      </c>
      <c r="L187" s="510"/>
      <c r="M187" s="508" t="s">
        <v>242</v>
      </c>
      <c r="N187" s="11" t="s">
        <v>243</v>
      </c>
      <c r="O187" s="341"/>
      <c r="P187" s="339"/>
    </row>
    <row r="188" spans="1:19" ht="33" hidden="1" customHeight="1">
      <c r="A188" s="503" t="s">
        <v>2173</v>
      </c>
      <c r="B188" s="504" t="s">
        <v>621</v>
      </c>
      <c r="C188" s="505" t="s">
        <v>19</v>
      </c>
      <c r="D188" s="506">
        <v>2</v>
      </c>
      <c r="E188" s="506">
        <f>估驗單!F179</f>
        <v>2</v>
      </c>
      <c r="F188" s="507">
        <f t="shared" si="14"/>
        <v>0</v>
      </c>
      <c r="G188" s="506">
        <v>5349708.26</v>
      </c>
      <c r="H188" s="506"/>
      <c r="I188" s="506">
        <f t="shared" si="15"/>
        <v>10699416.52</v>
      </c>
      <c r="J188" s="506">
        <f t="shared" si="16"/>
        <v>10699416.52</v>
      </c>
      <c r="K188" s="547">
        <f t="shared" si="13"/>
        <v>0</v>
      </c>
      <c r="L188" s="510"/>
      <c r="M188" s="508" t="s">
        <v>242</v>
      </c>
      <c r="N188" s="11" t="s">
        <v>243</v>
      </c>
      <c r="O188" s="341"/>
      <c r="P188" s="339"/>
    </row>
    <row r="189" spans="1:19" ht="42.75" hidden="1" customHeight="1">
      <c r="A189" s="503" t="s">
        <v>2174</v>
      </c>
      <c r="B189" s="504" t="s">
        <v>1368</v>
      </c>
      <c r="C189" s="505" t="s">
        <v>8</v>
      </c>
      <c r="D189" s="506">
        <v>571.08000000000004</v>
      </c>
      <c r="E189" s="506">
        <f>估驗單!F180</f>
        <v>571.08000000000004</v>
      </c>
      <c r="F189" s="507">
        <f t="shared" si="14"/>
        <v>0</v>
      </c>
      <c r="G189" s="506">
        <v>5456.33</v>
      </c>
      <c r="H189" s="506"/>
      <c r="I189" s="506">
        <f t="shared" si="15"/>
        <v>3116000.94</v>
      </c>
      <c r="J189" s="506">
        <f t="shared" si="16"/>
        <v>3116000.94</v>
      </c>
      <c r="K189" s="547">
        <f t="shared" si="13"/>
        <v>0</v>
      </c>
      <c r="L189" s="510"/>
      <c r="M189" s="508" t="s">
        <v>242</v>
      </c>
      <c r="N189" s="11" t="s">
        <v>243</v>
      </c>
      <c r="O189" s="341"/>
      <c r="P189" s="339"/>
    </row>
    <row r="190" spans="1:19" ht="33" hidden="1" customHeight="1">
      <c r="A190" s="503" t="s">
        <v>2175</v>
      </c>
      <c r="B190" s="504" t="s">
        <v>1370</v>
      </c>
      <c r="C190" s="505" t="s">
        <v>6</v>
      </c>
      <c r="D190" s="506">
        <v>161.38999999999999</v>
      </c>
      <c r="E190" s="506">
        <f>估驗單!F181</f>
        <v>0</v>
      </c>
      <c r="F190" s="507">
        <f t="shared" si="14"/>
        <v>-161.38999999999999</v>
      </c>
      <c r="G190" s="506">
        <v>1481.84</v>
      </c>
      <c r="H190" s="506"/>
      <c r="I190" s="506">
        <f t="shared" si="15"/>
        <v>239154.16</v>
      </c>
      <c r="J190" s="506">
        <f t="shared" si="16"/>
        <v>0</v>
      </c>
      <c r="K190" s="547">
        <f t="shared" si="13"/>
        <v>-239154.16</v>
      </c>
      <c r="L190" s="510"/>
      <c r="M190" s="508" t="s">
        <v>242</v>
      </c>
      <c r="N190" s="11" t="s">
        <v>243</v>
      </c>
      <c r="O190" s="341"/>
      <c r="P190" s="339"/>
    </row>
    <row r="191" spans="1:19" s="352" customFormat="1" ht="33.75" hidden="1" customHeight="1">
      <c r="A191" s="503">
        <v>24</v>
      </c>
      <c r="B191" s="504" t="s">
        <v>1372</v>
      </c>
      <c r="C191" s="505" t="s">
        <v>13</v>
      </c>
      <c r="D191" s="506">
        <v>634.14</v>
      </c>
      <c r="E191" s="506">
        <f>估驗單!F182</f>
        <v>776.79333333333329</v>
      </c>
      <c r="F191" s="507">
        <f t="shared" si="14"/>
        <v>142.65333333333331</v>
      </c>
      <c r="G191" s="506">
        <v>3120.65</v>
      </c>
      <c r="H191" s="506"/>
      <c r="I191" s="506">
        <f t="shared" si="15"/>
        <v>1978928.99</v>
      </c>
      <c r="J191" s="506">
        <f t="shared" si="16"/>
        <v>2424100.12</v>
      </c>
      <c r="K191" s="547">
        <f t="shared" si="13"/>
        <v>445171.13000000012</v>
      </c>
      <c r="L191" s="510"/>
      <c r="M191" s="508" t="s">
        <v>2361</v>
      </c>
      <c r="N191" s="347" t="s">
        <v>243</v>
      </c>
      <c r="O191" s="348" t="s">
        <v>2362</v>
      </c>
      <c r="P191" s="360" t="s">
        <v>2363</v>
      </c>
      <c r="Q191" s="325" t="s">
        <v>2364</v>
      </c>
      <c r="S191" s="361"/>
    </row>
    <row r="192" spans="1:19" s="363" customFormat="1" ht="33.75" hidden="1" customHeight="1">
      <c r="A192" s="503">
        <v>25</v>
      </c>
      <c r="B192" s="504" t="s">
        <v>2346</v>
      </c>
      <c r="C192" s="505" t="s">
        <v>8</v>
      </c>
      <c r="D192" s="506">
        <f>295*0.7+76*0.75+40*2</f>
        <v>343.5</v>
      </c>
      <c r="E192" s="506">
        <f>估驗單!F183</f>
        <v>343.5</v>
      </c>
      <c r="F192" s="507">
        <f t="shared" si="14"/>
        <v>0</v>
      </c>
      <c r="G192" s="506">
        <v>119.99</v>
      </c>
      <c r="H192" s="506"/>
      <c r="I192" s="506">
        <f t="shared" si="15"/>
        <v>41216.57</v>
      </c>
      <c r="J192" s="506">
        <f t="shared" si="16"/>
        <v>41216.57</v>
      </c>
      <c r="K192" s="547">
        <f t="shared" si="13"/>
        <v>0</v>
      </c>
      <c r="L192" s="510"/>
      <c r="M192" s="508" t="s">
        <v>2321</v>
      </c>
      <c r="N192" s="347" t="s">
        <v>243</v>
      </c>
      <c r="O192" s="354" t="s">
        <v>2365</v>
      </c>
      <c r="P192" s="322" t="s">
        <v>2366</v>
      </c>
      <c r="Q192" s="362" t="s">
        <v>2356</v>
      </c>
    </row>
    <row r="193" spans="1:19" s="363" customFormat="1" ht="33.75" hidden="1" customHeight="1">
      <c r="A193" s="503">
        <v>26</v>
      </c>
      <c r="B193" s="504" t="s">
        <v>2367</v>
      </c>
      <c r="C193" s="505" t="s">
        <v>2368</v>
      </c>
      <c r="D193" s="506">
        <f>295+76+80</f>
        <v>451</v>
      </c>
      <c r="E193" s="506">
        <f>估驗單!F184</f>
        <v>451</v>
      </c>
      <c r="F193" s="507">
        <f t="shared" si="14"/>
        <v>0</v>
      </c>
      <c r="G193" s="506">
        <v>324.97000000000003</v>
      </c>
      <c r="H193" s="506"/>
      <c r="I193" s="506">
        <f t="shared" si="15"/>
        <v>146561.47</v>
      </c>
      <c r="J193" s="506">
        <f t="shared" si="16"/>
        <v>146561.47</v>
      </c>
      <c r="K193" s="547">
        <f t="shared" si="13"/>
        <v>0</v>
      </c>
      <c r="L193" s="510"/>
      <c r="M193" s="508" t="s">
        <v>2369</v>
      </c>
      <c r="N193" s="347"/>
      <c r="O193" s="354" t="s">
        <v>2365</v>
      </c>
      <c r="P193" s="322" t="s">
        <v>2370</v>
      </c>
      <c r="Q193" s="362" t="s">
        <v>2356</v>
      </c>
    </row>
    <row r="194" spans="1:19" ht="57" hidden="1" customHeight="1">
      <c r="A194" s="503">
        <v>28</v>
      </c>
      <c r="B194" s="504" t="s">
        <v>1377</v>
      </c>
      <c r="C194" s="505" t="s">
        <v>6</v>
      </c>
      <c r="D194" s="506">
        <v>1513</v>
      </c>
      <c r="E194" s="506">
        <f>估驗單!F185</f>
        <v>1513</v>
      </c>
      <c r="F194" s="507">
        <f t="shared" si="14"/>
        <v>0</v>
      </c>
      <c r="G194" s="506">
        <v>926.62</v>
      </c>
      <c r="H194" s="506"/>
      <c r="I194" s="506">
        <f t="shared" si="15"/>
        <v>1401976.06</v>
      </c>
      <c r="J194" s="506">
        <f t="shared" si="16"/>
        <v>1401976.06</v>
      </c>
      <c r="K194" s="547">
        <f t="shared" si="13"/>
        <v>0</v>
      </c>
      <c r="L194" s="510"/>
      <c r="M194" s="508" t="s">
        <v>2371</v>
      </c>
      <c r="N194" s="11" t="s">
        <v>243</v>
      </c>
      <c r="O194" s="364" t="s">
        <v>2372</v>
      </c>
      <c r="P194" s="365" t="s">
        <v>2373</v>
      </c>
      <c r="Q194" s="325" t="s">
        <v>2374</v>
      </c>
      <c r="S194" s="82">
        <f>(1.5*1.5*0.45*0.45)^(1/2)*(295+57.3)*0.15</f>
        <v>35.670375000000007</v>
      </c>
    </row>
    <row r="195" spans="1:19" s="368" customFormat="1" ht="156.75" hidden="1" customHeight="1">
      <c r="A195" s="503">
        <v>29</v>
      </c>
      <c r="B195" s="504" t="s">
        <v>2375</v>
      </c>
      <c r="C195" s="505" t="s">
        <v>6</v>
      </c>
      <c r="D195" s="506">
        <v>1177.9000000000001</v>
      </c>
      <c r="E195" s="506">
        <f>估驗單!F186</f>
        <v>1177.9000000000001</v>
      </c>
      <c r="F195" s="507">
        <f t="shared" si="14"/>
        <v>0</v>
      </c>
      <c r="G195" s="506">
        <v>3832.9</v>
      </c>
      <c r="H195" s="506"/>
      <c r="I195" s="506">
        <f t="shared" si="15"/>
        <v>4514772.91</v>
      </c>
      <c r="J195" s="506">
        <f t="shared" si="16"/>
        <v>4514772.91</v>
      </c>
      <c r="K195" s="547">
        <f t="shared" si="13"/>
        <v>0</v>
      </c>
      <c r="L195" s="510"/>
      <c r="M195" s="508" t="s">
        <v>2376</v>
      </c>
      <c r="N195" s="11" t="s">
        <v>243</v>
      </c>
      <c r="O195" s="341" t="s">
        <v>2377</v>
      </c>
      <c r="P195" s="366" t="s">
        <v>2378</v>
      </c>
      <c r="Q195" s="367" t="s">
        <v>2379</v>
      </c>
      <c r="S195" s="369" t="s">
        <v>2380</v>
      </c>
    </row>
    <row r="196" spans="1:19" s="368" customFormat="1" ht="42.75" hidden="1" customHeight="1">
      <c r="A196" s="503">
        <v>30</v>
      </c>
      <c r="B196" s="504" t="s">
        <v>1380</v>
      </c>
      <c r="C196" s="505" t="s">
        <v>13</v>
      </c>
      <c r="D196" s="506">
        <v>442.5</v>
      </c>
      <c r="E196" s="506">
        <f>估驗單!F187</f>
        <v>734.29600000000005</v>
      </c>
      <c r="F196" s="507">
        <f t="shared" si="14"/>
        <v>291.79600000000005</v>
      </c>
      <c r="G196" s="506">
        <v>234.99</v>
      </c>
      <c r="H196" s="506"/>
      <c r="I196" s="506">
        <f t="shared" si="15"/>
        <v>103983.08</v>
      </c>
      <c r="J196" s="506">
        <f t="shared" si="16"/>
        <v>172552.22</v>
      </c>
      <c r="K196" s="547">
        <f t="shared" si="13"/>
        <v>68569.14</v>
      </c>
      <c r="L196" s="510"/>
      <c r="M196" s="508" t="s">
        <v>2381</v>
      </c>
      <c r="N196" s="11"/>
      <c r="O196" s="341" t="s">
        <v>2382</v>
      </c>
      <c r="P196" s="370" t="s">
        <v>2383</v>
      </c>
      <c r="Q196" s="325" t="s">
        <v>2384</v>
      </c>
      <c r="S196" s="369"/>
    </row>
    <row r="197" spans="1:19" ht="33" hidden="1" customHeight="1">
      <c r="A197" s="503" t="s">
        <v>2244</v>
      </c>
      <c r="B197" s="504" t="s">
        <v>623</v>
      </c>
      <c r="C197" s="505" t="s">
        <v>4</v>
      </c>
      <c r="D197" s="506"/>
      <c r="E197" s="506">
        <f>估驗單!F188</f>
        <v>0</v>
      </c>
      <c r="F197" s="507">
        <f t="shared" si="14"/>
        <v>0</v>
      </c>
      <c r="G197" s="506">
        <f>I197</f>
        <v>28004421.200000003</v>
      </c>
      <c r="H197" s="506"/>
      <c r="I197" s="506">
        <f>SUM(I198:I216)</f>
        <v>28004421.200000003</v>
      </c>
      <c r="J197" s="506">
        <f>SUM(J198:J216)</f>
        <v>33518571.399999999</v>
      </c>
      <c r="K197" s="547">
        <f>SUM(K198:K216)</f>
        <v>5987095.5399999991</v>
      </c>
      <c r="L197" s="510">
        <f>SUM(L198:L216)</f>
        <v>-472945.33999999991</v>
      </c>
      <c r="M197" s="508" t="s">
        <v>242</v>
      </c>
      <c r="N197" s="11" t="s">
        <v>243</v>
      </c>
      <c r="O197" s="338"/>
      <c r="P197" s="339"/>
    </row>
    <row r="198" spans="1:19" ht="33" hidden="1" customHeight="1">
      <c r="A198" s="503" t="s">
        <v>2154</v>
      </c>
      <c r="B198" s="504" t="s">
        <v>315</v>
      </c>
      <c r="C198" s="505" t="s">
        <v>6</v>
      </c>
      <c r="D198" s="506">
        <v>252</v>
      </c>
      <c r="E198" s="506">
        <f>估驗單!F189</f>
        <v>109.33</v>
      </c>
      <c r="F198" s="507">
        <f t="shared" si="14"/>
        <v>-142.67000000000002</v>
      </c>
      <c r="G198" s="506">
        <v>3114.97</v>
      </c>
      <c r="H198" s="506"/>
      <c r="I198" s="506">
        <f t="shared" ref="I198:I216" si="17">ROUND(D198*G198,2)</f>
        <v>784972.44</v>
      </c>
      <c r="J198" s="506">
        <f t="shared" ref="J198:J216" si="18">ROUND(E198*G198,2)</f>
        <v>340559.67</v>
      </c>
      <c r="K198" s="547"/>
      <c r="L198" s="510">
        <f>J198-I198</f>
        <v>-444412.76999999996</v>
      </c>
      <c r="M198" s="508"/>
      <c r="N198" s="11" t="s">
        <v>243</v>
      </c>
      <c r="O198" s="341" t="s">
        <v>2623</v>
      </c>
      <c r="P198" s="339"/>
    </row>
    <row r="199" spans="1:19" ht="33" hidden="1" customHeight="1">
      <c r="A199" s="503" t="s">
        <v>2155</v>
      </c>
      <c r="B199" s="504" t="s">
        <v>24</v>
      </c>
      <c r="C199" s="505" t="s">
        <v>6</v>
      </c>
      <c r="D199" s="506">
        <v>2490</v>
      </c>
      <c r="E199" s="506">
        <f>估驗單!F190</f>
        <v>2490</v>
      </c>
      <c r="F199" s="507">
        <f t="shared" si="14"/>
        <v>0</v>
      </c>
      <c r="G199" s="506">
        <v>3320.96</v>
      </c>
      <c r="H199" s="506"/>
      <c r="I199" s="506">
        <f t="shared" si="17"/>
        <v>8269190.4000000004</v>
      </c>
      <c r="J199" s="506">
        <f t="shared" si="18"/>
        <v>8269190.4000000004</v>
      </c>
      <c r="K199" s="547">
        <f t="shared" si="13"/>
        <v>0</v>
      </c>
      <c r="L199" s="510"/>
      <c r="M199" s="508" t="s">
        <v>242</v>
      </c>
      <c r="N199" s="11" t="s">
        <v>243</v>
      </c>
      <c r="O199" s="341"/>
      <c r="P199" s="339"/>
    </row>
    <row r="200" spans="1:19" ht="33" hidden="1" customHeight="1">
      <c r="A200" s="503" t="s">
        <v>2156</v>
      </c>
      <c r="B200" s="504" t="s">
        <v>624</v>
      </c>
      <c r="C200" s="505" t="s">
        <v>6</v>
      </c>
      <c r="D200" s="506">
        <v>998</v>
      </c>
      <c r="E200" s="506">
        <f>估驗單!F191</f>
        <v>998</v>
      </c>
      <c r="F200" s="507">
        <f t="shared" si="14"/>
        <v>0</v>
      </c>
      <c r="G200" s="506">
        <v>1749.16</v>
      </c>
      <c r="H200" s="506"/>
      <c r="I200" s="506">
        <f t="shared" si="17"/>
        <v>1745661.68</v>
      </c>
      <c r="J200" s="506">
        <f t="shared" si="18"/>
        <v>1745661.68</v>
      </c>
      <c r="K200" s="547">
        <f t="shared" si="13"/>
        <v>0</v>
      </c>
      <c r="L200" s="510"/>
      <c r="M200" s="508" t="s">
        <v>242</v>
      </c>
      <c r="N200" s="11" t="s">
        <v>243</v>
      </c>
      <c r="O200" s="341"/>
      <c r="P200" s="339"/>
    </row>
    <row r="201" spans="1:19" ht="33" hidden="1" customHeight="1">
      <c r="A201" s="503" t="s">
        <v>2157</v>
      </c>
      <c r="B201" s="504" t="s">
        <v>595</v>
      </c>
      <c r="C201" s="505" t="s">
        <v>6</v>
      </c>
      <c r="D201" s="506">
        <v>3740</v>
      </c>
      <c r="E201" s="506">
        <f>估驗單!F192</f>
        <v>3597.33</v>
      </c>
      <c r="F201" s="507">
        <f t="shared" si="14"/>
        <v>-142.67000000000007</v>
      </c>
      <c r="G201" s="506">
        <v>199.99</v>
      </c>
      <c r="H201" s="506"/>
      <c r="I201" s="506">
        <f t="shared" si="17"/>
        <v>747962.6</v>
      </c>
      <c r="J201" s="506">
        <f t="shared" si="18"/>
        <v>719430.03</v>
      </c>
      <c r="K201" s="547"/>
      <c r="L201" s="510">
        <f>J201-I201</f>
        <v>-28532.569999999949</v>
      </c>
      <c r="M201" s="508" t="s">
        <v>242</v>
      </c>
      <c r="N201" s="11" t="s">
        <v>243</v>
      </c>
      <c r="O201" s="341"/>
      <c r="P201" s="339"/>
    </row>
    <row r="202" spans="1:19" s="325" customFormat="1" ht="33">
      <c r="A202" s="503" t="s">
        <v>2158</v>
      </c>
      <c r="B202" s="504" t="s">
        <v>534</v>
      </c>
      <c r="C202" s="505" t="s">
        <v>13</v>
      </c>
      <c r="D202" s="506">
        <v>4240</v>
      </c>
      <c r="E202" s="506">
        <f>估驗單!F193</f>
        <v>4949.6072000000013</v>
      </c>
      <c r="F202" s="507">
        <f t="shared" si="14"/>
        <v>709.60720000000128</v>
      </c>
      <c r="G202" s="506">
        <v>982.93</v>
      </c>
      <c r="H202" s="506"/>
      <c r="I202" s="506">
        <f t="shared" si="17"/>
        <v>4167623.2</v>
      </c>
      <c r="J202" s="506">
        <f t="shared" si="18"/>
        <v>4865117.41</v>
      </c>
      <c r="K202" s="547">
        <f t="shared" si="13"/>
        <v>697494.21</v>
      </c>
      <c r="L202" s="510"/>
      <c r="M202" s="508"/>
      <c r="N202" s="11" t="s">
        <v>243</v>
      </c>
      <c r="O202" s="341"/>
      <c r="P202" s="360"/>
    </row>
    <row r="203" spans="1:19" s="325" customFormat="1" ht="33">
      <c r="A203" s="608" t="s">
        <v>2159</v>
      </c>
      <c r="B203" s="609" t="s">
        <v>626</v>
      </c>
      <c r="C203" s="610" t="s">
        <v>13</v>
      </c>
      <c r="D203" s="611">
        <v>38</v>
      </c>
      <c r="E203" s="611">
        <f>估驗單!F194</f>
        <v>49.359999999999992</v>
      </c>
      <c r="F203" s="612">
        <f t="shared" si="14"/>
        <v>11.359999999999992</v>
      </c>
      <c r="G203" s="611">
        <v>698.28</v>
      </c>
      <c r="H203" s="611"/>
      <c r="I203" s="611">
        <f t="shared" si="17"/>
        <v>26534.639999999999</v>
      </c>
      <c r="J203" s="611">
        <f t="shared" si="18"/>
        <v>34467.1</v>
      </c>
      <c r="K203" s="613">
        <f t="shared" si="13"/>
        <v>7932.4599999999991</v>
      </c>
      <c r="L203" s="614"/>
      <c r="M203" s="615"/>
      <c r="N203" s="11" t="s">
        <v>243</v>
      </c>
      <c r="O203" s="341"/>
      <c r="P203" s="339"/>
    </row>
    <row r="204" spans="1:19" s="325" customFormat="1" ht="33">
      <c r="A204" s="333" t="s">
        <v>2160</v>
      </c>
      <c r="B204" s="334" t="s">
        <v>536</v>
      </c>
      <c r="C204" s="335" t="s">
        <v>13</v>
      </c>
      <c r="D204" s="336">
        <v>783</v>
      </c>
      <c r="E204" s="336">
        <f>估驗單!F195</f>
        <v>1409.35</v>
      </c>
      <c r="F204" s="390">
        <f t="shared" si="14"/>
        <v>626.34999999999991</v>
      </c>
      <c r="G204" s="336">
        <v>804.75</v>
      </c>
      <c r="H204" s="336"/>
      <c r="I204" s="336">
        <f t="shared" si="17"/>
        <v>630119.25</v>
      </c>
      <c r="J204" s="336">
        <f t="shared" si="18"/>
        <v>1134174.4099999999</v>
      </c>
      <c r="K204" s="546">
        <f t="shared" si="13"/>
        <v>504055.15999999992</v>
      </c>
      <c r="L204" s="502"/>
      <c r="M204" s="231"/>
      <c r="N204" s="11" t="s">
        <v>243</v>
      </c>
      <c r="O204" s="341"/>
      <c r="P204" s="339"/>
    </row>
    <row r="205" spans="1:19" s="325" customFormat="1" ht="33">
      <c r="A205" s="616" t="s">
        <v>2161</v>
      </c>
      <c r="B205" s="617" t="s">
        <v>193</v>
      </c>
      <c r="C205" s="618" t="s">
        <v>13</v>
      </c>
      <c r="D205" s="619">
        <v>300</v>
      </c>
      <c r="E205" s="619">
        <f>估驗單!F196</f>
        <v>761.34</v>
      </c>
      <c r="F205" s="620">
        <f t="shared" si="14"/>
        <v>461.34000000000003</v>
      </c>
      <c r="G205" s="619">
        <v>533.61</v>
      </c>
      <c r="H205" s="619"/>
      <c r="I205" s="619">
        <f t="shared" si="17"/>
        <v>160083</v>
      </c>
      <c r="J205" s="619">
        <f t="shared" si="18"/>
        <v>406258.64</v>
      </c>
      <c r="K205" s="621">
        <f t="shared" si="13"/>
        <v>246175.64</v>
      </c>
      <c r="L205" s="624"/>
      <c r="M205" s="623"/>
      <c r="N205" s="11" t="s">
        <v>243</v>
      </c>
      <c r="O205" s="341"/>
      <c r="P205" s="360"/>
    </row>
    <row r="206" spans="1:19" s="325" customFormat="1" ht="42.75" hidden="1">
      <c r="A206" s="503" t="s">
        <v>2162</v>
      </c>
      <c r="B206" s="504" t="s">
        <v>192</v>
      </c>
      <c r="C206" s="505" t="s">
        <v>17</v>
      </c>
      <c r="D206" s="506">
        <v>137462</v>
      </c>
      <c r="E206" s="506">
        <f>估驗單!F197</f>
        <v>207085.17276800002</v>
      </c>
      <c r="F206" s="507">
        <f t="shared" si="14"/>
        <v>69623.172768000019</v>
      </c>
      <c r="G206" s="506">
        <v>36.4</v>
      </c>
      <c r="H206" s="506"/>
      <c r="I206" s="506">
        <f t="shared" si="17"/>
        <v>5003616.8</v>
      </c>
      <c r="J206" s="506">
        <f t="shared" si="18"/>
        <v>7537900.29</v>
      </c>
      <c r="K206" s="547">
        <f t="shared" si="13"/>
        <v>2534283.4900000002</v>
      </c>
      <c r="L206" s="510"/>
      <c r="M206" s="508" t="s">
        <v>2334</v>
      </c>
      <c r="N206" s="11" t="s">
        <v>243</v>
      </c>
      <c r="O206" s="341"/>
      <c r="P206" s="339"/>
    </row>
    <row r="207" spans="1:19" s="325" customFormat="1" ht="42.75" hidden="1">
      <c r="A207" s="503" t="s">
        <v>2163</v>
      </c>
      <c r="B207" s="504" t="s">
        <v>530</v>
      </c>
      <c r="C207" s="505" t="s">
        <v>17</v>
      </c>
      <c r="D207" s="506">
        <v>116638</v>
      </c>
      <c r="E207" s="506">
        <f>估驗單!F198</f>
        <v>168230.73</v>
      </c>
      <c r="F207" s="507">
        <f t="shared" si="14"/>
        <v>51592.73000000001</v>
      </c>
      <c r="G207" s="506">
        <v>38.71</v>
      </c>
      <c r="H207" s="506"/>
      <c r="I207" s="506">
        <f t="shared" si="17"/>
        <v>4515056.9800000004</v>
      </c>
      <c r="J207" s="506">
        <f t="shared" si="18"/>
        <v>6512211.5599999996</v>
      </c>
      <c r="K207" s="547">
        <f t="shared" ref="K207:K270" si="19">J207-I207</f>
        <v>1997154.5799999991</v>
      </c>
      <c r="L207" s="510"/>
      <c r="M207" s="508" t="s">
        <v>2334</v>
      </c>
      <c r="N207" s="11" t="s">
        <v>243</v>
      </c>
      <c r="O207" s="341"/>
      <c r="P207" s="339"/>
    </row>
    <row r="208" spans="1:19" s="325" customFormat="1" ht="33" hidden="1">
      <c r="A208" s="503" t="s">
        <v>2164</v>
      </c>
      <c r="B208" s="504" t="s">
        <v>628</v>
      </c>
      <c r="C208" s="505" t="s">
        <v>8</v>
      </c>
      <c r="D208" s="506">
        <v>112</v>
      </c>
      <c r="E208" s="506">
        <f>估驗單!F199</f>
        <v>112</v>
      </c>
      <c r="F208" s="519">
        <f t="shared" si="14"/>
        <v>0</v>
      </c>
      <c r="G208" s="506">
        <v>2865.8</v>
      </c>
      <c r="H208" s="506"/>
      <c r="I208" s="506">
        <f t="shared" si="17"/>
        <v>320969.59999999998</v>
      </c>
      <c r="J208" s="506">
        <f t="shared" si="18"/>
        <v>320969.59999999998</v>
      </c>
      <c r="K208" s="547"/>
      <c r="L208" s="519">
        <f>J208-I208</f>
        <v>0</v>
      </c>
      <c r="M208" s="520" t="s">
        <v>2496</v>
      </c>
      <c r="N208" s="11" t="s">
        <v>243</v>
      </c>
      <c r="O208" s="341" t="s">
        <v>2629</v>
      </c>
      <c r="P208" s="339"/>
    </row>
    <row r="209" spans="1:16" s="325" customFormat="1" ht="42.75" hidden="1">
      <c r="A209" s="333" t="s">
        <v>2165</v>
      </c>
      <c r="B209" s="334" t="s">
        <v>630</v>
      </c>
      <c r="C209" s="335" t="s">
        <v>0</v>
      </c>
      <c r="D209" s="336">
        <v>47</v>
      </c>
      <c r="E209" s="336">
        <f>估驗單!F200</f>
        <v>47</v>
      </c>
      <c r="F209" s="390">
        <f t="shared" si="14"/>
        <v>0</v>
      </c>
      <c r="G209" s="336">
        <v>1477.97</v>
      </c>
      <c r="H209" s="336"/>
      <c r="I209" s="336">
        <f t="shared" si="17"/>
        <v>69464.59</v>
      </c>
      <c r="J209" s="336">
        <f t="shared" si="18"/>
        <v>69464.59</v>
      </c>
      <c r="K209" s="546">
        <f t="shared" si="19"/>
        <v>0</v>
      </c>
      <c r="L209" s="502"/>
      <c r="M209" s="234" t="s">
        <v>2628</v>
      </c>
      <c r="N209" s="11" t="s">
        <v>243</v>
      </c>
      <c r="O209" s="341"/>
      <c r="P209" s="339"/>
    </row>
    <row r="210" spans="1:16" s="325" customFormat="1" ht="42.75" hidden="1">
      <c r="A210" s="333" t="s">
        <v>2166</v>
      </c>
      <c r="B210" s="334" t="s">
        <v>632</v>
      </c>
      <c r="C210" s="335" t="s">
        <v>8</v>
      </c>
      <c r="D210" s="336">
        <v>148</v>
      </c>
      <c r="E210" s="336">
        <f>估驗單!F201</f>
        <v>148</v>
      </c>
      <c r="F210" s="390">
        <f t="shared" si="14"/>
        <v>0</v>
      </c>
      <c r="G210" s="336">
        <v>151.71</v>
      </c>
      <c r="H210" s="336"/>
      <c r="I210" s="336">
        <f t="shared" si="17"/>
        <v>22453.08</v>
      </c>
      <c r="J210" s="336">
        <f t="shared" si="18"/>
        <v>22453.08</v>
      </c>
      <c r="K210" s="546">
        <f t="shared" si="19"/>
        <v>0</v>
      </c>
      <c r="L210" s="502"/>
      <c r="M210" s="231" t="s">
        <v>242</v>
      </c>
      <c r="N210" s="11" t="s">
        <v>243</v>
      </c>
      <c r="O210" s="341"/>
      <c r="P210" s="339"/>
    </row>
    <row r="211" spans="1:16" s="325" customFormat="1" ht="33" hidden="1">
      <c r="A211" s="333" t="s">
        <v>2167</v>
      </c>
      <c r="B211" s="334" t="s">
        <v>634</v>
      </c>
      <c r="C211" s="335" t="s">
        <v>15</v>
      </c>
      <c r="D211" s="336">
        <v>6</v>
      </c>
      <c r="E211" s="336">
        <f>估驗單!F202</f>
        <v>6</v>
      </c>
      <c r="F211" s="390">
        <f t="shared" si="14"/>
        <v>0</v>
      </c>
      <c r="G211" s="336">
        <v>15778.75</v>
      </c>
      <c r="H211" s="336"/>
      <c r="I211" s="336">
        <f t="shared" si="17"/>
        <v>94672.5</v>
      </c>
      <c r="J211" s="336">
        <f t="shared" si="18"/>
        <v>94672.5</v>
      </c>
      <c r="K211" s="546">
        <f t="shared" si="19"/>
        <v>0</v>
      </c>
      <c r="L211" s="502"/>
      <c r="M211" s="231" t="s">
        <v>242</v>
      </c>
      <c r="N211" s="11" t="s">
        <v>243</v>
      </c>
      <c r="O211" s="341"/>
      <c r="P211" s="339"/>
    </row>
    <row r="212" spans="1:16" s="325" customFormat="1" ht="33" hidden="1">
      <c r="A212" s="503" t="s">
        <v>2168</v>
      </c>
      <c r="B212" s="504" t="s">
        <v>357</v>
      </c>
      <c r="C212" s="505" t="s">
        <v>8</v>
      </c>
      <c r="D212" s="506">
        <v>746</v>
      </c>
      <c r="E212" s="506">
        <f>估驗單!F203</f>
        <v>746</v>
      </c>
      <c r="F212" s="519">
        <f t="shared" si="14"/>
        <v>0</v>
      </c>
      <c r="G212" s="506">
        <v>138.84</v>
      </c>
      <c r="H212" s="506"/>
      <c r="I212" s="506">
        <f t="shared" si="17"/>
        <v>103574.64</v>
      </c>
      <c r="J212" s="506">
        <f t="shared" si="18"/>
        <v>103574.64</v>
      </c>
      <c r="K212" s="547"/>
      <c r="L212" s="519">
        <f>J212-I212</f>
        <v>0</v>
      </c>
      <c r="M212" s="520" t="s">
        <v>2497</v>
      </c>
      <c r="N212" s="11" t="s">
        <v>243</v>
      </c>
      <c r="O212" s="341"/>
      <c r="P212" s="339"/>
    </row>
    <row r="213" spans="1:16" s="325" customFormat="1" ht="33" hidden="1">
      <c r="A213" s="503" t="s">
        <v>2169</v>
      </c>
      <c r="B213" s="504" t="s">
        <v>611</v>
      </c>
      <c r="C213" s="505" t="s">
        <v>8</v>
      </c>
      <c r="D213" s="506">
        <v>1740</v>
      </c>
      <c r="E213" s="506">
        <f>估驗單!F204</f>
        <v>1740</v>
      </c>
      <c r="F213" s="519">
        <f t="shared" si="14"/>
        <v>0</v>
      </c>
      <c r="G213" s="506">
        <v>326.27999999999997</v>
      </c>
      <c r="H213" s="506"/>
      <c r="I213" s="506">
        <f t="shared" si="17"/>
        <v>567727.19999999995</v>
      </c>
      <c r="J213" s="506">
        <f t="shared" si="18"/>
        <v>567727.19999999995</v>
      </c>
      <c r="K213" s="547"/>
      <c r="L213" s="519">
        <f>J213-I213</f>
        <v>0</v>
      </c>
      <c r="M213" s="520" t="s">
        <v>2497</v>
      </c>
      <c r="N213" s="11" t="s">
        <v>243</v>
      </c>
      <c r="O213" s="341"/>
      <c r="P213" s="339"/>
    </row>
    <row r="214" spans="1:16" s="325" customFormat="1" ht="42.75" hidden="1">
      <c r="A214" s="333" t="s">
        <v>2170</v>
      </c>
      <c r="B214" s="334" t="s">
        <v>222</v>
      </c>
      <c r="C214" s="335" t="s">
        <v>13</v>
      </c>
      <c r="D214" s="336">
        <v>783</v>
      </c>
      <c r="E214" s="336">
        <f>估驗單!F205</f>
        <v>783</v>
      </c>
      <c r="F214" s="390">
        <f t="shared" si="14"/>
        <v>0</v>
      </c>
      <c r="G214" s="336">
        <v>692.12</v>
      </c>
      <c r="H214" s="336"/>
      <c r="I214" s="336">
        <f t="shared" si="17"/>
        <v>541929.96</v>
      </c>
      <c r="J214" s="336">
        <f t="shared" si="18"/>
        <v>541929.96</v>
      </c>
      <c r="K214" s="546">
        <f t="shared" si="19"/>
        <v>0</v>
      </c>
      <c r="L214" s="502"/>
      <c r="M214" s="231" t="s">
        <v>2345</v>
      </c>
      <c r="N214" s="11" t="s">
        <v>243</v>
      </c>
      <c r="O214" s="341"/>
      <c r="P214" s="339"/>
    </row>
    <row r="215" spans="1:16" s="325" customFormat="1" ht="33" hidden="1">
      <c r="A215" s="333" t="s">
        <v>2171</v>
      </c>
      <c r="B215" s="334" t="s">
        <v>640</v>
      </c>
      <c r="C215" s="335" t="s">
        <v>15</v>
      </c>
      <c r="D215" s="336">
        <v>1</v>
      </c>
      <c r="E215" s="336">
        <f>估驗單!F206</f>
        <v>1</v>
      </c>
      <c r="F215" s="390">
        <f t="shared" si="14"/>
        <v>0</v>
      </c>
      <c r="G215" s="336">
        <v>214228.32</v>
      </c>
      <c r="H215" s="336"/>
      <c r="I215" s="336">
        <f t="shared" si="17"/>
        <v>214228.32</v>
      </c>
      <c r="J215" s="336">
        <f t="shared" si="18"/>
        <v>214228.32</v>
      </c>
      <c r="K215" s="546">
        <f t="shared" si="19"/>
        <v>0</v>
      </c>
      <c r="L215" s="502"/>
      <c r="M215" s="231" t="s">
        <v>242</v>
      </c>
      <c r="N215" s="11" t="s">
        <v>243</v>
      </c>
      <c r="O215" s="341"/>
      <c r="P215" s="339"/>
    </row>
    <row r="216" spans="1:16" s="325" customFormat="1" ht="33" hidden="1">
      <c r="A216" s="333" t="s">
        <v>2172</v>
      </c>
      <c r="B216" s="334" t="s">
        <v>643</v>
      </c>
      <c r="C216" s="335" t="s">
        <v>5</v>
      </c>
      <c r="D216" s="336">
        <v>44</v>
      </c>
      <c r="E216" s="336">
        <f>估驗單!F207</f>
        <v>44</v>
      </c>
      <c r="F216" s="390">
        <f t="shared" si="14"/>
        <v>0</v>
      </c>
      <c r="G216" s="336">
        <v>422.28</v>
      </c>
      <c r="H216" s="336"/>
      <c r="I216" s="336">
        <f t="shared" si="17"/>
        <v>18580.32</v>
      </c>
      <c r="J216" s="336">
        <f t="shared" si="18"/>
        <v>18580.32</v>
      </c>
      <c r="K216" s="546">
        <f t="shared" si="19"/>
        <v>0</v>
      </c>
      <c r="L216" s="502"/>
      <c r="M216" s="231" t="s">
        <v>242</v>
      </c>
      <c r="N216" s="11" t="s">
        <v>243</v>
      </c>
      <c r="O216" s="341"/>
      <c r="P216" s="339"/>
    </row>
    <row r="217" spans="1:16" s="325" customFormat="1" ht="33" hidden="1">
      <c r="A217" s="406" t="s">
        <v>2245</v>
      </c>
      <c r="B217" s="407" t="s">
        <v>645</v>
      </c>
      <c r="C217" s="408" t="s">
        <v>4</v>
      </c>
      <c r="D217" s="409"/>
      <c r="E217" s="409"/>
      <c r="F217" s="410"/>
      <c r="G217" s="409">
        <f>I217</f>
        <v>13631722.120000003</v>
      </c>
      <c r="H217" s="409"/>
      <c r="I217" s="409">
        <f>SUM(I218:I233)</f>
        <v>13631722.120000003</v>
      </c>
      <c r="J217" s="409">
        <f>SUM(J218:J233)</f>
        <v>13631722.120000003</v>
      </c>
      <c r="K217" s="542">
        <f>SUM(K218:K233)</f>
        <v>0</v>
      </c>
      <c r="L217" s="452">
        <f>SUM(L218:L233)</f>
        <v>0</v>
      </c>
      <c r="M217" s="288" t="s">
        <v>242</v>
      </c>
      <c r="N217" s="11" t="s">
        <v>243</v>
      </c>
      <c r="O217" s="338"/>
      <c r="P217" s="339"/>
    </row>
    <row r="218" spans="1:16" s="325" customFormat="1" ht="33" hidden="1">
      <c r="A218" s="333" t="s">
        <v>2154</v>
      </c>
      <c r="B218" s="334" t="s">
        <v>646</v>
      </c>
      <c r="C218" s="335" t="s">
        <v>6</v>
      </c>
      <c r="D218" s="336">
        <v>230</v>
      </c>
      <c r="E218" s="336">
        <f>估驗單!F209</f>
        <v>230</v>
      </c>
      <c r="F218" s="390">
        <f t="shared" si="14"/>
        <v>0</v>
      </c>
      <c r="G218" s="336">
        <v>7517.15</v>
      </c>
      <c r="H218" s="336"/>
      <c r="I218" s="336">
        <f t="shared" ref="I218:I233" si="20">ROUND(D218*G218,2)</f>
        <v>1728944.5</v>
      </c>
      <c r="J218" s="336">
        <f t="shared" ref="J218:J233" si="21">ROUND(E218*G218,2)</f>
        <v>1728944.5</v>
      </c>
      <c r="K218" s="546">
        <f t="shared" si="19"/>
        <v>0</v>
      </c>
      <c r="L218" s="502"/>
      <c r="M218" s="231" t="s">
        <v>242</v>
      </c>
      <c r="N218" s="11" t="s">
        <v>243</v>
      </c>
      <c r="O218" s="341"/>
      <c r="P218" s="339"/>
    </row>
    <row r="219" spans="1:16" s="325" customFormat="1" ht="33" hidden="1">
      <c r="A219" s="333" t="s">
        <v>2155</v>
      </c>
      <c r="B219" s="334" t="s">
        <v>648</v>
      </c>
      <c r="C219" s="335" t="s">
        <v>6</v>
      </c>
      <c r="D219" s="336">
        <v>689</v>
      </c>
      <c r="E219" s="336">
        <f>估驗單!F210</f>
        <v>689</v>
      </c>
      <c r="F219" s="390">
        <f t="shared" si="14"/>
        <v>0</v>
      </c>
      <c r="G219" s="336">
        <v>7496.55</v>
      </c>
      <c r="H219" s="336"/>
      <c r="I219" s="336">
        <f t="shared" si="20"/>
        <v>5165122.95</v>
      </c>
      <c r="J219" s="336">
        <f t="shared" si="21"/>
        <v>5165122.95</v>
      </c>
      <c r="K219" s="546">
        <f t="shared" si="19"/>
        <v>0</v>
      </c>
      <c r="L219" s="502"/>
      <c r="M219" s="231" t="s">
        <v>242</v>
      </c>
      <c r="N219" s="11" t="s">
        <v>243</v>
      </c>
      <c r="O219" s="341"/>
      <c r="P219" s="339"/>
    </row>
    <row r="220" spans="1:16" s="325" customFormat="1" ht="33" hidden="1">
      <c r="A220" s="503" t="s">
        <v>2156</v>
      </c>
      <c r="B220" s="504" t="s">
        <v>650</v>
      </c>
      <c r="C220" s="505" t="s">
        <v>13</v>
      </c>
      <c r="D220" s="506">
        <v>4589</v>
      </c>
      <c r="E220" s="506">
        <f>估驗單!F211</f>
        <v>4589</v>
      </c>
      <c r="F220" s="507">
        <f t="shared" si="14"/>
        <v>0</v>
      </c>
      <c r="G220" s="506">
        <v>11.6</v>
      </c>
      <c r="H220" s="506"/>
      <c r="I220" s="506">
        <f t="shared" si="20"/>
        <v>53232.4</v>
      </c>
      <c r="J220" s="506">
        <f t="shared" si="21"/>
        <v>53232.4</v>
      </c>
      <c r="K220" s="547">
        <f t="shared" si="19"/>
        <v>0</v>
      </c>
      <c r="L220" s="510"/>
      <c r="M220" s="508" t="s">
        <v>242</v>
      </c>
      <c r="N220" s="11" t="s">
        <v>243</v>
      </c>
      <c r="O220" s="341" t="s">
        <v>2624</v>
      </c>
      <c r="P220" s="339"/>
    </row>
    <row r="221" spans="1:16" s="325" customFormat="1" ht="33" hidden="1">
      <c r="A221" s="333" t="s">
        <v>2157</v>
      </c>
      <c r="B221" s="334" t="s">
        <v>652</v>
      </c>
      <c r="C221" s="335" t="s">
        <v>13</v>
      </c>
      <c r="D221" s="336">
        <v>4589</v>
      </c>
      <c r="E221" s="336">
        <f>估驗單!F212</f>
        <v>4589</v>
      </c>
      <c r="F221" s="390">
        <f t="shared" si="14"/>
        <v>0</v>
      </c>
      <c r="G221" s="336">
        <v>42.46</v>
      </c>
      <c r="H221" s="336"/>
      <c r="I221" s="336">
        <f t="shared" si="20"/>
        <v>194848.94</v>
      </c>
      <c r="J221" s="336">
        <f t="shared" si="21"/>
        <v>194848.94</v>
      </c>
      <c r="K221" s="546">
        <f t="shared" si="19"/>
        <v>0</v>
      </c>
      <c r="L221" s="502"/>
      <c r="M221" s="231" t="s">
        <v>242</v>
      </c>
      <c r="N221" s="11" t="s">
        <v>243</v>
      </c>
      <c r="O221" s="341"/>
      <c r="P221" s="339"/>
    </row>
    <row r="222" spans="1:16" s="325" customFormat="1" ht="33" hidden="1">
      <c r="A222" s="333" t="s">
        <v>2158</v>
      </c>
      <c r="B222" s="334" t="s">
        <v>204</v>
      </c>
      <c r="C222" s="335" t="s">
        <v>13</v>
      </c>
      <c r="D222" s="336">
        <v>13765</v>
      </c>
      <c r="E222" s="336">
        <f>估驗單!F213</f>
        <v>13765</v>
      </c>
      <c r="F222" s="390">
        <f t="shared" si="14"/>
        <v>0</v>
      </c>
      <c r="G222" s="336">
        <v>15.96</v>
      </c>
      <c r="H222" s="336"/>
      <c r="I222" s="336">
        <f t="shared" si="20"/>
        <v>219689.4</v>
      </c>
      <c r="J222" s="336">
        <f t="shared" si="21"/>
        <v>219689.4</v>
      </c>
      <c r="K222" s="546">
        <f t="shared" si="19"/>
        <v>0</v>
      </c>
      <c r="L222" s="502"/>
      <c r="M222" s="231" t="s">
        <v>242</v>
      </c>
      <c r="N222" s="11" t="s">
        <v>243</v>
      </c>
      <c r="O222" s="341"/>
      <c r="P222" s="339"/>
    </row>
    <row r="223" spans="1:16" s="325" customFormat="1" ht="33" hidden="1">
      <c r="A223" s="333" t="s">
        <v>2159</v>
      </c>
      <c r="B223" s="334" t="s">
        <v>315</v>
      </c>
      <c r="C223" s="335" t="s">
        <v>6</v>
      </c>
      <c r="D223" s="336">
        <v>49</v>
      </c>
      <c r="E223" s="336">
        <f>估驗單!F214</f>
        <v>49</v>
      </c>
      <c r="F223" s="390">
        <f t="shared" ref="F223:F286" si="22">E223-D223</f>
        <v>0</v>
      </c>
      <c r="G223" s="336">
        <v>3114.97</v>
      </c>
      <c r="H223" s="336"/>
      <c r="I223" s="336">
        <f t="shared" si="20"/>
        <v>152633.53</v>
      </c>
      <c r="J223" s="336">
        <f t="shared" si="21"/>
        <v>152633.53</v>
      </c>
      <c r="K223" s="546">
        <f t="shared" si="19"/>
        <v>0</v>
      </c>
      <c r="L223" s="453"/>
      <c r="M223" s="231" t="s">
        <v>242</v>
      </c>
      <c r="N223" s="11" t="s">
        <v>243</v>
      </c>
      <c r="O223" s="341"/>
      <c r="P223" s="339"/>
    </row>
    <row r="224" spans="1:16" s="325" customFormat="1" ht="33" hidden="1">
      <c r="A224" s="503" t="s">
        <v>2160</v>
      </c>
      <c r="B224" s="504" t="s">
        <v>24</v>
      </c>
      <c r="C224" s="505" t="s">
        <v>6</v>
      </c>
      <c r="D224" s="506">
        <v>328</v>
      </c>
      <c r="E224" s="506">
        <f>估驗單!F215</f>
        <v>328</v>
      </c>
      <c r="F224" s="507">
        <f t="shared" si="22"/>
        <v>0</v>
      </c>
      <c r="G224" s="506">
        <v>3320.96</v>
      </c>
      <c r="H224" s="506"/>
      <c r="I224" s="506">
        <f t="shared" si="20"/>
        <v>1089274.8799999999</v>
      </c>
      <c r="J224" s="506">
        <f t="shared" si="21"/>
        <v>1089274.8799999999</v>
      </c>
      <c r="K224" s="547">
        <f t="shared" si="19"/>
        <v>0</v>
      </c>
      <c r="L224" s="510"/>
      <c r="M224" s="508" t="s">
        <v>242</v>
      </c>
      <c r="N224" s="11" t="s">
        <v>243</v>
      </c>
      <c r="O224" s="341"/>
      <c r="P224" s="339"/>
    </row>
    <row r="225" spans="1:19" s="325" customFormat="1" ht="33" hidden="1">
      <c r="A225" s="503" t="s">
        <v>2161</v>
      </c>
      <c r="B225" s="504" t="s">
        <v>595</v>
      </c>
      <c r="C225" s="505" t="s">
        <v>6</v>
      </c>
      <c r="D225" s="506">
        <v>377</v>
      </c>
      <c r="E225" s="506">
        <f>估驗單!F216</f>
        <v>377</v>
      </c>
      <c r="F225" s="507">
        <f t="shared" si="22"/>
        <v>0</v>
      </c>
      <c r="G225" s="506">
        <v>199.99</v>
      </c>
      <c r="H225" s="506"/>
      <c r="I225" s="506">
        <f t="shared" si="20"/>
        <v>75396.23</v>
      </c>
      <c r="J225" s="506">
        <f t="shared" si="21"/>
        <v>75396.23</v>
      </c>
      <c r="K225" s="547">
        <f t="shared" si="19"/>
        <v>0</v>
      </c>
      <c r="L225" s="510"/>
      <c r="M225" s="508" t="s">
        <v>242</v>
      </c>
      <c r="N225" s="11" t="s">
        <v>243</v>
      </c>
      <c r="O225" s="341"/>
      <c r="P225" s="339"/>
    </row>
    <row r="226" spans="1:19" s="325" customFormat="1" ht="33">
      <c r="A226" s="608" t="s">
        <v>2162</v>
      </c>
      <c r="B226" s="609" t="s">
        <v>626</v>
      </c>
      <c r="C226" s="610" t="s">
        <v>13</v>
      </c>
      <c r="D226" s="611">
        <v>867</v>
      </c>
      <c r="E226" s="611">
        <f>估驗單!F217</f>
        <v>867</v>
      </c>
      <c r="F226" s="612">
        <f t="shared" si="22"/>
        <v>0</v>
      </c>
      <c r="G226" s="611">
        <v>698.28</v>
      </c>
      <c r="H226" s="611"/>
      <c r="I226" s="611">
        <f t="shared" si="20"/>
        <v>605408.76</v>
      </c>
      <c r="J226" s="611">
        <f t="shared" si="21"/>
        <v>605408.76</v>
      </c>
      <c r="K226" s="613">
        <f t="shared" si="19"/>
        <v>0</v>
      </c>
      <c r="L226" s="614"/>
      <c r="M226" s="615"/>
      <c r="N226" s="11" t="s">
        <v>243</v>
      </c>
      <c r="O226" s="341"/>
      <c r="P226" s="360"/>
    </row>
    <row r="227" spans="1:19" s="325" customFormat="1" ht="33">
      <c r="A227" s="616" t="s">
        <v>2163</v>
      </c>
      <c r="B227" s="617" t="s">
        <v>193</v>
      </c>
      <c r="C227" s="618" t="s">
        <v>13</v>
      </c>
      <c r="D227" s="619">
        <v>1257</v>
      </c>
      <c r="E227" s="619">
        <f>估驗單!F218</f>
        <v>1257</v>
      </c>
      <c r="F227" s="620">
        <f t="shared" si="22"/>
        <v>0</v>
      </c>
      <c r="G227" s="619">
        <v>533.61</v>
      </c>
      <c r="H227" s="619"/>
      <c r="I227" s="619">
        <f t="shared" si="20"/>
        <v>670747.77</v>
      </c>
      <c r="J227" s="619">
        <f t="shared" si="21"/>
        <v>670747.77</v>
      </c>
      <c r="K227" s="621">
        <f t="shared" si="19"/>
        <v>0</v>
      </c>
      <c r="L227" s="622"/>
      <c r="M227" s="623"/>
      <c r="N227" s="11" t="s">
        <v>243</v>
      </c>
      <c r="O227" s="341"/>
      <c r="P227" s="360"/>
    </row>
    <row r="228" spans="1:19" s="325" customFormat="1" ht="42.75" hidden="1">
      <c r="A228" s="503" t="s">
        <v>2164</v>
      </c>
      <c r="B228" s="504" t="s">
        <v>192</v>
      </c>
      <c r="C228" s="505" t="s">
        <v>17</v>
      </c>
      <c r="D228" s="506">
        <v>12810</v>
      </c>
      <c r="E228" s="506">
        <f>估驗單!F219</f>
        <v>12810</v>
      </c>
      <c r="F228" s="507">
        <f t="shared" si="22"/>
        <v>0</v>
      </c>
      <c r="G228" s="506">
        <v>36.4</v>
      </c>
      <c r="H228" s="506"/>
      <c r="I228" s="506">
        <f t="shared" si="20"/>
        <v>466284</v>
      </c>
      <c r="J228" s="506">
        <f t="shared" si="21"/>
        <v>466284</v>
      </c>
      <c r="K228" s="546">
        <f t="shared" si="19"/>
        <v>0</v>
      </c>
      <c r="L228" s="510"/>
      <c r="M228" s="508" t="s">
        <v>2334</v>
      </c>
      <c r="N228" s="11" t="s">
        <v>243</v>
      </c>
      <c r="O228" s="474" t="s">
        <v>2631</v>
      </c>
      <c r="P228" s="339"/>
    </row>
    <row r="229" spans="1:19" s="325" customFormat="1" ht="42.75" hidden="1">
      <c r="A229" s="333" t="s">
        <v>2165</v>
      </c>
      <c r="B229" s="334" t="s">
        <v>655</v>
      </c>
      <c r="C229" s="335" t="s">
        <v>15</v>
      </c>
      <c r="D229" s="336">
        <v>158</v>
      </c>
      <c r="E229" s="336">
        <f>估驗單!F220</f>
        <v>158</v>
      </c>
      <c r="F229" s="390">
        <f t="shared" si="22"/>
        <v>0</v>
      </c>
      <c r="G229" s="336">
        <v>3615.1</v>
      </c>
      <c r="H229" s="336"/>
      <c r="I229" s="336">
        <f t="shared" si="20"/>
        <v>571185.80000000005</v>
      </c>
      <c r="J229" s="336">
        <f t="shared" si="21"/>
        <v>571185.80000000005</v>
      </c>
      <c r="K229" s="546">
        <f t="shared" si="19"/>
        <v>0</v>
      </c>
      <c r="L229" s="502"/>
      <c r="M229" s="231" t="s">
        <v>2337</v>
      </c>
      <c r="N229" s="11" t="s">
        <v>243</v>
      </c>
      <c r="O229" s="341"/>
      <c r="P229" s="339"/>
    </row>
    <row r="230" spans="1:19" s="325" customFormat="1" ht="42.75" hidden="1">
      <c r="A230" s="333" t="s">
        <v>2166</v>
      </c>
      <c r="B230" s="334" t="s">
        <v>657</v>
      </c>
      <c r="C230" s="335" t="s">
        <v>17</v>
      </c>
      <c r="D230" s="336">
        <v>3713</v>
      </c>
      <c r="E230" s="336">
        <f>估驗單!F221</f>
        <v>3713</v>
      </c>
      <c r="F230" s="390">
        <f t="shared" si="22"/>
        <v>0</v>
      </c>
      <c r="G230" s="336">
        <v>107.44</v>
      </c>
      <c r="H230" s="336"/>
      <c r="I230" s="336">
        <f t="shared" si="20"/>
        <v>398924.72</v>
      </c>
      <c r="J230" s="336">
        <f t="shared" si="21"/>
        <v>398924.72</v>
      </c>
      <c r="K230" s="546">
        <f t="shared" si="19"/>
        <v>0</v>
      </c>
      <c r="L230" s="502"/>
      <c r="M230" s="231" t="s">
        <v>2337</v>
      </c>
      <c r="N230" s="11" t="s">
        <v>243</v>
      </c>
      <c r="O230" s="341"/>
      <c r="P230" s="339"/>
    </row>
    <row r="231" spans="1:19" s="325" customFormat="1" ht="33" hidden="1">
      <c r="A231" s="333" t="s">
        <v>2167</v>
      </c>
      <c r="B231" s="334" t="s">
        <v>357</v>
      </c>
      <c r="C231" s="335" t="s">
        <v>8</v>
      </c>
      <c r="D231" s="336">
        <v>155</v>
      </c>
      <c r="E231" s="336">
        <f>估驗單!F222</f>
        <v>155</v>
      </c>
      <c r="F231" s="390">
        <f t="shared" si="22"/>
        <v>0</v>
      </c>
      <c r="G231" s="336">
        <v>138.84</v>
      </c>
      <c r="H231" s="336"/>
      <c r="I231" s="336">
        <f t="shared" si="20"/>
        <v>21520.2</v>
      </c>
      <c r="J231" s="336">
        <f t="shared" si="21"/>
        <v>21520.2</v>
      </c>
      <c r="K231" s="546">
        <f t="shared" si="19"/>
        <v>0</v>
      </c>
      <c r="L231" s="502"/>
      <c r="M231" s="231" t="s">
        <v>242</v>
      </c>
      <c r="N231" s="11" t="s">
        <v>243</v>
      </c>
      <c r="O231" s="341"/>
      <c r="P231" s="339"/>
    </row>
    <row r="232" spans="1:19" s="356" customFormat="1" ht="31.5" hidden="1">
      <c r="A232" s="343">
        <v>15</v>
      </c>
      <c r="B232" s="344" t="s">
        <v>1497</v>
      </c>
      <c r="C232" s="345" t="s">
        <v>223</v>
      </c>
      <c r="D232" s="340">
        <v>1376.7</v>
      </c>
      <c r="E232" s="336">
        <f>估驗單!F223</f>
        <v>1376.7</v>
      </c>
      <c r="F232" s="390">
        <f t="shared" si="22"/>
        <v>0</v>
      </c>
      <c r="G232" s="340">
        <v>1288.28</v>
      </c>
      <c r="H232" s="340"/>
      <c r="I232" s="336">
        <f t="shared" si="20"/>
        <v>1773575.08</v>
      </c>
      <c r="J232" s="336">
        <f t="shared" si="21"/>
        <v>1773575.08</v>
      </c>
      <c r="K232" s="546">
        <f t="shared" si="19"/>
        <v>0</v>
      </c>
      <c r="L232" s="502"/>
      <c r="M232" s="346" t="s">
        <v>2387</v>
      </c>
      <c r="N232" s="347"/>
      <c r="O232" s="355" t="s">
        <v>2388</v>
      </c>
      <c r="P232" s="349" t="s">
        <v>2389</v>
      </c>
      <c r="Q232" s="325" t="s">
        <v>2390</v>
      </c>
    </row>
    <row r="233" spans="1:19" s="356" customFormat="1" ht="168.75" hidden="1">
      <c r="A233" s="343">
        <v>16</v>
      </c>
      <c r="B233" s="344" t="s">
        <v>2391</v>
      </c>
      <c r="C233" s="345" t="s">
        <v>2386</v>
      </c>
      <c r="D233" s="419">
        <v>512.1</v>
      </c>
      <c r="E233" s="336">
        <f>估驗單!F224</f>
        <v>512.1</v>
      </c>
      <c r="F233" s="390">
        <f t="shared" si="22"/>
        <v>0</v>
      </c>
      <c r="G233" s="340">
        <v>868.84</v>
      </c>
      <c r="H233" s="340"/>
      <c r="I233" s="336">
        <f t="shared" si="20"/>
        <v>444932.96</v>
      </c>
      <c r="J233" s="336">
        <f t="shared" si="21"/>
        <v>444932.96</v>
      </c>
      <c r="K233" s="546">
        <f t="shared" si="19"/>
        <v>0</v>
      </c>
      <c r="L233" s="453"/>
      <c r="M233" s="346" t="s">
        <v>2392</v>
      </c>
      <c r="N233" s="347"/>
      <c r="O233" s="355" t="s">
        <v>2393</v>
      </c>
      <c r="P233" s="360" t="s">
        <v>2394</v>
      </c>
      <c r="Q233" s="362" t="s">
        <v>2390</v>
      </c>
      <c r="S233" s="371" t="s">
        <v>2395</v>
      </c>
    </row>
    <row r="234" spans="1:19" s="325" customFormat="1" ht="33" hidden="1">
      <c r="A234" s="406" t="s">
        <v>2246</v>
      </c>
      <c r="B234" s="407" t="s">
        <v>660</v>
      </c>
      <c r="C234" s="408" t="s">
        <v>4</v>
      </c>
      <c r="D234" s="409"/>
      <c r="E234" s="409"/>
      <c r="F234" s="410">
        <f t="shared" si="22"/>
        <v>0</v>
      </c>
      <c r="G234" s="409">
        <v>901865.78</v>
      </c>
      <c r="H234" s="409"/>
      <c r="I234" s="411">
        <f>SUM(I235:I311)</f>
        <v>5797339.8100000005</v>
      </c>
      <c r="J234" s="411">
        <f>SUM(J235:J311)</f>
        <v>5864027.4800000004</v>
      </c>
      <c r="K234" s="541">
        <f>SUM(K235:K311)</f>
        <v>66687.67</v>
      </c>
      <c r="L234" s="452">
        <f>SUM(L235:L311)</f>
        <v>0</v>
      </c>
      <c r="M234" s="288" t="s">
        <v>242</v>
      </c>
      <c r="N234" s="11" t="s">
        <v>243</v>
      </c>
      <c r="O234" s="338"/>
      <c r="P234" s="339"/>
      <c r="R234" s="325">
        <f>(26.4+21.4+6.8+29.6+4.8+58.5)+(52.7+6.8+48.3+5+21.2+10.7+23.9+49.8+2.3+1.4)+(43.6+11.2+9.1+20.6+77.7+67.4+13.8+49.3+17.5+24.2+1.8)+(6.5+64.1+10.9+43+11.1+9.4+10+42+1.2+20.1)</f>
        <v>924.09999999999991</v>
      </c>
      <c r="S234" s="325">
        <f>(26.4+21.4+6.8+29.6+4.8+58.5)+(52.7+6.8+48.3+5+21.2+10.7+23.9+49.8+2.3+1.4)+(43.6+11.2+9.1+20.6+77.7+67.4+13.8+49.3+17.5+24.2+1.8)+(10.9+43+11.1+9.4+10+42+1.2+20.1)</f>
        <v>853.5</v>
      </c>
    </row>
    <row r="235" spans="1:19" s="325" customFormat="1" ht="33" hidden="1">
      <c r="A235" s="333" t="s">
        <v>2154</v>
      </c>
      <c r="B235" s="334" t="s">
        <v>662</v>
      </c>
      <c r="C235" s="335" t="s">
        <v>223</v>
      </c>
      <c r="D235" s="336">
        <v>1</v>
      </c>
      <c r="E235" s="336">
        <f>估驗單!F226</f>
        <v>1</v>
      </c>
      <c r="F235" s="390">
        <f t="shared" si="22"/>
        <v>0</v>
      </c>
      <c r="G235" s="336">
        <v>704.48</v>
      </c>
      <c r="H235" s="336"/>
      <c r="I235" s="336">
        <f t="shared" ref="I235:I298" si="23">ROUND(D235*G235,2)</f>
        <v>704.48</v>
      </c>
      <c r="J235" s="336">
        <f t="shared" ref="J235:J298" si="24">ROUND(E235*G235,2)</f>
        <v>704.48</v>
      </c>
      <c r="K235" s="546">
        <f t="shared" si="19"/>
        <v>0</v>
      </c>
      <c r="L235" s="502"/>
      <c r="M235" s="231" t="s">
        <v>2396</v>
      </c>
      <c r="N235" s="11" t="s">
        <v>243</v>
      </c>
      <c r="O235" s="341"/>
      <c r="P235" s="339"/>
    </row>
    <row r="236" spans="1:19" s="325" customFormat="1" ht="33" hidden="1">
      <c r="A236" s="333" t="s">
        <v>2155</v>
      </c>
      <c r="B236" s="334" t="s">
        <v>665</v>
      </c>
      <c r="C236" s="335" t="s">
        <v>5</v>
      </c>
      <c r="D236" s="336">
        <v>1</v>
      </c>
      <c r="E236" s="336">
        <f>估驗單!F227</f>
        <v>1</v>
      </c>
      <c r="F236" s="390">
        <f t="shared" si="22"/>
        <v>0</v>
      </c>
      <c r="G236" s="336">
        <v>399.98</v>
      </c>
      <c r="H236" s="336"/>
      <c r="I236" s="336">
        <f t="shared" si="23"/>
        <v>399.98</v>
      </c>
      <c r="J236" s="336">
        <f t="shared" si="24"/>
        <v>399.98</v>
      </c>
      <c r="K236" s="546">
        <f t="shared" si="19"/>
        <v>0</v>
      </c>
      <c r="L236" s="502"/>
      <c r="M236" s="231" t="s">
        <v>2397</v>
      </c>
      <c r="N236" s="11" t="s">
        <v>243</v>
      </c>
      <c r="O236" s="341"/>
      <c r="P236" s="339"/>
    </row>
    <row r="237" spans="1:19" s="325" customFormat="1" ht="33.75" hidden="1">
      <c r="A237" s="333" t="s">
        <v>2156</v>
      </c>
      <c r="B237" s="334" t="s">
        <v>668</v>
      </c>
      <c r="C237" s="335" t="s">
        <v>669</v>
      </c>
      <c r="D237" s="336">
        <v>14</v>
      </c>
      <c r="E237" s="336">
        <f>估驗單!F228</f>
        <v>15</v>
      </c>
      <c r="F237" s="390">
        <f t="shared" si="22"/>
        <v>1</v>
      </c>
      <c r="G237" s="336">
        <v>3569.75</v>
      </c>
      <c r="H237" s="336"/>
      <c r="I237" s="336">
        <f t="shared" si="23"/>
        <v>49976.5</v>
      </c>
      <c r="J237" s="336">
        <f t="shared" si="24"/>
        <v>53546.25</v>
      </c>
      <c r="K237" s="546">
        <f t="shared" si="19"/>
        <v>3569.75</v>
      </c>
      <c r="L237" s="502"/>
      <c r="M237" s="231" t="s">
        <v>2398</v>
      </c>
      <c r="N237" s="11" t="s">
        <v>243</v>
      </c>
      <c r="O237" s="341" t="s">
        <v>2399</v>
      </c>
      <c r="P237" s="339"/>
      <c r="Q237" s="325" t="s">
        <v>2400</v>
      </c>
    </row>
    <row r="238" spans="1:19" s="325" customFormat="1" ht="33.75" hidden="1">
      <c r="A238" s="333" t="s">
        <v>2157</v>
      </c>
      <c r="B238" s="334" t="s">
        <v>672</v>
      </c>
      <c r="C238" s="335" t="s">
        <v>669</v>
      </c>
      <c r="D238" s="336">
        <v>2</v>
      </c>
      <c r="E238" s="336">
        <f>估驗單!F229</f>
        <v>2</v>
      </c>
      <c r="F238" s="390">
        <f t="shared" si="22"/>
        <v>0</v>
      </c>
      <c r="G238" s="336">
        <v>4082.87</v>
      </c>
      <c r="H238" s="336"/>
      <c r="I238" s="336">
        <f t="shared" si="23"/>
        <v>8165.74</v>
      </c>
      <c r="J238" s="336">
        <f t="shared" si="24"/>
        <v>8165.74</v>
      </c>
      <c r="K238" s="546">
        <f t="shared" si="19"/>
        <v>0</v>
      </c>
      <c r="L238" s="502"/>
      <c r="M238" s="231" t="s">
        <v>2401</v>
      </c>
      <c r="N238" s="11" t="s">
        <v>243</v>
      </c>
      <c r="O238" s="341" t="s">
        <v>2399</v>
      </c>
      <c r="P238" s="339"/>
      <c r="Q238" s="325" t="s">
        <v>2400</v>
      </c>
    </row>
    <row r="239" spans="1:19" s="325" customFormat="1" ht="33.75" hidden="1">
      <c r="A239" s="333" t="s">
        <v>2158</v>
      </c>
      <c r="B239" s="334" t="s">
        <v>675</v>
      </c>
      <c r="C239" s="335" t="s">
        <v>669</v>
      </c>
      <c r="D239" s="336">
        <v>6</v>
      </c>
      <c r="E239" s="336">
        <f>估驗單!F230</f>
        <v>9</v>
      </c>
      <c r="F239" s="390">
        <f t="shared" si="22"/>
        <v>3</v>
      </c>
      <c r="G239" s="336">
        <v>7408.14</v>
      </c>
      <c r="H239" s="336"/>
      <c r="I239" s="336">
        <f t="shared" si="23"/>
        <v>44448.84</v>
      </c>
      <c r="J239" s="336">
        <f t="shared" si="24"/>
        <v>66673.259999999995</v>
      </c>
      <c r="K239" s="546">
        <f t="shared" si="19"/>
        <v>22224.42</v>
      </c>
      <c r="L239" s="502"/>
      <c r="M239" s="231" t="s">
        <v>2401</v>
      </c>
      <c r="N239" s="11" t="s">
        <v>243</v>
      </c>
      <c r="O239" s="341" t="s">
        <v>2399</v>
      </c>
      <c r="P239" s="339"/>
      <c r="Q239" s="325" t="s">
        <v>2400</v>
      </c>
    </row>
    <row r="240" spans="1:19" s="325" customFormat="1" ht="33.75" hidden="1">
      <c r="A240" s="333" t="s">
        <v>2159</v>
      </c>
      <c r="B240" s="334" t="s">
        <v>678</v>
      </c>
      <c r="C240" s="335" t="s">
        <v>669</v>
      </c>
      <c r="D240" s="336">
        <v>8</v>
      </c>
      <c r="E240" s="336">
        <f>估驗單!F231</f>
        <v>8</v>
      </c>
      <c r="F240" s="390">
        <f t="shared" si="22"/>
        <v>0</v>
      </c>
      <c r="G240" s="336">
        <v>10318.74</v>
      </c>
      <c r="H240" s="336"/>
      <c r="I240" s="336">
        <f t="shared" si="23"/>
        <v>82549.919999999998</v>
      </c>
      <c r="J240" s="336">
        <f t="shared" si="24"/>
        <v>82549.919999999998</v>
      </c>
      <c r="K240" s="546">
        <f t="shared" si="19"/>
        <v>0</v>
      </c>
      <c r="L240" s="502"/>
      <c r="M240" s="231" t="s">
        <v>2401</v>
      </c>
      <c r="N240" s="11" t="s">
        <v>243</v>
      </c>
      <c r="O240" s="341" t="s">
        <v>2399</v>
      </c>
      <c r="P240" s="339"/>
      <c r="Q240" s="325" t="s">
        <v>2400</v>
      </c>
    </row>
    <row r="241" spans="1:17" s="325" customFormat="1" ht="33.75" hidden="1">
      <c r="A241" s="333" t="s">
        <v>2160</v>
      </c>
      <c r="B241" s="334" t="s">
        <v>681</v>
      </c>
      <c r="C241" s="335" t="s">
        <v>669</v>
      </c>
      <c r="D241" s="336">
        <v>5</v>
      </c>
      <c r="E241" s="336">
        <f>估驗單!F232</f>
        <v>5</v>
      </c>
      <c r="F241" s="390">
        <f t="shared" si="22"/>
        <v>0</v>
      </c>
      <c r="G241" s="336">
        <v>15163.34</v>
      </c>
      <c r="H241" s="336"/>
      <c r="I241" s="336">
        <f t="shared" si="23"/>
        <v>75816.7</v>
      </c>
      <c r="J241" s="336">
        <f t="shared" si="24"/>
        <v>75816.7</v>
      </c>
      <c r="K241" s="546">
        <f t="shared" si="19"/>
        <v>0</v>
      </c>
      <c r="L241" s="502"/>
      <c r="M241" s="231" t="s">
        <v>2398</v>
      </c>
      <c r="N241" s="11" t="s">
        <v>243</v>
      </c>
      <c r="O241" s="341" t="s">
        <v>2399</v>
      </c>
      <c r="P241" s="339"/>
      <c r="Q241" s="325" t="s">
        <v>2400</v>
      </c>
    </row>
    <row r="242" spans="1:17" s="325" customFormat="1" ht="33.75" hidden="1">
      <c r="A242" s="333" t="s">
        <v>2161</v>
      </c>
      <c r="B242" s="334" t="s">
        <v>684</v>
      </c>
      <c r="C242" s="335" t="s">
        <v>669</v>
      </c>
      <c r="D242" s="336">
        <v>3</v>
      </c>
      <c r="E242" s="336">
        <f>估驗單!F233</f>
        <v>3</v>
      </c>
      <c r="F242" s="390">
        <f t="shared" si="22"/>
        <v>0</v>
      </c>
      <c r="G242" s="336">
        <v>21801.91</v>
      </c>
      <c r="H242" s="336"/>
      <c r="I242" s="336">
        <f t="shared" si="23"/>
        <v>65405.73</v>
      </c>
      <c r="J242" s="336">
        <f t="shared" si="24"/>
        <v>65405.73</v>
      </c>
      <c r="K242" s="546">
        <f t="shared" si="19"/>
        <v>0</v>
      </c>
      <c r="L242" s="502"/>
      <c r="M242" s="231" t="s">
        <v>2401</v>
      </c>
      <c r="N242" s="11" t="s">
        <v>243</v>
      </c>
      <c r="O242" s="341" t="s">
        <v>2399</v>
      </c>
      <c r="P242" s="339"/>
      <c r="Q242" s="325" t="s">
        <v>2400</v>
      </c>
    </row>
    <row r="243" spans="1:17" s="325" customFormat="1" ht="33.75" hidden="1">
      <c r="A243" s="333" t="s">
        <v>2162</v>
      </c>
      <c r="B243" s="334" t="s">
        <v>687</v>
      </c>
      <c r="C243" s="335" t="s">
        <v>669</v>
      </c>
      <c r="D243" s="336">
        <v>2</v>
      </c>
      <c r="E243" s="336">
        <f>估驗單!F234</f>
        <v>2</v>
      </c>
      <c r="F243" s="390">
        <f t="shared" si="22"/>
        <v>0</v>
      </c>
      <c r="G243" s="336">
        <v>29983.23</v>
      </c>
      <c r="H243" s="336"/>
      <c r="I243" s="336">
        <f t="shared" si="23"/>
        <v>59966.46</v>
      </c>
      <c r="J243" s="336">
        <f t="shared" si="24"/>
        <v>59966.46</v>
      </c>
      <c r="K243" s="546">
        <f t="shared" si="19"/>
        <v>0</v>
      </c>
      <c r="L243" s="502"/>
      <c r="M243" s="231" t="s">
        <v>242</v>
      </c>
      <c r="N243" s="11" t="s">
        <v>243</v>
      </c>
      <c r="O243" s="341" t="s">
        <v>2399</v>
      </c>
      <c r="P243" s="339"/>
      <c r="Q243" s="325" t="s">
        <v>2400</v>
      </c>
    </row>
    <row r="244" spans="1:17" s="325" customFormat="1" ht="33" hidden="1">
      <c r="A244" s="333" t="s">
        <v>2163</v>
      </c>
      <c r="B244" s="334" t="s">
        <v>690</v>
      </c>
      <c r="C244" s="335" t="s">
        <v>669</v>
      </c>
      <c r="D244" s="336">
        <v>1</v>
      </c>
      <c r="E244" s="336">
        <f>估驗單!F235</f>
        <v>1</v>
      </c>
      <c r="F244" s="390">
        <f t="shared" si="22"/>
        <v>0</v>
      </c>
      <c r="G244" s="336">
        <v>28372.400000000001</v>
      </c>
      <c r="H244" s="336"/>
      <c r="I244" s="336">
        <f t="shared" si="23"/>
        <v>28372.400000000001</v>
      </c>
      <c r="J244" s="336">
        <f t="shared" si="24"/>
        <v>28372.400000000001</v>
      </c>
      <c r="K244" s="546">
        <f t="shared" si="19"/>
        <v>0</v>
      </c>
      <c r="L244" s="502"/>
      <c r="M244" s="231" t="s">
        <v>242</v>
      </c>
      <c r="N244" s="11" t="s">
        <v>243</v>
      </c>
      <c r="O244" s="341"/>
      <c r="P244" s="339"/>
    </row>
    <row r="245" spans="1:17" s="325" customFormat="1" ht="33" hidden="1">
      <c r="A245" s="333" t="s">
        <v>2164</v>
      </c>
      <c r="B245" s="334" t="s">
        <v>693</v>
      </c>
      <c r="C245" s="335" t="s">
        <v>669</v>
      </c>
      <c r="D245" s="336">
        <v>1</v>
      </c>
      <c r="E245" s="336">
        <f>估驗單!F236</f>
        <v>1</v>
      </c>
      <c r="F245" s="390">
        <f t="shared" si="22"/>
        <v>0</v>
      </c>
      <c r="G245" s="336">
        <v>73084.87</v>
      </c>
      <c r="H245" s="336"/>
      <c r="I245" s="336">
        <f t="shared" si="23"/>
        <v>73084.87</v>
      </c>
      <c r="J245" s="336">
        <f t="shared" si="24"/>
        <v>73084.87</v>
      </c>
      <c r="K245" s="546">
        <f t="shared" si="19"/>
        <v>0</v>
      </c>
      <c r="L245" s="502"/>
      <c r="M245" s="231" t="s">
        <v>242</v>
      </c>
      <c r="N245" s="11" t="s">
        <v>243</v>
      </c>
      <c r="O245" s="341"/>
      <c r="P245" s="339"/>
    </row>
    <row r="246" spans="1:17" s="325" customFormat="1" ht="57" hidden="1">
      <c r="A246" s="333" t="s">
        <v>2165</v>
      </c>
      <c r="B246" s="334" t="s">
        <v>696</v>
      </c>
      <c r="C246" s="335" t="s">
        <v>669</v>
      </c>
      <c r="D246" s="336">
        <v>4</v>
      </c>
      <c r="E246" s="336">
        <f>估驗單!F237</f>
        <v>4</v>
      </c>
      <c r="F246" s="390">
        <f t="shared" si="22"/>
        <v>0</v>
      </c>
      <c r="G246" s="336">
        <v>22813.26</v>
      </c>
      <c r="H246" s="336"/>
      <c r="I246" s="336">
        <f t="shared" si="23"/>
        <v>91253.04</v>
      </c>
      <c r="J246" s="336">
        <f t="shared" si="24"/>
        <v>91253.04</v>
      </c>
      <c r="K246" s="546">
        <f t="shared" si="19"/>
        <v>0</v>
      </c>
      <c r="L246" s="502"/>
      <c r="M246" s="231" t="s">
        <v>2402</v>
      </c>
      <c r="N246" s="11" t="s">
        <v>243</v>
      </c>
      <c r="O246" s="341"/>
      <c r="P246" s="339"/>
    </row>
    <row r="247" spans="1:17" s="325" customFormat="1" ht="33" hidden="1">
      <c r="A247" s="333" t="s">
        <v>2166</v>
      </c>
      <c r="B247" s="334" t="s">
        <v>699</v>
      </c>
      <c r="C247" s="335" t="s">
        <v>669</v>
      </c>
      <c r="D247" s="336">
        <v>1</v>
      </c>
      <c r="E247" s="336">
        <f>估驗單!F238</f>
        <v>2</v>
      </c>
      <c r="F247" s="390">
        <f t="shared" si="22"/>
        <v>1</v>
      </c>
      <c r="G247" s="336">
        <v>1079.8499999999999</v>
      </c>
      <c r="H247" s="336"/>
      <c r="I247" s="336">
        <f t="shared" si="23"/>
        <v>1079.8499999999999</v>
      </c>
      <c r="J247" s="336">
        <f t="shared" si="24"/>
        <v>2159.6999999999998</v>
      </c>
      <c r="K247" s="546">
        <f t="shared" si="19"/>
        <v>1079.8499999999999</v>
      </c>
      <c r="L247" s="502"/>
      <c r="M247" s="231" t="s">
        <v>2403</v>
      </c>
      <c r="N247" s="11" t="s">
        <v>243</v>
      </c>
      <c r="O247" s="341"/>
      <c r="P247" s="339"/>
    </row>
    <row r="248" spans="1:17" s="325" customFormat="1" ht="33" hidden="1">
      <c r="A248" s="333" t="s">
        <v>2167</v>
      </c>
      <c r="B248" s="334" t="s">
        <v>702</v>
      </c>
      <c r="C248" s="335" t="s">
        <v>669</v>
      </c>
      <c r="D248" s="336">
        <v>1</v>
      </c>
      <c r="E248" s="336">
        <f>估驗單!F239</f>
        <v>7</v>
      </c>
      <c r="F248" s="390">
        <f t="shared" si="22"/>
        <v>6</v>
      </c>
      <c r="G248" s="336">
        <v>1963.19</v>
      </c>
      <c r="H248" s="336"/>
      <c r="I248" s="336">
        <f t="shared" si="23"/>
        <v>1963.19</v>
      </c>
      <c r="J248" s="336">
        <f t="shared" si="24"/>
        <v>13742.33</v>
      </c>
      <c r="K248" s="546">
        <f t="shared" si="19"/>
        <v>11779.14</v>
      </c>
      <c r="L248" s="502"/>
      <c r="M248" s="231"/>
      <c r="N248" s="11" t="s">
        <v>243</v>
      </c>
      <c r="O248" s="341"/>
      <c r="P248" s="339"/>
    </row>
    <row r="249" spans="1:17" s="325" customFormat="1" ht="33" hidden="1">
      <c r="A249" s="333" t="s">
        <v>2168</v>
      </c>
      <c r="B249" s="334" t="s">
        <v>705</v>
      </c>
      <c r="C249" s="335" t="s">
        <v>669</v>
      </c>
      <c r="D249" s="336">
        <v>1</v>
      </c>
      <c r="E249" s="336">
        <f>估驗單!F240</f>
        <v>3</v>
      </c>
      <c r="F249" s="390">
        <f t="shared" si="22"/>
        <v>2</v>
      </c>
      <c r="G249" s="336">
        <v>2216.48</v>
      </c>
      <c r="H249" s="336"/>
      <c r="I249" s="336">
        <f t="shared" si="23"/>
        <v>2216.48</v>
      </c>
      <c r="J249" s="336">
        <f t="shared" si="24"/>
        <v>6649.44</v>
      </c>
      <c r="K249" s="546">
        <f t="shared" si="19"/>
        <v>4432.9599999999991</v>
      </c>
      <c r="L249" s="502"/>
      <c r="M249" s="231" t="s">
        <v>242</v>
      </c>
      <c r="N249" s="11" t="s">
        <v>243</v>
      </c>
      <c r="O249" s="341"/>
      <c r="P249" s="339"/>
    </row>
    <row r="250" spans="1:17" s="325" customFormat="1" ht="33" hidden="1">
      <c r="A250" s="333" t="s">
        <v>2169</v>
      </c>
      <c r="B250" s="334" t="s">
        <v>708</v>
      </c>
      <c r="C250" s="335" t="s">
        <v>669</v>
      </c>
      <c r="D250" s="336">
        <v>1</v>
      </c>
      <c r="E250" s="336">
        <f>估驗單!F241</f>
        <v>6</v>
      </c>
      <c r="F250" s="390">
        <f t="shared" si="22"/>
        <v>5</v>
      </c>
      <c r="G250" s="336">
        <v>4720.3100000000004</v>
      </c>
      <c r="H250" s="336"/>
      <c r="I250" s="336">
        <f t="shared" si="23"/>
        <v>4720.3100000000004</v>
      </c>
      <c r="J250" s="336">
        <f t="shared" si="24"/>
        <v>28321.86</v>
      </c>
      <c r="K250" s="546">
        <f t="shared" si="19"/>
        <v>23601.55</v>
      </c>
      <c r="L250" s="502"/>
      <c r="M250" s="231" t="s">
        <v>242</v>
      </c>
      <c r="N250" s="11" t="s">
        <v>243</v>
      </c>
      <c r="O250" s="341"/>
      <c r="P250" s="339"/>
    </row>
    <row r="251" spans="1:17" s="325" customFormat="1" ht="33" hidden="1">
      <c r="A251" s="333" t="s">
        <v>2170</v>
      </c>
      <c r="B251" s="334" t="s">
        <v>147</v>
      </c>
      <c r="C251" s="335" t="s">
        <v>8</v>
      </c>
      <c r="D251" s="336">
        <v>162</v>
      </c>
      <c r="E251" s="336">
        <f>估驗單!F242</f>
        <v>162</v>
      </c>
      <c r="F251" s="390">
        <f t="shared" si="22"/>
        <v>0</v>
      </c>
      <c r="G251" s="336">
        <v>1859.79</v>
      </c>
      <c r="H251" s="336"/>
      <c r="I251" s="336">
        <f t="shared" si="23"/>
        <v>301285.98</v>
      </c>
      <c r="J251" s="336">
        <f t="shared" si="24"/>
        <v>301285.98</v>
      </c>
      <c r="K251" s="546">
        <f t="shared" si="19"/>
        <v>0</v>
      </c>
      <c r="L251" s="502"/>
      <c r="M251" s="231" t="s">
        <v>2404</v>
      </c>
      <c r="N251" s="11" t="s">
        <v>243</v>
      </c>
      <c r="O251" s="341"/>
      <c r="P251" s="339"/>
    </row>
    <row r="252" spans="1:17" s="325" customFormat="1" ht="33" hidden="1">
      <c r="A252" s="333" t="s">
        <v>2171</v>
      </c>
      <c r="B252" s="334" t="s">
        <v>713</v>
      </c>
      <c r="C252" s="335" t="s">
        <v>15</v>
      </c>
      <c r="D252" s="336">
        <v>1</v>
      </c>
      <c r="E252" s="336">
        <f>估驗單!F243</f>
        <v>1</v>
      </c>
      <c r="F252" s="390">
        <f t="shared" si="22"/>
        <v>0</v>
      </c>
      <c r="G252" s="336">
        <v>10254.44</v>
      </c>
      <c r="H252" s="336"/>
      <c r="I252" s="336">
        <f t="shared" si="23"/>
        <v>10254.44</v>
      </c>
      <c r="J252" s="336">
        <f t="shared" si="24"/>
        <v>10254.44</v>
      </c>
      <c r="K252" s="546">
        <f t="shared" si="19"/>
        <v>0</v>
      </c>
      <c r="L252" s="502"/>
      <c r="M252" s="231" t="s">
        <v>2405</v>
      </c>
      <c r="N252" s="11" t="s">
        <v>243</v>
      </c>
      <c r="O252" s="341"/>
      <c r="P252" s="339"/>
    </row>
    <row r="253" spans="1:17" s="325" customFormat="1" ht="33" hidden="1">
      <c r="A253" s="333" t="s">
        <v>2172</v>
      </c>
      <c r="B253" s="334" t="s">
        <v>716</v>
      </c>
      <c r="C253" s="335" t="s">
        <v>15</v>
      </c>
      <c r="D253" s="336">
        <v>268</v>
      </c>
      <c r="E253" s="336">
        <f>估驗單!F244</f>
        <v>268</v>
      </c>
      <c r="F253" s="390">
        <f t="shared" si="22"/>
        <v>0</v>
      </c>
      <c r="G253" s="336">
        <v>40</v>
      </c>
      <c r="H253" s="336"/>
      <c r="I253" s="336">
        <f t="shared" si="23"/>
        <v>10720</v>
      </c>
      <c r="J253" s="336">
        <f t="shared" si="24"/>
        <v>10720</v>
      </c>
      <c r="K253" s="546">
        <f t="shared" si="19"/>
        <v>0</v>
      </c>
      <c r="L253" s="502"/>
      <c r="M253" s="231" t="s">
        <v>2406</v>
      </c>
      <c r="N253" s="11" t="s">
        <v>243</v>
      </c>
      <c r="O253" s="341"/>
      <c r="P253" s="339"/>
    </row>
    <row r="254" spans="1:17" s="325" customFormat="1" ht="33" hidden="1">
      <c r="A254" s="333" t="s">
        <v>2173</v>
      </c>
      <c r="B254" s="334" t="s">
        <v>719</v>
      </c>
      <c r="C254" s="335" t="s">
        <v>7</v>
      </c>
      <c r="D254" s="336">
        <v>1340</v>
      </c>
      <c r="E254" s="336">
        <f>估驗單!F245</f>
        <v>1340</v>
      </c>
      <c r="F254" s="390">
        <f t="shared" si="22"/>
        <v>0</v>
      </c>
      <c r="G254" s="336">
        <v>35</v>
      </c>
      <c r="H254" s="336"/>
      <c r="I254" s="336">
        <f t="shared" si="23"/>
        <v>46900</v>
      </c>
      <c r="J254" s="336">
        <f t="shared" si="24"/>
        <v>46900</v>
      </c>
      <c r="K254" s="546">
        <f t="shared" si="19"/>
        <v>0</v>
      </c>
      <c r="L254" s="502"/>
      <c r="M254" s="231" t="s">
        <v>2407</v>
      </c>
      <c r="N254" s="11" t="s">
        <v>243</v>
      </c>
      <c r="O254" s="341"/>
      <c r="P254" s="339"/>
    </row>
    <row r="255" spans="1:17" s="325" customFormat="1" ht="33" hidden="1">
      <c r="A255" s="333" t="s">
        <v>2174</v>
      </c>
      <c r="B255" s="334" t="s">
        <v>722</v>
      </c>
      <c r="C255" s="335" t="s">
        <v>8</v>
      </c>
      <c r="D255" s="336">
        <v>1</v>
      </c>
      <c r="E255" s="336">
        <f>估驗單!F246</f>
        <v>1</v>
      </c>
      <c r="F255" s="390">
        <f t="shared" si="22"/>
        <v>0</v>
      </c>
      <c r="G255" s="336">
        <v>10</v>
      </c>
      <c r="H255" s="336"/>
      <c r="I255" s="336">
        <f t="shared" si="23"/>
        <v>10</v>
      </c>
      <c r="J255" s="336">
        <f t="shared" si="24"/>
        <v>10</v>
      </c>
      <c r="K255" s="546">
        <f t="shared" si="19"/>
        <v>0</v>
      </c>
      <c r="L255" s="502"/>
      <c r="M255" s="231" t="s">
        <v>242</v>
      </c>
      <c r="N255" s="11" t="s">
        <v>243</v>
      </c>
      <c r="O255" s="341"/>
      <c r="P255" s="339"/>
    </row>
    <row r="256" spans="1:17" s="325" customFormat="1" ht="33" hidden="1">
      <c r="A256" s="333" t="s">
        <v>2175</v>
      </c>
      <c r="B256" s="334" t="s">
        <v>725</v>
      </c>
      <c r="C256" s="335" t="s">
        <v>13</v>
      </c>
      <c r="D256" s="336">
        <v>1</v>
      </c>
      <c r="E256" s="336">
        <f>估驗單!F247</f>
        <v>1</v>
      </c>
      <c r="F256" s="390">
        <f t="shared" si="22"/>
        <v>0</v>
      </c>
      <c r="G256" s="336">
        <v>530.97</v>
      </c>
      <c r="H256" s="336"/>
      <c r="I256" s="336">
        <f t="shared" si="23"/>
        <v>530.97</v>
      </c>
      <c r="J256" s="336">
        <f t="shared" si="24"/>
        <v>530.97</v>
      </c>
      <c r="K256" s="546">
        <f t="shared" si="19"/>
        <v>0</v>
      </c>
      <c r="L256" s="502"/>
      <c r="M256" s="231" t="s">
        <v>2408</v>
      </c>
      <c r="N256" s="11" t="s">
        <v>243</v>
      </c>
      <c r="O256" s="341"/>
      <c r="P256" s="339"/>
    </row>
    <row r="257" spans="1:16" s="325" customFormat="1" ht="33" hidden="1">
      <c r="A257" s="333" t="s">
        <v>2177</v>
      </c>
      <c r="B257" s="334" t="s">
        <v>728</v>
      </c>
      <c r="C257" s="335" t="s">
        <v>6</v>
      </c>
      <c r="D257" s="336">
        <v>11.31</v>
      </c>
      <c r="E257" s="336">
        <f>估驗單!F248</f>
        <v>11.31</v>
      </c>
      <c r="F257" s="390">
        <f t="shared" si="22"/>
        <v>0</v>
      </c>
      <c r="G257" s="336">
        <v>3386.34</v>
      </c>
      <c r="H257" s="336"/>
      <c r="I257" s="336">
        <f t="shared" si="23"/>
        <v>38299.51</v>
      </c>
      <c r="J257" s="336">
        <f t="shared" si="24"/>
        <v>38299.51</v>
      </c>
      <c r="K257" s="546">
        <f t="shared" si="19"/>
        <v>0</v>
      </c>
      <c r="L257" s="502"/>
      <c r="M257" s="231" t="s">
        <v>242</v>
      </c>
      <c r="N257" s="11" t="s">
        <v>243</v>
      </c>
      <c r="O257" s="341"/>
      <c r="P257" s="339"/>
    </row>
    <row r="258" spans="1:16" s="325" customFormat="1" ht="33" hidden="1">
      <c r="A258" s="333" t="s">
        <v>2178</v>
      </c>
      <c r="B258" s="334" t="s">
        <v>731</v>
      </c>
      <c r="C258" s="335" t="s">
        <v>4</v>
      </c>
      <c r="D258" s="336">
        <v>1</v>
      </c>
      <c r="E258" s="336">
        <f>估驗單!F249</f>
        <v>1</v>
      </c>
      <c r="F258" s="390">
        <f t="shared" si="22"/>
        <v>0</v>
      </c>
      <c r="G258" s="336">
        <v>107994.11</v>
      </c>
      <c r="H258" s="336"/>
      <c r="I258" s="336">
        <f t="shared" si="23"/>
        <v>107994.11</v>
      </c>
      <c r="J258" s="336">
        <f t="shared" si="24"/>
        <v>107994.11</v>
      </c>
      <c r="K258" s="546">
        <f t="shared" si="19"/>
        <v>0</v>
      </c>
      <c r="L258" s="502"/>
      <c r="M258" s="231" t="s">
        <v>2409</v>
      </c>
      <c r="N258" s="11" t="s">
        <v>243</v>
      </c>
      <c r="O258" s="341"/>
      <c r="P258" s="339"/>
    </row>
    <row r="259" spans="1:16" s="325" customFormat="1" ht="33" hidden="1">
      <c r="A259" s="333" t="s">
        <v>2179</v>
      </c>
      <c r="B259" s="334" t="s">
        <v>734</v>
      </c>
      <c r="C259" s="335" t="s">
        <v>13</v>
      </c>
      <c r="D259" s="336">
        <v>1</v>
      </c>
      <c r="E259" s="336">
        <f>估驗單!F250</f>
        <v>1</v>
      </c>
      <c r="F259" s="390">
        <f t="shared" si="22"/>
        <v>0</v>
      </c>
      <c r="G259" s="336">
        <v>499.97</v>
      </c>
      <c r="H259" s="336"/>
      <c r="I259" s="336">
        <f t="shared" si="23"/>
        <v>499.97</v>
      </c>
      <c r="J259" s="336">
        <f t="shared" si="24"/>
        <v>499.97</v>
      </c>
      <c r="K259" s="546">
        <f t="shared" si="19"/>
        <v>0</v>
      </c>
      <c r="L259" s="502"/>
      <c r="M259" s="231" t="s">
        <v>2321</v>
      </c>
      <c r="N259" s="11" t="s">
        <v>243</v>
      </c>
      <c r="O259" s="341"/>
      <c r="P259" s="339"/>
    </row>
    <row r="260" spans="1:16" s="325" customFormat="1" ht="42.75" hidden="1">
      <c r="A260" s="333" t="s">
        <v>2181</v>
      </c>
      <c r="B260" s="334" t="s">
        <v>737</v>
      </c>
      <c r="C260" s="335" t="s">
        <v>669</v>
      </c>
      <c r="D260" s="336">
        <v>1</v>
      </c>
      <c r="E260" s="336">
        <f>估驗單!F251</f>
        <v>1</v>
      </c>
      <c r="F260" s="390">
        <f t="shared" si="22"/>
        <v>0</v>
      </c>
      <c r="G260" s="336">
        <v>10067.84</v>
      </c>
      <c r="H260" s="336"/>
      <c r="I260" s="336">
        <f t="shared" si="23"/>
        <v>10067.84</v>
      </c>
      <c r="J260" s="336">
        <f t="shared" si="24"/>
        <v>10067.84</v>
      </c>
      <c r="K260" s="546">
        <f t="shared" si="19"/>
        <v>0</v>
      </c>
      <c r="L260" s="502"/>
      <c r="M260" s="231" t="s">
        <v>2321</v>
      </c>
      <c r="N260" s="11" t="s">
        <v>243</v>
      </c>
      <c r="O260" s="341"/>
      <c r="P260" s="339"/>
    </row>
    <row r="261" spans="1:16" s="325" customFormat="1" ht="33" hidden="1">
      <c r="A261" s="333" t="s">
        <v>2182</v>
      </c>
      <c r="B261" s="334" t="s">
        <v>740</v>
      </c>
      <c r="C261" s="335" t="s">
        <v>669</v>
      </c>
      <c r="D261" s="336">
        <v>1</v>
      </c>
      <c r="E261" s="336">
        <f>估驗單!F252</f>
        <v>1</v>
      </c>
      <c r="F261" s="390">
        <f t="shared" si="22"/>
        <v>0</v>
      </c>
      <c r="G261" s="336">
        <v>6487.57</v>
      </c>
      <c r="H261" s="336"/>
      <c r="I261" s="336">
        <f t="shared" si="23"/>
        <v>6487.57</v>
      </c>
      <c r="J261" s="336">
        <f t="shared" si="24"/>
        <v>6487.57</v>
      </c>
      <c r="K261" s="546">
        <f t="shared" si="19"/>
        <v>0</v>
      </c>
      <c r="L261" s="502"/>
      <c r="M261" s="231" t="s">
        <v>2321</v>
      </c>
      <c r="N261" s="11" t="s">
        <v>243</v>
      </c>
      <c r="O261" s="341"/>
      <c r="P261" s="339"/>
    </row>
    <row r="262" spans="1:16" s="325" customFormat="1" ht="42.75" hidden="1">
      <c r="A262" s="333" t="s">
        <v>2183</v>
      </c>
      <c r="B262" s="334" t="s">
        <v>743</v>
      </c>
      <c r="C262" s="335" t="s">
        <v>669</v>
      </c>
      <c r="D262" s="336">
        <v>1</v>
      </c>
      <c r="E262" s="336">
        <f>估驗單!F253</f>
        <v>1</v>
      </c>
      <c r="F262" s="390">
        <f t="shared" si="22"/>
        <v>0</v>
      </c>
      <c r="G262" s="336">
        <v>8473.2999999999993</v>
      </c>
      <c r="H262" s="336"/>
      <c r="I262" s="336">
        <f t="shared" si="23"/>
        <v>8473.2999999999993</v>
      </c>
      <c r="J262" s="336">
        <f t="shared" si="24"/>
        <v>8473.2999999999993</v>
      </c>
      <c r="K262" s="546">
        <f t="shared" si="19"/>
        <v>0</v>
      </c>
      <c r="L262" s="502"/>
      <c r="M262" s="231" t="s">
        <v>2321</v>
      </c>
      <c r="N262" s="11" t="s">
        <v>243</v>
      </c>
      <c r="O262" s="341"/>
      <c r="P262" s="339"/>
    </row>
    <row r="263" spans="1:16" s="325" customFormat="1" ht="42.75" hidden="1">
      <c r="A263" s="333" t="s">
        <v>2184</v>
      </c>
      <c r="B263" s="334" t="s">
        <v>746</v>
      </c>
      <c r="C263" s="335" t="s">
        <v>669</v>
      </c>
      <c r="D263" s="336">
        <v>1</v>
      </c>
      <c r="E263" s="336">
        <f>估驗單!F254</f>
        <v>1</v>
      </c>
      <c r="F263" s="390">
        <f t="shared" si="22"/>
        <v>0</v>
      </c>
      <c r="G263" s="336">
        <v>17742.79</v>
      </c>
      <c r="H263" s="336"/>
      <c r="I263" s="336">
        <f t="shared" si="23"/>
        <v>17742.79</v>
      </c>
      <c r="J263" s="336">
        <f t="shared" si="24"/>
        <v>17742.79</v>
      </c>
      <c r="K263" s="546">
        <f t="shared" si="19"/>
        <v>0</v>
      </c>
      <c r="L263" s="502"/>
      <c r="M263" s="231" t="s">
        <v>2321</v>
      </c>
      <c r="N263" s="11" t="s">
        <v>243</v>
      </c>
      <c r="O263" s="341"/>
      <c r="P263" s="339"/>
    </row>
    <row r="264" spans="1:16" s="325" customFormat="1" ht="42.75" hidden="1">
      <c r="A264" s="333" t="s">
        <v>2185</v>
      </c>
      <c r="B264" s="334" t="s">
        <v>749</v>
      </c>
      <c r="C264" s="335" t="s">
        <v>669</v>
      </c>
      <c r="D264" s="336">
        <v>1</v>
      </c>
      <c r="E264" s="336">
        <f>估驗單!F255</f>
        <v>1</v>
      </c>
      <c r="F264" s="390">
        <f t="shared" si="22"/>
        <v>0</v>
      </c>
      <c r="G264" s="336">
        <v>5164.09</v>
      </c>
      <c r="H264" s="336"/>
      <c r="I264" s="336">
        <f t="shared" si="23"/>
        <v>5164.09</v>
      </c>
      <c r="J264" s="336">
        <f t="shared" si="24"/>
        <v>5164.09</v>
      </c>
      <c r="K264" s="546">
        <f t="shared" si="19"/>
        <v>0</v>
      </c>
      <c r="L264" s="502"/>
      <c r="M264" s="231" t="s">
        <v>2321</v>
      </c>
      <c r="N264" s="11" t="s">
        <v>243</v>
      </c>
      <c r="O264" s="341"/>
      <c r="P264" s="339"/>
    </row>
    <row r="265" spans="1:16" s="325" customFormat="1" ht="42.75" hidden="1">
      <c r="A265" s="333" t="s">
        <v>2186</v>
      </c>
      <c r="B265" s="334" t="s">
        <v>752</v>
      </c>
      <c r="C265" s="335" t="s">
        <v>669</v>
      </c>
      <c r="D265" s="336">
        <v>1</v>
      </c>
      <c r="E265" s="336">
        <f>估驗單!F256</f>
        <v>1</v>
      </c>
      <c r="F265" s="390">
        <f t="shared" si="22"/>
        <v>0</v>
      </c>
      <c r="G265" s="336">
        <v>5164.09</v>
      </c>
      <c r="H265" s="336"/>
      <c r="I265" s="336">
        <f t="shared" si="23"/>
        <v>5164.09</v>
      </c>
      <c r="J265" s="336">
        <f t="shared" si="24"/>
        <v>5164.09</v>
      </c>
      <c r="K265" s="546">
        <f t="shared" si="19"/>
        <v>0</v>
      </c>
      <c r="L265" s="502"/>
      <c r="M265" s="231" t="s">
        <v>2321</v>
      </c>
      <c r="N265" s="11" t="s">
        <v>243</v>
      </c>
      <c r="O265" s="341"/>
      <c r="P265" s="339"/>
    </row>
    <row r="266" spans="1:16" s="325" customFormat="1" ht="42.75" hidden="1">
      <c r="A266" s="333" t="s">
        <v>2187</v>
      </c>
      <c r="B266" s="334" t="s">
        <v>755</v>
      </c>
      <c r="C266" s="335" t="s">
        <v>669</v>
      </c>
      <c r="D266" s="336">
        <v>1</v>
      </c>
      <c r="E266" s="336">
        <f>估驗單!F257</f>
        <v>1</v>
      </c>
      <c r="F266" s="390">
        <f t="shared" si="22"/>
        <v>0</v>
      </c>
      <c r="G266" s="336">
        <v>5730.56</v>
      </c>
      <c r="H266" s="336"/>
      <c r="I266" s="336">
        <f t="shared" si="23"/>
        <v>5730.56</v>
      </c>
      <c r="J266" s="336">
        <f t="shared" si="24"/>
        <v>5730.56</v>
      </c>
      <c r="K266" s="546">
        <f t="shared" si="19"/>
        <v>0</v>
      </c>
      <c r="L266" s="502"/>
      <c r="M266" s="231" t="s">
        <v>2321</v>
      </c>
      <c r="N266" s="11" t="s">
        <v>243</v>
      </c>
      <c r="O266" s="341"/>
      <c r="P266" s="339"/>
    </row>
    <row r="267" spans="1:16" s="325" customFormat="1" ht="42.75" hidden="1">
      <c r="A267" s="333" t="s">
        <v>2188</v>
      </c>
      <c r="B267" s="334" t="s">
        <v>758</v>
      </c>
      <c r="C267" s="335" t="s">
        <v>669</v>
      </c>
      <c r="D267" s="336">
        <v>1</v>
      </c>
      <c r="E267" s="336">
        <f>估驗單!F258</f>
        <v>1</v>
      </c>
      <c r="F267" s="390">
        <f t="shared" si="22"/>
        <v>0</v>
      </c>
      <c r="G267" s="336">
        <v>7081</v>
      </c>
      <c r="H267" s="336"/>
      <c r="I267" s="336">
        <f t="shared" si="23"/>
        <v>7081</v>
      </c>
      <c r="J267" s="336">
        <f t="shared" si="24"/>
        <v>7081</v>
      </c>
      <c r="K267" s="546">
        <f t="shared" si="19"/>
        <v>0</v>
      </c>
      <c r="L267" s="502"/>
      <c r="M267" s="231" t="s">
        <v>2321</v>
      </c>
      <c r="N267" s="11" t="s">
        <v>243</v>
      </c>
      <c r="O267" s="341"/>
      <c r="P267" s="339"/>
    </row>
    <row r="268" spans="1:16" s="325" customFormat="1" ht="42.75" hidden="1">
      <c r="A268" s="333" t="s">
        <v>2189</v>
      </c>
      <c r="B268" s="334" t="s">
        <v>761</v>
      </c>
      <c r="C268" s="335" t="s">
        <v>669</v>
      </c>
      <c r="D268" s="336">
        <v>1</v>
      </c>
      <c r="E268" s="336">
        <f>估驗單!F259</f>
        <v>1</v>
      </c>
      <c r="F268" s="390">
        <f t="shared" si="22"/>
        <v>0</v>
      </c>
      <c r="G268" s="336">
        <v>4752.1099999999997</v>
      </c>
      <c r="H268" s="336"/>
      <c r="I268" s="336">
        <f t="shared" si="23"/>
        <v>4752.1099999999997</v>
      </c>
      <c r="J268" s="336">
        <f t="shared" si="24"/>
        <v>4752.1099999999997</v>
      </c>
      <c r="K268" s="546">
        <f t="shared" si="19"/>
        <v>0</v>
      </c>
      <c r="L268" s="502"/>
      <c r="M268" s="231" t="s">
        <v>2321</v>
      </c>
      <c r="N268" s="11" t="s">
        <v>243</v>
      </c>
      <c r="O268" s="341"/>
      <c r="P268" s="339"/>
    </row>
    <row r="269" spans="1:16" s="325" customFormat="1" ht="42.75" hidden="1">
      <c r="A269" s="333" t="s">
        <v>2190</v>
      </c>
      <c r="B269" s="334" t="s">
        <v>764</v>
      </c>
      <c r="C269" s="335" t="s">
        <v>669</v>
      </c>
      <c r="D269" s="336">
        <v>1</v>
      </c>
      <c r="E269" s="336">
        <f>估驗單!F260</f>
        <v>1</v>
      </c>
      <c r="F269" s="390">
        <f t="shared" si="22"/>
        <v>0</v>
      </c>
      <c r="G269" s="336">
        <v>14691.08</v>
      </c>
      <c r="H269" s="336"/>
      <c r="I269" s="336">
        <f t="shared" si="23"/>
        <v>14691.08</v>
      </c>
      <c r="J269" s="336">
        <f t="shared" si="24"/>
        <v>14691.08</v>
      </c>
      <c r="K269" s="546">
        <f t="shared" si="19"/>
        <v>0</v>
      </c>
      <c r="L269" s="502"/>
      <c r="M269" s="231" t="s">
        <v>2321</v>
      </c>
      <c r="N269" s="11" t="s">
        <v>243</v>
      </c>
      <c r="O269" s="341"/>
      <c r="P269" s="339"/>
    </row>
    <row r="270" spans="1:16" s="325" customFormat="1" ht="33" hidden="1">
      <c r="A270" s="333" t="s">
        <v>2191</v>
      </c>
      <c r="B270" s="334" t="s">
        <v>767</v>
      </c>
      <c r="C270" s="335" t="s">
        <v>669</v>
      </c>
      <c r="D270" s="336">
        <v>1</v>
      </c>
      <c r="E270" s="336">
        <f>估驗單!F261</f>
        <v>1</v>
      </c>
      <c r="F270" s="390">
        <f t="shared" si="22"/>
        <v>0</v>
      </c>
      <c r="G270" s="336">
        <v>224.3</v>
      </c>
      <c r="H270" s="336"/>
      <c r="I270" s="336">
        <f t="shared" si="23"/>
        <v>224.3</v>
      </c>
      <c r="J270" s="336">
        <f t="shared" si="24"/>
        <v>224.3</v>
      </c>
      <c r="K270" s="546">
        <f t="shared" si="19"/>
        <v>0</v>
      </c>
      <c r="L270" s="502"/>
      <c r="M270" s="231" t="s">
        <v>2321</v>
      </c>
      <c r="N270" s="11" t="s">
        <v>243</v>
      </c>
      <c r="O270" s="341"/>
      <c r="P270" s="339"/>
    </row>
    <row r="271" spans="1:16" s="325" customFormat="1" ht="33" hidden="1">
      <c r="A271" s="333" t="s">
        <v>2192</v>
      </c>
      <c r="B271" s="334" t="s">
        <v>770</v>
      </c>
      <c r="C271" s="335" t="s">
        <v>669</v>
      </c>
      <c r="D271" s="336">
        <v>1</v>
      </c>
      <c r="E271" s="336">
        <f>估驗單!F262</f>
        <v>1</v>
      </c>
      <c r="F271" s="390">
        <f t="shared" si="22"/>
        <v>0</v>
      </c>
      <c r="G271" s="336">
        <v>275.64</v>
      </c>
      <c r="H271" s="336"/>
      <c r="I271" s="336">
        <f t="shared" si="23"/>
        <v>275.64</v>
      </c>
      <c r="J271" s="336">
        <f t="shared" si="24"/>
        <v>275.64</v>
      </c>
      <c r="K271" s="546">
        <f t="shared" ref="K271:K334" si="25">J271-I271</f>
        <v>0</v>
      </c>
      <c r="L271" s="502"/>
      <c r="M271" s="231" t="s">
        <v>2321</v>
      </c>
      <c r="N271" s="11" t="s">
        <v>243</v>
      </c>
      <c r="O271" s="341"/>
      <c r="P271" s="339"/>
    </row>
    <row r="272" spans="1:16" s="325" customFormat="1" ht="33" hidden="1">
      <c r="A272" s="333" t="s">
        <v>2193</v>
      </c>
      <c r="B272" s="334" t="s">
        <v>773</v>
      </c>
      <c r="C272" s="335" t="s">
        <v>669</v>
      </c>
      <c r="D272" s="336">
        <v>1</v>
      </c>
      <c r="E272" s="336">
        <f>估驗單!F263</f>
        <v>1</v>
      </c>
      <c r="F272" s="390">
        <f t="shared" si="22"/>
        <v>0</v>
      </c>
      <c r="G272" s="336">
        <v>283.52999999999997</v>
      </c>
      <c r="H272" s="336"/>
      <c r="I272" s="336">
        <f t="shared" si="23"/>
        <v>283.52999999999997</v>
      </c>
      <c r="J272" s="336">
        <f t="shared" si="24"/>
        <v>283.52999999999997</v>
      </c>
      <c r="K272" s="546">
        <f t="shared" si="25"/>
        <v>0</v>
      </c>
      <c r="L272" s="502"/>
      <c r="M272" s="231" t="s">
        <v>2321</v>
      </c>
      <c r="N272" s="11" t="s">
        <v>243</v>
      </c>
      <c r="O272" s="341"/>
      <c r="P272" s="339"/>
    </row>
    <row r="273" spans="1:16" s="325" customFormat="1" ht="33" hidden="1">
      <c r="A273" s="333" t="s">
        <v>2194</v>
      </c>
      <c r="B273" s="334" t="s">
        <v>776</v>
      </c>
      <c r="C273" s="335" t="s">
        <v>669</v>
      </c>
      <c r="D273" s="336">
        <v>1</v>
      </c>
      <c r="E273" s="336">
        <f>估驗單!F264</f>
        <v>1</v>
      </c>
      <c r="F273" s="390">
        <f t="shared" si="22"/>
        <v>0</v>
      </c>
      <c r="G273" s="336">
        <v>88.95</v>
      </c>
      <c r="H273" s="336"/>
      <c r="I273" s="336">
        <f t="shared" si="23"/>
        <v>88.95</v>
      </c>
      <c r="J273" s="336">
        <f t="shared" si="24"/>
        <v>88.95</v>
      </c>
      <c r="K273" s="546">
        <f t="shared" si="25"/>
        <v>0</v>
      </c>
      <c r="L273" s="502"/>
      <c r="M273" s="231" t="s">
        <v>242</v>
      </c>
      <c r="N273" s="11" t="s">
        <v>243</v>
      </c>
      <c r="O273" s="341"/>
      <c r="P273" s="339"/>
    </row>
    <row r="274" spans="1:16" s="325" customFormat="1" ht="33" hidden="1">
      <c r="A274" s="333" t="s">
        <v>2195</v>
      </c>
      <c r="B274" s="334" t="s">
        <v>779</v>
      </c>
      <c r="C274" s="335" t="s">
        <v>669</v>
      </c>
      <c r="D274" s="336">
        <v>1</v>
      </c>
      <c r="E274" s="336">
        <f>估驗單!F265</f>
        <v>1</v>
      </c>
      <c r="F274" s="390">
        <f t="shared" si="22"/>
        <v>0</v>
      </c>
      <c r="G274" s="336">
        <v>123.72</v>
      </c>
      <c r="H274" s="336"/>
      <c r="I274" s="336">
        <f t="shared" si="23"/>
        <v>123.72</v>
      </c>
      <c r="J274" s="336">
        <f t="shared" si="24"/>
        <v>123.72</v>
      </c>
      <c r="K274" s="546">
        <f t="shared" si="25"/>
        <v>0</v>
      </c>
      <c r="L274" s="502"/>
      <c r="M274" s="231" t="s">
        <v>2321</v>
      </c>
      <c r="N274" s="11" t="s">
        <v>243</v>
      </c>
      <c r="O274" s="341"/>
      <c r="P274" s="339"/>
    </row>
    <row r="275" spans="1:16" s="325" customFormat="1" ht="33" hidden="1">
      <c r="A275" s="333" t="s">
        <v>2196</v>
      </c>
      <c r="B275" s="334" t="s">
        <v>782</v>
      </c>
      <c r="C275" s="335" t="s">
        <v>669</v>
      </c>
      <c r="D275" s="336">
        <v>1</v>
      </c>
      <c r="E275" s="336">
        <f>估驗單!F266</f>
        <v>1</v>
      </c>
      <c r="F275" s="390">
        <f t="shared" si="22"/>
        <v>0</v>
      </c>
      <c r="G275" s="336">
        <v>121.41</v>
      </c>
      <c r="H275" s="336"/>
      <c r="I275" s="336">
        <f t="shared" si="23"/>
        <v>121.41</v>
      </c>
      <c r="J275" s="336">
        <f t="shared" si="24"/>
        <v>121.41</v>
      </c>
      <c r="K275" s="546">
        <f t="shared" si="25"/>
        <v>0</v>
      </c>
      <c r="L275" s="502"/>
      <c r="M275" s="231" t="s">
        <v>242</v>
      </c>
      <c r="N275" s="11" t="s">
        <v>243</v>
      </c>
      <c r="O275" s="341"/>
      <c r="P275" s="339"/>
    </row>
    <row r="276" spans="1:16" s="325" customFormat="1" ht="33" hidden="1">
      <c r="A276" s="333" t="s">
        <v>2197</v>
      </c>
      <c r="B276" s="334" t="s">
        <v>785</v>
      </c>
      <c r="C276" s="335" t="s">
        <v>669</v>
      </c>
      <c r="D276" s="336">
        <v>1</v>
      </c>
      <c r="E276" s="336">
        <f>估驗單!F267</f>
        <v>1</v>
      </c>
      <c r="F276" s="390">
        <f t="shared" si="22"/>
        <v>0</v>
      </c>
      <c r="G276" s="336">
        <v>134.28</v>
      </c>
      <c r="H276" s="336"/>
      <c r="I276" s="336">
        <f t="shared" si="23"/>
        <v>134.28</v>
      </c>
      <c r="J276" s="336">
        <f t="shared" si="24"/>
        <v>134.28</v>
      </c>
      <c r="K276" s="546">
        <f t="shared" si="25"/>
        <v>0</v>
      </c>
      <c r="L276" s="502"/>
      <c r="M276" s="231" t="s">
        <v>242</v>
      </c>
      <c r="N276" s="11" t="s">
        <v>243</v>
      </c>
      <c r="O276" s="341"/>
      <c r="P276" s="339"/>
    </row>
    <row r="277" spans="1:16" s="325" customFormat="1" ht="33" hidden="1">
      <c r="A277" s="333" t="s">
        <v>2198</v>
      </c>
      <c r="B277" s="334" t="s">
        <v>788</v>
      </c>
      <c r="C277" s="335" t="s">
        <v>669</v>
      </c>
      <c r="D277" s="336">
        <v>1</v>
      </c>
      <c r="E277" s="336">
        <f>估驗單!F268</f>
        <v>1</v>
      </c>
      <c r="F277" s="390">
        <f t="shared" si="22"/>
        <v>0</v>
      </c>
      <c r="G277" s="336">
        <v>36.549999999999997</v>
      </c>
      <c r="H277" s="336"/>
      <c r="I277" s="336">
        <f t="shared" si="23"/>
        <v>36.549999999999997</v>
      </c>
      <c r="J277" s="336">
        <f t="shared" si="24"/>
        <v>36.549999999999997</v>
      </c>
      <c r="K277" s="546">
        <f t="shared" si="25"/>
        <v>0</v>
      </c>
      <c r="L277" s="502"/>
      <c r="M277" s="231" t="s">
        <v>2321</v>
      </c>
      <c r="N277" s="11" t="s">
        <v>243</v>
      </c>
      <c r="O277" s="341"/>
      <c r="P277" s="339"/>
    </row>
    <row r="278" spans="1:16" s="325" customFormat="1" ht="33" hidden="1">
      <c r="A278" s="333" t="s">
        <v>2199</v>
      </c>
      <c r="B278" s="334" t="s">
        <v>791</v>
      </c>
      <c r="C278" s="335" t="s">
        <v>669</v>
      </c>
      <c r="D278" s="336">
        <v>1</v>
      </c>
      <c r="E278" s="336">
        <f>估驗單!F269</f>
        <v>1</v>
      </c>
      <c r="F278" s="390">
        <f t="shared" si="22"/>
        <v>0</v>
      </c>
      <c r="G278" s="336">
        <v>103.76</v>
      </c>
      <c r="H278" s="336"/>
      <c r="I278" s="336">
        <f t="shared" si="23"/>
        <v>103.76</v>
      </c>
      <c r="J278" s="336">
        <f t="shared" si="24"/>
        <v>103.76</v>
      </c>
      <c r="K278" s="546">
        <f t="shared" si="25"/>
        <v>0</v>
      </c>
      <c r="L278" s="502"/>
      <c r="M278" s="231" t="s">
        <v>242</v>
      </c>
      <c r="N278" s="11" t="s">
        <v>243</v>
      </c>
      <c r="O278" s="341"/>
      <c r="P278" s="339"/>
    </row>
    <row r="279" spans="1:16" s="325" customFormat="1" ht="33" hidden="1">
      <c r="A279" s="333" t="s">
        <v>2200</v>
      </c>
      <c r="B279" s="334" t="s">
        <v>794</v>
      </c>
      <c r="C279" s="335" t="s">
        <v>669</v>
      </c>
      <c r="D279" s="336">
        <v>1</v>
      </c>
      <c r="E279" s="336">
        <f>估驗單!F270</f>
        <v>1</v>
      </c>
      <c r="F279" s="390">
        <f t="shared" si="22"/>
        <v>0</v>
      </c>
      <c r="G279" s="336">
        <v>140.84</v>
      </c>
      <c r="H279" s="336"/>
      <c r="I279" s="336">
        <f t="shared" si="23"/>
        <v>140.84</v>
      </c>
      <c r="J279" s="336">
        <f t="shared" si="24"/>
        <v>140.84</v>
      </c>
      <c r="K279" s="546">
        <f t="shared" si="25"/>
        <v>0</v>
      </c>
      <c r="L279" s="502"/>
      <c r="M279" s="231" t="s">
        <v>242</v>
      </c>
      <c r="N279" s="11" t="s">
        <v>243</v>
      </c>
      <c r="O279" s="341"/>
      <c r="P279" s="339"/>
    </row>
    <row r="280" spans="1:16" s="325" customFormat="1" ht="33" hidden="1">
      <c r="A280" s="333" t="s">
        <v>2201</v>
      </c>
      <c r="B280" s="334" t="s">
        <v>797</v>
      </c>
      <c r="C280" s="335" t="s">
        <v>669</v>
      </c>
      <c r="D280" s="336">
        <v>1</v>
      </c>
      <c r="E280" s="336">
        <f>估驗單!F271</f>
        <v>1</v>
      </c>
      <c r="F280" s="390">
        <f t="shared" si="22"/>
        <v>0</v>
      </c>
      <c r="G280" s="336">
        <v>51.75</v>
      </c>
      <c r="H280" s="336"/>
      <c r="I280" s="336">
        <f t="shared" si="23"/>
        <v>51.75</v>
      </c>
      <c r="J280" s="336">
        <f t="shared" si="24"/>
        <v>51.75</v>
      </c>
      <c r="K280" s="546">
        <f t="shared" si="25"/>
        <v>0</v>
      </c>
      <c r="L280" s="502"/>
      <c r="M280" s="231" t="s">
        <v>2321</v>
      </c>
      <c r="N280" s="11" t="s">
        <v>243</v>
      </c>
      <c r="O280" s="341"/>
      <c r="P280" s="339"/>
    </row>
    <row r="281" spans="1:16" s="325" customFormat="1" ht="33" hidden="1">
      <c r="A281" s="333" t="s">
        <v>2202</v>
      </c>
      <c r="B281" s="334" t="s">
        <v>800</v>
      </c>
      <c r="C281" s="335" t="s">
        <v>669</v>
      </c>
      <c r="D281" s="336">
        <v>1</v>
      </c>
      <c r="E281" s="336">
        <f>估驗單!F272</f>
        <v>1</v>
      </c>
      <c r="F281" s="390">
        <f t="shared" si="22"/>
        <v>0</v>
      </c>
      <c r="G281" s="336">
        <v>35.01</v>
      </c>
      <c r="H281" s="336"/>
      <c r="I281" s="336">
        <f t="shared" si="23"/>
        <v>35.01</v>
      </c>
      <c r="J281" s="336">
        <f t="shared" si="24"/>
        <v>35.01</v>
      </c>
      <c r="K281" s="546">
        <f t="shared" si="25"/>
        <v>0</v>
      </c>
      <c r="L281" s="502"/>
      <c r="M281" s="231" t="s">
        <v>2321</v>
      </c>
      <c r="N281" s="11" t="s">
        <v>243</v>
      </c>
      <c r="O281" s="341"/>
      <c r="P281" s="339"/>
    </row>
    <row r="282" spans="1:16" s="325" customFormat="1" ht="33" hidden="1">
      <c r="A282" s="333" t="s">
        <v>2203</v>
      </c>
      <c r="B282" s="334" t="s">
        <v>803</v>
      </c>
      <c r="C282" s="335" t="s">
        <v>669</v>
      </c>
      <c r="D282" s="336">
        <v>1</v>
      </c>
      <c r="E282" s="336">
        <f>估驗單!F273</f>
        <v>1</v>
      </c>
      <c r="F282" s="390">
        <f t="shared" si="22"/>
        <v>0</v>
      </c>
      <c r="G282" s="336">
        <v>58.37</v>
      </c>
      <c r="H282" s="336"/>
      <c r="I282" s="336">
        <f t="shared" si="23"/>
        <v>58.37</v>
      </c>
      <c r="J282" s="336">
        <f t="shared" si="24"/>
        <v>58.37</v>
      </c>
      <c r="K282" s="546">
        <f t="shared" si="25"/>
        <v>0</v>
      </c>
      <c r="L282" s="502"/>
      <c r="M282" s="231" t="s">
        <v>2321</v>
      </c>
      <c r="N282" s="11" t="s">
        <v>243</v>
      </c>
      <c r="O282" s="341"/>
      <c r="P282" s="339"/>
    </row>
    <row r="283" spans="1:16" s="325" customFormat="1" ht="33" hidden="1">
      <c r="A283" s="333" t="s">
        <v>2204</v>
      </c>
      <c r="B283" s="334" t="s">
        <v>806</v>
      </c>
      <c r="C283" s="335" t="s">
        <v>669</v>
      </c>
      <c r="D283" s="336">
        <v>1</v>
      </c>
      <c r="E283" s="336">
        <f>估驗單!F274</f>
        <v>1</v>
      </c>
      <c r="F283" s="390">
        <f t="shared" si="22"/>
        <v>0</v>
      </c>
      <c r="G283" s="336">
        <v>79.040000000000006</v>
      </c>
      <c r="H283" s="336"/>
      <c r="I283" s="336">
        <f t="shared" si="23"/>
        <v>79.040000000000006</v>
      </c>
      <c r="J283" s="336">
        <f t="shared" si="24"/>
        <v>79.040000000000006</v>
      </c>
      <c r="K283" s="546">
        <f t="shared" si="25"/>
        <v>0</v>
      </c>
      <c r="L283" s="502"/>
      <c r="M283" s="231" t="s">
        <v>2321</v>
      </c>
      <c r="N283" s="11" t="s">
        <v>243</v>
      </c>
      <c r="O283" s="341"/>
      <c r="P283" s="339"/>
    </row>
    <row r="284" spans="1:16" s="325" customFormat="1" ht="33" hidden="1">
      <c r="A284" s="333" t="s">
        <v>2205</v>
      </c>
      <c r="B284" s="334" t="s">
        <v>809</v>
      </c>
      <c r="C284" s="335" t="s">
        <v>669</v>
      </c>
      <c r="D284" s="336">
        <v>1</v>
      </c>
      <c r="E284" s="336">
        <f>估驗單!F275</f>
        <v>1</v>
      </c>
      <c r="F284" s="390">
        <f t="shared" si="22"/>
        <v>0</v>
      </c>
      <c r="G284" s="336">
        <v>63.59</v>
      </c>
      <c r="H284" s="336"/>
      <c r="I284" s="336">
        <f t="shared" si="23"/>
        <v>63.59</v>
      </c>
      <c r="J284" s="336">
        <f t="shared" si="24"/>
        <v>63.59</v>
      </c>
      <c r="K284" s="546">
        <f t="shared" si="25"/>
        <v>0</v>
      </c>
      <c r="L284" s="502"/>
      <c r="M284" s="231" t="s">
        <v>2321</v>
      </c>
      <c r="N284" s="11" t="s">
        <v>243</v>
      </c>
      <c r="O284" s="341"/>
      <c r="P284" s="339"/>
    </row>
    <row r="285" spans="1:16" s="325" customFormat="1" ht="33" hidden="1">
      <c r="A285" s="333" t="s">
        <v>2206</v>
      </c>
      <c r="B285" s="334" t="s">
        <v>812</v>
      </c>
      <c r="C285" s="335" t="s">
        <v>669</v>
      </c>
      <c r="D285" s="336">
        <v>1</v>
      </c>
      <c r="E285" s="336">
        <f>估驗單!F276</f>
        <v>1</v>
      </c>
      <c r="F285" s="390">
        <f t="shared" si="22"/>
        <v>0</v>
      </c>
      <c r="G285" s="336">
        <v>94.49</v>
      </c>
      <c r="H285" s="336"/>
      <c r="I285" s="336">
        <f t="shared" si="23"/>
        <v>94.49</v>
      </c>
      <c r="J285" s="336">
        <f t="shared" si="24"/>
        <v>94.49</v>
      </c>
      <c r="K285" s="546">
        <f t="shared" si="25"/>
        <v>0</v>
      </c>
      <c r="L285" s="502"/>
      <c r="M285" s="231" t="s">
        <v>2321</v>
      </c>
      <c r="N285" s="11" t="s">
        <v>243</v>
      </c>
      <c r="O285" s="341"/>
      <c r="P285" s="339"/>
    </row>
    <row r="286" spans="1:16" s="325" customFormat="1" ht="33" hidden="1">
      <c r="A286" s="333" t="s">
        <v>2207</v>
      </c>
      <c r="B286" s="334" t="s">
        <v>815</v>
      </c>
      <c r="C286" s="335" t="s">
        <v>669</v>
      </c>
      <c r="D286" s="336">
        <v>1</v>
      </c>
      <c r="E286" s="336">
        <f>估驗單!F277</f>
        <v>1</v>
      </c>
      <c r="F286" s="390">
        <f t="shared" si="22"/>
        <v>0</v>
      </c>
      <c r="G286" s="336">
        <v>73.89</v>
      </c>
      <c r="H286" s="336"/>
      <c r="I286" s="336">
        <f t="shared" si="23"/>
        <v>73.89</v>
      </c>
      <c r="J286" s="336">
        <f t="shared" si="24"/>
        <v>73.89</v>
      </c>
      <c r="K286" s="546">
        <f t="shared" si="25"/>
        <v>0</v>
      </c>
      <c r="L286" s="502"/>
      <c r="M286" s="231" t="s">
        <v>2321</v>
      </c>
      <c r="N286" s="11" t="s">
        <v>243</v>
      </c>
      <c r="O286" s="341"/>
      <c r="P286" s="339"/>
    </row>
    <row r="287" spans="1:16" s="325" customFormat="1" ht="33" hidden="1">
      <c r="A287" s="333" t="s">
        <v>2208</v>
      </c>
      <c r="B287" s="334" t="s">
        <v>818</v>
      </c>
      <c r="C287" s="335" t="s">
        <v>669</v>
      </c>
      <c r="D287" s="336">
        <v>1</v>
      </c>
      <c r="E287" s="336">
        <f>估驗單!F278</f>
        <v>1</v>
      </c>
      <c r="F287" s="390">
        <f t="shared" ref="F287:F350" si="26">E287-D287</f>
        <v>0</v>
      </c>
      <c r="G287" s="336">
        <v>92.43</v>
      </c>
      <c r="H287" s="336"/>
      <c r="I287" s="336">
        <f t="shared" si="23"/>
        <v>92.43</v>
      </c>
      <c r="J287" s="336">
        <f t="shared" si="24"/>
        <v>92.43</v>
      </c>
      <c r="K287" s="546">
        <f t="shared" si="25"/>
        <v>0</v>
      </c>
      <c r="L287" s="502"/>
      <c r="M287" s="231" t="s">
        <v>2321</v>
      </c>
      <c r="N287" s="11" t="s">
        <v>243</v>
      </c>
      <c r="O287" s="341"/>
      <c r="P287" s="339"/>
    </row>
    <row r="288" spans="1:16" s="325" customFormat="1" ht="33" hidden="1">
      <c r="A288" s="333" t="s">
        <v>2209</v>
      </c>
      <c r="B288" s="334" t="s">
        <v>821</v>
      </c>
      <c r="C288" s="335" t="s">
        <v>669</v>
      </c>
      <c r="D288" s="336">
        <v>1</v>
      </c>
      <c r="E288" s="336">
        <f>估驗單!F279</f>
        <v>1</v>
      </c>
      <c r="F288" s="390">
        <f t="shared" si="26"/>
        <v>0</v>
      </c>
      <c r="G288" s="336">
        <v>61.98</v>
      </c>
      <c r="H288" s="336"/>
      <c r="I288" s="336">
        <f t="shared" si="23"/>
        <v>61.98</v>
      </c>
      <c r="J288" s="336">
        <f t="shared" si="24"/>
        <v>61.98</v>
      </c>
      <c r="K288" s="546">
        <f t="shared" si="25"/>
        <v>0</v>
      </c>
      <c r="L288" s="502"/>
      <c r="M288" s="231" t="s">
        <v>2321</v>
      </c>
      <c r="N288" s="11" t="s">
        <v>243</v>
      </c>
      <c r="O288" s="341"/>
      <c r="P288" s="339"/>
    </row>
    <row r="289" spans="1:16" s="325" customFormat="1" ht="33" hidden="1">
      <c r="A289" s="333" t="s">
        <v>2210</v>
      </c>
      <c r="B289" s="334" t="s">
        <v>824</v>
      </c>
      <c r="C289" s="335" t="s">
        <v>669</v>
      </c>
      <c r="D289" s="336">
        <v>1</v>
      </c>
      <c r="E289" s="336">
        <f>估驗單!F280</f>
        <v>1</v>
      </c>
      <c r="F289" s="390">
        <f t="shared" si="26"/>
        <v>0</v>
      </c>
      <c r="G289" s="336">
        <v>154.66</v>
      </c>
      <c r="H289" s="336"/>
      <c r="I289" s="336">
        <f t="shared" si="23"/>
        <v>154.66</v>
      </c>
      <c r="J289" s="336">
        <f t="shared" si="24"/>
        <v>154.66</v>
      </c>
      <c r="K289" s="546">
        <f t="shared" si="25"/>
        <v>0</v>
      </c>
      <c r="L289" s="502"/>
      <c r="M289" s="231" t="s">
        <v>2321</v>
      </c>
      <c r="N289" s="11" t="s">
        <v>243</v>
      </c>
      <c r="O289" s="341"/>
      <c r="P289" s="339"/>
    </row>
    <row r="290" spans="1:16" s="325" customFormat="1" ht="33" hidden="1">
      <c r="A290" s="333" t="s">
        <v>2211</v>
      </c>
      <c r="B290" s="334" t="s">
        <v>827</v>
      </c>
      <c r="C290" s="335" t="s">
        <v>669</v>
      </c>
      <c r="D290" s="336">
        <v>1</v>
      </c>
      <c r="E290" s="336">
        <f>估驗單!F281</f>
        <v>1</v>
      </c>
      <c r="F290" s="390">
        <f t="shared" si="26"/>
        <v>0</v>
      </c>
      <c r="G290" s="336">
        <v>67.709999999999994</v>
      </c>
      <c r="H290" s="336"/>
      <c r="I290" s="336">
        <f t="shared" si="23"/>
        <v>67.709999999999994</v>
      </c>
      <c r="J290" s="336">
        <f t="shared" si="24"/>
        <v>67.709999999999994</v>
      </c>
      <c r="K290" s="546">
        <f t="shared" si="25"/>
        <v>0</v>
      </c>
      <c r="L290" s="502"/>
      <c r="M290" s="231" t="s">
        <v>2321</v>
      </c>
      <c r="N290" s="11" t="s">
        <v>243</v>
      </c>
      <c r="O290" s="341"/>
      <c r="P290" s="339"/>
    </row>
    <row r="291" spans="1:16" s="325" customFormat="1" ht="33" hidden="1">
      <c r="A291" s="333" t="s">
        <v>2212</v>
      </c>
      <c r="B291" s="334" t="s">
        <v>830</v>
      </c>
      <c r="C291" s="335" t="s">
        <v>669</v>
      </c>
      <c r="D291" s="336">
        <v>1</v>
      </c>
      <c r="E291" s="336">
        <f>估驗單!F282</f>
        <v>1</v>
      </c>
      <c r="F291" s="390">
        <f t="shared" si="26"/>
        <v>0</v>
      </c>
      <c r="G291" s="336">
        <v>54.25</v>
      </c>
      <c r="H291" s="336"/>
      <c r="I291" s="336">
        <f t="shared" si="23"/>
        <v>54.25</v>
      </c>
      <c r="J291" s="336">
        <f t="shared" si="24"/>
        <v>54.25</v>
      </c>
      <c r="K291" s="546">
        <f t="shared" si="25"/>
        <v>0</v>
      </c>
      <c r="L291" s="502"/>
      <c r="M291" s="231" t="s">
        <v>2321</v>
      </c>
      <c r="N291" s="11" t="s">
        <v>243</v>
      </c>
      <c r="O291" s="341"/>
      <c r="P291" s="339"/>
    </row>
    <row r="292" spans="1:16" s="325" customFormat="1" ht="33" hidden="1">
      <c r="A292" s="333" t="s">
        <v>2213</v>
      </c>
      <c r="B292" s="334" t="s">
        <v>833</v>
      </c>
      <c r="C292" s="335" t="s">
        <v>669</v>
      </c>
      <c r="D292" s="336">
        <v>1</v>
      </c>
      <c r="E292" s="336">
        <f>估驗單!F283</f>
        <v>1</v>
      </c>
      <c r="F292" s="390">
        <f t="shared" si="26"/>
        <v>0</v>
      </c>
      <c r="G292" s="336">
        <v>90.3</v>
      </c>
      <c r="H292" s="336"/>
      <c r="I292" s="336">
        <f t="shared" si="23"/>
        <v>90.3</v>
      </c>
      <c r="J292" s="336">
        <f t="shared" si="24"/>
        <v>90.3</v>
      </c>
      <c r="K292" s="546">
        <f t="shared" si="25"/>
        <v>0</v>
      </c>
      <c r="L292" s="502"/>
      <c r="M292" s="231" t="s">
        <v>2321</v>
      </c>
      <c r="N292" s="11" t="s">
        <v>243</v>
      </c>
      <c r="O292" s="341"/>
      <c r="P292" s="339"/>
    </row>
    <row r="293" spans="1:16" s="325" customFormat="1" ht="33" hidden="1">
      <c r="A293" s="333" t="s">
        <v>2214</v>
      </c>
      <c r="B293" s="334" t="s">
        <v>836</v>
      </c>
      <c r="C293" s="335" t="s">
        <v>669</v>
      </c>
      <c r="D293" s="336">
        <v>1</v>
      </c>
      <c r="E293" s="336">
        <f>估驗單!F284</f>
        <v>1</v>
      </c>
      <c r="F293" s="390">
        <f t="shared" si="26"/>
        <v>0</v>
      </c>
      <c r="G293" s="336">
        <v>67.13</v>
      </c>
      <c r="H293" s="336"/>
      <c r="I293" s="336">
        <f t="shared" si="23"/>
        <v>67.13</v>
      </c>
      <c r="J293" s="336">
        <f t="shared" si="24"/>
        <v>67.13</v>
      </c>
      <c r="K293" s="546">
        <f t="shared" si="25"/>
        <v>0</v>
      </c>
      <c r="L293" s="502"/>
      <c r="M293" s="231" t="s">
        <v>2321</v>
      </c>
      <c r="N293" s="11" t="s">
        <v>243</v>
      </c>
      <c r="O293" s="341"/>
      <c r="P293" s="339"/>
    </row>
    <row r="294" spans="1:16" s="325" customFormat="1" ht="33" hidden="1">
      <c r="A294" s="333" t="s">
        <v>2215</v>
      </c>
      <c r="B294" s="334" t="s">
        <v>839</v>
      </c>
      <c r="C294" s="335" t="s">
        <v>669</v>
      </c>
      <c r="D294" s="336">
        <v>1</v>
      </c>
      <c r="E294" s="336">
        <f>估驗單!F285</f>
        <v>1</v>
      </c>
      <c r="F294" s="390">
        <f t="shared" si="26"/>
        <v>0</v>
      </c>
      <c r="G294" s="336">
        <v>56.83</v>
      </c>
      <c r="H294" s="336"/>
      <c r="I294" s="336">
        <f t="shared" si="23"/>
        <v>56.83</v>
      </c>
      <c r="J294" s="336">
        <f t="shared" si="24"/>
        <v>56.83</v>
      </c>
      <c r="K294" s="546">
        <f t="shared" si="25"/>
        <v>0</v>
      </c>
      <c r="L294" s="502"/>
      <c r="M294" s="231" t="s">
        <v>2321</v>
      </c>
      <c r="N294" s="11" t="s">
        <v>243</v>
      </c>
      <c r="O294" s="341"/>
      <c r="P294" s="339"/>
    </row>
    <row r="295" spans="1:16" s="325" customFormat="1" ht="33" hidden="1">
      <c r="A295" s="333" t="s">
        <v>2216</v>
      </c>
      <c r="B295" s="334" t="s">
        <v>842</v>
      </c>
      <c r="C295" s="335" t="s">
        <v>669</v>
      </c>
      <c r="D295" s="336">
        <v>1</v>
      </c>
      <c r="E295" s="336">
        <f>估驗單!F286</f>
        <v>1</v>
      </c>
      <c r="F295" s="390">
        <f t="shared" si="26"/>
        <v>0</v>
      </c>
      <c r="G295" s="336">
        <v>68.67</v>
      </c>
      <c r="H295" s="336"/>
      <c r="I295" s="336">
        <f t="shared" si="23"/>
        <v>68.67</v>
      </c>
      <c r="J295" s="336">
        <f t="shared" si="24"/>
        <v>68.67</v>
      </c>
      <c r="K295" s="546">
        <f t="shared" si="25"/>
        <v>0</v>
      </c>
      <c r="L295" s="502"/>
      <c r="M295" s="231" t="s">
        <v>2321</v>
      </c>
      <c r="N295" s="11" t="s">
        <v>243</v>
      </c>
      <c r="O295" s="341"/>
      <c r="P295" s="339"/>
    </row>
    <row r="296" spans="1:16" s="325" customFormat="1" ht="33" hidden="1">
      <c r="A296" s="333" t="s">
        <v>2217</v>
      </c>
      <c r="B296" s="334" t="s">
        <v>845</v>
      </c>
      <c r="C296" s="335" t="s">
        <v>669</v>
      </c>
      <c r="D296" s="336">
        <v>1</v>
      </c>
      <c r="E296" s="336">
        <f>估驗單!F287</f>
        <v>1</v>
      </c>
      <c r="F296" s="390">
        <f t="shared" si="26"/>
        <v>0</v>
      </c>
      <c r="G296" s="336">
        <v>59.92</v>
      </c>
      <c r="H296" s="336"/>
      <c r="I296" s="336">
        <f t="shared" si="23"/>
        <v>59.92</v>
      </c>
      <c r="J296" s="336">
        <f t="shared" si="24"/>
        <v>59.92</v>
      </c>
      <c r="K296" s="546">
        <f t="shared" si="25"/>
        <v>0</v>
      </c>
      <c r="L296" s="502"/>
      <c r="M296" s="231" t="s">
        <v>2321</v>
      </c>
      <c r="N296" s="11" t="s">
        <v>243</v>
      </c>
      <c r="O296" s="341"/>
      <c r="P296" s="339"/>
    </row>
    <row r="297" spans="1:16" s="325" customFormat="1" ht="33" hidden="1">
      <c r="A297" s="333" t="s">
        <v>2218</v>
      </c>
      <c r="B297" s="334" t="s">
        <v>848</v>
      </c>
      <c r="C297" s="335" t="s">
        <v>669</v>
      </c>
      <c r="D297" s="336">
        <v>1</v>
      </c>
      <c r="E297" s="336">
        <f>估驗單!F288</f>
        <v>1</v>
      </c>
      <c r="F297" s="390">
        <f t="shared" si="26"/>
        <v>0</v>
      </c>
      <c r="G297" s="336">
        <v>58.37</v>
      </c>
      <c r="H297" s="336"/>
      <c r="I297" s="336">
        <f t="shared" si="23"/>
        <v>58.37</v>
      </c>
      <c r="J297" s="336">
        <f t="shared" si="24"/>
        <v>58.37</v>
      </c>
      <c r="K297" s="546">
        <f t="shared" si="25"/>
        <v>0</v>
      </c>
      <c r="L297" s="502"/>
      <c r="M297" s="231" t="s">
        <v>2321</v>
      </c>
      <c r="N297" s="11" t="s">
        <v>243</v>
      </c>
      <c r="O297" s="341"/>
      <c r="P297" s="339"/>
    </row>
    <row r="298" spans="1:16" s="325" customFormat="1" ht="33" hidden="1">
      <c r="A298" s="333" t="s">
        <v>2219</v>
      </c>
      <c r="B298" s="334" t="s">
        <v>851</v>
      </c>
      <c r="C298" s="335" t="s">
        <v>669</v>
      </c>
      <c r="D298" s="336">
        <v>1</v>
      </c>
      <c r="E298" s="336">
        <f>估驗單!F289</f>
        <v>1</v>
      </c>
      <c r="F298" s="390">
        <f t="shared" si="26"/>
        <v>0</v>
      </c>
      <c r="G298" s="336">
        <v>68.209999999999994</v>
      </c>
      <c r="H298" s="336"/>
      <c r="I298" s="336">
        <f t="shared" si="23"/>
        <v>68.209999999999994</v>
      </c>
      <c r="J298" s="336">
        <f t="shared" si="24"/>
        <v>68.209999999999994</v>
      </c>
      <c r="K298" s="546">
        <f t="shared" si="25"/>
        <v>0</v>
      </c>
      <c r="L298" s="502"/>
      <c r="M298" s="231" t="s">
        <v>2321</v>
      </c>
      <c r="N298" s="11" t="s">
        <v>243</v>
      </c>
      <c r="O298" s="341"/>
      <c r="P298" s="339"/>
    </row>
    <row r="299" spans="1:16" s="325" customFormat="1" ht="33" hidden="1">
      <c r="A299" s="333" t="s">
        <v>2220</v>
      </c>
      <c r="B299" s="334" t="s">
        <v>854</v>
      </c>
      <c r="C299" s="335" t="s">
        <v>669</v>
      </c>
      <c r="D299" s="336">
        <v>1</v>
      </c>
      <c r="E299" s="336">
        <f>估驗單!F290</f>
        <v>1</v>
      </c>
      <c r="F299" s="390">
        <f t="shared" si="26"/>
        <v>0</v>
      </c>
      <c r="G299" s="336">
        <v>72.33</v>
      </c>
      <c r="H299" s="336"/>
      <c r="I299" s="336">
        <f t="shared" ref="I299:I311" si="27">ROUND(D299*G299,2)</f>
        <v>72.33</v>
      </c>
      <c r="J299" s="336">
        <f t="shared" ref="J299:J311" si="28">ROUND(E299*G299,2)</f>
        <v>72.33</v>
      </c>
      <c r="K299" s="546">
        <f t="shared" si="25"/>
        <v>0</v>
      </c>
      <c r="L299" s="502"/>
      <c r="M299" s="231" t="s">
        <v>2321</v>
      </c>
      <c r="N299" s="11" t="s">
        <v>243</v>
      </c>
      <c r="O299" s="341"/>
      <c r="P299" s="339"/>
    </row>
    <row r="300" spans="1:16" ht="33" hidden="1">
      <c r="A300" s="333" t="s">
        <v>2221</v>
      </c>
      <c r="B300" s="334" t="s">
        <v>857</v>
      </c>
      <c r="C300" s="335" t="s">
        <v>669</v>
      </c>
      <c r="D300" s="336">
        <v>1</v>
      </c>
      <c r="E300" s="336">
        <f>估驗單!F291</f>
        <v>1</v>
      </c>
      <c r="F300" s="390">
        <f t="shared" si="26"/>
        <v>0</v>
      </c>
      <c r="G300" s="336">
        <v>111.47</v>
      </c>
      <c r="H300" s="336"/>
      <c r="I300" s="336">
        <f t="shared" si="27"/>
        <v>111.47</v>
      </c>
      <c r="J300" s="336">
        <f t="shared" si="28"/>
        <v>111.47</v>
      </c>
      <c r="K300" s="546">
        <f t="shared" si="25"/>
        <v>0</v>
      </c>
      <c r="L300" s="502"/>
      <c r="M300" s="231" t="s">
        <v>2321</v>
      </c>
      <c r="N300" s="11" t="s">
        <v>243</v>
      </c>
      <c r="O300" s="341"/>
      <c r="P300" s="339"/>
    </row>
    <row r="301" spans="1:16" ht="33" hidden="1">
      <c r="A301" s="333" t="s">
        <v>2222</v>
      </c>
      <c r="B301" s="334" t="s">
        <v>860</v>
      </c>
      <c r="C301" s="335" t="s">
        <v>669</v>
      </c>
      <c r="D301" s="336">
        <v>1</v>
      </c>
      <c r="E301" s="336">
        <f>估驗單!F292</f>
        <v>1</v>
      </c>
      <c r="F301" s="390">
        <f t="shared" si="26"/>
        <v>0</v>
      </c>
      <c r="G301" s="336">
        <v>101.17</v>
      </c>
      <c r="H301" s="336"/>
      <c r="I301" s="336">
        <f t="shared" si="27"/>
        <v>101.17</v>
      </c>
      <c r="J301" s="336">
        <f t="shared" si="28"/>
        <v>101.17</v>
      </c>
      <c r="K301" s="546">
        <f t="shared" si="25"/>
        <v>0</v>
      </c>
      <c r="L301" s="502"/>
      <c r="M301" s="231" t="s">
        <v>2321</v>
      </c>
      <c r="N301" s="11" t="s">
        <v>243</v>
      </c>
      <c r="O301" s="341"/>
      <c r="P301" s="339"/>
    </row>
    <row r="302" spans="1:16" ht="33" hidden="1">
      <c r="A302" s="333" t="s">
        <v>2223</v>
      </c>
      <c r="B302" s="334" t="s">
        <v>863</v>
      </c>
      <c r="C302" s="335" t="s">
        <v>669</v>
      </c>
      <c r="D302" s="336">
        <v>1</v>
      </c>
      <c r="E302" s="336">
        <f>估驗單!F293</f>
        <v>1</v>
      </c>
      <c r="F302" s="390">
        <f t="shared" si="26"/>
        <v>0</v>
      </c>
      <c r="G302" s="336">
        <v>81.62</v>
      </c>
      <c r="H302" s="336"/>
      <c r="I302" s="336">
        <f t="shared" si="27"/>
        <v>81.62</v>
      </c>
      <c r="J302" s="336">
        <f t="shared" si="28"/>
        <v>81.62</v>
      </c>
      <c r="K302" s="546">
        <f t="shared" si="25"/>
        <v>0</v>
      </c>
      <c r="L302" s="502"/>
      <c r="M302" s="231" t="s">
        <v>242</v>
      </c>
      <c r="N302" s="11" t="s">
        <v>243</v>
      </c>
      <c r="O302" s="341"/>
      <c r="P302" s="339"/>
    </row>
    <row r="303" spans="1:16" ht="33" hidden="1">
      <c r="A303" s="333" t="s">
        <v>2224</v>
      </c>
      <c r="B303" s="334" t="s">
        <v>866</v>
      </c>
      <c r="C303" s="335" t="s">
        <v>669</v>
      </c>
      <c r="D303" s="336">
        <v>1</v>
      </c>
      <c r="E303" s="336">
        <f>估驗單!F294</f>
        <v>1</v>
      </c>
      <c r="F303" s="390">
        <f t="shared" si="26"/>
        <v>0</v>
      </c>
      <c r="G303" s="336">
        <v>79.040000000000006</v>
      </c>
      <c r="H303" s="336"/>
      <c r="I303" s="336">
        <f t="shared" si="27"/>
        <v>79.040000000000006</v>
      </c>
      <c r="J303" s="336">
        <f t="shared" si="28"/>
        <v>79.040000000000006</v>
      </c>
      <c r="K303" s="546">
        <f t="shared" si="25"/>
        <v>0</v>
      </c>
      <c r="L303" s="502"/>
      <c r="M303" s="231" t="s">
        <v>242</v>
      </c>
      <c r="N303" s="11" t="s">
        <v>243</v>
      </c>
      <c r="O303" s="341"/>
      <c r="P303" s="339"/>
    </row>
    <row r="304" spans="1:16" ht="33" hidden="1">
      <c r="A304" s="333" t="s">
        <v>2225</v>
      </c>
      <c r="B304" s="334" t="s">
        <v>869</v>
      </c>
      <c r="C304" s="335" t="s">
        <v>669</v>
      </c>
      <c r="D304" s="336">
        <v>1</v>
      </c>
      <c r="E304" s="336">
        <f>估驗單!F295</f>
        <v>1</v>
      </c>
      <c r="F304" s="390">
        <f t="shared" si="26"/>
        <v>0</v>
      </c>
      <c r="G304" s="336">
        <v>99.64</v>
      </c>
      <c r="H304" s="336"/>
      <c r="I304" s="336">
        <f t="shared" si="27"/>
        <v>99.64</v>
      </c>
      <c r="J304" s="336">
        <f t="shared" si="28"/>
        <v>99.64</v>
      </c>
      <c r="K304" s="546">
        <f t="shared" si="25"/>
        <v>0</v>
      </c>
      <c r="L304" s="502"/>
      <c r="M304" s="231" t="s">
        <v>242</v>
      </c>
      <c r="N304" s="11" t="s">
        <v>243</v>
      </c>
      <c r="O304" s="341"/>
      <c r="P304" s="339"/>
    </row>
    <row r="305" spans="1:19" ht="33" hidden="1">
      <c r="A305" s="333" t="s">
        <v>2226</v>
      </c>
      <c r="B305" s="334" t="s">
        <v>872</v>
      </c>
      <c r="C305" s="335" t="s">
        <v>669</v>
      </c>
      <c r="D305" s="336">
        <v>1</v>
      </c>
      <c r="E305" s="336">
        <f>估驗單!F296</f>
        <v>1</v>
      </c>
      <c r="F305" s="390">
        <f t="shared" si="26"/>
        <v>0</v>
      </c>
      <c r="G305" s="336">
        <v>74.92</v>
      </c>
      <c r="H305" s="336"/>
      <c r="I305" s="336">
        <f t="shared" si="27"/>
        <v>74.92</v>
      </c>
      <c r="J305" s="336">
        <f t="shared" si="28"/>
        <v>74.92</v>
      </c>
      <c r="K305" s="546">
        <f t="shared" si="25"/>
        <v>0</v>
      </c>
      <c r="L305" s="502"/>
      <c r="M305" s="231" t="s">
        <v>242</v>
      </c>
      <c r="N305" s="11" t="s">
        <v>243</v>
      </c>
      <c r="O305" s="341"/>
      <c r="P305" s="339"/>
    </row>
    <row r="306" spans="1:19" ht="33" hidden="1">
      <c r="A306" s="333" t="s">
        <v>2227</v>
      </c>
      <c r="B306" s="334" t="s">
        <v>875</v>
      </c>
      <c r="C306" s="335" t="s">
        <v>669</v>
      </c>
      <c r="D306" s="336">
        <v>1</v>
      </c>
      <c r="E306" s="336">
        <f>估驗單!F297</f>
        <v>1</v>
      </c>
      <c r="F306" s="390">
        <f t="shared" si="26"/>
        <v>0</v>
      </c>
      <c r="G306" s="336">
        <v>72.28</v>
      </c>
      <c r="H306" s="336"/>
      <c r="I306" s="336">
        <f t="shared" si="27"/>
        <v>72.28</v>
      </c>
      <c r="J306" s="336">
        <f t="shared" si="28"/>
        <v>72.28</v>
      </c>
      <c r="K306" s="546">
        <f t="shared" si="25"/>
        <v>0</v>
      </c>
      <c r="L306" s="502"/>
      <c r="M306" s="231" t="s">
        <v>242</v>
      </c>
      <c r="N306" s="11" t="s">
        <v>243</v>
      </c>
      <c r="O306" s="341"/>
      <c r="P306" s="339"/>
    </row>
    <row r="307" spans="1:19" ht="33" hidden="1">
      <c r="A307" s="333" t="s">
        <v>2228</v>
      </c>
      <c r="B307" s="334" t="s">
        <v>878</v>
      </c>
      <c r="C307" s="335" t="s">
        <v>13</v>
      </c>
      <c r="D307" s="336">
        <v>1</v>
      </c>
      <c r="E307" s="336">
        <f>估驗單!F298</f>
        <v>1</v>
      </c>
      <c r="F307" s="390">
        <f t="shared" si="26"/>
        <v>0</v>
      </c>
      <c r="G307" s="336">
        <v>43.77</v>
      </c>
      <c r="H307" s="336"/>
      <c r="I307" s="336">
        <f t="shared" si="27"/>
        <v>43.77</v>
      </c>
      <c r="J307" s="336">
        <f t="shared" si="28"/>
        <v>43.77</v>
      </c>
      <c r="K307" s="546">
        <f t="shared" si="25"/>
        <v>0</v>
      </c>
      <c r="L307" s="502"/>
      <c r="M307" s="231" t="s">
        <v>242</v>
      </c>
      <c r="N307" s="11" t="s">
        <v>243</v>
      </c>
      <c r="O307" s="341"/>
      <c r="P307" s="339"/>
    </row>
    <row r="308" spans="1:19" ht="33" hidden="1">
      <c r="A308" s="333" t="s">
        <v>2229</v>
      </c>
      <c r="B308" s="334" t="s">
        <v>881</v>
      </c>
      <c r="C308" s="335" t="s">
        <v>882</v>
      </c>
      <c r="D308" s="336">
        <v>1</v>
      </c>
      <c r="E308" s="336">
        <f>估驗單!F299</f>
        <v>1</v>
      </c>
      <c r="F308" s="390">
        <f t="shared" si="26"/>
        <v>0</v>
      </c>
      <c r="G308" s="336">
        <v>28.11</v>
      </c>
      <c r="H308" s="336"/>
      <c r="I308" s="336">
        <f t="shared" si="27"/>
        <v>28.11</v>
      </c>
      <c r="J308" s="336">
        <f t="shared" si="28"/>
        <v>28.11</v>
      </c>
      <c r="K308" s="546">
        <f t="shared" si="25"/>
        <v>0</v>
      </c>
      <c r="L308" s="502"/>
      <c r="M308" s="231" t="s">
        <v>242</v>
      </c>
      <c r="N308" s="11" t="s">
        <v>243</v>
      </c>
      <c r="O308" s="341"/>
      <c r="P308" s="339"/>
    </row>
    <row r="309" spans="1:19" ht="33" hidden="1">
      <c r="A309" s="333" t="s">
        <v>2230</v>
      </c>
      <c r="B309" s="334" t="s">
        <v>885</v>
      </c>
      <c r="C309" s="335" t="s">
        <v>13</v>
      </c>
      <c r="D309" s="336">
        <v>1</v>
      </c>
      <c r="E309" s="336">
        <f>估驗單!F300</f>
        <v>1</v>
      </c>
      <c r="F309" s="390">
        <f t="shared" si="26"/>
        <v>0</v>
      </c>
      <c r="G309" s="336">
        <v>239.86</v>
      </c>
      <c r="H309" s="336"/>
      <c r="I309" s="336">
        <f t="shared" si="27"/>
        <v>239.86</v>
      </c>
      <c r="J309" s="336">
        <f t="shared" si="28"/>
        <v>239.86</v>
      </c>
      <c r="K309" s="546">
        <f t="shared" si="25"/>
        <v>0</v>
      </c>
      <c r="L309" s="502"/>
      <c r="M309" s="231" t="s">
        <v>2410</v>
      </c>
      <c r="N309" s="11" t="s">
        <v>243</v>
      </c>
      <c r="O309" s="341"/>
      <c r="P309" s="339"/>
    </row>
    <row r="310" spans="1:19" s="352" customFormat="1" ht="45" hidden="1">
      <c r="A310" s="343">
        <v>76</v>
      </c>
      <c r="B310" s="344" t="s">
        <v>2411</v>
      </c>
      <c r="C310" s="345" t="s">
        <v>2386</v>
      </c>
      <c r="D310" s="340">
        <v>1305</v>
      </c>
      <c r="E310" s="336">
        <f>估驗單!F301</f>
        <v>1305</v>
      </c>
      <c r="F310" s="390">
        <f t="shared" si="26"/>
        <v>0</v>
      </c>
      <c r="G310" s="340">
        <v>1765.46</v>
      </c>
      <c r="H310" s="340"/>
      <c r="I310" s="336">
        <f t="shared" si="27"/>
        <v>2303925.2999999998</v>
      </c>
      <c r="J310" s="336">
        <f t="shared" si="28"/>
        <v>2303925.2999999998</v>
      </c>
      <c r="K310" s="546">
        <f t="shared" si="25"/>
        <v>0</v>
      </c>
      <c r="L310" s="502"/>
      <c r="M310" s="350" t="s">
        <v>2412</v>
      </c>
      <c r="N310" s="347"/>
      <c r="O310" s="348" t="s">
        <v>2413</v>
      </c>
      <c r="P310" s="349" t="s">
        <v>2414</v>
      </c>
      <c r="Q310" s="325" t="s">
        <v>2415</v>
      </c>
      <c r="S310" s="372" t="s">
        <v>2416</v>
      </c>
    </row>
    <row r="311" spans="1:19" s="363" customFormat="1" ht="31.5" hidden="1" customHeight="1">
      <c r="A311" s="343">
        <v>77</v>
      </c>
      <c r="B311" s="344" t="s">
        <v>1508</v>
      </c>
      <c r="C311" s="345" t="s">
        <v>1509</v>
      </c>
      <c r="D311" s="340">
        <f>9*1702</f>
        <v>15318</v>
      </c>
      <c r="E311" s="336">
        <f>估驗單!F302</f>
        <v>15318</v>
      </c>
      <c r="F311" s="418">
        <f t="shared" si="26"/>
        <v>0</v>
      </c>
      <c r="G311" s="340">
        <v>149.99</v>
      </c>
      <c r="H311" s="340"/>
      <c r="I311" s="336">
        <f t="shared" si="27"/>
        <v>2297546.8199999998</v>
      </c>
      <c r="J311" s="336">
        <f t="shared" si="28"/>
        <v>2297546.8199999998</v>
      </c>
      <c r="K311" s="546">
        <f t="shared" si="25"/>
        <v>0</v>
      </c>
      <c r="L311" s="453"/>
      <c r="M311" s="346"/>
      <c r="N311" s="347"/>
      <c r="O311" s="354" t="s">
        <v>2417</v>
      </c>
      <c r="P311" s="322" t="s">
        <v>2418</v>
      </c>
      <c r="Q311" s="325" t="s">
        <v>2400</v>
      </c>
    </row>
    <row r="312" spans="1:19" ht="33" hidden="1">
      <c r="A312" s="406" t="s">
        <v>2248</v>
      </c>
      <c r="B312" s="407" t="s">
        <v>888</v>
      </c>
      <c r="C312" s="408" t="s">
        <v>4</v>
      </c>
      <c r="D312" s="409">
        <v>1</v>
      </c>
      <c r="E312" s="409">
        <f>估驗單!F303</f>
        <v>1</v>
      </c>
      <c r="F312" s="410"/>
      <c r="G312" s="409">
        <f>I312</f>
        <v>5050770.370000001</v>
      </c>
      <c r="H312" s="409"/>
      <c r="I312" s="409">
        <f>SUM(I313:I345)</f>
        <v>5050770.370000001</v>
      </c>
      <c r="J312" s="409">
        <f>SUM(J313:J345)</f>
        <v>5050770.370000001</v>
      </c>
      <c r="K312" s="542">
        <f>SUM(K313:K345)</f>
        <v>0</v>
      </c>
      <c r="L312" s="534">
        <f>SUM(L313:L345)</f>
        <v>0</v>
      </c>
      <c r="M312" s="288" t="s">
        <v>242</v>
      </c>
      <c r="N312" s="11" t="s">
        <v>243</v>
      </c>
      <c r="O312" s="338"/>
      <c r="P312" s="339"/>
    </row>
    <row r="313" spans="1:19" ht="33" hidden="1">
      <c r="A313" s="333" t="s">
        <v>2154</v>
      </c>
      <c r="B313" s="334" t="s">
        <v>890</v>
      </c>
      <c r="C313" s="335" t="s">
        <v>4</v>
      </c>
      <c r="D313" s="336">
        <v>1</v>
      </c>
      <c r="E313" s="336">
        <f>估驗單!F304</f>
        <v>1</v>
      </c>
      <c r="F313" s="390">
        <f t="shared" si="26"/>
        <v>0</v>
      </c>
      <c r="G313" s="336">
        <v>88179.19</v>
      </c>
      <c r="H313" s="336"/>
      <c r="I313" s="336">
        <f t="shared" ref="I313:I345" si="29">ROUND(D313*G313,2)</f>
        <v>88179.19</v>
      </c>
      <c r="J313" s="336">
        <f t="shared" ref="J313:J345" si="30">ROUND(E313*G313,2)</f>
        <v>88179.19</v>
      </c>
      <c r="K313" s="546">
        <f t="shared" si="25"/>
        <v>0</v>
      </c>
      <c r="L313" s="502"/>
      <c r="M313" s="231" t="s">
        <v>242</v>
      </c>
      <c r="N313" s="11" t="s">
        <v>243</v>
      </c>
      <c r="O313" s="341"/>
      <c r="P313" s="339"/>
    </row>
    <row r="314" spans="1:19" ht="33" hidden="1">
      <c r="A314" s="333" t="s">
        <v>2155</v>
      </c>
      <c r="B314" s="334" t="s">
        <v>893</v>
      </c>
      <c r="C314" s="335" t="s">
        <v>4</v>
      </c>
      <c r="D314" s="336">
        <v>1</v>
      </c>
      <c r="E314" s="336">
        <f>估驗單!F305</f>
        <v>1</v>
      </c>
      <c r="F314" s="390">
        <f t="shared" si="26"/>
        <v>0</v>
      </c>
      <c r="G314" s="336">
        <v>149702.84</v>
      </c>
      <c r="H314" s="336"/>
      <c r="I314" s="336">
        <f t="shared" si="29"/>
        <v>149702.84</v>
      </c>
      <c r="J314" s="336">
        <f t="shared" si="30"/>
        <v>149702.84</v>
      </c>
      <c r="K314" s="546">
        <f t="shared" si="25"/>
        <v>0</v>
      </c>
      <c r="L314" s="502"/>
      <c r="M314" s="231" t="s">
        <v>242</v>
      </c>
      <c r="N314" s="11" t="s">
        <v>243</v>
      </c>
      <c r="O314" s="341"/>
      <c r="P314" s="339"/>
    </row>
    <row r="315" spans="1:19" ht="33" hidden="1">
      <c r="A315" s="333" t="s">
        <v>2156</v>
      </c>
      <c r="B315" s="334" t="s">
        <v>896</v>
      </c>
      <c r="C315" s="335" t="s">
        <v>4</v>
      </c>
      <c r="D315" s="336">
        <v>1</v>
      </c>
      <c r="E315" s="336">
        <f>估驗單!F306</f>
        <v>1</v>
      </c>
      <c r="F315" s="390">
        <f t="shared" si="26"/>
        <v>0</v>
      </c>
      <c r="G315" s="336">
        <v>168290.82</v>
      </c>
      <c r="H315" s="336"/>
      <c r="I315" s="336">
        <f t="shared" si="29"/>
        <v>168290.82</v>
      </c>
      <c r="J315" s="336">
        <f t="shared" si="30"/>
        <v>168290.82</v>
      </c>
      <c r="K315" s="546">
        <f t="shared" si="25"/>
        <v>0</v>
      </c>
      <c r="L315" s="502"/>
      <c r="M315" s="231" t="s">
        <v>242</v>
      </c>
      <c r="N315" s="11" t="s">
        <v>243</v>
      </c>
      <c r="O315" s="341"/>
      <c r="P315" s="339"/>
    </row>
    <row r="316" spans="1:19" ht="33" hidden="1">
      <c r="A316" s="333" t="s">
        <v>2157</v>
      </c>
      <c r="B316" s="334" t="s">
        <v>899</v>
      </c>
      <c r="C316" s="335" t="s">
        <v>4</v>
      </c>
      <c r="D316" s="336">
        <v>1</v>
      </c>
      <c r="E316" s="336">
        <f>估驗單!F307</f>
        <v>1</v>
      </c>
      <c r="F316" s="390">
        <f t="shared" si="26"/>
        <v>0</v>
      </c>
      <c r="G316" s="336">
        <v>23946.69</v>
      </c>
      <c r="H316" s="336"/>
      <c r="I316" s="336">
        <f t="shared" si="29"/>
        <v>23946.69</v>
      </c>
      <c r="J316" s="336">
        <f t="shared" si="30"/>
        <v>23946.69</v>
      </c>
      <c r="K316" s="546">
        <f t="shared" si="25"/>
        <v>0</v>
      </c>
      <c r="L316" s="502"/>
      <c r="M316" s="231" t="s">
        <v>242</v>
      </c>
      <c r="N316" s="11" t="s">
        <v>243</v>
      </c>
      <c r="O316" s="341"/>
      <c r="P316" s="339"/>
    </row>
    <row r="317" spans="1:19" s="325" customFormat="1" ht="33" hidden="1">
      <c r="A317" s="333" t="s">
        <v>2158</v>
      </c>
      <c r="B317" s="334" t="s">
        <v>902</v>
      </c>
      <c r="C317" s="335" t="s">
        <v>0</v>
      </c>
      <c r="D317" s="336">
        <v>11</v>
      </c>
      <c r="E317" s="336">
        <f>估驗單!F308</f>
        <v>11</v>
      </c>
      <c r="F317" s="390">
        <f t="shared" si="26"/>
        <v>0</v>
      </c>
      <c r="G317" s="336">
        <v>42797.67</v>
      </c>
      <c r="H317" s="336"/>
      <c r="I317" s="336">
        <f t="shared" si="29"/>
        <v>470774.37</v>
      </c>
      <c r="J317" s="336">
        <f t="shared" si="30"/>
        <v>470774.37</v>
      </c>
      <c r="K317" s="546">
        <f t="shared" si="25"/>
        <v>0</v>
      </c>
      <c r="L317" s="502"/>
      <c r="M317" s="231" t="s">
        <v>2419</v>
      </c>
      <c r="N317" s="11" t="s">
        <v>243</v>
      </c>
      <c r="O317" s="341"/>
      <c r="P317" s="339"/>
    </row>
    <row r="318" spans="1:19" s="325" customFormat="1" ht="33" hidden="1">
      <c r="A318" s="333" t="s">
        <v>2159</v>
      </c>
      <c r="B318" s="334" t="s">
        <v>905</v>
      </c>
      <c r="C318" s="335" t="s">
        <v>0</v>
      </c>
      <c r="D318" s="336">
        <v>9</v>
      </c>
      <c r="E318" s="336">
        <f>估驗單!F309</f>
        <v>9</v>
      </c>
      <c r="F318" s="390">
        <f t="shared" si="26"/>
        <v>0</v>
      </c>
      <c r="G318" s="336">
        <v>60396.71</v>
      </c>
      <c r="H318" s="336"/>
      <c r="I318" s="336">
        <f t="shared" si="29"/>
        <v>543570.39</v>
      </c>
      <c r="J318" s="336">
        <f t="shared" si="30"/>
        <v>543570.39</v>
      </c>
      <c r="K318" s="546">
        <f t="shared" si="25"/>
        <v>0</v>
      </c>
      <c r="L318" s="502"/>
      <c r="M318" s="231" t="s">
        <v>2321</v>
      </c>
      <c r="N318" s="11" t="s">
        <v>243</v>
      </c>
      <c r="O318" s="341"/>
      <c r="P318" s="339"/>
    </row>
    <row r="319" spans="1:19" s="325" customFormat="1" ht="33" hidden="1">
      <c r="A319" s="333" t="s">
        <v>2160</v>
      </c>
      <c r="B319" s="334" t="s">
        <v>908</v>
      </c>
      <c r="C319" s="335" t="s">
        <v>0</v>
      </c>
      <c r="D319" s="336">
        <v>10</v>
      </c>
      <c r="E319" s="336">
        <f>估驗單!F310</f>
        <v>10</v>
      </c>
      <c r="F319" s="390">
        <f t="shared" si="26"/>
        <v>0</v>
      </c>
      <c r="G319" s="336">
        <v>34998.089999999997</v>
      </c>
      <c r="H319" s="336"/>
      <c r="I319" s="336">
        <f t="shared" si="29"/>
        <v>349980.9</v>
      </c>
      <c r="J319" s="336">
        <f t="shared" si="30"/>
        <v>349980.9</v>
      </c>
      <c r="K319" s="546">
        <f t="shared" si="25"/>
        <v>0</v>
      </c>
      <c r="L319" s="502"/>
      <c r="M319" s="231" t="s">
        <v>2321</v>
      </c>
      <c r="N319" s="11" t="s">
        <v>243</v>
      </c>
      <c r="O319" s="341"/>
      <c r="P319" s="339"/>
    </row>
    <row r="320" spans="1:19" s="325" customFormat="1" ht="33" hidden="1">
      <c r="A320" s="333" t="s">
        <v>2161</v>
      </c>
      <c r="B320" s="334" t="s">
        <v>911</v>
      </c>
      <c r="C320" s="335" t="s">
        <v>0</v>
      </c>
      <c r="D320" s="336">
        <v>8</v>
      </c>
      <c r="E320" s="336">
        <f>估驗單!F311</f>
        <v>8</v>
      </c>
      <c r="F320" s="390">
        <f t="shared" si="26"/>
        <v>0</v>
      </c>
      <c r="G320" s="336">
        <v>9999.4500000000007</v>
      </c>
      <c r="H320" s="336"/>
      <c r="I320" s="336">
        <f t="shared" si="29"/>
        <v>79995.600000000006</v>
      </c>
      <c r="J320" s="336">
        <f t="shared" si="30"/>
        <v>79995.600000000006</v>
      </c>
      <c r="K320" s="546">
        <f t="shared" si="25"/>
        <v>0</v>
      </c>
      <c r="L320" s="502"/>
      <c r="M320" s="231" t="s">
        <v>2321</v>
      </c>
      <c r="N320" s="11" t="s">
        <v>243</v>
      </c>
      <c r="O320" s="341"/>
      <c r="P320" s="339"/>
    </row>
    <row r="321" spans="1:16" s="325" customFormat="1" ht="33" hidden="1">
      <c r="A321" s="333" t="s">
        <v>2162</v>
      </c>
      <c r="B321" s="334" t="s">
        <v>914</v>
      </c>
      <c r="C321" s="335" t="s">
        <v>15</v>
      </c>
      <c r="D321" s="336">
        <v>2</v>
      </c>
      <c r="E321" s="336">
        <f>估驗單!F312</f>
        <v>2</v>
      </c>
      <c r="F321" s="390">
        <f t="shared" si="26"/>
        <v>0</v>
      </c>
      <c r="G321" s="336">
        <v>1499.92</v>
      </c>
      <c r="H321" s="336"/>
      <c r="I321" s="336">
        <f t="shared" si="29"/>
        <v>2999.84</v>
      </c>
      <c r="J321" s="336">
        <f t="shared" si="30"/>
        <v>2999.84</v>
      </c>
      <c r="K321" s="546">
        <f t="shared" si="25"/>
        <v>0</v>
      </c>
      <c r="L321" s="502"/>
      <c r="M321" s="231" t="s">
        <v>242</v>
      </c>
      <c r="N321" s="11" t="s">
        <v>243</v>
      </c>
      <c r="O321" s="341"/>
      <c r="P321" s="339"/>
    </row>
    <row r="322" spans="1:16" s="325" customFormat="1" ht="33" hidden="1">
      <c r="A322" s="333" t="s">
        <v>2163</v>
      </c>
      <c r="B322" s="334" t="s">
        <v>917</v>
      </c>
      <c r="C322" s="335" t="s">
        <v>15</v>
      </c>
      <c r="D322" s="336">
        <v>2</v>
      </c>
      <c r="E322" s="336">
        <f>估驗單!F313</f>
        <v>2</v>
      </c>
      <c r="F322" s="390">
        <f t="shared" si="26"/>
        <v>0</v>
      </c>
      <c r="G322" s="336">
        <v>3999.78</v>
      </c>
      <c r="H322" s="336"/>
      <c r="I322" s="336">
        <f t="shared" si="29"/>
        <v>7999.56</v>
      </c>
      <c r="J322" s="336">
        <f t="shared" si="30"/>
        <v>7999.56</v>
      </c>
      <c r="K322" s="546">
        <f t="shared" si="25"/>
        <v>0</v>
      </c>
      <c r="L322" s="502"/>
      <c r="M322" s="231" t="s">
        <v>242</v>
      </c>
      <c r="N322" s="11" t="s">
        <v>243</v>
      </c>
      <c r="O322" s="341"/>
      <c r="P322" s="339"/>
    </row>
    <row r="323" spans="1:16" s="325" customFormat="1" ht="33" hidden="1">
      <c r="A323" s="333" t="s">
        <v>2164</v>
      </c>
      <c r="B323" s="334" t="s">
        <v>920</v>
      </c>
      <c r="C323" s="335" t="s">
        <v>8</v>
      </c>
      <c r="D323" s="336">
        <v>44.6</v>
      </c>
      <c r="E323" s="336">
        <f>估驗單!F314</f>
        <v>44.6</v>
      </c>
      <c r="F323" s="390">
        <f t="shared" si="26"/>
        <v>0</v>
      </c>
      <c r="G323" s="336">
        <v>799.96</v>
      </c>
      <c r="H323" s="336"/>
      <c r="I323" s="336">
        <f t="shared" si="29"/>
        <v>35678.22</v>
      </c>
      <c r="J323" s="336">
        <f t="shared" si="30"/>
        <v>35678.22</v>
      </c>
      <c r="K323" s="546">
        <f t="shared" si="25"/>
        <v>0</v>
      </c>
      <c r="L323" s="502"/>
      <c r="M323" s="231" t="s">
        <v>242</v>
      </c>
      <c r="N323" s="11" t="s">
        <v>243</v>
      </c>
      <c r="O323" s="341"/>
      <c r="P323" s="339"/>
    </row>
    <row r="324" spans="1:16" s="325" customFormat="1" ht="33" hidden="1">
      <c r="A324" s="333" t="s">
        <v>2165</v>
      </c>
      <c r="B324" s="334" t="s">
        <v>923</v>
      </c>
      <c r="C324" s="335" t="s">
        <v>15</v>
      </c>
      <c r="D324" s="336">
        <v>10</v>
      </c>
      <c r="E324" s="336">
        <f>估驗單!F315</f>
        <v>10</v>
      </c>
      <c r="F324" s="390">
        <f t="shared" si="26"/>
        <v>0</v>
      </c>
      <c r="G324" s="336">
        <v>11299.38</v>
      </c>
      <c r="H324" s="336"/>
      <c r="I324" s="336">
        <f t="shared" si="29"/>
        <v>112993.8</v>
      </c>
      <c r="J324" s="336">
        <f t="shared" si="30"/>
        <v>112993.8</v>
      </c>
      <c r="K324" s="546">
        <f t="shared" si="25"/>
        <v>0</v>
      </c>
      <c r="L324" s="502"/>
      <c r="M324" s="231" t="s">
        <v>242</v>
      </c>
      <c r="N324" s="11" t="s">
        <v>243</v>
      </c>
      <c r="O324" s="341"/>
      <c r="P324" s="339"/>
    </row>
    <row r="325" spans="1:16" s="325" customFormat="1" ht="33" hidden="1">
      <c r="A325" s="333" t="s">
        <v>2166</v>
      </c>
      <c r="B325" s="334" t="s">
        <v>926</v>
      </c>
      <c r="C325" s="335" t="s">
        <v>15</v>
      </c>
      <c r="D325" s="336">
        <v>5</v>
      </c>
      <c r="E325" s="336">
        <f>估驗單!F316</f>
        <v>5</v>
      </c>
      <c r="F325" s="390">
        <f t="shared" si="26"/>
        <v>0</v>
      </c>
      <c r="G325" s="336">
        <v>17999.02</v>
      </c>
      <c r="H325" s="336"/>
      <c r="I325" s="336">
        <f t="shared" si="29"/>
        <v>89995.1</v>
      </c>
      <c r="J325" s="336">
        <f t="shared" si="30"/>
        <v>89995.1</v>
      </c>
      <c r="K325" s="546">
        <f t="shared" si="25"/>
        <v>0</v>
      </c>
      <c r="L325" s="502"/>
      <c r="M325" s="231" t="s">
        <v>242</v>
      </c>
      <c r="N325" s="11" t="s">
        <v>243</v>
      </c>
      <c r="O325" s="341"/>
      <c r="P325" s="339"/>
    </row>
    <row r="326" spans="1:16" s="325" customFormat="1" ht="33" hidden="1">
      <c r="A326" s="333" t="s">
        <v>2167</v>
      </c>
      <c r="B326" s="334" t="s">
        <v>929</v>
      </c>
      <c r="C326" s="335" t="s">
        <v>15</v>
      </c>
      <c r="D326" s="336">
        <v>17</v>
      </c>
      <c r="E326" s="336">
        <f>估驗單!F317</f>
        <v>17</v>
      </c>
      <c r="F326" s="390">
        <f t="shared" si="26"/>
        <v>0</v>
      </c>
      <c r="G326" s="336">
        <v>4199.7700000000004</v>
      </c>
      <c r="H326" s="336"/>
      <c r="I326" s="336">
        <f t="shared" si="29"/>
        <v>71396.09</v>
      </c>
      <c r="J326" s="336">
        <f t="shared" si="30"/>
        <v>71396.09</v>
      </c>
      <c r="K326" s="546">
        <f t="shared" si="25"/>
        <v>0</v>
      </c>
      <c r="L326" s="502"/>
      <c r="M326" s="231" t="s">
        <v>242</v>
      </c>
      <c r="N326" s="11" t="s">
        <v>243</v>
      </c>
      <c r="O326" s="341"/>
      <c r="P326" s="339"/>
    </row>
    <row r="327" spans="1:16" s="325" customFormat="1" ht="33" hidden="1">
      <c r="A327" s="333" t="s">
        <v>2168</v>
      </c>
      <c r="B327" s="334" t="s">
        <v>932</v>
      </c>
      <c r="C327" s="335" t="s">
        <v>290</v>
      </c>
      <c r="D327" s="336">
        <v>1</v>
      </c>
      <c r="E327" s="336">
        <f>估驗單!F318</f>
        <v>1</v>
      </c>
      <c r="F327" s="390">
        <f t="shared" si="26"/>
        <v>0</v>
      </c>
      <c r="G327" s="336">
        <v>112957.32</v>
      </c>
      <c r="H327" s="336"/>
      <c r="I327" s="336">
        <f t="shared" si="29"/>
        <v>112957.32</v>
      </c>
      <c r="J327" s="336">
        <f t="shared" si="30"/>
        <v>112957.32</v>
      </c>
      <c r="K327" s="546">
        <f t="shared" si="25"/>
        <v>0</v>
      </c>
      <c r="L327" s="502"/>
      <c r="M327" s="231" t="s">
        <v>2420</v>
      </c>
      <c r="N327" s="11" t="s">
        <v>243</v>
      </c>
      <c r="O327" s="341"/>
      <c r="P327" s="339"/>
    </row>
    <row r="328" spans="1:16" s="325" customFormat="1" ht="57" hidden="1">
      <c r="A328" s="333" t="s">
        <v>2169</v>
      </c>
      <c r="B328" s="334" t="s">
        <v>935</v>
      </c>
      <c r="C328" s="335" t="s">
        <v>4</v>
      </c>
      <c r="D328" s="336">
        <v>1</v>
      </c>
      <c r="E328" s="336">
        <f>估驗單!F319</f>
        <v>1</v>
      </c>
      <c r="F328" s="390">
        <f t="shared" si="26"/>
        <v>0</v>
      </c>
      <c r="G328" s="336">
        <v>322482.40999999997</v>
      </c>
      <c r="H328" s="336"/>
      <c r="I328" s="336">
        <f t="shared" si="29"/>
        <v>322482.40999999997</v>
      </c>
      <c r="J328" s="336">
        <f t="shared" si="30"/>
        <v>322482.40999999997</v>
      </c>
      <c r="K328" s="546">
        <f t="shared" si="25"/>
        <v>0</v>
      </c>
      <c r="L328" s="502"/>
      <c r="M328" s="231" t="s">
        <v>2421</v>
      </c>
      <c r="N328" s="11" t="s">
        <v>243</v>
      </c>
      <c r="O328" s="341"/>
      <c r="P328" s="339"/>
    </row>
    <row r="329" spans="1:16" s="325" customFormat="1" ht="33" hidden="1">
      <c r="A329" s="333" t="s">
        <v>2170</v>
      </c>
      <c r="B329" s="334" t="s">
        <v>938</v>
      </c>
      <c r="C329" s="335" t="s">
        <v>15</v>
      </c>
      <c r="D329" s="336">
        <v>17</v>
      </c>
      <c r="E329" s="336">
        <f>估驗單!F320</f>
        <v>17</v>
      </c>
      <c r="F329" s="390">
        <f t="shared" si="26"/>
        <v>0</v>
      </c>
      <c r="G329" s="336">
        <v>99994.55</v>
      </c>
      <c r="H329" s="336"/>
      <c r="I329" s="336">
        <f t="shared" si="29"/>
        <v>1699907.35</v>
      </c>
      <c r="J329" s="336">
        <f t="shared" si="30"/>
        <v>1699907.35</v>
      </c>
      <c r="K329" s="546">
        <f t="shared" si="25"/>
        <v>0</v>
      </c>
      <c r="L329" s="502"/>
      <c r="M329" s="231" t="s">
        <v>242</v>
      </c>
      <c r="N329" s="11" t="s">
        <v>243</v>
      </c>
      <c r="O329" s="341"/>
      <c r="P329" s="339"/>
    </row>
    <row r="330" spans="1:16" s="325" customFormat="1" ht="33" hidden="1">
      <c r="A330" s="333" t="s">
        <v>2171</v>
      </c>
      <c r="B330" s="334" t="s">
        <v>941</v>
      </c>
      <c r="C330" s="335" t="s">
        <v>583</v>
      </c>
      <c r="D330" s="336">
        <v>2</v>
      </c>
      <c r="E330" s="336">
        <f>估驗單!F321</f>
        <v>2</v>
      </c>
      <c r="F330" s="390">
        <f t="shared" si="26"/>
        <v>0</v>
      </c>
      <c r="G330" s="336">
        <v>14999.18</v>
      </c>
      <c r="H330" s="336"/>
      <c r="I330" s="336">
        <f t="shared" si="29"/>
        <v>29998.36</v>
      </c>
      <c r="J330" s="336">
        <f t="shared" si="30"/>
        <v>29998.36</v>
      </c>
      <c r="K330" s="546">
        <f t="shared" si="25"/>
        <v>0</v>
      </c>
      <c r="L330" s="502"/>
      <c r="M330" s="231" t="s">
        <v>2321</v>
      </c>
      <c r="N330" s="11" t="s">
        <v>243</v>
      </c>
      <c r="O330" s="341"/>
      <c r="P330" s="339"/>
    </row>
    <row r="331" spans="1:16" s="325" customFormat="1" ht="33" hidden="1">
      <c r="A331" s="333" t="s">
        <v>2172</v>
      </c>
      <c r="B331" s="334" t="s">
        <v>944</v>
      </c>
      <c r="C331" s="335" t="s">
        <v>15</v>
      </c>
      <c r="D331" s="336">
        <v>1</v>
      </c>
      <c r="E331" s="336">
        <f>估驗單!F322</f>
        <v>1</v>
      </c>
      <c r="F331" s="390">
        <f t="shared" si="26"/>
        <v>0</v>
      </c>
      <c r="G331" s="336">
        <v>1499.92</v>
      </c>
      <c r="H331" s="336"/>
      <c r="I331" s="336">
        <f t="shared" si="29"/>
        <v>1499.92</v>
      </c>
      <c r="J331" s="336">
        <f t="shared" si="30"/>
        <v>1499.92</v>
      </c>
      <c r="K331" s="546">
        <f t="shared" si="25"/>
        <v>0</v>
      </c>
      <c r="L331" s="502"/>
      <c r="M331" s="231" t="s">
        <v>2422</v>
      </c>
      <c r="N331" s="11" t="s">
        <v>243</v>
      </c>
      <c r="O331" s="341"/>
      <c r="P331" s="339"/>
    </row>
    <row r="332" spans="1:16" s="325" customFormat="1" ht="33" hidden="1">
      <c r="A332" s="333" t="s">
        <v>2173</v>
      </c>
      <c r="B332" s="334" t="s">
        <v>947</v>
      </c>
      <c r="C332" s="335" t="s">
        <v>19</v>
      </c>
      <c r="D332" s="336">
        <v>2</v>
      </c>
      <c r="E332" s="336">
        <f>估驗單!F323</f>
        <v>2</v>
      </c>
      <c r="F332" s="390">
        <f t="shared" si="26"/>
        <v>0</v>
      </c>
      <c r="G332" s="336">
        <v>2599.86</v>
      </c>
      <c r="H332" s="336"/>
      <c r="I332" s="336">
        <f t="shared" si="29"/>
        <v>5199.72</v>
      </c>
      <c r="J332" s="336">
        <f t="shared" si="30"/>
        <v>5199.72</v>
      </c>
      <c r="K332" s="546">
        <f t="shared" si="25"/>
        <v>0</v>
      </c>
      <c r="L332" s="502"/>
      <c r="M332" s="231" t="s">
        <v>242</v>
      </c>
      <c r="N332" s="11" t="s">
        <v>243</v>
      </c>
      <c r="O332" s="341"/>
      <c r="P332" s="339"/>
    </row>
    <row r="333" spans="1:16" ht="33" hidden="1">
      <c r="A333" s="333" t="s">
        <v>2174</v>
      </c>
      <c r="B333" s="334" t="s">
        <v>950</v>
      </c>
      <c r="C333" s="335" t="s">
        <v>19</v>
      </c>
      <c r="D333" s="336">
        <v>9</v>
      </c>
      <c r="E333" s="336">
        <f>估驗單!F324</f>
        <v>9</v>
      </c>
      <c r="F333" s="390">
        <f t="shared" si="26"/>
        <v>0</v>
      </c>
      <c r="G333" s="336">
        <v>4459.76</v>
      </c>
      <c r="H333" s="336"/>
      <c r="I333" s="336">
        <f t="shared" si="29"/>
        <v>40137.839999999997</v>
      </c>
      <c r="J333" s="336">
        <f t="shared" si="30"/>
        <v>40137.839999999997</v>
      </c>
      <c r="K333" s="546">
        <f t="shared" si="25"/>
        <v>0</v>
      </c>
      <c r="L333" s="502"/>
      <c r="M333" s="231" t="s">
        <v>242</v>
      </c>
      <c r="N333" s="11" t="s">
        <v>243</v>
      </c>
      <c r="O333" s="341"/>
      <c r="P333" s="339"/>
    </row>
    <row r="334" spans="1:16" ht="33" hidden="1">
      <c r="A334" s="333" t="s">
        <v>2175</v>
      </c>
      <c r="B334" s="334" t="s">
        <v>953</v>
      </c>
      <c r="C334" s="335" t="s">
        <v>8</v>
      </c>
      <c r="D334" s="336">
        <v>180</v>
      </c>
      <c r="E334" s="336">
        <f>估驗單!F325</f>
        <v>180</v>
      </c>
      <c r="F334" s="390">
        <f t="shared" si="26"/>
        <v>0</v>
      </c>
      <c r="G334" s="336">
        <v>596.98</v>
      </c>
      <c r="H334" s="336"/>
      <c r="I334" s="336">
        <f t="shared" si="29"/>
        <v>107456.4</v>
      </c>
      <c r="J334" s="336">
        <f t="shared" si="30"/>
        <v>107456.4</v>
      </c>
      <c r="K334" s="546">
        <f t="shared" si="25"/>
        <v>0</v>
      </c>
      <c r="L334" s="502"/>
      <c r="M334" s="231" t="s">
        <v>242</v>
      </c>
      <c r="N334" s="11" t="s">
        <v>243</v>
      </c>
      <c r="O334" s="341"/>
      <c r="P334" s="339"/>
    </row>
    <row r="335" spans="1:16" ht="33" hidden="1">
      <c r="A335" s="333" t="s">
        <v>2177</v>
      </c>
      <c r="B335" s="334" t="s">
        <v>956</v>
      </c>
      <c r="C335" s="335" t="s">
        <v>8</v>
      </c>
      <c r="D335" s="336">
        <v>60</v>
      </c>
      <c r="E335" s="336">
        <f>估驗單!F326</f>
        <v>60</v>
      </c>
      <c r="F335" s="390">
        <f t="shared" si="26"/>
        <v>0</v>
      </c>
      <c r="G335" s="336">
        <v>67.42</v>
      </c>
      <c r="H335" s="336"/>
      <c r="I335" s="336">
        <f t="shared" si="29"/>
        <v>4045.2</v>
      </c>
      <c r="J335" s="336">
        <f t="shared" si="30"/>
        <v>4045.2</v>
      </c>
      <c r="K335" s="546">
        <f t="shared" ref="K335:K398" si="31">J335-I335</f>
        <v>0</v>
      </c>
      <c r="L335" s="502"/>
      <c r="M335" s="231" t="s">
        <v>2321</v>
      </c>
      <c r="N335" s="11" t="s">
        <v>243</v>
      </c>
      <c r="O335" s="341"/>
      <c r="P335" s="339"/>
    </row>
    <row r="336" spans="1:16" ht="33" hidden="1">
      <c r="A336" s="333" t="s">
        <v>2178</v>
      </c>
      <c r="B336" s="334" t="s">
        <v>959</v>
      </c>
      <c r="C336" s="335" t="s">
        <v>8</v>
      </c>
      <c r="D336" s="336">
        <v>1032</v>
      </c>
      <c r="E336" s="336">
        <f>估驗單!F327</f>
        <v>1032</v>
      </c>
      <c r="F336" s="390">
        <f t="shared" si="26"/>
        <v>0</v>
      </c>
      <c r="G336" s="336">
        <v>29.42</v>
      </c>
      <c r="H336" s="336"/>
      <c r="I336" s="336">
        <f t="shared" si="29"/>
        <v>30361.439999999999</v>
      </c>
      <c r="J336" s="336">
        <f t="shared" si="30"/>
        <v>30361.439999999999</v>
      </c>
      <c r="K336" s="546">
        <f t="shared" si="31"/>
        <v>0</v>
      </c>
      <c r="L336" s="502"/>
      <c r="M336" s="231" t="s">
        <v>242</v>
      </c>
      <c r="N336" s="11" t="s">
        <v>243</v>
      </c>
      <c r="O336" s="341"/>
      <c r="P336" s="339"/>
    </row>
    <row r="337" spans="1:17" ht="33" hidden="1">
      <c r="A337" s="333" t="s">
        <v>2179</v>
      </c>
      <c r="B337" s="334" t="s">
        <v>962</v>
      </c>
      <c r="C337" s="335" t="s">
        <v>8</v>
      </c>
      <c r="D337" s="336">
        <v>1103</v>
      </c>
      <c r="E337" s="336">
        <f>估驗單!F328</f>
        <v>1103</v>
      </c>
      <c r="F337" s="390">
        <f t="shared" si="26"/>
        <v>0</v>
      </c>
      <c r="G337" s="336">
        <v>147.1</v>
      </c>
      <c r="H337" s="336"/>
      <c r="I337" s="336">
        <f t="shared" si="29"/>
        <v>162251.29999999999</v>
      </c>
      <c r="J337" s="336">
        <f t="shared" si="30"/>
        <v>162251.29999999999</v>
      </c>
      <c r="K337" s="546">
        <f t="shared" si="31"/>
        <v>0</v>
      </c>
      <c r="L337" s="502"/>
      <c r="M337" s="231" t="s">
        <v>242</v>
      </c>
      <c r="N337" s="11" t="s">
        <v>243</v>
      </c>
      <c r="O337" s="341"/>
      <c r="P337" s="339"/>
    </row>
    <row r="338" spans="1:17" ht="42.75" hidden="1">
      <c r="A338" s="333" t="s">
        <v>2181</v>
      </c>
      <c r="B338" s="334" t="s">
        <v>219</v>
      </c>
      <c r="C338" s="335" t="s">
        <v>8</v>
      </c>
      <c r="D338" s="336">
        <v>2064</v>
      </c>
      <c r="E338" s="336">
        <f>估驗單!F329</f>
        <v>2064</v>
      </c>
      <c r="F338" s="390">
        <f t="shared" si="26"/>
        <v>0</v>
      </c>
      <c r="G338" s="336">
        <v>78.459999999999994</v>
      </c>
      <c r="H338" s="336"/>
      <c r="I338" s="336">
        <f t="shared" si="29"/>
        <v>161941.44</v>
      </c>
      <c r="J338" s="336">
        <f t="shared" si="30"/>
        <v>161941.44</v>
      </c>
      <c r="K338" s="546">
        <f t="shared" si="31"/>
        <v>0</v>
      </c>
      <c r="L338" s="502"/>
      <c r="M338" s="231" t="s">
        <v>242</v>
      </c>
      <c r="N338" s="11" t="s">
        <v>243</v>
      </c>
      <c r="O338" s="341"/>
      <c r="P338" s="339"/>
    </row>
    <row r="339" spans="1:17" ht="33" hidden="1">
      <c r="A339" s="333" t="s">
        <v>2182</v>
      </c>
      <c r="B339" s="334" t="s">
        <v>967</v>
      </c>
      <c r="C339" s="335" t="s">
        <v>4</v>
      </c>
      <c r="D339" s="336">
        <v>1</v>
      </c>
      <c r="E339" s="336">
        <f>估驗單!F330</f>
        <v>1</v>
      </c>
      <c r="F339" s="390">
        <f t="shared" si="26"/>
        <v>0</v>
      </c>
      <c r="G339" s="336">
        <v>24062.69</v>
      </c>
      <c r="H339" s="336"/>
      <c r="I339" s="336">
        <f t="shared" si="29"/>
        <v>24062.69</v>
      </c>
      <c r="J339" s="336">
        <f t="shared" si="30"/>
        <v>24062.69</v>
      </c>
      <c r="K339" s="546">
        <f t="shared" si="31"/>
        <v>0</v>
      </c>
      <c r="L339" s="502"/>
      <c r="M339" s="231" t="s">
        <v>2321</v>
      </c>
      <c r="N339" s="11" t="s">
        <v>243</v>
      </c>
      <c r="O339" s="341"/>
      <c r="P339" s="339"/>
    </row>
    <row r="340" spans="1:17" ht="33" hidden="1">
      <c r="A340" s="333" t="s">
        <v>2183</v>
      </c>
      <c r="B340" s="334" t="s">
        <v>970</v>
      </c>
      <c r="C340" s="335" t="s">
        <v>8</v>
      </c>
      <c r="D340" s="336">
        <v>1011</v>
      </c>
      <c r="E340" s="336">
        <f>估驗單!F331</f>
        <v>1011</v>
      </c>
      <c r="F340" s="390">
        <f t="shared" si="26"/>
        <v>0</v>
      </c>
      <c r="G340" s="336">
        <v>35.549999999999997</v>
      </c>
      <c r="H340" s="336"/>
      <c r="I340" s="336">
        <f t="shared" si="29"/>
        <v>35941.050000000003</v>
      </c>
      <c r="J340" s="336">
        <f t="shared" si="30"/>
        <v>35941.050000000003</v>
      </c>
      <c r="K340" s="546">
        <f t="shared" si="31"/>
        <v>0</v>
      </c>
      <c r="L340" s="502"/>
      <c r="M340" s="231" t="s">
        <v>242</v>
      </c>
      <c r="N340" s="11" t="s">
        <v>243</v>
      </c>
      <c r="O340" s="341"/>
      <c r="P340" s="339"/>
    </row>
    <row r="341" spans="1:17" ht="33" hidden="1">
      <c r="A341" s="333" t="s">
        <v>2184</v>
      </c>
      <c r="B341" s="334" t="s">
        <v>220</v>
      </c>
      <c r="C341" s="335" t="s">
        <v>8</v>
      </c>
      <c r="D341" s="336">
        <v>946</v>
      </c>
      <c r="E341" s="336">
        <f>估驗單!F332</f>
        <v>946</v>
      </c>
      <c r="F341" s="390">
        <f t="shared" si="26"/>
        <v>0</v>
      </c>
      <c r="G341" s="336">
        <v>60.07</v>
      </c>
      <c r="H341" s="336"/>
      <c r="I341" s="336">
        <f t="shared" si="29"/>
        <v>56826.22</v>
      </c>
      <c r="J341" s="336">
        <f t="shared" si="30"/>
        <v>56826.22</v>
      </c>
      <c r="K341" s="546">
        <f t="shared" si="31"/>
        <v>0</v>
      </c>
      <c r="L341" s="502"/>
      <c r="M341" s="231" t="s">
        <v>2321</v>
      </c>
      <c r="N341" s="11" t="s">
        <v>243</v>
      </c>
      <c r="O341" s="341"/>
      <c r="P341" s="339"/>
    </row>
    <row r="342" spans="1:17" ht="33" hidden="1">
      <c r="A342" s="333" t="s">
        <v>2185</v>
      </c>
      <c r="B342" s="334" t="s">
        <v>975</v>
      </c>
      <c r="C342" s="335" t="s">
        <v>8</v>
      </c>
      <c r="D342" s="336">
        <v>55</v>
      </c>
      <c r="E342" s="336">
        <f>估驗單!F333</f>
        <v>55</v>
      </c>
      <c r="F342" s="390">
        <f t="shared" si="26"/>
        <v>0</v>
      </c>
      <c r="G342" s="336">
        <v>125.03</v>
      </c>
      <c r="H342" s="336"/>
      <c r="I342" s="336">
        <f t="shared" si="29"/>
        <v>6876.65</v>
      </c>
      <c r="J342" s="336">
        <f t="shared" si="30"/>
        <v>6876.65</v>
      </c>
      <c r="K342" s="546">
        <f t="shared" si="31"/>
        <v>0</v>
      </c>
      <c r="L342" s="502"/>
      <c r="M342" s="231" t="s">
        <v>242</v>
      </c>
      <c r="N342" s="11" t="s">
        <v>243</v>
      </c>
      <c r="O342" s="341"/>
      <c r="P342" s="339"/>
    </row>
    <row r="343" spans="1:17" ht="33" hidden="1">
      <c r="A343" s="333" t="s">
        <v>2186</v>
      </c>
      <c r="B343" s="334" t="s">
        <v>978</v>
      </c>
      <c r="C343" s="335" t="s">
        <v>8</v>
      </c>
      <c r="D343" s="336">
        <v>22</v>
      </c>
      <c r="E343" s="336">
        <f>估驗單!F334</f>
        <v>22</v>
      </c>
      <c r="F343" s="390">
        <f t="shared" si="26"/>
        <v>0</v>
      </c>
      <c r="G343" s="336">
        <v>178.97</v>
      </c>
      <c r="H343" s="336"/>
      <c r="I343" s="336">
        <f t="shared" si="29"/>
        <v>3937.34</v>
      </c>
      <c r="J343" s="336">
        <f t="shared" si="30"/>
        <v>3937.34</v>
      </c>
      <c r="K343" s="546">
        <f t="shared" si="31"/>
        <v>0</v>
      </c>
      <c r="L343" s="502"/>
      <c r="M343" s="231" t="s">
        <v>242</v>
      </c>
      <c r="N343" s="11" t="s">
        <v>243</v>
      </c>
      <c r="O343" s="341"/>
      <c r="P343" s="339"/>
    </row>
    <row r="344" spans="1:17" ht="33" hidden="1">
      <c r="A344" s="333" t="s">
        <v>2187</v>
      </c>
      <c r="B344" s="334" t="s">
        <v>981</v>
      </c>
      <c r="C344" s="335" t="s">
        <v>4</v>
      </c>
      <c r="D344" s="336">
        <v>1</v>
      </c>
      <c r="E344" s="336">
        <f>估驗單!F335</f>
        <v>1</v>
      </c>
      <c r="F344" s="390">
        <f t="shared" si="26"/>
        <v>0</v>
      </c>
      <c r="G344" s="336">
        <v>19812.919999999998</v>
      </c>
      <c r="H344" s="336"/>
      <c r="I344" s="336">
        <f t="shared" si="29"/>
        <v>19812.919999999998</v>
      </c>
      <c r="J344" s="336">
        <f t="shared" si="30"/>
        <v>19812.919999999998</v>
      </c>
      <c r="K344" s="546">
        <f t="shared" si="31"/>
        <v>0</v>
      </c>
      <c r="L344" s="502"/>
      <c r="M344" s="231" t="s">
        <v>242</v>
      </c>
      <c r="N344" s="11" t="s">
        <v>243</v>
      </c>
      <c r="O344" s="341"/>
      <c r="P344" s="339"/>
    </row>
    <row r="345" spans="1:17" ht="33" hidden="1">
      <c r="A345" s="333" t="s">
        <v>2188</v>
      </c>
      <c r="B345" s="334" t="s">
        <v>984</v>
      </c>
      <c r="C345" s="335" t="s">
        <v>4</v>
      </c>
      <c r="D345" s="336">
        <v>1</v>
      </c>
      <c r="E345" s="336">
        <f>估驗單!F336</f>
        <v>1</v>
      </c>
      <c r="F345" s="390">
        <f t="shared" si="26"/>
        <v>0</v>
      </c>
      <c r="G345" s="336">
        <v>29571.39</v>
      </c>
      <c r="H345" s="336"/>
      <c r="I345" s="336">
        <f t="shared" si="29"/>
        <v>29571.39</v>
      </c>
      <c r="J345" s="336">
        <f t="shared" si="30"/>
        <v>29571.39</v>
      </c>
      <c r="K345" s="546">
        <f t="shared" si="31"/>
        <v>0</v>
      </c>
      <c r="L345" s="502"/>
      <c r="M345" s="231" t="s">
        <v>242</v>
      </c>
      <c r="N345" s="11" t="s">
        <v>243</v>
      </c>
      <c r="O345" s="341"/>
      <c r="P345" s="339"/>
    </row>
    <row r="346" spans="1:17" ht="33" hidden="1">
      <c r="A346" s="406" t="s">
        <v>2249</v>
      </c>
      <c r="B346" s="407" t="s">
        <v>987</v>
      </c>
      <c r="C346" s="408" t="s">
        <v>4</v>
      </c>
      <c r="D346" s="409"/>
      <c r="E346" s="409"/>
      <c r="F346" s="410">
        <f t="shared" si="26"/>
        <v>0</v>
      </c>
      <c r="G346" s="409">
        <f>I346</f>
        <v>11249747.310000001</v>
      </c>
      <c r="H346" s="409"/>
      <c r="I346" s="448">
        <f>SUM(I347:I355)</f>
        <v>11249747.310000001</v>
      </c>
      <c r="J346" s="448">
        <f>SUM(J347:J355)</f>
        <v>13193015.85</v>
      </c>
      <c r="K346" s="543">
        <f>SUM(K347:K355)</f>
        <v>1943268.5400000003</v>
      </c>
      <c r="L346" s="535">
        <f>SUM(L347:L355)</f>
        <v>0</v>
      </c>
      <c r="M346" s="288" t="s">
        <v>242</v>
      </c>
      <c r="N346" s="11" t="s">
        <v>243</v>
      </c>
      <c r="O346" s="341"/>
      <c r="P346" s="339"/>
    </row>
    <row r="347" spans="1:17" ht="33" hidden="1">
      <c r="A347" s="333" t="s">
        <v>2154</v>
      </c>
      <c r="B347" s="334" t="s">
        <v>989</v>
      </c>
      <c r="C347" s="335" t="s">
        <v>8</v>
      </c>
      <c r="D347" s="340">
        <f>估驗單!E338</f>
        <v>2576.8000000000002</v>
      </c>
      <c r="E347" s="336">
        <f>估驗單!F338</f>
        <v>2576.8000000000002</v>
      </c>
      <c r="F347" s="390">
        <f t="shared" si="26"/>
        <v>0</v>
      </c>
      <c r="G347" s="340">
        <v>247.19</v>
      </c>
      <c r="H347" s="340"/>
      <c r="I347" s="336">
        <f t="shared" ref="I347:I355" si="32">ROUND(D347*G347,2)</f>
        <v>636959.18999999994</v>
      </c>
      <c r="J347" s="336">
        <f t="shared" ref="J347:J355" si="33">ROUND(E347*G347,2)</f>
        <v>636959.18999999994</v>
      </c>
      <c r="K347" s="546">
        <f t="shared" si="31"/>
        <v>0</v>
      </c>
      <c r="L347" s="502"/>
      <c r="M347" s="231" t="s">
        <v>2423</v>
      </c>
      <c r="N347" s="11" t="s">
        <v>243</v>
      </c>
      <c r="O347" s="348" t="s">
        <v>2365</v>
      </c>
      <c r="P347" s="339" t="s">
        <v>2424</v>
      </c>
      <c r="Q347" s="342" t="s">
        <v>2341</v>
      </c>
    </row>
    <row r="348" spans="1:17" ht="33" hidden="1">
      <c r="A348" s="333" t="s">
        <v>2155</v>
      </c>
      <c r="B348" s="334" t="s">
        <v>992</v>
      </c>
      <c r="C348" s="335" t="s">
        <v>8</v>
      </c>
      <c r="D348" s="340">
        <f>估驗單!E339</f>
        <v>2576.8000000000002</v>
      </c>
      <c r="E348" s="336">
        <f>估驗單!F339</f>
        <v>2576.8000000000002</v>
      </c>
      <c r="F348" s="390">
        <f t="shared" si="26"/>
        <v>0</v>
      </c>
      <c r="G348" s="340">
        <v>236.89</v>
      </c>
      <c r="H348" s="340"/>
      <c r="I348" s="336">
        <f t="shared" si="32"/>
        <v>610418.15</v>
      </c>
      <c r="J348" s="336">
        <f t="shared" si="33"/>
        <v>610418.15</v>
      </c>
      <c r="K348" s="546">
        <f t="shared" si="31"/>
        <v>0</v>
      </c>
      <c r="L348" s="502"/>
      <c r="M348" s="231" t="s">
        <v>242</v>
      </c>
      <c r="N348" s="11" t="s">
        <v>243</v>
      </c>
      <c r="O348" s="348" t="s">
        <v>2365</v>
      </c>
      <c r="P348" s="339" t="s">
        <v>2424</v>
      </c>
      <c r="Q348" s="342" t="s">
        <v>2341</v>
      </c>
    </row>
    <row r="349" spans="1:17" s="325" customFormat="1" ht="45" hidden="1">
      <c r="A349" s="333" t="s">
        <v>2156</v>
      </c>
      <c r="B349" s="334" t="s">
        <v>995</v>
      </c>
      <c r="C349" s="335" t="s">
        <v>13</v>
      </c>
      <c r="D349" s="340">
        <f>估驗單!E340</f>
        <v>9215</v>
      </c>
      <c r="E349" s="336">
        <f>估驗單!F340</f>
        <v>9215</v>
      </c>
      <c r="F349" s="390">
        <f t="shared" si="26"/>
        <v>0</v>
      </c>
      <c r="G349" s="336">
        <v>252.34</v>
      </c>
      <c r="H349" s="336"/>
      <c r="I349" s="336">
        <f t="shared" si="32"/>
        <v>2325313.1</v>
      </c>
      <c r="J349" s="336">
        <f t="shared" si="33"/>
        <v>2325313.1</v>
      </c>
      <c r="K349" s="546">
        <f t="shared" si="31"/>
        <v>0</v>
      </c>
      <c r="L349" s="502"/>
      <c r="M349" s="231" t="s">
        <v>242</v>
      </c>
      <c r="N349" s="11" t="s">
        <v>243</v>
      </c>
      <c r="O349" s="341" t="s">
        <v>2425</v>
      </c>
      <c r="P349" s="339" t="s">
        <v>2426</v>
      </c>
      <c r="Q349" s="325" t="s">
        <v>2427</v>
      </c>
    </row>
    <row r="350" spans="1:17" s="325" customFormat="1" ht="42.75" hidden="1">
      <c r="A350" s="333" t="s">
        <v>2157</v>
      </c>
      <c r="B350" s="334" t="s">
        <v>998</v>
      </c>
      <c r="C350" s="335" t="s">
        <v>4</v>
      </c>
      <c r="D350" s="340">
        <f>估驗單!E341</f>
        <v>1</v>
      </c>
      <c r="E350" s="336">
        <f>估驗單!F341</f>
        <v>1</v>
      </c>
      <c r="F350" s="390">
        <f t="shared" si="26"/>
        <v>0</v>
      </c>
      <c r="G350" s="336">
        <v>349980.91</v>
      </c>
      <c r="H350" s="336"/>
      <c r="I350" s="336">
        <f t="shared" si="32"/>
        <v>349980.91</v>
      </c>
      <c r="J350" s="336">
        <f t="shared" si="33"/>
        <v>349980.91</v>
      </c>
      <c r="K350" s="546">
        <f t="shared" si="31"/>
        <v>0</v>
      </c>
      <c r="L350" s="502"/>
      <c r="M350" s="231" t="s">
        <v>2428</v>
      </c>
      <c r="N350" s="11" t="s">
        <v>243</v>
      </c>
      <c r="O350" s="341"/>
      <c r="P350" s="339"/>
    </row>
    <row r="351" spans="1:17" s="325" customFormat="1" ht="33" hidden="1">
      <c r="A351" s="503" t="s">
        <v>2158</v>
      </c>
      <c r="B351" s="504" t="s">
        <v>1001</v>
      </c>
      <c r="C351" s="505" t="s">
        <v>16</v>
      </c>
      <c r="D351" s="515">
        <f>估驗單!E342</f>
        <v>2052</v>
      </c>
      <c r="E351" s="506">
        <f>估驗單!F342</f>
        <v>2928</v>
      </c>
      <c r="F351" s="507">
        <f t="shared" ref="F351:F429" si="34">E351-D351</f>
        <v>876</v>
      </c>
      <c r="G351" s="506">
        <v>931.07</v>
      </c>
      <c r="H351" s="506"/>
      <c r="I351" s="506">
        <f t="shared" si="32"/>
        <v>1910555.64</v>
      </c>
      <c r="J351" s="506">
        <f t="shared" si="33"/>
        <v>2726172.96</v>
      </c>
      <c r="K351" s="547">
        <f t="shared" si="31"/>
        <v>815617.32000000007</v>
      </c>
      <c r="L351" s="510"/>
      <c r="M351" s="508" t="s">
        <v>2429</v>
      </c>
      <c r="N351" s="11" t="s">
        <v>243</v>
      </c>
      <c r="O351" s="341"/>
      <c r="P351" s="339"/>
    </row>
    <row r="352" spans="1:17" s="325" customFormat="1" ht="33.75" hidden="1">
      <c r="A352" s="503" t="s">
        <v>2159</v>
      </c>
      <c r="B352" s="504" t="s">
        <v>728</v>
      </c>
      <c r="C352" s="505" t="s">
        <v>6</v>
      </c>
      <c r="D352" s="515">
        <f>估驗單!E343</f>
        <v>720</v>
      </c>
      <c r="E352" s="506">
        <f>估驗單!F343</f>
        <v>1053</v>
      </c>
      <c r="F352" s="507">
        <f t="shared" si="34"/>
        <v>333</v>
      </c>
      <c r="G352" s="506">
        <v>3386.34</v>
      </c>
      <c r="H352" s="506"/>
      <c r="I352" s="506">
        <f t="shared" si="32"/>
        <v>2438164.7999999998</v>
      </c>
      <c r="J352" s="506">
        <f t="shared" si="33"/>
        <v>3565816.02</v>
      </c>
      <c r="K352" s="547">
        <f t="shared" si="31"/>
        <v>1127651.2200000002</v>
      </c>
      <c r="L352" s="510"/>
      <c r="M352" s="508" t="s">
        <v>242</v>
      </c>
      <c r="N352" s="11" t="s">
        <v>243</v>
      </c>
      <c r="O352" s="341" t="s">
        <v>2430</v>
      </c>
      <c r="P352" s="339" t="s">
        <v>2431</v>
      </c>
      <c r="Q352" s="342" t="s">
        <v>2341</v>
      </c>
    </row>
    <row r="353" spans="1:19" s="325" customFormat="1" ht="42.75" hidden="1">
      <c r="A353" s="333" t="s">
        <v>2160</v>
      </c>
      <c r="B353" s="334" t="s">
        <v>1515</v>
      </c>
      <c r="C353" s="335" t="s">
        <v>8</v>
      </c>
      <c r="D353" s="336">
        <v>132</v>
      </c>
      <c r="E353" s="336">
        <f>估驗單!F344</f>
        <v>132</v>
      </c>
      <c r="F353" s="390">
        <f t="shared" si="34"/>
        <v>0</v>
      </c>
      <c r="G353" s="336">
        <v>5107.6000000000004</v>
      </c>
      <c r="H353" s="336"/>
      <c r="I353" s="336">
        <f t="shared" si="32"/>
        <v>674203.2</v>
      </c>
      <c r="J353" s="336">
        <f t="shared" si="33"/>
        <v>674203.2</v>
      </c>
      <c r="K353" s="546">
        <f t="shared" si="31"/>
        <v>0</v>
      </c>
      <c r="L353" s="502"/>
      <c r="M353" s="231" t="s">
        <v>2432</v>
      </c>
      <c r="N353" s="11" t="s">
        <v>243</v>
      </c>
      <c r="O353" s="341"/>
      <c r="P353" s="339"/>
    </row>
    <row r="354" spans="1:19" s="325" customFormat="1" ht="42.75" hidden="1">
      <c r="A354" s="333" t="s">
        <v>2161</v>
      </c>
      <c r="B354" s="334" t="s">
        <v>1517</v>
      </c>
      <c r="C354" s="335" t="s">
        <v>8</v>
      </c>
      <c r="D354" s="336">
        <v>106</v>
      </c>
      <c r="E354" s="336">
        <f>估驗單!F345</f>
        <v>106</v>
      </c>
      <c r="F354" s="390">
        <f t="shared" si="34"/>
        <v>0</v>
      </c>
      <c r="G354" s="336">
        <v>7385.08</v>
      </c>
      <c r="H354" s="336"/>
      <c r="I354" s="336">
        <f t="shared" si="32"/>
        <v>782818.48</v>
      </c>
      <c r="J354" s="336">
        <f t="shared" si="33"/>
        <v>782818.48</v>
      </c>
      <c r="K354" s="546">
        <f t="shared" si="31"/>
        <v>0</v>
      </c>
      <c r="L354" s="502"/>
      <c r="M354" s="231" t="s">
        <v>2432</v>
      </c>
      <c r="N354" s="11" t="s">
        <v>243</v>
      </c>
      <c r="O354" s="341"/>
      <c r="P354" s="339"/>
    </row>
    <row r="355" spans="1:19" s="325" customFormat="1" ht="42.75" hidden="1">
      <c r="A355" s="333" t="s">
        <v>2162</v>
      </c>
      <c r="B355" s="334" t="s">
        <v>1519</v>
      </c>
      <c r="C355" s="335" t="s">
        <v>8</v>
      </c>
      <c r="D355" s="336">
        <v>156</v>
      </c>
      <c r="E355" s="336">
        <f>估驗單!F346</f>
        <v>156</v>
      </c>
      <c r="F355" s="390">
        <f t="shared" si="34"/>
        <v>0</v>
      </c>
      <c r="G355" s="336">
        <v>9752.14</v>
      </c>
      <c r="H355" s="336"/>
      <c r="I355" s="336">
        <f t="shared" si="32"/>
        <v>1521333.84</v>
      </c>
      <c r="J355" s="336">
        <f t="shared" si="33"/>
        <v>1521333.84</v>
      </c>
      <c r="K355" s="546">
        <f t="shared" si="31"/>
        <v>0</v>
      </c>
      <c r="L355" s="502"/>
      <c r="M355" s="231" t="s">
        <v>2433</v>
      </c>
      <c r="N355" s="11" t="s">
        <v>243</v>
      </c>
      <c r="O355" s="341"/>
      <c r="P355" s="339"/>
    </row>
    <row r="356" spans="1:19" s="325" customFormat="1" ht="33" hidden="1">
      <c r="A356" s="406" t="s">
        <v>2250</v>
      </c>
      <c r="B356" s="407" t="s">
        <v>11</v>
      </c>
      <c r="C356" s="408" t="s">
        <v>4</v>
      </c>
      <c r="D356" s="409"/>
      <c r="E356" s="409">
        <f>估驗單!F347</f>
        <v>0</v>
      </c>
      <c r="F356" s="410">
        <f t="shared" si="34"/>
        <v>0</v>
      </c>
      <c r="G356" s="409">
        <f>I356</f>
        <v>19449714.099999998</v>
      </c>
      <c r="H356" s="409"/>
      <c r="I356" s="409">
        <f>SUM(I357:I381)</f>
        <v>19449714.099999998</v>
      </c>
      <c r="J356" s="409">
        <f>SUM(J357:J381)</f>
        <v>19449714.099999998</v>
      </c>
      <c r="K356" s="542">
        <f>SUM(K357:K381)</f>
        <v>0</v>
      </c>
      <c r="L356" s="534">
        <f>SUM(L357:L366)</f>
        <v>0</v>
      </c>
      <c r="M356" s="288" t="s">
        <v>242</v>
      </c>
      <c r="N356" s="11" t="s">
        <v>243</v>
      </c>
      <c r="O356" s="341"/>
      <c r="P356" s="339"/>
    </row>
    <row r="357" spans="1:19" s="325" customFormat="1" ht="33" hidden="1">
      <c r="A357" s="333" t="s">
        <v>2154</v>
      </c>
      <c r="B357" s="334" t="s">
        <v>1004</v>
      </c>
      <c r="C357" s="335" t="s">
        <v>4</v>
      </c>
      <c r="D357" s="336">
        <v>1</v>
      </c>
      <c r="E357" s="336">
        <f>估驗單!F348</f>
        <v>1</v>
      </c>
      <c r="F357" s="390">
        <f t="shared" si="34"/>
        <v>0</v>
      </c>
      <c r="G357" s="336">
        <v>716633.92</v>
      </c>
      <c r="H357" s="336"/>
      <c r="I357" s="336">
        <f t="shared" ref="I357:I381" si="35">ROUND(D357*G357,2)</f>
        <v>716633.92</v>
      </c>
      <c r="J357" s="336">
        <f t="shared" ref="J357:J381" si="36">ROUND(E357*G357,2)</f>
        <v>716633.92</v>
      </c>
      <c r="K357" s="546">
        <f t="shared" si="31"/>
        <v>0</v>
      </c>
      <c r="L357" s="502"/>
      <c r="M357" s="231" t="s">
        <v>2321</v>
      </c>
      <c r="N357" s="11" t="s">
        <v>243</v>
      </c>
      <c r="O357" s="341"/>
      <c r="P357" s="339"/>
    </row>
    <row r="358" spans="1:19" s="325" customFormat="1" ht="33" hidden="1">
      <c r="A358" s="333" t="s">
        <v>2155</v>
      </c>
      <c r="B358" s="334" t="s">
        <v>1006</v>
      </c>
      <c r="C358" s="335" t="s">
        <v>1007</v>
      </c>
      <c r="D358" s="336">
        <v>7</v>
      </c>
      <c r="E358" s="336">
        <f>估驗單!F349</f>
        <v>7</v>
      </c>
      <c r="F358" s="390">
        <f t="shared" si="34"/>
        <v>0</v>
      </c>
      <c r="G358" s="336">
        <v>49997.27</v>
      </c>
      <c r="H358" s="336"/>
      <c r="I358" s="336">
        <f t="shared" si="35"/>
        <v>349980.89</v>
      </c>
      <c r="J358" s="336">
        <f t="shared" si="36"/>
        <v>349980.89</v>
      </c>
      <c r="K358" s="546">
        <f t="shared" si="31"/>
        <v>0</v>
      </c>
      <c r="L358" s="502"/>
      <c r="M358" s="231" t="s">
        <v>242</v>
      </c>
      <c r="N358" s="11" t="s">
        <v>243</v>
      </c>
      <c r="O358" s="341"/>
      <c r="P358" s="339"/>
    </row>
    <row r="359" spans="1:19" s="325" customFormat="1" ht="57" hidden="1">
      <c r="A359" s="333" t="s">
        <v>2156</v>
      </c>
      <c r="B359" s="334" t="s">
        <v>1009</v>
      </c>
      <c r="C359" s="335" t="s">
        <v>1010</v>
      </c>
      <c r="D359" s="336">
        <v>2230</v>
      </c>
      <c r="E359" s="336">
        <f>估驗單!F350</f>
        <v>2230</v>
      </c>
      <c r="F359" s="390">
        <f t="shared" si="34"/>
        <v>0</v>
      </c>
      <c r="G359" s="336">
        <v>805.95</v>
      </c>
      <c r="H359" s="336"/>
      <c r="I359" s="336">
        <f t="shared" si="35"/>
        <v>1797268.5</v>
      </c>
      <c r="J359" s="336">
        <f t="shared" si="36"/>
        <v>1797268.5</v>
      </c>
      <c r="K359" s="546">
        <f t="shared" si="31"/>
        <v>0</v>
      </c>
      <c r="L359" s="502"/>
      <c r="M359" s="231" t="s">
        <v>2434</v>
      </c>
      <c r="N359" s="11" t="s">
        <v>243</v>
      </c>
      <c r="O359" s="364" t="s">
        <v>2435</v>
      </c>
      <c r="P359" s="373"/>
      <c r="Q359" s="342" t="s">
        <v>2341</v>
      </c>
      <c r="S359" s="374"/>
    </row>
    <row r="360" spans="1:19" s="325" customFormat="1" ht="33" hidden="1">
      <c r="A360" s="333" t="s">
        <v>2157</v>
      </c>
      <c r="B360" s="334" t="s">
        <v>1012</v>
      </c>
      <c r="C360" s="335" t="s">
        <v>1007</v>
      </c>
      <c r="D360" s="336">
        <v>4</v>
      </c>
      <c r="E360" s="336">
        <f>估驗單!F351</f>
        <v>4</v>
      </c>
      <c r="F360" s="390">
        <f t="shared" si="34"/>
        <v>0</v>
      </c>
      <c r="G360" s="336">
        <v>49997.27</v>
      </c>
      <c r="H360" s="336"/>
      <c r="I360" s="336">
        <f t="shared" si="35"/>
        <v>199989.08</v>
      </c>
      <c r="J360" s="336">
        <f t="shared" si="36"/>
        <v>199989.08</v>
      </c>
      <c r="K360" s="546">
        <f t="shared" si="31"/>
        <v>0</v>
      </c>
      <c r="L360" s="502"/>
      <c r="M360" s="231" t="s">
        <v>242</v>
      </c>
      <c r="N360" s="11" t="s">
        <v>243</v>
      </c>
      <c r="O360" s="341"/>
      <c r="P360" s="339"/>
    </row>
    <row r="361" spans="1:19" s="325" customFormat="1" ht="33" hidden="1">
      <c r="A361" s="503" t="s">
        <v>2158</v>
      </c>
      <c r="B361" s="504" t="s">
        <v>1014</v>
      </c>
      <c r="C361" s="505" t="s">
        <v>1015</v>
      </c>
      <c r="D361" s="506">
        <v>19</v>
      </c>
      <c r="E361" s="506">
        <f>估驗單!F352</f>
        <v>19</v>
      </c>
      <c r="F361" s="507">
        <f t="shared" si="34"/>
        <v>0</v>
      </c>
      <c r="G361" s="506">
        <v>179990.18</v>
      </c>
      <c r="H361" s="506"/>
      <c r="I361" s="506">
        <f t="shared" si="35"/>
        <v>3419813.42</v>
      </c>
      <c r="J361" s="506">
        <f t="shared" si="36"/>
        <v>3419813.42</v>
      </c>
      <c r="K361" s="547">
        <f t="shared" si="31"/>
        <v>0</v>
      </c>
      <c r="L361" s="510"/>
      <c r="M361" s="520" t="s">
        <v>2632</v>
      </c>
      <c r="N361" s="11" t="s">
        <v>243</v>
      </c>
      <c r="O361" s="341"/>
      <c r="P361" s="339"/>
    </row>
    <row r="362" spans="1:19" s="325" customFormat="1" ht="33" hidden="1">
      <c r="A362" s="333" t="s">
        <v>2159</v>
      </c>
      <c r="B362" s="334" t="s">
        <v>1017</v>
      </c>
      <c r="C362" s="335" t="s">
        <v>4</v>
      </c>
      <c r="D362" s="336">
        <v>1</v>
      </c>
      <c r="E362" s="336">
        <f>估驗單!F353</f>
        <v>1</v>
      </c>
      <c r="F362" s="390">
        <f t="shared" si="34"/>
        <v>0</v>
      </c>
      <c r="G362" s="336">
        <v>205971.45</v>
      </c>
      <c r="H362" s="336"/>
      <c r="I362" s="336">
        <f t="shared" si="35"/>
        <v>205971.45</v>
      </c>
      <c r="J362" s="336">
        <f t="shared" si="36"/>
        <v>205971.45</v>
      </c>
      <c r="K362" s="546">
        <f t="shared" si="31"/>
        <v>0</v>
      </c>
      <c r="L362" s="502"/>
      <c r="M362" s="231" t="s">
        <v>2321</v>
      </c>
      <c r="N362" s="11" t="s">
        <v>243</v>
      </c>
      <c r="O362" s="341"/>
      <c r="P362" s="339"/>
    </row>
    <row r="363" spans="1:19" s="325" customFormat="1" ht="33" hidden="1">
      <c r="A363" s="333" t="s">
        <v>2160</v>
      </c>
      <c r="B363" s="334" t="s">
        <v>1019</v>
      </c>
      <c r="C363" s="335" t="s">
        <v>4</v>
      </c>
      <c r="D363" s="336">
        <v>1</v>
      </c>
      <c r="E363" s="336">
        <f>估驗單!F354</f>
        <v>1</v>
      </c>
      <c r="F363" s="390">
        <f t="shared" si="34"/>
        <v>0</v>
      </c>
      <c r="G363" s="336">
        <v>2424867.7599999998</v>
      </c>
      <c r="H363" s="336"/>
      <c r="I363" s="336">
        <f t="shared" si="35"/>
        <v>2424867.7599999998</v>
      </c>
      <c r="J363" s="336">
        <f t="shared" si="36"/>
        <v>2424867.7599999998</v>
      </c>
      <c r="K363" s="546">
        <f t="shared" si="31"/>
        <v>0</v>
      </c>
      <c r="L363" s="502"/>
      <c r="M363" s="231" t="s">
        <v>2321</v>
      </c>
      <c r="N363" s="11" t="s">
        <v>243</v>
      </c>
      <c r="O363" s="341"/>
      <c r="P363" s="339"/>
    </row>
    <row r="364" spans="1:19" s="325" customFormat="1" ht="33" hidden="1">
      <c r="A364" s="333" t="s">
        <v>2161</v>
      </c>
      <c r="B364" s="334" t="s">
        <v>1021</v>
      </c>
      <c r="C364" s="335" t="s">
        <v>4</v>
      </c>
      <c r="D364" s="336">
        <v>1</v>
      </c>
      <c r="E364" s="336">
        <f>估驗單!F355</f>
        <v>1</v>
      </c>
      <c r="F364" s="390">
        <f t="shared" si="34"/>
        <v>0</v>
      </c>
      <c r="G364" s="336">
        <v>349980.91</v>
      </c>
      <c r="H364" s="336"/>
      <c r="I364" s="336">
        <f t="shared" si="35"/>
        <v>349980.91</v>
      </c>
      <c r="J364" s="336">
        <f t="shared" si="36"/>
        <v>349980.91</v>
      </c>
      <c r="K364" s="546">
        <f t="shared" si="31"/>
        <v>0</v>
      </c>
      <c r="L364" s="502"/>
      <c r="M364" s="231" t="s">
        <v>242</v>
      </c>
      <c r="N364" s="11" t="s">
        <v>243</v>
      </c>
      <c r="O364" s="341"/>
      <c r="P364" s="339"/>
    </row>
    <row r="365" spans="1:19" s="375" customFormat="1" ht="33.75" hidden="1">
      <c r="A365" s="343" t="s">
        <v>2162</v>
      </c>
      <c r="B365" s="344" t="s">
        <v>1534</v>
      </c>
      <c r="C365" s="345" t="s">
        <v>13</v>
      </c>
      <c r="D365" s="340">
        <v>464</v>
      </c>
      <c r="E365" s="336">
        <f>估驗單!F356</f>
        <v>464</v>
      </c>
      <c r="F365" s="390">
        <f t="shared" si="34"/>
        <v>0</v>
      </c>
      <c r="G365" s="340">
        <v>15384.09</v>
      </c>
      <c r="H365" s="340"/>
      <c r="I365" s="336">
        <f t="shared" si="35"/>
        <v>7138217.7599999998</v>
      </c>
      <c r="J365" s="336">
        <f t="shared" si="36"/>
        <v>7138217.7599999998</v>
      </c>
      <c r="K365" s="546">
        <f t="shared" si="31"/>
        <v>0</v>
      </c>
      <c r="L365" s="502"/>
      <c r="M365" s="346" t="s">
        <v>242</v>
      </c>
      <c r="N365" s="347" t="s">
        <v>243</v>
      </c>
      <c r="O365" s="354"/>
      <c r="P365" s="349"/>
      <c r="Q365" s="375" t="s">
        <v>2436</v>
      </c>
    </row>
    <row r="366" spans="1:19" s="368" customFormat="1" ht="28.5" hidden="1" customHeight="1">
      <c r="A366" s="333">
        <v>10</v>
      </c>
      <c r="B366" s="334" t="s">
        <v>2437</v>
      </c>
      <c r="C366" s="335" t="s">
        <v>2353</v>
      </c>
      <c r="D366" s="336">
        <v>2</v>
      </c>
      <c r="E366" s="336">
        <f>估驗單!F357</f>
        <v>2</v>
      </c>
      <c r="F366" s="390">
        <f t="shared" si="34"/>
        <v>0</v>
      </c>
      <c r="G366" s="336">
        <v>60994.76</v>
      </c>
      <c r="H366" s="336"/>
      <c r="I366" s="336">
        <f t="shared" si="35"/>
        <v>121989.52</v>
      </c>
      <c r="J366" s="336">
        <f t="shared" si="36"/>
        <v>121989.52</v>
      </c>
      <c r="K366" s="546">
        <f t="shared" si="31"/>
        <v>0</v>
      </c>
      <c r="L366" s="502"/>
      <c r="M366" s="231" t="s">
        <v>2438</v>
      </c>
      <c r="N366" s="11"/>
      <c r="O366" s="364" t="s">
        <v>2439</v>
      </c>
      <c r="P366" s="373"/>
      <c r="Q366" s="342" t="s">
        <v>2341</v>
      </c>
    </row>
    <row r="367" spans="1:19" s="368" customFormat="1" ht="28.5" hidden="1" customHeight="1">
      <c r="A367" s="333">
        <v>11</v>
      </c>
      <c r="B367" s="428" t="s">
        <v>2567</v>
      </c>
      <c r="C367" s="429" t="s">
        <v>16</v>
      </c>
      <c r="D367" s="430">
        <v>129</v>
      </c>
      <c r="E367" s="430">
        <v>129</v>
      </c>
      <c r="F367" s="431"/>
      <c r="G367" s="500">
        <v>1159.8599999999999</v>
      </c>
      <c r="H367" s="500"/>
      <c r="I367" s="336">
        <f t="shared" si="35"/>
        <v>149621.94</v>
      </c>
      <c r="J367" s="336">
        <f t="shared" si="36"/>
        <v>149621.94</v>
      </c>
      <c r="K367" s="546">
        <f t="shared" si="31"/>
        <v>0</v>
      </c>
      <c r="L367" s="536"/>
      <c r="M367" s="432"/>
      <c r="N367" s="11"/>
      <c r="O367" s="364"/>
      <c r="P367" s="373"/>
      <c r="Q367" s="342"/>
    </row>
    <row r="368" spans="1:19" s="368" customFormat="1" ht="28.5" hidden="1" customHeight="1">
      <c r="A368" s="333">
        <v>12</v>
      </c>
      <c r="B368" s="428" t="s">
        <v>2568</v>
      </c>
      <c r="C368" s="429" t="s">
        <v>16</v>
      </c>
      <c r="D368" s="430">
        <v>282</v>
      </c>
      <c r="E368" s="430">
        <v>282</v>
      </c>
      <c r="F368" s="431"/>
      <c r="G368" s="501">
        <v>689.92</v>
      </c>
      <c r="H368" s="501"/>
      <c r="I368" s="336">
        <f t="shared" si="35"/>
        <v>194557.44</v>
      </c>
      <c r="J368" s="336">
        <f t="shared" si="36"/>
        <v>194557.44</v>
      </c>
      <c r="K368" s="546">
        <f t="shared" si="31"/>
        <v>0</v>
      </c>
      <c r="L368" s="536"/>
      <c r="M368" s="432"/>
      <c r="N368" s="11"/>
      <c r="O368" s="364"/>
      <c r="P368" s="373"/>
      <c r="Q368" s="342"/>
    </row>
    <row r="369" spans="1:17" s="368" customFormat="1" ht="28.5" hidden="1" customHeight="1">
      <c r="A369" s="333">
        <v>13</v>
      </c>
      <c r="B369" s="428" t="s">
        <v>2569</v>
      </c>
      <c r="C369" s="429" t="s">
        <v>16</v>
      </c>
      <c r="D369" s="430">
        <v>214.5</v>
      </c>
      <c r="E369" s="430">
        <v>214.5</v>
      </c>
      <c r="F369" s="431"/>
      <c r="G369" s="501">
        <v>899.89</v>
      </c>
      <c r="H369" s="501"/>
      <c r="I369" s="336">
        <f t="shared" si="35"/>
        <v>193026.41</v>
      </c>
      <c r="J369" s="336">
        <f t="shared" si="36"/>
        <v>193026.41</v>
      </c>
      <c r="K369" s="546">
        <f t="shared" si="31"/>
        <v>0</v>
      </c>
      <c r="L369" s="536"/>
      <c r="M369" s="432"/>
      <c r="N369" s="11"/>
      <c r="O369" s="364"/>
      <c r="P369" s="373"/>
      <c r="Q369" s="342"/>
    </row>
    <row r="370" spans="1:17" s="368" customFormat="1" ht="28.5" hidden="1" customHeight="1">
      <c r="A370" s="333">
        <v>14</v>
      </c>
      <c r="B370" s="428" t="s">
        <v>2570</v>
      </c>
      <c r="C370" s="429" t="s">
        <v>16</v>
      </c>
      <c r="D370" s="430">
        <v>47</v>
      </c>
      <c r="E370" s="430">
        <v>47</v>
      </c>
      <c r="F370" s="431"/>
      <c r="G370" s="501">
        <v>1499.82</v>
      </c>
      <c r="H370" s="501"/>
      <c r="I370" s="336">
        <f t="shared" si="35"/>
        <v>70491.539999999994</v>
      </c>
      <c r="J370" s="336">
        <f t="shared" si="36"/>
        <v>70491.539999999994</v>
      </c>
      <c r="K370" s="546">
        <f t="shared" si="31"/>
        <v>0</v>
      </c>
      <c r="L370" s="536"/>
      <c r="M370" s="432"/>
      <c r="N370" s="11"/>
      <c r="O370" s="364"/>
      <c r="P370" s="373"/>
      <c r="Q370" s="342"/>
    </row>
    <row r="371" spans="1:17" s="368" customFormat="1" ht="28.5" hidden="1" customHeight="1">
      <c r="A371" s="333">
        <v>15</v>
      </c>
      <c r="B371" s="428" t="s">
        <v>2571</v>
      </c>
      <c r="C371" s="429" t="s">
        <v>16</v>
      </c>
      <c r="D371" s="430">
        <v>73</v>
      </c>
      <c r="E371" s="430">
        <v>73</v>
      </c>
      <c r="F371" s="431"/>
      <c r="G371" s="501">
        <v>1419.83</v>
      </c>
      <c r="H371" s="501"/>
      <c r="I371" s="336">
        <f t="shared" si="35"/>
        <v>103647.59</v>
      </c>
      <c r="J371" s="336">
        <f t="shared" si="36"/>
        <v>103647.59</v>
      </c>
      <c r="K371" s="546">
        <f t="shared" si="31"/>
        <v>0</v>
      </c>
      <c r="L371" s="536"/>
      <c r="M371" s="432"/>
      <c r="N371" s="11"/>
      <c r="O371" s="364"/>
      <c r="P371" s="373"/>
      <c r="Q371" s="342"/>
    </row>
    <row r="372" spans="1:17" s="368" customFormat="1" ht="28.5" hidden="1" customHeight="1">
      <c r="A372" s="333">
        <v>16</v>
      </c>
      <c r="B372" s="428" t="s">
        <v>2572</v>
      </c>
      <c r="C372" s="429" t="s">
        <v>16</v>
      </c>
      <c r="D372" s="430">
        <v>174</v>
      </c>
      <c r="E372" s="430">
        <v>174</v>
      </c>
      <c r="F372" s="431"/>
      <c r="G372" s="501">
        <v>771.9</v>
      </c>
      <c r="H372" s="501"/>
      <c r="I372" s="336">
        <f t="shared" si="35"/>
        <v>134310.6</v>
      </c>
      <c r="J372" s="336">
        <f t="shared" si="36"/>
        <v>134310.6</v>
      </c>
      <c r="K372" s="546">
        <f t="shared" si="31"/>
        <v>0</v>
      </c>
      <c r="L372" s="536"/>
      <c r="M372" s="432"/>
      <c r="N372" s="11"/>
      <c r="O372" s="364"/>
      <c r="P372" s="373"/>
      <c r="Q372" s="342"/>
    </row>
    <row r="373" spans="1:17" s="368" customFormat="1" ht="28.5" hidden="1" customHeight="1">
      <c r="A373" s="333">
        <v>17</v>
      </c>
      <c r="B373" s="428" t="s">
        <v>2573</v>
      </c>
      <c r="C373" s="429" t="s">
        <v>16</v>
      </c>
      <c r="D373" s="430">
        <v>1695</v>
      </c>
      <c r="E373" s="430">
        <v>1695</v>
      </c>
      <c r="F373" s="431"/>
      <c r="G373" s="501">
        <v>400.95</v>
      </c>
      <c r="H373" s="501"/>
      <c r="I373" s="336">
        <f t="shared" si="35"/>
        <v>679610.25</v>
      </c>
      <c r="J373" s="336">
        <f t="shared" si="36"/>
        <v>679610.25</v>
      </c>
      <c r="K373" s="546">
        <f t="shared" si="31"/>
        <v>0</v>
      </c>
      <c r="L373" s="536"/>
      <c r="M373" s="432"/>
      <c r="N373" s="11"/>
      <c r="O373" s="364"/>
      <c r="P373" s="373"/>
      <c r="Q373" s="342"/>
    </row>
    <row r="374" spans="1:17" s="368" customFormat="1" ht="28.5" hidden="1" customHeight="1">
      <c r="A374" s="333">
        <v>18</v>
      </c>
      <c r="B374" s="428" t="s">
        <v>2574</v>
      </c>
      <c r="C374" s="429" t="s">
        <v>16</v>
      </c>
      <c r="D374" s="430">
        <v>310</v>
      </c>
      <c r="E374" s="430">
        <v>310</v>
      </c>
      <c r="F374" s="431"/>
      <c r="G374" s="501">
        <v>280.97000000000003</v>
      </c>
      <c r="H374" s="501"/>
      <c r="I374" s="336">
        <f t="shared" si="35"/>
        <v>87100.7</v>
      </c>
      <c r="J374" s="336">
        <f t="shared" si="36"/>
        <v>87100.7</v>
      </c>
      <c r="K374" s="546">
        <f t="shared" si="31"/>
        <v>0</v>
      </c>
      <c r="L374" s="536"/>
      <c r="M374" s="432"/>
      <c r="N374" s="11"/>
      <c r="O374" s="364"/>
      <c r="P374" s="373"/>
      <c r="Q374" s="342"/>
    </row>
    <row r="375" spans="1:17" s="368" customFormat="1" ht="28.5" hidden="1" customHeight="1">
      <c r="A375" s="333">
        <v>19</v>
      </c>
      <c r="B375" s="428" t="s">
        <v>2575</v>
      </c>
      <c r="C375" s="429" t="s">
        <v>16</v>
      </c>
      <c r="D375" s="430">
        <v>723.5</v>
      </c>
      <c r="E375" s="430">
        <v>723.5</v>
      </c>
      <c r="F375" s="431"/>
      <c r="G375" s="501">
        <v>800.9</v>
      </c>
      <c r="H375" s="501"/>
      <c r="I375" s="336">
        <f t="shared" si="35"/>
        <v>579451.15</v>
      </c>
      <c r="J375" s="336">
        <f t="shared" si="36"/>
        <v>579451.15</v>
      </c>
      <c r="K375" s="546">
        <f t="shared" si="31"/>
        <v>0</v>
      </c>
      <c r="L375" s="536"/>
      <c r="M375" s="432"/>
      <c r="N375" s="11"/>
      <c r="O375" s="364"/>
      <c r="P375" s="373"/>
      <c r="Q375" s="342"/>
    </row>
    <row r="376" spans="1:17" s="368" customFormat="1" ht="28.5" hidden="1" customHeight="1">
      <c r="A376" s="333">
        <v>20</v>
      </c>
      <c r="B376" s="428" t="s">
        <v>2576</v>
      </c>
      <c r="C376" s="429" t="s">
        <v>16</v>
      </c>
      <c r="D376" s="430">
        <v>122</v>
      </c>
      <c r="E376" s="430">
        <v>122</v>
      </c>
      <c r="F376" s="431"/>
      <c r="G376" s="501">
        <v>561.92999999999995</v>
      </c>
      <c r="H376" s="501"/>
      <c r="I376" s="336">
        <f t="shared" si="35"/>
        <v>68555.460000000006</v>
      </c>
      <c r="J376" s="336">
        <f t="shared" si="36"/>
        <v>68555.460000000006</v>
      </c>
      <c r="K376" s="546">
        <f t="shared" si="31"/>
        <v>0</v>
      </c>
      <c r="L376" s="536"/>
      <c r="M376" s="432"/>
      <c r="N376" s="11"/>
      <c r="O376" s="364"/>
      <c r="P376" s="373"/>
      <c r="Q376" s="342"/>
    </row>
    <row r="377" spans="1:17" s="368" customFormat="1" ht="28.5" hidden="1" customHeight="1">
      <c r="A377" s="333">
        <v>21</v>
      </c>
      <c r="B377" s="428" t="s">
        <v>2577</v>
      </c>
      <c r="C377" s="429" t="s">
        <v>16</v>
      </c>
      <c r="D377" s="430">
        <v>421</v>
      </c>
      <c r="E377" s="430">
        <v>421</v>
      </c>
      <c r="F377" s="431"/>
      <c r="G377" s="501">
        <v>519.94000000000005</v>
      </c>
      <c r="H377" s="501"/>
      <c r="I377" s="336">
        <f t="shared" si="35"/>
        <v>218894.74</v>
      </c>
      <c r="J377" s="336">
        <f t="shared" si="36"/>
        <v>218894.74</v>
      </c>
      <c r="K377" s="546">
        <f t="shared" si="31"/>
        <v>0</v>
      </c>
      <c r="L377" s="536"/>
      <c r="M377" s="432"/>
      <c r="N377" s="11"/>
      <c r="O377" s="364"/>
      <c r="P377" s="373"/>
      <c r="Q377" s="342"/>
    </row>
    <row r="378" spans="1:17" s="368" customFormat="1" ht="28.5" hidden="1" customHeight="1">
      <c r="A378" s="333">
        <v>22</v>
      </c>
      <c r="B378" s="428" t="s">
        <v>2578</v>
      </c>
      <c r="C378" s="429" t="s">
        <v>16</v>
      </c>
      <c r="D378" s="430">
        <v>28</v>
      </c>
      <c r="E378" s="430">
        <v>28</v>
      </c>
      <c r="F378" s="431"/>
      <c r="G378" s="501">
        <v>1579.81</v>
      </c>
      <c r="H378" s="501"/>
      <c r="I378" s="336">
        <f t="shared" si="35"/>
        <v>44234.68</v>
      </c>
      <c r="J378" s="336">
        <f t="shared" si="36"/>
        <v>44234.68</v>
      </c>
      <c r="K378" s="546">
        <f t="shared" si="31"/>
        <v>0</v>
      </c>
      <c r="L378" s="536"/>
      <c r="M378" s="432"/>
      <c r="N378" s="11"/>
      <c r="O378" s="364"/>
      <c r="P378" s="373"/>
      <c r="Q378" s="342"/>
    </row>
    <row r="379" spans="1:17" s="368" customFormat="1" ht="28.5" hidden="1" customHeight="1">
      <c r="A379" s="333">
        <v>23</v>
      </c>
      <c r="B379" s="428" t="s">
        <v>2579</v>
      </c>
      <c r="C379" s="429" t="s">
        <v>16</v>
      </c>
      <c r="D379" s="430">
        <v>442.5</v>
      </c>
      <c r="E379" s="430">
        <v>442.5</v>
      </c>
      <c r="F379" s="431"/>
      <c r="G379" s="501">
        <v>209.97</v>
      </c>
      <c r="H379" s="501"/>
      <c r="I379" s="336">
        <f t="shared" si="35"/>
        <v>92911.73</v>
      </c>
      <c r="J379" s="336">
        <f t="shared" si="36"/>
        <v>92911.73</v>
      </c>
      <c r="K379" s="546">
        <f t="shared" si="31"/>
        <v>0</v>
      </c>
      <c r="L379" s="536"/>
      <c r="M379" s="432"/>
      <c r="N379" s="11"/>
      <c r="O379" s="364"/>
      <c r="P379" s="373"/>
      <c r="Q379" s="342"/>
    </row>
    <row r="380" spans="1:17" s="368" customFormat="1" ht="28.5" hidden="1" customHeight="1">
      <c r="A380" s="333">
        <v>24</v>
      </c>
      <c r="B380" s="428" t="s">
        <v>2580</v>
      </c>
      <c r="C380" s="429" t="s">
        <v>14</v>
      </c>
      <c r="D380" s="430">
        <v>2</v>
      </c>
      <c r="E380" s="430">
        <v>2</v>
      </c>
      <c r="F380" s="431"/>
      <c r="G380" s="501">
        <v>10798.67</v>
      </c>
      <c r="H380" s="501"/>
      <c r="I380" s="336">
        <f t="shared" si="35"/>
        <v>21597.34</v>
      </c>
      <c r="J380" s="336">
        <f t="shared" si="36"/>
        <v>21597.34</v>
      </c>
      <c r="K380" s="546">
        <f t="shared" si="31"/>
        <v>0</v>
      </c>
      <c r="L380" s="536"/>
      <c r="M380" s="432"/>
      <c r="N380" s="11"/>
      <c r="O380" s="364"/>
      <c r="P380" s="373"/>
      <c r="Q380" s="342"/>
    </row>
    <row r="381" spans="1:17" s="368" customFormat="1" ht="28.5" hidden="1" customHeight="1">
      <c r="A381" s="333">
        <v>25</v>
      </c>
      <c r="B381" s="428" t="s">
        <v>2581</v>
      </c>
      <c r="C381" s="429" t="s">
        <v>14</v>
      </c>
      <c r="D381" s="430">
        <v>12</v>
      </c>
      <c r="E381" s="430">
        <v>12</v>
      </c>
      <c r="F381" s="431"/>
      <c r="G381" s="501">
        <v>7249.11</v>
      </c>
      <c r="H381" s="501"/>
      <c r="I381" s="336">
        <f t="shared" si="35"/>
        <v>86989.32</v>
      </c>
      <c r="J381" s="336">
        <f t="shared" si="36"/>
        <v>86989.32</v>
      </c>
      <c r="K381" s="546">
        <f t="shared" si="31"/>
        <v>0</v>
      </c>
      <c r="L381" s="536"/>
      <c r="M381" s="432"/>
      <c r="N381" s="11"/>
      <c r="O381" s="364"/>
      <c r="P381" s="373"/>
      <c r="Q381" s="342"/>
    </row>
    <row r="382" spans="1:17" s="325" customFormat="1" ht="33" hidden="1">
      <c r="A382" s="406" t="s">
        <v>2252</v>
      </c>
      <c r="B382" s="407" t="s">
        <v>25</v>
      </c>
      <c r="C382" s="408" t="s">
        <v>4</v>
      </c>
      <c r="D382" s="409"/>
      <c r="E382" s="409">
        <f>估驗單!F373</f>
        <v>0</v>
      </c>
      <c r="F382" s="410">
        <f t="shared" si="34"/>
        <v>0</v>
      </c>
      <c r="G382" s="409">
        <f>I382</f>
        <v>3537274.3800000008</v>
      </c>
      <c r="H382" s="409"/>
      <c r="I382" s="411">
        <f>SUM(I383:I421)</f>
        <v>3537274.3800000008</v>
      </c>
      <c r="J382" s="411">
        <f>SUM(J383:J421)</f>
        <v>3537274.3800000008</v>
      </c>
      <c r="K382" s="541">
        <f>SUM(K383:K421)</f>
        <v>0</v>
      </c>
      <c r="L382" s="454">
        <f>SUM(L383:L421)</f>
        <v>0</v>
      </c>
      <c r="M382" s="288" t="s">
        <v>242</v>
      </c>
      <c r="N382" s="11" t="s">
        <v>243</v>
      </c>
      <c r="O382" s="341"/>
      <c r="P382" s="339"/>
    </row>
    <row r="383" spans="1:17" s="325" customFormat="1" ht="42.75" hidden="1">
      <c r="A383" s="333" t="s">
        <v>2154</v>
      </c>
      <c r="B383" s="334" t="s">
        <v>1023</v>
      </c>
      <c r="C383" s="335" t="s">
        <v>7</v>
      </c>
      <c r="D383" s="336">
        <v>295</v>
      </c>
      <c r="E383" s="336">
        <f>估驗單!F374</f>
        <v>295</v>
      </c>
      <c r="F383" s="390">
        <f t="shared" si="34"/>
        <v>0</v>
      </c>
      <c r="G383" s="336">
        <v>299.98</v>
      </c>
      <c r="H383" s="336"/>
      <c r="I383" s="336">
        <f t="shared" ref="I383:I421" si="37">ROUND(D383*G383,2)</f>
        <v>88494.1</v>
      </c>
      <c r="J383" s="336">
        <f t="shared" ref="J383:J421" si="38">ROUND(E383*G383,2)</f>
        <v>88494.1</v>
      </c>
      <c r="K383" s="546">
        <f t="shared" si="31"/>
        <v>0</v>
      </c>
      <c r="L383" s="502"/>
      <c r="M383" s="231" t="s">
        <v>242</v>
      </c>
      <c r="N383" s="11" t="s">
        <v>243</v>
      </c>
      <c r="O383" s="341"/>
      <c r="P383" s="339"/>
    </row>
    <row r="384" spans="1:17" s="325" customFormat="1" ht="42.75" hidden="1">
      <c r="A384" s="333" t="s">
        <v>2155</v>
      </c>
      <c r="B384" s="334" t="s">
        <v>1025</v>
      </c>
      <c r="C384" s="335" t="s">
        <v>15</v>
      </c>
      <c r="D384" s="336">
        <v>59</v>
      </c>
      <c r="E384" s="336">
        <f>估驗單!F375</f>
        <v>59</v>
      </c>
      <c r="F384" s="390">
        <f t="shared" si="34"/>
        <v>0</v>
      </c>
      <c r="G384" s="336">
        <v>2999.84</v>
      </c>
      <c r="H384" s="336"/>
      <c r="I384" s="336">
        <f t="shared" si="37"/>
        <v>176990.56</v>
      </c>
      <c r="J384" s="336">
        <f t="shared" si="38"/>
        <v>176990.56</v>
      </c>
      <c r="K384" s="546">
        <f t="shared" si="31"/>
        <v>0</v>
      </c>
      <c r="L384" s="502"/>
      <c r="M384" s="231" t="s">
        <v>2321</v>
      </c>
      <c r="N384" s="11" t="s">
        <v>243</v>
      </c>
      <c r="O384" s="341"/>
      <c r="P384" s="339"/>
    </row>
    <row r="385" spans="1:16" s="325" customFormat="1" ht="33" hidden="1">
      <c r="A385" s="333" t="s">
        <v>2156</v>
      </c>
      <c r="B385" s="334" t="s">
        <v>1027</v>
      </c>
      <c r="C385" s="335" t="s">
        <v>15</v>
      </c>
      <c r="D385" s="336">
        <v>59</v>
      </c>
      <c r="E385" s="336">
        <f>估驗單!F376</f>
        <v>59</v>
      </c>
      <c r="F385" s="390">
        <f t="shared" si="34"/>
        <v>0</v>
      </c>
      <c r="G385" s="336">
        <v>149.99</v>
      </c>
      <c r="H385" s="336"/>
      <c r="I385" s="336">
        <f t="shared" si="37"/>
        <v>8849.41</v>
      </c>
      <c r="J385" s="336">
        <f t="shared" si="38"/>
        <v>8849.41</v>
      </c>
      <c r="K385" s="546">
        <f t="shared" si="31"/>
        <v>0</v>
      </c>
      <c r="L385" s="502"/>
      <c r="M385" s="231" t="s">
        <v>2321</v>
      </c>
      <c r="N385" s="11" t="s">
        <v>243</v>
      </c>
      <c r="O385" s="341"/>
      <c r="P385" s="339"/>
    </row>
    <row r="386" spans="1:16" s="325" customFormat="1" ht="42.75" hidden="1">
      <c r="A386" s="333" t="s">
        <v>2157</v>
      </c>
      <c r="B386" s="334" t="s">
        <v>1029</v>
      </c>
      <c r="C386" s="335" t="s">
        <v>1030</v>
      </c>
      <c r="D386" s="336">
        <v>9</v>
      </c>
      <c r="E386" s="336">
        <f>估驗單!F377</f>
        <v>9</v>
      </c>
      <c r="F386" s="390">
        <f t="shared" si="34"/>
        <v>0</v>
      </c>
      <c r="G386" s="336">
        <v>1199.93</v>
      </c>
      <c r="H386" s="336"/>
      <c r="I386" s="336">
        <f t="shared" si="37"/>
        <v>10799.37</v>
      </c>
      <c r="J386" s="336">
        <f t="shared" si="38"/>
        <v>10799.37</v>
      </c>
      <c r="K386" s="546">
        <f t="shared" si="31"/>
        <v>0</v>
      </c>
      <c r="L386" s="502"/>
      <c r="M386" s="231" t="s">
        <v>2321</v>
      </c>
      <c r="N386" s="11" t="s">
        <v>243</v>
      </c>
      <c r="O386" s="341"/>
      <c r="P386" s="339"/>
    </row>
    <row r="387" spans="1:16" s="325" customFormat="1" ht="42.75" hidden="1">
      <c r="A387" s="333" t="s">
        <v>2158</v>
      </c>
      <c r="B387" s="334" t="s">
        <v>1032</v>
      </c>
      <c r="C387" s="335" t="s">
        <v>15</v>
      </c>
      <c r="D387" s="336">
        <v>22</v>
      </c>
      <c r="E387" s="336">
        <f>估驗單!F378</f>
        <v>22</v>
      </c>
      <c r="F387" s="390">
        <f t="shared" si="34"/>
        <v>0</v>
      </c>
      <c r="G387" s="336">
        <v>649.96</v>
      </c>
      <c r="H387" s="336"/>
      <c r="I387" s="336">
        <f t="shared" si="37"/>
        <v>14299.12</v>
      </c>
      <c r="J387" s="336">
        <f t="shared" si="38"/>
        <v>14299.12</v>
      </c>
      <c r="K387" s="546">
        <f t="shared" si="31"/>
        <v>0</v>
      </c>
      <c r="L387" s="502"/>
      <c r="M387" s="231" t="s">
        <v>2440</v>
      </c>
      <c r="N387" s="11" t="s">
        <v>243</v>
      </c>
      <c r="O387" s="341"/>
      <c r="P387" s="339"/>
    </row>
    <row r="388" spans="1:16" s="325" customFormat="1" ht="42.75" hidden="1">
      <c r="A388" s="333" t="s">
        <v>2159</v>
      </c>
      <c r="B388" s="334" t="s">
        <v>1034</v>
      </c>
      <c r="C388" s="335" t="s">
        <v>15</v>
      </c>
      <c r="D388" s="336">
        <v>22</v>
      </c>
      <c r="E388" s="336">
        <f>估驗單!F379</f>
        <v>22</v>
      </c>
      <c r="F388" s="390">
        <f t="shared" si="34"/>
        <v>0</v>
      </c>
      <c r="G388" s="336">
        <v>1299.93</v>
      </c>
      <c r="H388" s="336"/>
      <c r="I388" s="336">
        <f t="shared" si="37"/>
        <v>28598.46</v>
      </c>
      <c r="J388" s="336">
        <f t="shared" si="38"/>
        <v>28598.46</v>
      </c>
      <c r="K388" s="546">
        <f t="shared" si="31"/>
        <v>0</v>
      </c>
      <c r="L388" s="502"/>
      <c r="M388" s="231" t="s">
        <v>2440</v>
      </c>
      <c r="N388" s="11" t="s">
        <v>243</v>
      </c>
      <c r="O388" s="341"/>
      <c r="P388" s="339"/>
    </row>
    <row r="389" spans="1:16" s="325" customFormat="1" ht="42.75" hidden="1">
      <c r="A389" s="333" t="s">
        <v>2160</v>
      </c>
      <c r="B389" s="334" t="s">
        <v>1036</v>
      </c>
      <c r="C389" s="335" t="s">
        <v>15</v>
      </c>
      <c r="D389" s="336">
        <v>5</v>
      </c>
      <c r="E389" s="336">
        <f>估驗單!F380</f>
        <v>5</v>
      </c>
      <c r="F389" s="390">
        <f t="shared" si="34"/>
        <v>0</v>
      </c>
      <c r="G389" s="336">
        <v>3499.81</v>
      </c>
      <c r="H389" s="336"/>
      <c r="I389" s="336">
        <f t="shared" si="37"/>
        <v>17499.05</v>
      </c>
      <c r="J389" s="336">
        <f t="shared" si="38"/>
        <v>17499.05</v>
      </c>
      <c r="K389" s="546">
        <f t="shared" si="31"/>
        <v>0</v>
      </c>
      <c r="L389" s="502"/>
      <c r="M389" s="231" t="s">
        <v>242</v>
      </c>
      <c r="N389" s="11" t="s">
        <v>243</v>
      </c>
      <c r="O389" s="341"/>
      <c r="P389" s="339"/>
    </row>
    <row r="390" spans="1:16" s="325" customFormat="1" ht="42.75" hidden="1">
      <c r="A390" s="333" t="s">
        <v>2161</v>
      </c>
      <c r="B390" s="334" t="s">
        <v>1038</v>
      </c>
      <c r="C390" s="335" t="s">
        <v>15</v>
      </c>
      <c r="D390" s="336">
        <v>5</v>
      </c>
      <c r="E390" s="336">
        <f>估驗單!F381</f>
        <v>5</v>
      </c>
      <c r="F390" s="390">
        <f t="shared" si="34"/>
        <v>0</v>
      </c>
      <c r="G390" s="336">
        <v>699.96</v>
      </c>
      <c r="H390" s="336"/>
      <c r="I390" s="336">
        <f t="shared" si="37"/>
        <v>3499.8</v>
      </c>
      <c r="J390" s="336">
        <f t="shared" si="38"/>
        <v>3499.8</v>
      </c>
      <c r="K390" s="546">
        <f t="shared" si="31"/>
        <v>0</v>
      </c>
      <c r="L390" s="502"/>
      <c r="M390" s="231" t="s">
        <v>242</v>
      </c>
      <c r="N390" s="11" t="s">
        <v>243</v>
      </c>
      <c r="O390" s="341"/>
      <c r="P390" s="339"/>
    </row>
    <row r="391" spans="1:16" s="325" customFormat="1" ht="42.75" hidden="1">
      <c r="A391" s="333" t="s">
        <v>2162</v>
      </c>
      <c r="B391" s="334" t="s">
        <v>1040</v>
      </c>
      <c r="C391" s="335" t="s">
        <v>14</v>
      </c>
      <c r="D391" s="336">
        <v>1</v>
      </c>
      <c r="E391" s="336">
        <f>估驗單!F382</f>
        <v>1</v>
      </c>
      <c r="F391" s="390">
        <f t="shared" si="34"/>
        <v>0</v>
      </c>
      <c r="G391" s="336">
        <v>14999.18</v>
      </c>
      <c r="H391" s="336"/>
      <c r="I391" s="336">
        <f t="shared" si="37"/>
        <v>14999.18</v>
      </c>
      <c r="J391" s="336">
        <f t="shared" si="38"/>
        <v>14999.18</v>
      </c>
      <c r="K391" s="546">
        <f t="shared" si="31"/>
        <v>0</v>
      </c>
      <c r="L391" s="502"/>
      <c r="M391" s="231" t="s">
        <v>242</v>
      </c>
      <c r="N391" s="11" t="s">
        <v>243</v>
      </c>
      <c r="O391" s="341"/>
      <c r="P391" s="339"/>
    </row>
    <row r="392" spans="1:16" s="325" customFormat="1" ht="42.75" hidden="1">
      <c r="A392" s="333" t="s">
        <v>2163</v>
      </c>
      <c r="B392" s="334" t="s">
        <v>1043</v>
      </c>
      <c r="C392" s="335" t="s">
        <v>15</v>
      </c>
      <c r="D392" s="336">
        <v>1</v>
      </c>
      <c r="E392" s="336">
        <f>估驗單!F383</f>
        <v>1</v>
      </c>
      <c r="F392" s="390">
        <f t="shared" si="34"/>
        <v>0</v>
      </c>
      <c r="G392" s="336">
        <v>5999.67</v>
      </c>
      <c r="H392" s="336"/>
      <c r="I392" s="336">
        <f t="shared" si="37"/>
        <v>5999.67</v>
      </c>
      <c r="J392" s="336">
        <f t="shared" si="38"/>
        <v>5999.67</v>
      </c>
      <c r="K392" s="546">
        <f t="shared" si="31"/>
        <v>0</v>
      </c>
      <c r="L392" s="502"/>
      <c r="M392" s="231" t="s">
        <v>2321</v>
      </c>
      <c r="N392" s="11" t="s">
        <v>243</v>
      </c>
      <c r="O392" s="341"/>
      <c r="P392" s="339"/>
    </row>
    <row r="393" spans="1:16" s="325" customFormat="1" ht="71.25" hidden="1">
      <c r="A393" s="333" t="s">
        <v>2164</v>
      </c>
      <c r="B393" s="334" t="s">
        <v>1046</v>
      </c>
      <c r="C393" s="335" t="s">
        <v>15</v>
      </c>
      <c r="D393" s="336">
        <v>1</v>
      </c>
      <c r="E393" s="336">
        <f>估驗單!F384</f>
        <v>1</v>
      </c>
      <c r="F393" s="390">
        <f t="shared" si="34"/>
        <v>0</v>
      </c>
      <c r="G393" s="336">
        <v>49497.3</v>
      </c>
      <c r="H393" s="336"/>
      <c r="I393" s="336">
        <f t="shared" si="37"/>
        <v>49497.3</v>
      </c>
      <c r="J393" s="336">
        <f t="shared" si="38"/>
        <v>49497.3</v>
      </c>
      <c r="K393" s="546">
        <f t="shared" si="31"/>
        <v>0</v>
      </c>
      <c r="L393" s="502"/>
      <c r="M393" s="231" t="s">
        <v>242</v>
      </c>
      <c r="N393" s="11" t="s">
        <v>243</v>
      </c>
      <c r="O393" s="341"/>
      <c r="P393" s="339"/>
    </row>
    <row r="394" spans="1:16" s="325" customFormat="1" ht="42.75" hidden="1">
      <c r="A394" s="333" t="s">
        <v>2165</v>
      </c>
      <c r="B394" s="334" t="s">
        <v>1049</v>
      </c>
      <c r="C394" s="335" t="s">
        <v>15</v>
      </c>
      <c r="D394" s="336">
        <v>6</v>
      </c>
      <c r="E394" s="336">
        <f>估驗單!F385</f>
        <v>6</v>
      </c>
      <c r="F394" s="390">
        <f t="shared" si="34"/>
        <v>0</v>
      </c>
      <c r="G394" s="336">
        <v>2999.84</v>
      </c>
      <c r="H394" s="336"/>
      <c r="I394" s="336">
        <f t="shared" si="37"/>
        <v>17999.04</v>
      </c>
      <c r="J394" s="336">
        <f t="shared" si="38"/>
        <v>17999.04</v>
      </c>
      <c r="K394" s="546">
        <f t="shared" si="31"/>
        <v>0</v>
      </c>
      <c r="L394" s="502"/>
      <c r="M394" s="231" t="s">
        <v>242</v>
      </c>
      <c r="N394" s="11" t="s">
        <v>243</v>
      </c>
      <c r="O394" s="341"/>
      <c r="P394" s="339"/>
    </row>
    <row r="395" spans="1:16" s="325" customFormat="1" ht="33" hidden="1">
      <c r="A395" s="333" t="s">
        <v>2166</v>
      </c>
      <c r="B395" s="334" t="s">
        <v>1052</v>
      </c>
      <c r="C395" s="335" t="s">
        <v>14</v>
      </c>
      <c r="D395" s="336">
        <v>75</v>
      </c>
      <c r="E395" s="336">
        <f>估驗單!F386</f>
        <v>75</v>
      </c>
      <c r="F395" s="390">
        <f t="shared" si="34"/>
        <v>0</v>
      </c>
      <c r="G395" s="336">
        <v>11999.35</v>
      </c>
      <c r="H395" s="336"/>
      <c r="I395" s="336">
        <f t="shared" si="37"/>
        <v>899951.25</v>
      </c>
      <c r="J395" s="336">
        <f t="shared" si="38"/>
        <v>899951.25</v>
      </c>
      <c r="K395" s="546">
        <f t="shared" si="31"/>
        <v>0</v>
      </c>
      <c r="L395" s="502"/>
      <c r="M395" s="231" t="s">
        <v>242</v>
      </c>
      <c r="N395" s="11" t="s">
        <v>243</v>
      </c>
      <c r="O395" s="341"/>
      <c r="P395" s="339"/>
    </row>
    <row r="396" spans="1:16" s="325" customFormat="1" ht="33" hidden="1">
      <c r="A396" s="333" t="s">
        <v>2167</v>
      </c>
      <c r="B396" s="334" t="s">
        <v>1055</v>
      </c>
      <c r="C396" s="335" t="s">
        <v>1007</v>
      </c>
      <c r="D396" s="336">
        <v>75</v>
      </c>
      <c r="E396" s="336">
        <f>估驗單!F387</f>
        <v>75</v>
      </c>
      <c r="F396" s="390">
        <f t="shared" si="34"/>
        <v>0</v>
      </c>
      <c r="G396" s="336">
        <v>1499.92</v>
      </c>
      <c r="H396" s="336"/>
      <c r="I396" s="336">
        <f t="shared" si="37"/>
        <v>112494</v>
      </c>
      <c r="J396" s="336">
        <f t="shared" si="38"/>
        <v>112494</v>
      </c>
      <c r="K396" s="546">
        <f t="shared" si="31"/>
        <v>0</v>
      </c>
      <c r="L396" s="502"/>
      <c r="M396" s="231" t="s">
        <v>242</v>
      </c>
      <c r="N396" s="11" t="s">
        <v>243</v>
      </c>
      <c r="O396" s="341"/>
      <c r="P396" s="339"/>
    </row>
    <row r="397" spans="1:16" s="325" customFormat="1" ht="42.75" hidden="1">
      <c r="A397" s="333" t="s">
        <v>2168</v>
      </c>
      <c r="B397" s="334" t="s">
        <v>1058</v>
      </c>
      <c r="C397" s="335" t="s">
        <v>15</v>
      </c>
      <c r="D397" s="336">
        <v>1</v>
      </c>
      <c r="E397" s="336">
        <f>估驗單!F388</f>
        <v>1</v>
      </c>
      <c r="F397" s="390">
        <f t="shared" si="34"/>
        <v>0</v>
      </c>
      <c r="G397" s="336">
        <v>11999.35</v>
      </c>
      <c r="H397" s="336"/>
      <c r="I397" s="336">
        <f t="shared" si="37"/>
        <v>11999.35</v>
      </c>
      <c r="J397" s="336">
        <f t="shared" si="38"/>
        <v>11999.35</v>
      </c>
      <c r="K397" s="546">
        <f t="shared" si="31"/>
        <v>0</v>
      </c>
      <c r="L397" s="502"/>
      <c r="M397" s="231" t="s">
        <v>2321</v>
      </c>
      <c r="N397" s="11" t="s">
        <v>243</v>
      </c>
      <c r="O397" s="341"/>
      <c r="P397" s="339"/>
    </row>
    <row r="398" spans="1:16" s="325" customFormat="1" ht="33" hidden="1">
      <c r="A398" s="333" t="s">
        <v>2169</v>
      </c>
      <c r="B398" s="334" t="s">
        <v>1061</v>
      </c>
      <c r="C398" s="335" t="s">
        <v>15</v>
      </c>
      <c r="D398" s="336">
        <v>1</v>
      </c>
      <c r="E398" s="336">
        <f>估驗單!F389</f>
        <v>1</v>
      </c>
      <c r="F398" s="390">
        <f t="shared" si="34"/>
        <v>0</v>
      </c>
      <c r="G398" s="336">
        <v>1999.89</v>
      </c>
      <c r="H398" s="336"/>
      <c r="I398" s="336">
        <f t="shared" si="37"/>
        <v>1999.89</v>
      </c>
      <c r="J398" s="336">
        <f t="shared" si="38"/>
        <v>1999.89</v>
      </c>
      <c r="K398" s="546">
        <f t="shared" si="31"/>
        <v>0</v>
      </c>
      <c r="L398" s="502"/>
      <c r="M398" s="231" t="s">
        <v>242</v>
      </c>
      <c r="N398" s="11" t="s">
        <v>243</v>
      </c>
      <c r="O398" s="341"/>
      <c r="P398" s="339"/>
    </row>
    <row r="399" spans="1:16" s="325" customFormat="1" ht="42.75" hidden="1">
      <c r="A399" s="333" t="s">
        <v>2170</v>
      </c>
      <c r="B399" s="334" t="s">
        <v>1064</v>
      </c>
      <c r="C399" s="335" t="s">
        <v>15</v>
      </c>
      <c r="D399" s="336">
        <v>11</v>
      </c>
      <c r="E399" s="336">
        <f>估驗單!F390</f>
        <v>11</v>
      </c>
      <c r="F399" s="390">
        <f t="shared" si="34"/>
        <v>0</v>
      </c>
      <c r="G399" s="336">
        <v>2999.84</v>
      </c>
      <c r="H399" s="336"/>
      <c r="I399" s="336">
        <f t="shared" si="37"/>
        <v>32998.239999999998</v>
      </c>
      <c r="J399" s="336">
        <f t="shared" si="38"/>
        <v>32998.239999999998</v>
      </c>
      <c r="K399" s="546">
        <f t="shared" ref="K399:K462" si="39">J399-I399</f>
        <v>0</v>
      </c>
      <c r="L399" s="502"/>
      <c r="M399" s="231" t="s">
        <v>2321</v>
      </c>
      <c r="N399" s="11" t="s">
        <v>243</v>
      </c>
      <c r="O399" s="341"/>
      <c r="P399" s="339"/>
    </row>
    <row r="400" spans="1:16" s="325" customFormat="1" ht="42.75" hidden="1">
      <c r="A400" s="333" t="s">
        <v>2171</v>
      </c>
      <c r="B400" s="334" t="s">
        <v>1067</v>
      </c>
      <c r="C400" s="335" t="s">
        <v>15</v>
      </c>
      <c r="D400" s="336">
        <v>3</v>
      </c>
      <c r="E400" s="336">
        <f>估驗單!F391</f>
        <v>3</v>
      </c>
      <c r="F400" s="390">
        <f t="shared" si="34"/>
        <v>0</v>
      </c>
      <c r="G400" s="336">
        <v>1399.92</v>
      </c>
      <c r="H400" s="336"/>
      <c r="I400" s="336">
        <f t="shared" si="37"/>
        <v>4199.76</v>
      </c>
      <c r="J400" s="336">
        <f t="shared" si="38"/>
        <v>4199.76</v>
      </c>
      <c r="K400" s="546">
        <f t="shared" si="39"/>
        <v>0</v>
      </c>
      <c r="L400" s="502"/>
      <c r="M400" s="231" t="s">
        <v>2321</v>
      </c>
      <c r="N400" s="11" t="s">
        <v>243</v>
      </c>
      <c r="O400" s="341"/>
      <c r="P400" s="339"/>
    </row>
    <row r="401" spans="1:16" s="325" customFormat="1" ht="42.75" hidden="1">
      <c r="A401" s="333" t="s">
        <v>2172</v>
      </c>
      <c r="B401" s="334" t="s">
        <v>1070</v>
      </c>
      <c r="C401" s="335" t="s">
        <v>14</v>
      </c>
      <c r="D401" s="336">
        <v>5</v>
      </c>
      <c r="E401" s="336">
        <f>估驗單!F392</f>
        <v>5</v>
      </c>
      <c r="F401" s="390">
        <f t="shared" si="34"/>
        <v>0</v>
      </c>
      <c r="G401" s="336">
        <v>17999.02</v>
      </c>
      <c r="H401" s="336"/>
      <c r="I401" s="336">
        <f t="shared" si="37"/>
        <v>89995.1</v>
      </c>
      <c r="J401" s="336">
        <f t="shared" si="38"/>
        <v>89995.1</v>
      </c>
      <c r="K401" s="546">
        <f t="shared" si="39"/>
        <v>0</v>
      </c>
      <c r="L401" s="502"/>
      <c r="M401" s="231" t="s">
        <v>242</v>
      </c>
      <c r="N401" s="11" t="s">
        <v>243</v>
      </c>
      <c r="O401" s="341"/>
      <c r="P401" s="339"/>
    </row>
    <row r="402" spans="1:16" s="325" customFormat="1" ht="33" hidden="1">
      <c r="A402" s="333" t="s">
        <v>2173</v>
      </c>
      <c r="B402" s="334" t="s">
        <v>1073</v>
      </c>
      <c r="C402" s="335" t="s">
        <v>14</v>
      </c>
      <c r="D402" s="336">
        <v>1</v>
      </c>
      <c r="E402" s="336">
        <f>估驗單!F393</f>
        <v>1</v>
      </c>
      <c r="F402" s="390">
        <f t="shared" si="34"/>
        <v>0</v>
      </c>
      <c r="G402" s="336">
        <v>8999.51</v>
      </c>
      <c r="H402" s="336"/>
      <c r="I402" s="336">
        <f t="shared" si="37"/>
        <v>8999.51</v>
      </c>
      <c r="J402" s="336">
        <f t="shared" si="38"/>
        <v>8999.51</v>
      </c>
      <c r="K402" s="546">
        <f t="shared" si="39"/>
        <v>0</v>
      </c>
      <c r="L402" s="502"/>
      <c r="M402" s="231" t="s">
        <v>242</v>
      </c>
      <c r="N402" s="11" t="s">
        <v>243</v>
      </c>
      <c r="O402" s="341"/>
      <c r="P402" s="339"/>
    </row>
    <row r="403" spans="1:16" s="325" customFormat="1" ht="33" hidden="1">
      <c r="A403" s="333" t="s">
        <v>2174</v>
      </c>
      <c r="B403" s="334" t="s">
        <v>1076</v>
      </c>
      <c r="C403" s="335" t="s">
        <v>15</v>
      </c>
      <c r="D403" s="336">
        <v>2</v>
      </c>
      <c r="E403" s="336">
        <f>估驗單!F394</f>
        <v>2</v>
      </c>
      <c r="F403" s="390">
        <f t="shared" si="34"/>
        <v>0</v>
      </c>
      <c r="G403" s="336">
        <v>5999.67</v>
      </c>
      <c r="H403" s="336"/>
      <c r="I403" s="336">
        <f t="shared" si="37"/>
        <v>11999.34</v>
      </c>
      <c r="J403" s="336">
        <f t="shared" si="38"/>
        <v>11999.34</v>
      </c>
      <c r="K403" s="546">
        <f t="shared" si="39"/>
        <v>0</v>
      </c>
      <c r="L403" s="502"/>
      <c r="M403" s="231" t="s">
        <v>242</v>
      </c>
      <c r="N403" s="11" t="s">
        <v>243</v>
      </c>
      <c r="O403" s="341"/>
      <c r="P403" s="339"/>
    </row>
    <row r="404" spans="1:16" s="325" customFormat="1" ht="33" hidden="1">
      <c r="A404" s="333" t="s">
        <v>2175</v>
      </c>
      <c r="B404" s="334" t="s">
        <v>1079</v>
      </c>
      <c r="C404" s="335" t="s">
        <v>14</v>
      </c>
      <c r="D404" s="336">
        <v>1</v>
      </c>
      <c r="E404" s="336">
        <f>估驗單!F395</f>
        <v>1</v>
      </c>
      <c r="F404" s="390">
        <f t="shared" si="34"/>
        <v>0</v>
      </c>
      <c r="G404" s="336">
        <v>2499.86</v>
      </c>
      <c r="H404" s="336"/>
      <c r="I404" s="336">
        <f t="shared" si="37"/>
        <v>2499.86</v>
      </c>
      <c r="J404" s="336">
        <f t="shared" si="38"/>
        <v>2499.86</v>
      </c>
      <c r="K404" s="546">
        <f t="shared" si="39"/>
        <v>0</v>
      </c>
      <c r="L404" s="502"/>
      <c r="M404" s="231" t="s">
        <v>242</v>
      </c>
      <c r="N404" s="11" t="s">
        <v>243</v>
      </c>
      <c r="O404" s="341"/>
      <c r="P404" s="339"/>
    </row>
    <row r="405" spans="1:16" s="325" customFormat="1" ht="33" hidden="1">
      <c r="A405" s="333" t="s">
        <v>2177</v>
      </c>
      <c r="B405" s="334" t="s">
        <v>1082</v>
      </c>
      <c r="C405" s="335" t="s">
        <v>14</v>
      </c>
      <c r="D405" s="336">
        <v>1</v>
      </c>
      <c r="E405" s="336">
        <f>估驗單!F396</f>
        <v>1</v>
      </c>
      <c r="F405" s="390">
        <f t="shared" si="34"/>
        <v>0</v>
      </c>
      <c r="G405" s="336">
        <v>2499.86</v>
      </c>
      <c r="H405" s="336"/>
      <c r="I405" s="336">
        <f t="shared" si="37"/>
        <v>2499.86</v>
      </c>
      <c r="J405" s="336">
        <f t="shared" si="38"/>
        <v>2499.86</v>
      </c>
      <c r="K405" s="546">
        <f t="shared" si="39"/>
        <v>0</v>
      </c>
      <c r="L405" s="502"/>
      <c r="M405" s="231" t="s">
        <v>242</v>
      </c>
      <c r="N405" s="11" t="s">
        <v>243</v>
      </c>
      <c r="O405" s="341"/>
      <c r="P405" s="339"/>
    </row>
    <row r="406" spans="1:16" s="325" customFormat="1" ht="42.75" hidden="1">
      <c r="A406" s="333" t="s">
        <v>2178</v>
      </c>
      <c r="B406" s="334" t="s">
        <v>1085</v>
      </c>
      <c r="C406" s="335" t="s">
        <v>15</v>
      </c>
      <c r="D406" s="336">
        <v>4</v>
      </c>
      <c r="E406" s="336">
        <f>估驗單!F397</f>
        <v>4</v>
      </c>
      <c r="F406" s="390">
        <f t="shared" si="34"/>
        <v>0</v>
      </c>
      <c r="G406" s="336">
        <v>2999.84</v>
      </c>
      <c r="H406" s="336"/>
      <c r="I406" s="336">
        <f t="shared" si="37"/>
        <v>11999.36</v>
      </c>
      <c r="J406" s="336">
        <f t="shared" si="38"/>
        <v>11999.36</v>
      </c>
      <c r="K406" s="546">
        <f t="shared" si="39"/>
        <v>0</v>
      </c>
      <c r="L406" s="502"/>
      <c r="M406" s="231" t="s">
        <v>242</v>
      </c>
      <c r="N406" s="11" t="s">
        <v>243</v>
      </c>
      <c r="O406" s="341"/>
      <c r="P406" s="339"/>
    </row>
    <row r="407" spans="1:16" s="325" customFormat="1" ht="57" hidden="1">
      <c r="A407" s="333" t="s">
        <v>2179</v>
      </c>
      <c r="B407" s="334" t="s">
        <v>1088</v>
      </c>
      <c r="C407" s="335" t="s">
        <v>15</v>
      </c>
      <c r="D407" s="336">
        <v>2</v>
      </c>
      <c r="E407" s="336">
        <f>估驗單!F398</f>
        <v>2</v>
      </c>
      <c r="F407" s="390">
        <f t="shared" si="34"/>
        <v>0</v>
      </c>
      <c r="G407" s="336">
        <v>19998.91</v>
      </c>
      <c r="H407" s="336"/>
      <c r="I407" s="336">
        <f t="shared" si="37"/>
        <v>39997.82</v>
      </c>
      <c r="J407" s="336">
        <f t="shared" si="38"/>
        <v>39997.82</v>
      </c>
      <c r="K407" s="546">
        <f t="shared" si="39"/>
        <v>0</v>
      </c>
      <c r="L407" s="502"/>
      <c r="M407" s="231" t="s">
        <v>2321</v>
      </c>
      <c r="N407" s="11" t="s">
        <v>243</v>
      </c>
      <c r="O407" s="341"/>
      <c r="P407" s="339"/>
    </row>
    <row r="408" spans="1:16" s="325" customFormat="1" ht="42.75" hidden="1">
      <c r="A408" s="333" t="s">
        <v>2181</v>
      </c>
      <c r="B408" s="334" t="s">
        <v>1091</v>
      </c>
      <c r="C408" s="335" t="s">
        <v>14</v>
      </c>
      <c r="D408" s="336">
        <v>1</v>
      </c>
      <c r="E408" s="336">
        <f>估驗單!F399</f>
        <v>1</v>
      </c>
      <c r="F408" s="390">
        <f t="shared" si="34"/>
        <v>0</v>
      </c>
      <c r="G408" s="336">
        <v>14999.18</v>
      </c>
      <c r="H408" s="336"/>
      <c r="I408" s="336">
        <f t="shared" si="37"/>
        <v>14999.18</v>
      </c>
      <c r="J408" s="336">
        <f t="shared" si="38"/>
        <v>14999.18</v>
      </c>
      <c r="K408" s="546">
        <f t="shared" si="39"/>
        <v>0</v>
      </c>
      <c r="L408" s="502"/>
      <c r="M408" s="231" t="s">
        <v>242</v>
      </c>
      <c r="N408" s="11" t="s">
        <v>243</v>
      </c>
      <c r="O408" s="341"/>
      <c r="P408" s="339"/>
    </row>
    <row r="409" spans="1:16" s="325" customFormat="1" ht="42.75" hidden="1">
      <c r="A409" s="333" t="s">
        <v>2182</v>
      </c>
      <c r="B409" s="334" t="s">
        <v>1094</v>
      </c>
      <c r="C409" s="335" t="s">
        <v>1095</v>
      </c>
      <c r="D409" s="336">
        <v>3</v>
      </c>
      <c r="E409" s="336">
        <f>估驗單!F400</f>
        <v>3</v>
      </c>
      <c r="F409" s="390">
        <f t="shared" si="34"/>
        <v>0</v>
      </c>
      <c r="G409" s="336">
        <v>1299.93</v>
      </c>
      <c r="H409" s="336"/>
      <c r="I409" s="336">
        <f t="shared" si="37"/>
        <v>3899.79</v>
      </c>
      <c r="J409" s="336">
        <f t="shared" si="38"/>
        <v>3899.79</v>
      </c>
      <c r="K409" s="546">
        <f t="shared" si="39"/>
        <v>0</v>
      </c>
      <c r="L409" s="502"/>
      <c r="M409" s="231" t="s">
        <v>242</v>
      </c>
      <c r="N409" s="11" t="s">
        <v>243</v>
      </c>
      <c r="O409" s="341"/>
      <c r="P409" s="339"/>
    </row>
    <row r="410" spans="1:16" s="325" customFormat="1" ht="33" hidden="1">
      <c r="A410" s="333" t="s">
        <v>2183</v>
      </c>
      <c r="B410" s="334" t="s">
        <v>1098</v>
      </c>
      <c r="C410" s="335" t="s">
        <v>1095</v>
      </c>
      <c r="D410" s="336">
        <v>4</v>
      </c>
      <c r="E410" s="336">
        <f>估驗單!F401</f>
        <v>4</v>
      </c>
      <c r="F410" s="390">
        <f t="shared" si="34"/>
        <v>0</v>
      </c>
      <c r="G410" s="336">
        <v>999.95</v>
      </c>
      <c r="H410" s="336"/>
      <c r="I410" s="336">
        <f t="shared" si="37"/>
        <v>3999.8</v>
      </c>
      <c r="J410" s="336">
        <f t="shared" si="38"/>
        <v>3999.8</v>
      </c>
      <c r="K410" s="546">
        <f t="shared" si="39"/>
        <v>0</v>
      </c>
      <c r="L410" s="502"/>
      <c r="M410" s="231" t="s">
        <v>242</v>
      </c>
      <c r="N410" s="11" t="s">
        <v>243</v>
      </c>
      <c r="O410" s="341"/>
      <c r="P410" s="339"/>
    </row>
    <row r="411" spans="1:16" s="325" customFormat="1" ht="33" hidden="1">
      <c r="A411" s="333" t="s">
        <v>2184</v>
      </c>
      <c r="B411" s="334" t="s">
        <v>1101</v>
      </c>
      <c r="C411" s="335" t="s">
        <v>15</v>
      </c>
      <c r="D411" s="336">
        <v>2</v>
      </c>
      <c r="E411" s="336">
        <f>估驗單!F402</f>
        <v>2</v>
      </c>
      <c r="F411" s="390">
        <f t="shared" si="34"/>
        <v>0</v>
      </c>
      <c r="G411" s="336">
        <v>8999.51</v>
      </c>
      <c r="H411" s="336"/>
      <c r="I411" s="336">
        <f t="shared" si="37"/>
        <v>17999.02</v>
      </c>
      <c r="J411" s="336">
        <f t="shared" si="38"/>
        <v>17999.02</v>
      </c>
      <c r="K411" s="546">
        <f t="shared" si="39"/>
        <v>0</v>
      </c>
      <c r="L411" s="502"/>
      <c r="M411" s="231" t="s">
        <v>2321</v>
      </c>
      <c r="N411" s="11" t="s">
        <v>243</v>
      </c>
      <c r="O411" s="341"/>
      <c r="P411" s="339"/>
    </row>
    <row r="412" spans="1:16" s="325" customFormat="1" ht="42.75" hidden="1">
      <c r="A412" s="333" t="s">
        <v>2185</v>
      </c>
      <c r="B412" s="334" t="s">
        <v>1104</v>
      </c>
      <c r="C412" s="335" t="s">
        <v>15</v>
      </c>
      <c r="D412" s="336">
        <v>4</v>
      </c>
      <c r="E412" s="336">
        <f>估驗單!F403</f>
        <v>4</v>
      </c>
      <c r="F412" s="390">
        <f t="shared" si="34"/>
        <v>0</v>
      </c>
      <c r="G412" s="336">
        <v>4199.7700000000004</v>
      </c>
      <c r="H412" s="336"/>
      <c r="I412" s="336">
        <f t="shared" si="37"/>
        <v>16799.080000000002</v>
      </c>
      <c r="J412" s="336">
        <f t="shared" si="38"/>
        <v>16799.080000000002</v>
      </c>
      <c r="K412" s="546">
        <f t="shared" si="39"/>
        <v>0</v>
      </c>
      <c r="L412" s="502"/>
      <c r="M412" s="231" t="s">
        <v>242</v>
      </c>
      <c r="N412" s="11" t="s">
        <v>243</v>
      </c>
      <c r="O412" s="341"/>
      <c r="P412" s="339"/>
    </row>
    <row r="413" spans="1:16" ht="33" hidden="1">
      <c r="A413" s="333" t="s">
        <v>2186</v>
      </c>
      <c r="B413" s="334" t="s">
        <v>1107</v>
      </c>
      <c r="C413" s="335" t="s">
        <v>14</v>
      </c>
      <c r="D413" s="336">
        <v>2</v>
      </c>
      <c r="E413" s="336">
        <f>估驗單!F404</f>
        <v>2</v>
      </c>
      <c r="F413" s="390">
        <f t="shared" si="34"/>
        <v>0</v>
      </c>
      <c r="G413" s="336">
        <v>999.95</v>
      </c>
      <c r="H413" s="336"/>
      <c r="I413" s="336">
        <f t="shared" si="37"/>
        <v>1999.9</v>
      </c>
      <c r="J413" s="336">
        <f t="shared" si="38"/>
        <v>1999.9</v>
      </c>
      <c r="K413" s="546">
        <f t="shared" si="39"/>
        <v>0</v>
      </c>
      <c r="L413" s="502"/>
      <c r="M413" s="231" t="s">
        <v>242</v>
      </c>
      <c r="N413" s="11" t="s">
        <v>243</v>
      </c>
      <c r="O413" s="341"/>
      <c r="P413" s="339"/>
    </row>
    <row r="414" spans="1:16" ht="33" hidden="1">
      <c r="A414" s="333" t="s">
        <v>2187</v>
      </c>
      <c r="B414" s="334" t="s">
        <v>224</v>
      </c>
      <c r="C414" s="335" t="s">
        <v>15</v>
      </c>
      <c r="D414" s="336">
        <v>12</v>
      </c>
      <c r="E414" s="336">
        <f>估驗單!F405</f>
        <v>12</v>
      </c>
      <c r="F414" s="390">
        <f t="shared" si="34"/>
        <v>0</v>
      </c>
      <c r="G414" s="336">
        <v>4499.75</v>
      </c>
      <c r="H414" s="336"/>
      <c r="I414" s="336">
        <f t="shared" si="37"/>
        <v>53997</v>
      </c>
      <c r="J414" s="336">
        <f t="shared" si="38"/>
        <v>53997</v>
      </c>
      <c r="K414" s="546">
        <f t="shared" si="39"/>
        <v>0</v>
      </c>
      <c r="L414" s="502"/>
      <c r="M414" s="231" t="s">
        <v>242</v>
      </c>
      <c r="N414" s="11" t="s">
        <v>243</v>
      </c>
      <c r="O414" s="341"/>
      <c r="P414" s="339"/>
    </row>
    <row r="415" spans="1:16" ht="33" hidden="1">
      <c r="A415" s="333" t="s">
        <v>2188</v>
      </c>
      <c r="B415" s="334" t="s">
        <v>1112</v>
      </c>
      <c r="C415" s="335" t="s">
        <v>15</v>
      </c>
      <c r="D415" s="336">
        <v>2</v>
      </c>
      <c r="E415" s="336">
        <f>估驗單!F406</f>
        <v>2</v>
      </c>
      <c r="F415" s="390">
        <f t="shared" si="34"/>
        <v>0</v>
      </c>
      <c r="G415" s="336">
        <v>636265.30000000005</v>
      </c>
      <c r="H415" s="336"/>
      <c r="I415" s="336">
        <f t="shared" si="37"/>
        <v>1272530.6000000001</v>
      </c>
      <c r="J415" s="336">
        <f t="shared" si="38"/>
        <v>1272530.6000000001</v>
      </c>
      <c r="K415" s="546">
        <f t="shared" si="39"/>
        <v>0</v>
      </c>
      <c r="L415" s="502"/>
      <c r="M415" s="231" t="s">
        <v>242</v>
      </c>
      <c r="N415" s="11" t="s">
        <v>243</v>
      </c>
      <c r="O415" s="341"/>
      <c r="P415" s="339"/>
    </row>
    <row r="416" spans="1:16" ht="42.75" hidden="1">
      <c r="A416" s="333" t="s">
        <v>2189</v>
      </c>
      <c r="B416" s="334" t="s">
        <v>1115</v>
      </c>
      <c r="C416" s="335" t="s">
        <v>1116</v>
      </c>
      <c r="D416" s="336">
        <v>4</v>
      </c>
      <c r="E416" s="336">
        <f>估驗單!F407</f>
        <v>4</v>
      </c>
      <c r="F416" s="390">
        <f t="shared" si="34"/>
        <v>0</v>
      </c>
      <c r="G416" s="336">
        <v>1999.89</v>
      </c>
      <c r="H416" s="336"/>
      <c r="I416" s="336">
        <f t="shared" si="37"/>
        <v>7999.56</v>
      </c>
      <c r="J416" s="336">
        <f t="shared" si="38"/>
        <v>7999.56</v>
      </c>
      <c r="K416" s="546">
        <f t="shared" si="39"/>
        <v>0</v>
      </c>
      <c r="L416" s="502"/>
      <c r="M416" s="231" t="s">
        <v>2321</v>
      </c>
      <c r="N416" s="11" t="s">
        <v>243</v>
      </c>
      <c r="O416" s="341"/>
      <c r="P416" s="339"/>
    </row>
    <row r="417" spans="1:21" ht="33" hidden="1">
      <c r="A417" s="333" t="s">
        <v>2190</v>
      </c>
      <c r="B417" s="334" t="s">
        <v>1542</v>
      </c>
      <c r="C417" s="335" t="s">
        <v>15</v>
      </c>
      <c r="D417" s="336">
        <v>1</v>
      </c>
      <c r="E417" s="336">
        <f>估驗單!F408</f>
        <v>1</v>
      </c>
      <c r="F417" s="390">
        <f t="shared" si="34"/>
        <v>0</v>
      </c>
      <c r="G417" s="336">
        <v>119722.49</v>
      </c>
      <c r="H417" s="336"/>
      <c r="I417" s="336">
        <f t="shared" si="37"/>
        <v>119722.49</v>
      </c>
      <c r="J417" s="336">
        <f t="shared" si="38"/>
        <v>119722.49</v>
      </c>
      <c r="K417" s="546">
        <f t="shared" si="39"/>
        <v>0</v>
      </c>
      <c r="L417" s="502"/>
      <c r="M417" s="231" t="s">
        <v>242</v>
      </c>
      <c r="N417" s="11" t="s">
        <v>243</v>
      </c>
      <c r="O417" s="341"/>
      <c r="P417" s="339"/>
    </row>
    <row r="418" spans="1:21" s="352" customFormat="1" ht="33.75" hidden="1">
      <c r="A418" s="343">
        <v>36</v>
      </c>
      <c r="B418" s="344" t="s">
        <v>2441</v>
      </c>
      <c r="C418" s="345" t="s">
        <v>2353</v>
      </c>
      <c r="D418" s="340">
        <v>1</v>
      </c>
      <c r="E418" s="336">
        <f>估驗單!F409</f>
        <v>1</v>
      </c>
      <c r="F418" s="390">
        <f t="shared" si="34"/>
        <v>0</v>
      </c>
      <c r="G418" s="340">
        <v>74993.56</v>
      </c>
      <c r="H418" s="340"/>
      <c r="I418" s="336">
        <f t="shared" si="37"/>
        <v>74993.56</v>
      </c>
      <c r="J418" s="336">
        <f t="shared" si="38"/>
        <v>74993.56</v>
      </c>
      <c r="K418" s="546">
        <f t="shared" si="39"/>
        <v>0</v>
      </c>
      <c r="L418" s="502"/>
      <c r="M418" s="350" t="s">
        <v>2442</v>
      </c>
      <c r="N418" s="347" t="s">
        <v>243</v>
      </c>
      <c r="O418" s="348" t="s">
        <v>2443</v>
      </c>
      <c r="P418" s="349"/>
      <c r="Q418" s="362" t="s">
        <v>2356</v>
      </c>
    </row>
    <row r="419" spans="1:21" s="352" customFormat="1" ht="42.75" hidden="1">
      <c r="A419" s="423">
        <v>37</v>
      </c>
      <c r="B419" s="424" t="s">
        <v>1546</v>
      </c>
      <c r="C419" s="425" t="s">
        <v>15</v>
      </c>
      <c r="D419" s="419">
        <v>2</v>
      </c>
      <c r="E419" s="419">
        <f>估驗單!F410</f>
        <v>2</v>
      </c>
      <c r="F419" s="426">
        <f t="shared" si="34"/>
        <v>0</v>
      </c>
      <c r="G419" s="419">
        <v>83492.83</v>
      </c>
      <c r="H419" s="419"/>
      <c r="I419" s="336">
        <f t="shared" si="37"/>
        <v>166985.66</v>
      </c>
      <c r="J419" s="336">
        <f t="shared" si="38"/>
        <v>166985.66</v>
      </c>
      <c r="K419" s="546">
        <f t="shared" si="39"/>
        <v>0</v>
      </c>
      <c r="L419" s="502"/>
      <c r="M419" s="376"/>
      <c r="N419" s="357"/>
      <c r="O419" s="377"/>
      <c r="P419" s="360"/>
      <c r="Q419" s="353" t="s">
        <v>2356</v>
      </c>
    </row>
    <row r="420" spans="1:21" s="352" customFormat="1" ht="42.75" hidden="1">
      <c r="A420" s="423">
        <v>38</v>
      </c>
      <c r="B420" s="424" t="s">
        <v>1548</v>
      </c>
      <c r="C420" s="425" t="s">
        <v>15</v>
      </c>
      <c r="D420" s="419">
        <v>1</v>
      </c>
      <c r="E420" s="419">
        <f>估驗單!F411</f>
        <v>1</v>
      </c>
      <c r="F420" s="426">
        <f t="shared" si="34"/>
        <v>0</v>
      </c>
      <c r="G420" s="419">
        <v>76193.42</v>
      </c>
      <c r="H420" s="419"/>
      <c r="I420" s="336">
        <f t="shared" si="37"/>
        <v>76193.42</v>
      </c>
      <c r="J420" s="336">
        <f t="shared" si="38"/>
        <v>76193.42</v>
      </c>
      <c r="K420" s="546">
        <f t="shared" si="39"/>
        <v>0</v>
      </c>
      <c r="L420" s="502"/>
      <c r="M420" s="376"/>
      <c r="N420" s="357"/>
      <c r="O420" s="377"/>
      <c r="P420" s="360"/>
      <c r="Q420" s="353" t="s">
        <v>2356</v>
      </c>
    </row>
    <row r="421" spans="1:21" s="352" customFormat="1" ht="28.5" hidden="1">
      <c r="A421" s="423">
        <v>39</v>
      </c>
      <c r="B421" s="424" t="s">
        <v>1550</v>
      </c>
      <c r="C421" s="425" t="s">
        <v>15</v>
      </c>
      <c r="D421" s="419">
        <v>2</v>
      </c>
      <c r="E421" s="419">
        <f>估驗單!F412</f>
        <v>2</v>
      </c>
      <c r="F421" s="426">
        <f t="shared" si="34"/>
        <v>0</v>
      </c>
      <c r="G421" s="419">
        <v>17998.46</v>
      </c>
      <c r="H421" s="419"/>
      <c r="I421" s="336">
        <f t="shared" si="37"/>
        <v>35996.92</v>
      </c>
      <c r="J421" s="336">
        <f t="shared" si="38"/>
        <v>35996.92</v>
      </c>
      <c r="K421" s="546">
        <f t="shared" si="39"/>
        <v>0</v>
      </c>
      <c r="L421" s="502"/>
      <c r="M421" s="376"/>
      <c r="N421" s="357"/>
      <c r="O421" s="377"/>
      <c r="P421" s="360"/>
      <c r="Q421" s="353" t="s">
        <v>2356</v>
      </c>
    </row>
    <row r="422" spans="1:21" ht="33" hidden="1">
      <c r="A422" s="406" t="s">
        <v>2253</v>
      </c>
      <c r="B422" s="407" t="s">
        <v>1118</v>
      </c>
      <c r="C422" s="408" t="s">
        <v>4</v>
      </c>
      <c r="D422" s="409"/>
      <c r="E422" s="409"/>
      <c r="F422" s="410">
        <f t="shared" si="34"/>
        <v>0</v>
      </c>
      <c r="G422" s="409">
        <f>I422</f>
        <v>3983954.6799999997</v>
      </c>
      <c r="H422" s="409"/>
      <c r="I422" s="409">
        <f>SUM(I423:I425)</f>
        <v>3983954.6799999997</v>
      </c>
      <c r="J422" s="409">
        <f>SUM(J423:J425)</f>
        <v>3983954.6799999997</v>
      </c>
      <c r="K422" s="542">
        <f>SUM(K423:K425)</f>
        <v>0</v>
      </c>
      <c r="L422" s="534"/>
      <c r="M422" s="288" t="s">
        <v>242</v>
      </c>
      <c r="N422" s="11" t="s">
        <v>243</v>
      </c>
      <c r="O422" s="341"/>
      <c r="P422" s="339"/>
    </row>
    <row r="423" spans="1:21" ht="33" hidden="1">
      <c r="A423" s="333" t="s">
        <v>2154</v>
      </c>
      <c r="B423" s="334" t="s">
        <v>26</v>
      </c>
      <c r="C423" s="335" t="s">
        <v>20</v>
      </c>
      <c r="D423" s="336">
        <v>48</v>
      </c>
      <c r="E423" s="336">
        <f>估驗單!F414</f>
        <v>48</v>
      </c>
      <c r="F423" s="390">
        <f t="shared" si="34"/>
        <v>0</v>
      </c>
      <c r="G423" s="336">
        <v>13067.55</v>
      </c>
      <c r="H423" s="336"/>
      <c r="I423" s="336">
        <f>ROUND(D423*G423,2)</f>
        <v>627242.4</v>
      </c>
      <c r="J423" s="336">
        <f>ROUND(E423*G423,2)</f>
        <v>627242.4</v>
      </c>
      <c r="K423" s="546">
        <f t="shared" si="39"/>
        <v>0</v>
      </c>
      <c r="L423" s="502"/>
      <c r="M423" s="231" t="s">
        <v>242</v>
      </c>
      <c r="N423" s="11" t="s">
        <v>243</v>
      </c>
      <c r="O423" s="341"/>
      <c r="P423" s="339"/>
    </row>
    <row r="424" spans="1:21" ht="33.75" hidden="1">
      <c r="A424" s="333" t="s">
        <v>2155</v>
      </c>
      <c r="B424" s="334" t="s">
        <v>27</v>
      </c>
      <c r="C424" s="335" t="s">
        <v>21</v>
      </c>
      <c r="D424" s="336">
        <v>28448</v>
      </c>
      <c r="E424" s="336">
        <f>估驗單!F415</f>
        <v>28448</v>
      </c>
      <c r="F424" s="390">
        <f t="shared" si="34"/>
        <v>0</v>
      </c>
      <c r="G424" s="336">
        <v>54.56</v>
      </c>
      <c r="H424" s="336"/>
      <c r="I424" s="336">
        <f>ROUND(D424*G424,2)</f>
        <v>1552122.8799999999</v>
      </c>
      <c r="J424" s="336">
        <f>ROUND(E424*G424,2)</f>
        <v>1552122.8799999999</v>
      </c>
      <c r="K424" s="546">
        <f t="shared" si="39"/>
        <v>0</v>
      </c>
      <c r="L424" s="502"/>
      <c r="M424" s="231" t="s">
        <v>2444</v>
      </c>
      <c r="N424" s="11" t="s">
        <v>243</v>
      </c>
      <c r="O424" s="341" t="s">
        <v>2445</v>
      </c>
      <c r="P424" s="339" t="s">
        <v>2446</v>
      </c>
      <c r="Q424" s="362" t="s">
        <v>2356</v>
      </c>
      <c r="S424" s="378" t="s">
        <v>2447</v>
      </c>
      <c r="U424" s="379"/>
    </row>
    <row r="425" spans="1:21" s="363" customFormat="1" ht="67.5" hidden="1">
      <c r="A425" s="343" t="s">
        <v>2156</v>
      </c>
      <c r="B425" s="344" t="s">
        <v>1553</v>
      </c>
      <c r="C425" s="345" t="s">
        <v>2448</v>
      </c>
      <c r="D425" s="340">
        <v>1570</v>
      </c>
      <c r="E425" s="336">
        <f>估驗單!F416</f>
        <v>1570</v>
      </c>
      <c r="F425" s="390">
        <f t="shared" si="34"/>
        <v>0</v>
      </c>
      <c r="G425" s="340">
        <v>1149.42</v>
      </c>
      <c r="H425" s="340"/>
      <c r="I425" s="336">
        <f>ROUND(D425*G425,2)</f>
        <v>1804589.4</v>
      </c>
      <c r="J425" s="336">
        <f>ROUND(E425*G425,2)</f>
        <v>1804589.4</v>
      </c>
      <c r="K425" s="546">
        <f t="shared" si="39"/>
        <v>0</v>
      </c>
      <c r="L425" s="502"/>
      <c r="M425" s="346" t="s">
        <v>242</v>
      </c>
      <c r="N425" s="347" t="s">
        <v>243</v>
      </c>
      <c r="O425" s="354" t="s">
        <v>2449</v>
      </c>
      <c r="P425" s="349" t="s">
        <v>2450</v>
      </c>
      <c r="Q425" s="358" t="s">
        <v>2341</v>
      </c>
    </row>
    <row r="426" spans="1:21" ht="33" hidden="1">
      <c r="A426" s="406" t="s">
        <v>2254</v>
      </c>
      <c r="B426" s="407" t="s">
        <v>1121</v>
      </c>
      <c r="C426" s="408" t="s">
        <v>4</v>
      </c>
      <c r="D426" s="409"/>
      <c r="E426" s="409"/>
      <c r="F426" s="410">
        <f t="shared" si="34"/>
        <v>0</v>
      </c>
      <c r="G426" s="409">
        <f>I426</f>
        <v>10146417.939999999</v>
      </c>
      <c r="H426" s="409"/>
      <c r="I426" s="411">
        <f>SUM(I427:I445)</f>
        <v>10146417.939999999</v>
      </c>
      <c r="J426" s="411">
        <f>SUM(J427:J445)</f>
        <v>10761887.789999999</v>
      </c>
      <c r="K426" s="541">
        <f>SUM(K427:K445)</f>
        <v>615469.85</v>
      </c>
      <c r="L426" s="454">
        <f>SUM(L427:L444)</f>
        <v>0</v>
      </c>
      <c r="M426" s="288" t="s">
        <v>242</v>
      </c>
      <c r="N426" s="11" t="s">
        <v>243</v>
      </c>
      <c r="O426" s="341"/>
      <c r="P426" s="339"/>
    </row>
    <row r="427" spans="1:21" ht="33" hidden="1">
      <c r="A427" s="333" t="s">
        <v>2154</v>
      </c>
      <c r="B427" s="334" t="s">
        <v>1122</v>
      </c>
      <c r="C427" s="335" t="s">
        <v>8</v>
      </c>
      <c r="D427" s="336">
        <v>1294.97</v>
      </c>
      <c r="E427" s="336">
        <f>估驗單!F418</f>
        <v>1294.97</v>
      </c>
      <c r="F427" s="390">
        <f t="shared" si="34"/>
        <v>0</v>
      </c>
      <c r="G427" s="336">
        <v>3662.03</v>
      </c>
      <c r="H427" s="336"/>
      <c r="I427" s="336">
        <f t="shared" ref="I427:I445" si="40">ROUND(D427*G427,2)</f>
        <v>4742218.99</v>
      </c>
      <c r="J427" s="336">
        <f t="shared" ref="J427:J445" si="41">ROUND(E427*G427,2)</f>
        <v>4742218.99</v>
      </c>
      <c r="K427" s="546">
        <f t="shared" si="39"/>
        <v>0</v>
      </c>
      <c r="L427" s="502"/>
      <c r="M427" s="231" t="s">
        <v>2451</v>
      </c>
      <c r="N427" s="11" t="s">
        <v>243</v>
      </c>
      <c r="O427" s="341"/>
      <c r="P427" s="339"/>
    </row>
    <row r="428" spans="1:21" ht="33" hidden="1">
      <c r="A428" s="333" t="s">
        <v>2155</v>
      </c>
      <c r="B428" s="334" t="s">
        <v>1124</v>
      </c>
      <c r="C428" s="335" t="s">
        <v>13</v>
      </c>
      <c r="D428" s="336">
        <v>1840.93</v>
      </c>
      <c r="E428" s="336">
        <f>估驗單!F419</f>
        <v>1840.93</v>
      </c>
      <c r="F428" s="390">
        <f t="shared" si="34"/>
        <v>0</v>
      </c>
      <c r="G428" s="336">
        <v>352.98</v>
      </c>
      <c r="H428" s="336"/>
      <c r="I428" s="336">
        <f t="shared" si="40"/>
        <v>649811.47</v>
      </c>
      <c r="J428" s="336">
        <f t="shared" si="41"/>
        <v>649811.47</v>
      </c>
      <c r="K428" s="546">
        <f t="shared" si="39"/>
        <v>0</v>
      </c>
      <c r="L428" s="502"/>
      <c r="M428" s="231" t="s">
        <v>2452</v>
      </c>
      <c r="N428" s="11" t="s">
        <v>243</v>
      </c>
      <c r="O428" s="341"/>
      <c r="P428" s="339"/>
    </row>
    <row r="429" spans="1:21" ht="33" hidden="1">
      <c r="A429" s="333" t="s">
        <v>2156</v>
      </c>
      <c r="B429" s="334" t="s">
        <v>32</v>
      </c>
      <c r="C429" s="335" t="s">
        <v>7</v>
      </c>
      <c r="D429" s="336">
        <v>59</v>
      </c>
      <c r="E429" s="336">
        <f>估驗單!F420</f>
        <v>59</v>
      </c>
      <c r="F429" s="390">
        <f t="shared" si="34"/>
        <v>0</v>
      </c>
      <c r="G429" s="336">
        <v>217.01</v>
      </c>
      <c r="H429" s="336"/>
      <c r="I429" s="336">
        <f t="shared" si="40"/>
        <v>12803.59</v>
      </c>
      <c r="J429" s="336">
        <f t="shared" si="41"/>
        <v>12803.59</v>
      </c>
      <c r="K429" s="546">
        <f t="shared" si="39"/>
        <v>0</v>
      </c>
      <c r="L429" s="502"/>
      <c r="M429" s="231" t="s">
        <v>242</v>
      </c>
      <c r="N429" s="11" t="s">
        <v>243</v>
      </c>
      <c r="O429" s="341"/>
      <c r="P429" s="339"/>
    </row>
    <row r="430" spans="1:21" ht="33" hidden="1">
      <c r="A430" s="333" t="s">
        <v>2157</v>
      </c>
      <c r="B430" s="334" t="s">
        <v>33</v>
      </c>
      <c r="C430" s="335" t="s">
        <v>5</v>
      </c>
      <c r="D430" s="336">
        <v>30</v>
      </c>
      <c r="E430" s="336">
        <f>估驗單!F421</f>
        <v>30</v>
      </c>
      <c r="F430" s="390">
        <f t="shared" ref="F430:F473" si="42">E430-D430</f>
        <v>0</v>
      </c>
      <c r="G430" s="336">
        <v>50</v>
      </c>
      <c r="H430" s="336"/>
      <c r="I430" s="336">
        <f t="shared" si="40"/>
        <v>1500</v>
      </c>
      <c r="J430" s="336">
        <f t="shared" si="41"/>
        <v>1500</v>
      </c>
      <c r="K430" s="546">
        <f t="shared" si="39"/>
        <v>0</v>
      </c>
      <c r="L430" s="502"/>
      <c r="M430" s="231" t="s">
        <v>242</v>
      </c>
      <c r="N430" s="11" t="s">
        <v>243</v>
      </c>
      <c r="O430" s="341"/>
      <c r="P430" s="339"/>
    </row>
    <row r="431" spans="1:21" ht="33" hidden="1">
      <c r="A431" s="333" t="s">
        <v>2158</v>
      </c>
      <c r="B431" s="334" t="s">
        <v>1128</v>
      </c>
      <c r="C431" s="335" t="s">
        <v>0</v>
      </c>
      <c r="D431" s="336">
        <v>19</v>
      </c>
      <c r="E431" s="336">
        <f>估驗單!F422</f>
        <v>19</v>
      </c>
      <c r="F431" s="390">
        <f t="shared" si="42"/>
        <v>0</v>
      </c>
      <c r="G431" s="336">
        <v>1900.88</v>
      </c>
      <c r="H431" s="336"/>
      <c r="I431" s="336">
        <f t="shared" si="40"/>
        <v>36116.720000000001</v>
      </c>
      <c r="J431" s="336">
        <f t="shared" si="41"/>
        <v>36116.720000000001</v>
      </c>
      <c r="K431" s="546">
        <f t="shared" si="39"/>
        <v>0</v>
      </c>
      <c r="L431" s="502"/>
      <c r="M431" s="231" t="s">
        <v>242</v>
      </c>
      <c r="N431" s="11" t="s">
        <v>243</v>
      </c>
      <c r="O431" s="341"/>
      <c r="P431" s="339"/>
    </row>
    <row r="432" spans="1:21" ht="33" hidden="1">
      <c r="A432" s="333" t="s">
        <v>2159</v>
      </c>
      <c r="B432" s="334" t="s">
        <v>1130</v>
      </c>
      <c r="C432" s="335" t="s">
        <v>0</v>
      </c>
      <c r="D432" s="336">
        <v>10</v>
      </c>
      <c r="E432" s="336">
        <f>估驗單!F423</f>
        <v>10</v>
      </c>
      <c r="F432" s="390">
        <f t="shared" si="42"/>
        <v>0</v>
      </c>
      <c r="G432" s="336">
        <v>1230.67</v>
      </c>
      <c r="H432" s="336"/>
      <c r="I432" s="336">
        <f t="shared" si="40"/>
        <v>12306.7</v>
      </c>
      <c r="J432" s="336">
        <f t="shared" si="41"/>
        <v>12306.7</v>
      </c>
      <c r="K432" s="546">
        <f t="shared" si="39"/>
        <v>0</v>
      </c>
      <c r="L432" s="502"/>
      <c r="M432" s="231" t="s">
        <v>242</v>
      </c>
      <c r="N432" s="11" t="s">
        <v>243</v>
      </c>
      <c r="O432" s="341"/>
      <c r="P432" s="339"/>
    </row>
    <row r="433" spans="1:17" ht="33" hidden="1">
      <c r="A433" s="333" t="s">
        <v>2160</v>
      </c>
      <c r="B433" s="334" t="s">
        <v>30</v>
      </c>
      <c r="C433" s="335" t="s">
        <v>0</v>
      </c>
      <c r="D433" s="336">
        <v>577</v>
      </c>
      <c r="E433" s="336">
        <f>估驗單!F424</f>
        <v>577</v>
      </c>
      <c r="F433" s="390">
        <f t="shared" si="42"/>
        <v>0</v>
      </c>
      <c r="G433" s="336">
        <v>1666.03</v>
      </c>
      <c r="H433" s="336"/>
      <c r="I433" s="336">
        <f t="shared" si="40"/>
        <v>961299.31</v>
      </c>
      <c r="J433" s="336">
        <f t="shared" si="41"/>
        <v>961299.31</v>
      </c>
      <c r="K433" s="546">
        <f t="shared" si="39"/>
        <v>0</v>
      </c>
      <c r="L433" s="502"/>
      <c r="M433" s="231" t="s">
        <v>242</v>
      </c>
      <c r="N433" s="11" t="s">
        <v>243</v>
      </c>
      <c r="O433" s="341"/>
      <c r="P433" s="339"/>
    </row>
    <row r="434" spans="1:17" ht="33" hidden="1">
      <c r="A434" s="503" t="s">
        <v>2161</v>
      </c>
      <c r="B434" s="504" t="s">
        <v>1133</v>
      </c>
      <c r="C434" s="505" t="s">
        <v>0</v>
      </c>
      <c r="D434" s="506">
        <v>2</v>
      </c>
      <c r="E434" s="506">
        <f>估驗單!F425</f>
        <v>3</v>
      </c>
      <c r="F434" s="507">
        <f t="shared" si="42"/>
        <v>1</v>
      </c>
      <c r="G434" s="506">
        <v>48510.35</v>
      </c>
      <c r="H434" s="506"/>
      <c r="I434" s="506">
        <f t="shared" si="40"/>
        <v>97020.7</v>
      </c>
      <c r="J434" s="506">
        <f t="shared" si="41"/>
        <v>145531.04999999999</v>
      </c>
      <c r="K434" s="547">
        <f t="shared" si="39"/>
        <v>48510.349999999991</v>
      </c>
      <c r="L434" s="510"/>
      <c r="M434" s="508" t="s">
        <v>242</v>
      </c>
      <c r="N434" s="11" t="s">
        <v>243</v>
      </c>
      <c r="O434" s="341" t="s">
        <v>2626</v>
      </c>
      <c r="P434" s="339"/>
    </row>
    <row r="435" spans="1:17" ht="71.25" hidden="1">
      <c r="A435" s="333" t="s">
        <v>2162</v>
      </c>
      <c r="B435" s="334" t="s">
        <v>28</v>
      </c>
      <c r="C435" s="335" t="s">
        <v>22</v>
      </c>
      <c r="D435" s="336">
        <v>19</v>
      </c>
      <c r="E435" s="336">
        <f>估驗單!F426</f>
        <v>19</v>
      </c>
      <c r="F435" s="390">
        <f t="shared" si="42"/>
        <v>0</v>
      </c>
      <c r="G435" s="336">
        <v>587.07000000000005</v>
      </c>
      <c r="H435" s="336"/>
      <c r="I435" s="336">
        <f t="shared" si="40"/>
        <v>11154.33</v>
      </c>
      <c r="J435" s="336">
        <f t="shared" si="41"/>
        <v>11154.33</v>
      </c>
      <c r="K435" s="546">
        <f t="shared" si="39"/>
        <v>0</v>
      </c>
      <c r="L435" s="502"/>
      <c r="M435" s="231" t="s">
        <v>2453</v>
      </c>
      <c r="N435" s="11" t="s">
        <v>243</v>
      </c>
      <c r="O435" s="341"/>
      <c r="P435" s="339"/>
    </row>
    <row r="436" spans="1:17" ht="33" hidden="1">
      <c r="A436" s="333" t="s">
        <v>2163</v>
      </c>
      <c r="B436" s="334" t="s">
        <v>1136</v>
      </c>
      <c r="C436" s="335" t="s">
        <v>7</v>
      </c>
      <c r="D436" s="336">
        <v>19</v>
      </c>
      <c r="E436" s="336">
        <f>估驗單!F427</f>
        <v>19</v>
      </c>
      <c r="F436" s="390">
        <f t="shared" si="42"/>
        <v>0</v>
      </c>
      <c r="G436" s="336">
        <v>664.14</v>
      </c>
      <c r="H436" s="336"/>
      <c r="I436" s="336">
        <f t="shared" si="40"/>
        <v>12618.66</v>
      </c>
      <c r="J436" s="336">
        <f t="shared" si="41"/>
        <v>12618.66</v>
      </c>
      <c r="K436" s="546">
        <f t="shared" si="39"/>
        <v>0</v>
      </c>
      <c r="L436" s="502"/>
      <c r="M436" s="231" t="s">
        <v>242</v>
      </c>
      <c r="N436" s="11" t="s">
        <v>243</v>
      </c>
      <c r="O436" s="341"/>
      <c r="P436" s="339"/>
    </row>
    <row r="437" spans="1:17" ht="33" hidden="1">
      <c r="A437" s="333" t="s">
        <v>2164</v>
      </c>
      <c r="B437" s="334" t="s">
        <v>1138</v>
      </c>
      <c r="C437" s="335" t="s">
        <v>1139</v>
      </c>
      <c r="D437" s="336">
        <v>2</v>
      </c>
      <c r="E437" s="336">
        <f>估驗單!F428</f>
        <v>2</v>
      </c>
      <c r="F437" s="390">
        <f t="shared" si="42"/>
        <v>0</v>
      </c>
      <c r="G437" s="336">
        <v>9999.4500000000007</v>
      </c>
      <c r="H437" s="336"/>
      <c r="I437" s="336">
        <f t="shared" si="40"/>
        <v>19998.900000000001</v>
      </c>
      <c r="J437" s="336">
        <f t="shared" si="41"/>
        <v>19998.900000000001</v>
      </c>
      <c r="K437" s="546">
        <f t="shared" si="39"/>
        <v>0</v>
      </c>
      <c r="L437" s="502"/>
      <c r="M437" s="231" t="s">
        <v>242</v>
      </c>
      <c r="N437" s="11" t="s">
        <v>243</v>
      </c>
      <c r="O437" s="341"/>
      <c r="P437" s="339"/>
    </row>
    <row r="438" spans="1:17" ht="33" hidden="1">
      <c r="A438" s="333" t="s">
        <v>2165</v>
      </c>
      <c r="B438" s="334" t="s">
        <v>1142</v>
      </c>
      <c r="C438" s="335" t="s">
        <v>8</v>
      </c>
      <c r="D438" s="336">
        <v>698.15</v>
      </c>
      <c r="E438" s="336">
        <f>估驗單!F429</f>
        <v>698.15</v>
      </c>
      <c r="F438" s="390">
        <f t="shared" si="42"/>
        <v>0</v>
      </c>
      <c r="G438" s="336">
        <v>209.99</v>
      </c>
      <c r="H438" s="336"/>
      <c r="I438" s="336">
        <f t="shared" si="40"/>
        <v>146604.51999999999</v>
      </c>
      <c r="J438" s="336">
        <f t="shared" si="41"/>
        <v>146604.51999999999</v>
      </c>
      <c r="K438" s="546">
        <f t="shared" si="39"/>
        <v>0</v>
      </c>
      <c r="L438" s="502"/>
      <c r="M438" s="231" t="s">
        <v>2454</v>
      </c>
      <c r="N438" s="11" t="s">
        <v>243</v>
      </c>
      <c r="O438" s="341"/>
      <c r="P438" s="339"/>
    </row>
    <row r="439" spans="1:17" ht="33" hidden="1">
      <c r="A439" s="333" t="s">
        <v>2166</v>
      </c>
      <c r="B439" s="334" t="s">
        <v>1145</v>
      </c>
      <c r="C439" s="335" t="s">
        <v>8</v>
      </c>
      <c r="D439" s="336">
        <v>2498.77</v>
      </c>
      <c r="E439" s="336">
        <f>估驗單!F430</f>
        <v>2498.77</v>
      </c>
      <c r="F439" s="390">
        <f t="shared" si="42"/>
        <v>0</v>
      </c>
      <c r="G439" s="336">
        <v>299.98</v>
      </c>
      <c r="H439" s="336"/>
      <c r="I439" s="336">
        <f t="shared" si="40"/>
        <v>749581.02</v>
      </c>
      <c r="J439" s="336">
        <f t="shared" si="41"/>
        <v>749581.02</v>
      </c>
      <c r="K439" s="546">
        <f t="shared" si="39"/>
        <v>0</v>
      </c>
      <c r="L439" s="502"/>
      <c r="M439" s="231" t="s">
        <v>242</v>
      </c>
      <c r="N439" s="11" t="s">
        <v>243</v>
      </c>
      <c r="O439" s="341"/>
      <c r="P439" s="339"/>
    </row>
    <row r="440" spans="1:17" ht="33" hidden="1">
      <c r="A440" s="333" t="s">
        <v>2167</v>
      </c>
      <c r="B440" s="334" t="s">
        <v>1148</v>
      </c>
      <c r="C440" s="335" t="s">
        <v>8</v>
      </c>
      <c r="D440" s="336">
        <v>1396.3</v>
      </c>
      <c r="E440" s="336">
        <f>估驗單!F431</f>
        <v>1396.3</v>
      </c>
      <c r="F440" s="390">
        <f t="shared" si="42"/>
        <v>0</v>
      </c>
      <c r="G440" s="336">
        <v>199.99</v>
      </c>
      <c r="H440" s="336"/>
      <c r="I440" s="336">
        <f t="shared" si="40"/>
        <v>279246.03999999998</v>
      </c>
      <c r="J440" s="336">
        <f t="shared" si="41"/>
        <v>279246.03999999998</v>
      </c>
      <c r="K440" s="546">
        <f t="shared" si="39"/>
        <v>0</v>
      </c>
      <c r="L440" s="502"/>
      <c r="M440" s="231" t="s">
        <v>242</v>
      </c>
      <c r="N440" s="11" t="s">
        <v>243</v>
      </c>
      <c r="O440" s="341"/>
      <c r="P440" s="339"/>
    </row>
    <row r="441" spans="1:17" ht="33" hidden="1">
      <c r="A441" s="333" t="s">
        <v>2168</v>
      </c>
      <c r="B441" s="334" t="s">
        <v>1151</v>
      </c>
      <c r="C441" s="335" t="s">
        <v>4</v>
      </c>
      <c r="D441" s="336">
        <v>1</v>
      </c>
      <c r="E441" s="336">
        <f>估驗單!F432</f>
        <v>1</v>
      </c>
      <c r="F441" s="390">
        <f t="shared" si="42"/>
        <v>0</v>
      </c>
      <c r="G441" s="336">
        <v>21835.68</v>
      </c>
      <c r="H441" s="336"/>
      <c r="I441" s="336">
        <f t="shared" si="40"/>
        <v>21835.68</v>
      </c>
      <c r="J441" s="336">
        <f t="shared" si="41"/>
        <v>21835.68</v>
      </c>
      <c r="K441" s="546">
        <f t="shared" si="39"/>
        <v>0</v>
      </c>
      <c r="L441" s="502"/>
      <c r="M441" s="231" t="s">
        <v>242</v>
      </c>
      <c r="N441" s="11" t="s">
        <v>243</v>
      </c>
      <c r="O441" s="341"/>
      <c r="P441" s="339"/>
    </row>
    <row r="442" spans="1:17" ht="42.75" hidden="1">
      <c r="A442" s="333" t="s">
        <v>2169</v>
      </c>
      <c r="B442" s="334" t="s">
        <v>1556</v>
      </c>
      <c r="C442" s="335" t="s">
        <v>8</v>
      </c>
      <c r="D442" s="336">
        <v>355</v>
      </c>
      <c r="E442" s="336">
        <f>估驗單!F433</f>
        <v>355</v>
      </c>
      <c r="F442" s="390">
        <f t="shared" si="42"/>
        <v>0</v>
      </c>
      <c r="G442" s="336">
        <v>1859.79</v>
      </c>
      <c r="H442" s="336"/>
      <c r="I442" s="336">
        <f t="shared" si="40"/>
        <v>660225.44999999995</v>
      </c>
      <c r="J442" s="336">
        <f t="shared" si="41"/>
        <v>660225.44999999995</v>
      </c>
      <c r="K442" s="546">
        <f t="shared" si="39"/>
        <v>0</v>
      </c>
      <c r="L442" s="502"/>
      <c r="M442" s="231" t="s">
        <v>2455</v>
      </c>
      <c r="N442" s="11" t="s">
        <v>243</v>
      </c>
      <c r="O442" s="341"/>
      <c r="P442" s="339"/>
    </row>
    <row r="443" spans="1:17" s="352" customFormat="1" ht="114" hidden="1">
      <c r="A443" s="343">
        <v>17</v>
      </c>
      <c r="B443" s="344" t="s">
        <v>29</v>
      </c>
      <c r="C443" s="345" t="s">
        <v>8</v>
      </c>
      <c r="D443" s="340">
        <v>465</v>
      </c>
      <c r="E443" s="336">
        <f>估驗單!F434</f>
        <v>465</v>
      </c>
      <c r="F443" s="390">
        <f t="shared" si="42"/>
        <v>0</v>
      </c>
      <c r="G443" s="340">
        <v>293.70999999999998</v>
      </c>
      <c r="H443" s="340"/>
      <c r="I443" s="336">
        <f t="shared" si="40"/>
        <v>136575.15</v>
      </c>
      <c r="J443" s="336">
        <f t="shared" si="41"/>
        <v>136575.15</v>
      </c>
      <c r="K443" s="546">
        <f t="shared" si="39"/>
        <v>0</v>
      </c>
      <c r="L443" s="502"/>
      <c r="M443" s="346" t="s">
        <v>2456</v>
      </c>
      <c r="N443" s="347" t="s">
        <v>243</v>
      </c>
      <c r="O443" s="348" t="s">
        <v>2457</v>
      </c>
      <c r="P443" s="349" t="s">
        <v>2458</v>
      </c>
      <c r="Q443" s="342" t="s">
        <v>2318</v>
      </c>
    </row>
    <row r="444" spans="1:17" s="352" customFormat="1" ht="78.75" hidden="1">
      <c r="A444" s="512" t="s">
        <v>2171</v>
      </c>
      <c r="B444" s="513" t="s">
        <v>2459</v>
      </c>
      <c r="C444" s="514" t="s">
        <v>16</v>
      </c>
      <c r="D444" s="515">
        <v>4920</v>
      </c>
      <c r="E444" s="506">
        <f>估驗單!F435</f>
        <v>6945</v>
      </c>
      <c r="F444" s="507">
        <f t="shared" si="42"/>
        <v>2025</v>
      </c>
      <c r="G444" s="515">
        <v>279.98</v>
      </c>
      <c r="H444" s="515"/>
      <c r="I444" s="506">
        <f t="shared" si="40"/>
        <v>1377501.6</v>
      </c>
      <c r="J444" s="506">
        <f t="shared" si="41"/>
        <v>1944461.1</v>
      </c>
      <c r="K444" s="547">
        <f t="shared" si="39"/>
        <v>566959.5</v>
      </c>
      <c r="L444" s="510"/>
      <c r="M444" s="528" t="s">
        <v>2460</v>
      </c>
      <c r="N444" s="347" t="s">
        <v>243</v>
      </c>
      <c r="O444" s="348" t="s">
        <v>2461</v>
      </c>
      <c r="P444" s="349" t="s">
        <v>2462</v>
      </c>
      <c r="Q444" s="342" t="s">
        <v>2318</v>
      </c>
    </row>
    <row r="445" spans="1:17" s="352" customFormat="1" ht="28.5" hidden="1" customHeight="1">
      <c r="A445" s="495">
        <v>19</v>
      </c>
      <c r="B445" s="496" t="s">
        <v>2585</v>
      </c>
      <c r="C445" s="497" t="s">
        <v>4</v>
      </c>
      <c r="D445" s="498">
        <v>1</v>
      </c>
      <c r="E445" s="430">
        <v>1</v>
      </c>
      <c r="F445" s="431"/>
      <c r="G445" s="498">
        <v>217999.11</v>
      </c>
      <c r="H445" s="498"/>
      <c r="I445" s="336">
        <f t="shared" si="40"/>
        <v>217999.11</v>
      </c>
      <c r="J445" s="336">
        <f t="shared" si="41"/>
        <v>217999.11</v>
      </c>
      <c r="K445" s="546">
        <f t="shared" si="39"/>
        <v>0</v>
      </c>
      <c r="L445" s="536"/>
      <c r="M445" s="499"/>
      <c r="N445" s="347"/>
      <c r="O445" s="348"/>
      <c r="P445" s="349"/>
      <c r="Q445" s="342"/>
    </row>
    <row r="446" spans="1:17" ht="33" hidden="1">
      <c r="A446" s="406" t="s">
        <v>2255</v>
      </c>
      <c r="B446" s="407" t="s">
        <v>34</v>
      </c>
      <c r="C446" s="408" t="s">
        <v>4</v>
      </c>
      <c r="D446" s="409"/>
      <c r="E446" s="409"/>
      <c r="F446" s="410">
        <f t="shared" si="42"/>
        <v>0</v>
      </c>
      <c r="G446" s="409">
        <f>I446</f>
        <v>3112577.47</v>
      </c>
      <c r="H446" s="409"/>
      <c r="I446" s="409">
        <f>SUM(I447:I465)</f>
        <v>3112577.47</v>
      </c>
      <c r="J446" s="409">
        <f>SUM(J447:J465)</f>
        <v>3112577.47</v>
      </c>
      <c r="K446" s="542">
        <f>SUM(K447:K465)</f>
        <v>0</v>
      </c>
      <c r="L446" s="452">
        <f>SUM(L447:L465)</f>
        <v>0</v>
      </c>
      <c r="M446" s="288"/>
      <c r="N446" s="11" t="s">
        <v>243</v>
      </c>
      <c r="O446" s="341"/>
      <c r="P446" s="339"/>
    </row>
    <row r="447" spans="1:17" ht="33" hidden="1">
      <c r="A447" s="333" t="s">
        <v>2154</v>
      </c>
      <c r="B447" s="334" t="s">
        <v>146</v>
      </c>
      <c r="C447" s="335" t="s">
        <v>1007</v>
      </c>
      <c r="D447" s="336">
        <v>10</v>
      </c>
      <c r="E447" s="336">
        <f>估驗單!F438</f>
        <v>10</v>
      </c>
      <c r="F447" s="390">
        <f t="shared" si="42"/>
        <v>0</v>
      </c>
      <c r="G447" s="336">
        <v>770</v>
      </c>
      <c r="H447" s="336"/>
      <c r="I447" s="336">
        <f t="shared" ref="I447:I465" si="43">ROUND(D447*G447,2)</f>
        <v>7700</v>
      </c>
      <c r="J447" s="336">
        <f t="shared" ref="J447:J465" si="44">ROUND(E447*G447,2)</f>
        <v>7700</v>
      </c>
      <c r="K447" s="546">
        <f t="shared" si="39"/>
        <v>0</v>
      </c>
      <c r="L447" s="502"/>
      <c r="M447" s="231" t="s">
        <v>242</v>
      </c>
      <c r="N447" s="11" t="s">
        <v>243</v>
      </c>
      <c r="O447" s="341"/>
      <c r="P447" s="339"/>
    </row>
    <row r="448" spans="1:17" ht="33" hidden="1">
      <c r="A448" s="333" t="s">
        <v>2155</v>
      </c>
      <c r="B448" s="334" t="s">
        <v>145</v>
      </c>
      <c r="C448" s="335" t="s">
        <v>1</v>
      </c>
      <c r="D448" s="336">
        <v>100</v>
      </c>
      <c r="E448" s="336">
        <f>估驗單!F439</f>
        <v>100</v>
      </c>
      <c r="F448" s="390">
        <f t="shared" si="42"/>
        <v>0</v>
      </c>
      <c r="G448" s="336">
        <v>201</v>
      </c>
      <c r="H448" s="336"/>
      <c r="I448" s="336">
        <f t="shared" si="43"/>
        <v>20100</v>
      </c>
      <c r="J448" s="336">
        <f t="shared" si="44"/>
        <v>20100</v>
      </c>
      <c r="K448" s="546">
        <f t="shared" si="39"/>
        <v>0</v>
      </c>
      <c r="L448" s="502"/>
      <c r="M448" s="231" t="s">
        <v>242</v>
      </c>
      <c r="N448" s="11" t="s">
        <v>243</v>
      </c>
      <c r="O448" s="341"/>
      <c r="P448" s="339"/>
    </row>
    <row r="449" spans="1:16" ht="33" hidden="1">
      <c r="A449" s="333" t="s">
        <v>2156</v>
      </c>
      <c r="B449" s="334" t="s">
        <v>144</v>
      </c>
      <c r="C449" s="335" t="s">
        <v>9</v>
      </c>
      <c r="D449" s="336">
        <v>50</v>
      </c>
      <c r="E449" s="336">
        <f>估驗單!F440</f>
        <v>50</v>
      </c>
      <c r="F449" s="390">
        <f t="shared" si="42"/>
        <v>0</v>
      </c>
      <c r="G449" s="336">
        <v>300</v>
      </c>
      <c r="H449" s="336"/>
      <c r="I449" s="336">
        <f t="shared" si="43"/>
        <v>15000</v>
      </c>
      <c r="J449" s="336">
        <f t="shared" si="44"/>
        <v>15000</v>
      </c>
      <c r="K449" s="546">
        <f t="shared" si="39"/>
        <v>0</v>
      </c>
      <c r="L449" s="502"/>
      <c r="M449" s="231" t="s">
        <v>242</v>
      </c>
      <c r="N449" s="11" t="s">
        <v>243</v>
      </c>
      <c r="O449" s="341"/>
      <c r="P449" s="339"/>
    </row>
    <row r="450" spans="1:16" s="325" customFormat="1" ht="33" hidden="1">
      <c r="A450" s="333" t="s">
        <v>2157</v>
      </c>
      <c r="B450" s="334" t="s">
        <v>35</v>
      </c>
      <c r="C450" s="335" t="s">
        <v>15</v>
      </c>
      <c r="D450" s="336">
        <v>75</v>
      </c>
      <c r="E450" s="336">
        <f>估驗單!F441</f>
        <v>75</v>
      </c>
      <c r="F450" s="390">
        <f t="shared" si="42"/>
        <v>0</v>
      </c>
      <c r="G450" s="336">
        <v>650</v>
      </c>
      <c r="H450" s="336"/>
      <c r="I450" s="336">
        <f t="shared" si="43"/>
        <v>48750</v>
      </c>
      <c r="J450" s="336">
        <f t="shared" si="44"/>
        <v>48750</v>
      </c>
      <c r="K450" s="546">
        <f t="shared" si="39"/>
        <v>0</v>
      </c>
      <c r="L450" s="502"/>
      <c r="M450" s="231" t="s">
        <v>242</v>
      </c>
      <c r="N450" s="11" t="s">
        <v>243</v>
      </c>
      <c r="O450" s="341"/>
      <c r="P450" s="339"/>
    </row>
    <row r="451" spans="1:16" s="325" customFormat="1" ht="33" hidden="1">
      <c r="A451" s="333" t="s">
        <v>2158</v>
      </c>
      <c r="B451" s="334" t="s">
        <v>2479</v>
      </c>
      <c r="C451" s="335" t="s">
        <v>3</v>
      </c>
      <c r="D451" s="336">
        <v>200</v>
      </c>
      <c r="E451" s="336">
        <f>估驗單!F442</f>
        <v>200</v>
      </c>
      <c r="F451" s="390">
        <f t="shared" si="42"/>
        <v>0</v>
      </c>
      <c r="G451" s="336">
        <v>28</v>
      </c>
      <c r="H451" s="336"/>
      <c r="I451" s="336">
        <f t="shared" si="43"/>
        <v>5600</v>
      </c>
      <c r="J451" s="336">
        <f t="shared" si="44"/>
        <v>5600</v>
      </c>
      <c r="K451" s="546">
        <f t="shared" si="39"/>
        <v>0</v>
      </c>
      <c r="L451" s="502"/>
      <c r="M451" s="231"/>
      <c r="N451" s="11" t="s">
        <v>243</v>
      </c>
      <c r="O451" s="341" t="s">
        <v>2627</v>
      </c>
      <c r="P451" s="339"/>
    </row>
    <row r="452" spans="1:16" s="325" customFormat="1" ht="33" hidden="1">
      <c r="A452" s="333" t="s">
        <v>2159</v>
      </c>
      <c r="B452" s="334" t="s">
        <v>36</v>
      </c>
      <c r="C452" s="335" t="s">
        <v>3</v>
      </c>
      <c r="D452" s="336">
        <v>100</v>
      </c>
      <c r="E452" s="336">
        <f>估驗單!F443</f>
        <v>100</v>
      </c>
      <c r="F452" s="390">
        <f t="shared" si="42"/>
        <v>0</v>
      </c>
      <c r="G452" s="336">
        <v>500</v>
      </c>
      <c r="H452" s="336"/>
      <c r="I452" s="336">
        <f t="shared" si="43"/>
        <v>50000</v>
      </c>
      <c r="J452" s="336">
        <f t="shared" si="44"/>
        <v>50000</v>
      </c>
      <c r="K452" s="546">
        <f t="shared" si="39"/>
        <v>0</v>
      </c>
      <c r="L452" s="502"/>
      <c r="M452" s="231" t="s">
        <v>242</v>
      </c>
      <c r="N452" s="11" t="s">
        <v>243</v>
      </c>
      <c r="O452" s="341"/>
      <c r="P452" s="339"/>
    </row>
    <row r="453" spans="1:16" s="325" customFormat="1" ht="33" hidden="1">
      <c r="A453" s="333" t="s">
        <v>2160</v>
      </c>
      <c r="B453" s="334" t="s">
        <v>2478</v>
      </c>
      <c r="C453" s="335" t="s">
        <v>18</v>
      </c>
      <c r="D453" s="336">
        <v>75</v>
      </c>
      <c r="E453" s="336">
        <f>估驗單!F444</f>
        <v>75</v>
      </c>
      <c r="F453" s="418">
        <f t="shared" si="42"/>
        <v>0</v>
      </c>
      <c r="G453" s="336">
        <v>280</v>
      </c>
      <c r="H453" s="336"/>
      <c r="I453" s="336">
        <f t="shared" si="43"/>
        <v>21000</v>
      </c>
      <c r="J453" s="336">
        <f t="shared" si="44"/>
        <v>21000</v>
      </c>
      <c r="K453" s="546">
        <f t="shared" si="39"/>
        <v>0</v>
      </c>
      <c r="L453" s="453"/>
      <c r="M453" s="231" t="s">
        <v>242</v>
      </c>
      <c r="N453" s="11" t="s">
        <v>243</v>
      </c>
      <c r="O453" s="341"/>
      <c r="P453" s="339"/>
    </row>
    <row r="454" spans="1:16" s="325" customFormat="1" ht="42.75" hidden="1">
      <c r="A454" s="333" t="s">
        <v>2161</v>
      </c>
      <c r="B454" s="334" t="s">
        <v>37</v>
      </c>
      <c r="C454" s="335" t="s">
        <v>18</v>
      </c>
      <c r="D454" s="336">
        <v>50</v>
      </c>
      <c r="E454" s="336">
        <f>估驗單!F445</f>
        <v>50</v>
      </c>
      <c r="F454" s="390">
        <f t="shared" si="42"/>
        <v>0</v>
      </c>
      <c r="G454" s="336">
        <v>350</v>
      </c>
      <c r="H454" s="336"/>
      <c r="I454" s="336">
        <f t="shared" si="43"/>
        <v>17500</v>
      </c>
      <c r="J454" s="336">
        <f t="shared" si="44"/>
        <v>17500</v>
      </c>
      <c r="K454" s="546">
        <f t="shared" si="39"/>
        <v>0</v>
      </c>
      <c r="L454" s="502"/>
      <c r="M454" s="231" t="s">
        <v>242</v>
      </c>
      <c r="N454" s="11" t="s">
        <v>243</v>
      </c>
      <c r="O454" s="341"/>
      <c r="P454" s="339"/>
    </row>
    <row r="455" spans="1:16" s="325" customFormat="1" ht="33" hidden="1">
      <c r="A455" s="333" t="s">
        <v>2162</v>
      </c>
      <c r="B455" s="334" t="s">
        <v>1162</v>
      </c>
      <c r="C455" s="335" t="s">
        <v>15</v>
      </c>
      <c r="D455" s="336">
        <v>10</v>
      </c>
      <c r="E455" s="336">
        <f>估驗單!F446</f>
        <v>10</v>
      </c>
      <c r="F455" s="390">
        <f t="shared" si="42"/>
        <v>0</v>
      </c>
      <c r="G455" s="336">
        <v>560</v>
      </c>
      <c r="H455" s="336"/>
      <c r="I455" s="336">
        <f t="shared" si="43"/>
        <v>5600</v>
      </c>
      <c r="J455" s="336">
        <f t="shared" si="44"/>
        <v>5600</v>
      </c>
      <c r="K455" s="546">
        <f t="shared" si="39"/>
        <v>0</v>
      </c>
      <c r="L455" s="502"/>
      <c r="M455" s="231" t="s">
        <v>242</v>
      </c>
      <c r="N455" s="11" t="s">
        <v>243</v>
      </c>
      <c r="O455" s="341"/>
      <c r="P455" s="339"/>
    </row>
    <row r="456" spans="1:16" s="325" customFormat="1" ht="33" hidden="1">
      <c r="A456" s="333" t="s">
        <v>2163</v>
      </c>
      <c r="B456" s="334" t="s">
        <v>38</v>
      </c>
      <c r="C456" s="335" t="s">
        <v>7</v>
      </c>
      <c r="D456" s="336">
        <v>4</v>
      </c>
      <c r="E456" s="336">
        <f>估驗單!F447</f>
        <v>4</v>
      </c>
      <c r="F456" s="390">
        <f t="shared" si="42"/>
        <v>0</v>
      </c>
      <c r="G456" s="336">
        <v>250</v>
      </c>
      <c r="H456" s="336"/>
      <c r="I456" s="336">
        <f t="shared" si="43"/>
        <v>1000</v>
      </c>
      <c r="J456" s="336">
        <f t="shared" si="44"/>
        <v>1000</v>
      </c>
      <c r="K456" s="546">
        <f t="shared" si="39"/>
        <v>0</v>
      </c>
      <c r="L456" s="502"/>
      <c r="M456" s="231" t="s">
        <v>242</v>
      </c>
      <c r="N456" s="11" t="s">
        <v>243</v>
      </c>
      <c r="O456" s="341"/>
      <c r="P456" s="339"/>
    </row>
    <row r="457" spans="1:16" s="325" customFormat="1" ht="33" hidden="1">
      <c r="A457" s="333" t="s">
        <v>2164</v>
      </c>
      <c r="B457" s="334" t="s">
        <v>1165</v>
      </c>
      <c r="C457" s="335" t="s">
        <v>15</v>
      </c>
      <c r="D457" s="336">
        <v>5</v>
      </c>
      <c r="E457" s="336">
        <f>估驗單!F448</f>
        <v>5</v>
      </c>
      <c r="F457" s="390">
        <f t="shared" si="42"/>
        <v>0</v>
      </c>
      <c r="G457" s="336">
        <v>8300</v>
      </c>
      <c r="H457" s="336"/>
      <c r="I457" s="336">
        <f t="shared" si="43"/>
        <v>41500</v>
      </c>
      <c r="J457" s="336">
        <f t="shared" si="44"/>
        <v>41500</v>
      </c>
      <c r="K457" s="546">
        <f t="shared" si="39"/>
        <v>0</v>
      </c>
      <c r="L457" s="502"/>
      <c r="M457" s="231" t="s">
        <v>242</v>
      </c>
      <c r="N457" s="11" t="s">
        <v>243</v>
      </c>
      <c r="O457" s="341"/>
      <c r="P457" s="339"/>
    </row>
    <row r="458" spans="1:16" s="325" customFormat="1" ht="33" hidden="1">
      <c r="A458" s="333" t="s">
        <v>2165</v>
      </c>
      <c r="B458" s="334" t="s">
        <v>1168</v>
      </c>
      <c r="C458" s="335" t="s">
        <v>15</v>
      </c>
      <c r="D458" s="336">
        <v>5</v>
      </c>
      <c r="E458" s="336">
        <f>估驗單!F449</f>
        <v>5</v>
      </c>
      <c r="F458" s="390">
        <f t="shared" si="42"/>
        <v>0</v>
      </c>
      <c r="G458" s="336">
        <v>1160</v>
      </c>
      <c r="H458" s="336"/>
      <c r="I458" s="336">
        <f t="shared" si="43"/>
        <v>5800</v>
      </c>
      <c r="J458" s="336">
        <f t="shared" si="44"/>
        <v>5800</v>
      </c>
      <c r="K458" s="546">
        <f t="shared" si="39"/>
        <v>0</v>
      </c>
      <c r="L458" s="502"/>
      <c r="M458" s="231" t="s">
        <v>242</v>
      </c>
      <c r="N458" s="11" t="s">
        <v>243</v>
      </c>
      <c r="O458" s="341"/>
      <c r="P458" s="339"/>
    </row>
    <row r="459" spans="1:16" s="325" customFormat="1" ht="33" hidden="1">
      <c r="A459" s="333" t="s">
        <v>2166</v>
      </c>
      <c r="B459" s="334" t="s">
        <v>1171</v>
      </c>
      <c r="C459" s="335" t="s">
        <v>15</v>
      </c>
      <c r="D459" s="336">
        <v>5</v>
      </c>
      <c r="E459" s="336">
        <f>估驗單!F450</f>
        <v>5</v>
      </c>
      <c r="F459" s="390">
        <f t="shared" si="42"/>
        <v>0</v>
      </c>
      <c r="G459" s="336">
        <v>600</v>
      </c>
      <c r="H459" s="336"/>
      <c r="I459" s="336">
        <f t="shared" si="43"/>
        <v>3000</v>
      </c>
      <c r="J459" s="336">
        <f t="shared" si="44"/>
        <v>3000</v>
      </c>
      <c r="K459" s="546">
        <f t="shared" si="39"/>
        <v>0</v>
      </c>
      <c r="L459" s="502"/>
      <c r="M459" s="231" t="s">
        <v>242</v>
      </c>
      <c r="N459" s="11" t="s">
        <v>243</v>
      </c>
      <c r="O459" s="341"/>
      <c r="P459" s="339"/>
    </row>
    <row r="460" spans="1:16" s="325" customFormat="1" ht="33" hidden="1">
      <c r="A460" s="333" t="s">
        <v>2167</v>
      </c>
      <c r="B460" s="334" t="s">
        <v>1174</v>
      </c>
      <c r="C460" s="335" t="s">
        <v>15</v>
      </c>
      <c r="D460" s="336">
        <v>5</v>
      </c>
      <c r="E460" s="336">
        <f>估驗單!F451</f>
        <v>5</v>
      </c>
      <c r="F460" s="390">
        <f t="shared" si="42"/>
        <v>0</v>
      </c>
      <c r="G460" s="336">
        <v>1800</v>
      </c>
      <c r="H460" s="336"/>
      <c r="I460" s="336">
        <f t="shared" si="43"/>
        <v>9000</v>
      </c>
      <c r="J460" s="336">
        <f t="shared" si="44"/>
        <v>9000</v>
      </c>
      <c r="K460" s="546">
        <f t="shared" si="39"/>
        <v>0</v>
      </c>
      <c r="L460" s="502"/>
      <c r="M460" s="231" t="s">
        <v>242</v>
      </c>
      <c r="N460" s="11" t="s">
        <v>243</v>
      </c>
      <c r="O460" s="341"/>
      <c r="P460" s="339"/>
    </row>
    <row r="461" spans="1:16" s="325" customFormat="1" ht="33" hidden="1">
      <c r="A461" s="333" t="s">
        <v>2168</v>
      </c>
      <c r="B461" s="334" t="s">
        <v>1177</v>
      </c>
      <c r="C461" s="335" t="s">
        <v>15</v>
      </c>
      <c r="D461" s="336">
        <v>80</v>
      </c>
      <c r="E461" s="336">
        <f>估驗單!F452</f>
        <v>80</v>
      </c>
      <c r="F461" s="390">
        <f t="shared" si="42"/>
        <v>0</v>
      </c>
      <c r="G461" s="336">
        <v>2200</v>
      </c>
      <c r="H461" s="336"/>
      <c r="I461" s="336">
        <f t="shared" si="43"/>
        <v>176000</v>
      </c>
      <c r="J461" s="336">
        <f t="shared" si="44"/>
        <v>176000</v>
      </c>
      <c r="K461" s="546">
        <f t="shared" si="39"/>
        <v>0</v>
      </c>
      <c r="L461" s="502"/>
      <c r="M461" s="231" t="s">
        <v>242</v>
      </c>
      <c r="N461" s="11" t="s">
        <v>243</v>
      </c>
      <c r="O461" s="341"/>
      <c r="P461" s="339"/>
    </row>
    <row r="462" spans="1:16" s="325" customFormat="1" ht="33" hidden="1">
      <c r="A462" s="333" t="s">
        <v>2169</v>
      </c>
      <c r="B462" s="334" t="s">
        <v>39</v>
      </c>
      <c r="C462" s="335" t="s">
        <v>4</v>
      </c>
      <c r="D462" s="336">
        <v>1</v>
      </c>
      <c r="E462" s="336">
        <f>估驗單!F453</f>
        <v>1</v>
      </c>
      <c r="F462" s="390">
        <f t="shared" si="42"/>
        <v>0</v>
      </c>
      <c r="G462" s="336">
        <v>232697.98</v>
      </c>
      <c r="H462" s="336"/>
      <c r="I462" s="336">
        <f t="shared" si="43"/>
        <v>232697.98</v>
      </c>
      <c r="J462" s="336">
        <f t="shared" si="44"/>
        <v>232697.98</v>
      </c>
      <c r="K462" s="546">
        <f t="shared" si="39"/>
        <v>0</v>
      </c>
      <c r="L462" s="502"/>
      <c r="M462" s="231" t="s">
        <v>242</v>
      </c>
      <c r="N462" s="11" t="s">
        <v>243</v>
      </c>
      <c r="O462" s="341"/>
      <c r="P462" s="339"/>
    </row>
    <row r="463" spans="1:16" s="325" customFormat="1" ht="33" hidden="1">
      <c r="A463" s="333" t="s">
        <v>2170</v>
      </c>
      <c r="B463" s="334" t="s">
        <v>1182</v>
      </c>
      <c r="C463" s="335" t="s">
        <v>8</v>
      </c>
      <c r="D463" s="336">
        <v>5000</v>
      </c>
      <c r="E463" s="336">
        <f>估驗單!F454</f>
        <v>5000</v>
      </c>
      <c r="F463" s="390">
        <f t="shared" si="42"/>
        <v>0</v>
      </c>
      <c r="G463" s="336">
        <v>13</v>
      </c>
      <c r="H463" s="336"/>
      <c r="I463" s="336">
        <f t="shared" si="43"/>
        <v>65000</v>
      </c>
      <c r="J463" s="336">
        <f t="shared" si="44"/>
        <v>65000</v>
      </c>
      <c r="K463" s="546">
        <f t="shared" ref="K463:K469" si="45">J463-I463</f>
        <v>0</v>
      </c>
      <c r="L463" s="502"/>
      <c r="M463" s="231" t="s">
        <v>242</v>
      </c>
      <c r="N463" s="11" t="s">
        <v>243</v>
      </c>
      <c r="O463" s="341"/>
      <c r="P463" s="339"/>
    </row>
    <row r="464" spans="1:16" s="325" customFormat="1" ht="33" hidden="1">
      <c r="A464" s="333" t="s">
        <v>2171</v>
      </c>
      <c r="B464" s="334" t="s">
        <v>225</v>
      </c>
      <c r="C464" s="335" t="s">
        <v>226</v>
      </c>
      <c r="D464" s="336">
        <v>48</v>
      </c>
      <c r="E464" s="336">
        <f>估驗單!F455</f>
        <v>48</v>
      </c>
      <c r="F464" s="390">
        <f t="shared" si="42"/>
        <v>0</v>
      </c>
      <c r="G464" s="336">
        <v>47468</v>
      </c>
      <c r="H464" s="336"/>
      <c r="I464" s="336">
        <f t="shared" si="43"/>
        <v>2278464</v>
      </c>
      <c r="J464" s="336">
        <f t="shared" si="44"/>
        <v>2278464</v>
      </c>
      <c r="K464" s="546">
        <f t="shared" si="45"/>
        <v>0</v>
      </c>
      <c r="L464" s="502"/>
      <c r="M464" s="231" t="s">
        <v>2463</v>
      </c>
      <c r="N464" s="11" t="s">
        <v>243</v>
      </c>
      <c r="O464" s="341"/>
      <c r="P464" s="339"/>
    </row>
    <row r="465" spans="1:16" s="325" customFormat="1" ht="33" hidden="1">
      <c r="A465" s="333" t="s">
        <v>2172</v>
      </c>
      <c r="B465" s="334" t="s">
        <v>1187</v>
      </c>
      <c r="C465" s="335" t="s">
        <v>4</v>
      </c>
      <c r="D465" s="336">
        <v>1</v>
      </c>
      <c r="E465" s="336">
        <f>估驗單!F456</f>
        <v>1</v>
      </c>
      <c r="F465" s="390">
        <f t="shared" si="42"/>
        <v>0</v>
      </c>
      <c r="G465" s="336">
        <v>108865.49</v>
      </c>
      <c r="H465" s="336"/>
      <c r="I465" s="336">
        <f t="shared" si="43"/>
        <v>108865.49</v>
      </c>
      <c r="J465" s="336">
        <f t="shared" si="44"/>
        <v>108865.49</v>
      </c>
      <c r="K465" s="546">
        <f t="shared" si="45"/>
        <v>0</v>
      </c>
      <c r="L465" s="502"/>
      <c r="M465" s="231" t="s">
        <v>2464</v>
      </c>
      <c r="N465" s="11" t="s">
        <v>243</v>
      </c>
      <c r="O465" s="341"/>
      <c r="P465" s="339"/>
    </row>
    <row r="466" spans="1:16" s="325" customFormat="1" ht="33" hidden="1">
      <c r="A466" s="406" t="s">
        <v>2256</v>
      </c>
      <c r="B466" s="407" t="s">
        <v>227</v>
      </c>
      <c r="C466" s="408" t="s">
        <v>4</v>
      </c>
      <c r="D466" s="409"/>
      <c r="E466" s="409"/>
      <c r="F466" s="410">
        <f t="shared" si="42"/>
        <v>0</v>
      </c>
      <c r="G466" s="409">
        <f>I466</f>
        <v>2769229.16</v>
      </c>
      <c r="H466" s="409"/>
      <c r="I466" s="409">
        <f>SUM(I467:I468)</f>
        <v>2769229.16</v>
      </c>
      <c r="J466" s="409">
        <f>SUM(J467:J468)</f>
        <v>2769229.16</v>
      </c>
      <c r="K466" s="542">
        <f>SUM(K467:K468)</f>
        <v>0</v>
      </c>
      <c r="L466" s="534">
        <f>SUM(L467:L468)</f>
        <v>0</v>
      </c>
      <c r="M466" s="288" t="s">
        <v>242</v>
      </c>
      <c r="N466" s="11" t="s">
        <v>243</v>
      </c>
      <c r="O466" s="341"/>
      <c r="P466" s="339"/>
    </row>
    <row r="467" spans="1:16" s="325" customFormat="1" ht="33" hidden="1">
      <c r="A467" s="333" t="s">
        <v>2154</v>
      </c>
      <c r="B467" s="334" t="s">
        <v>228</v>
      </c>
      <c r="C467" s="335" t="s">
        <v>226</v>
      </c>
      <c r="D467" s="336">
        <v>48</v>
      </c>
      <c r="E467" s="336">
        <f>估驗單!F458</f>
        <v>48</v>
      </c>
      <c r="F467" s="390">
        <f t="shared" si="42"/>
        <v>0</v>
      </c>
      <c r="G467" s="336">
        <v>47468</v>
      </c>
      <c r="H467" s="336"/>
      <c r="I467" s="336">
        <f>ROUND(D467*G467,2)</f>
        <v>2278464</v>
      </c>
      <c r="J467" s="336">
        <f>ROUND(E467*G467,2)</f>
        <v>2278464</v>
      </c>
      <c r="K467" s="546">
        <f t="shared" si="45"/>
        <v>0</v>
      </c>
      <c r="L467" s="502"/>
      <c r="M467" s="231" t="s">
        <v>2463</v>
      </c>
      <c r="N467" s="11" t="s">
        <v>243</v>
      </c>
      <c r="O467" s="341"/>
      <c r="P467" s="339"/>
    </row>
    <row r="468" spans="1:16" s="325" customFormat="1" ht="33" hidden="1">
      <c r="A468" s="333" t="s">
        <v>2155</v>
      </c>
      <c r="B468" s="334" t="s">
        <v>1193</v>
      </c>
      <c r="C468" s="335" t="s">
        <v>4</v>
      </c>
      <c r="D468" s="336">
        <v>1</v>
      </c>
      <c r="E468" s="336">
        <f>估驗單!F459</f>
        <v>1</v>
      </c>
      <c r="F468" s="390">
        <f t="shared" si="42"/>
        <v>0</v>
      </c>
      <c r="G468" s="336">
        <v>490765.16</v>
      </c>
      <c r="H468" s="336"/>
      <c r="I468" s="336">
        <f>ROUND(D468*G468,2)</f>
        <v>490765.16</v>
      </c>
      <c r="J468" s="336">
        <f>ROUND(E468*G468,2)</f>
        <v>490765.16</v>
      </c>
      <c r="K468" s="546">
        <f t="shared" si="45"/>
        <v>0</v>
      </c>
      <c r="L468" s="502"/>
      <c r="M468" s="231" t="s">
        <v>2465</v>
      </c>
      <c r="N468" s="11" t="s">
        <v>243</v>
      </c>
      <c r="O468" s="341"/>
      <c r="P468" s="339"/>
    </row>
    <row r="469" spans="1:16" s="325" customFormat="1" ht="33" hidden="1">
      <c r="A469" s="503" t="s">
        <v>2257</v>
      </c>
      <c r="B469" s="504" t="s">
        <v>1196</v>
      </c>
      <c r="C469" s="505" t="s">
        <v>4</v>
      </c>
      <c r="D469" s="506">
        <v>1</v>
      </c>
      <c r="E469" s="506">
        <f>估驗單!F460</f>
        <v>1</v>
      </c>
      <c r="F469" s="507">
        <f t="shared" si="42"/>
        <v>0</v>
      </c>
      <c r="G469" s="506">
        <f>I469</f>
        <v>30205923.059999999</v>
      </c>
      <c r="H469" s="506"/>
      <c r="I469" s="530">
        <v>30205923.059999999</v>
      </c>
      <c r="J469" s="506" t="e">
        <f>ROUND((J10+J356+J382+J422+J426+J446+J466)*10.94944113%,2)</f>
        <v>#VALUE!</v>
      </c>
      <c r="K469" s="547" t="e">
        <f t="shared" si="45"/>
        <v>#VALUE!</v>
      </c>
      <c r="L469" s="510"/>
      <c r="M469" s="508" t="s">
        <v>2258</v>
      </c>
      <c r="N469" s="11" t="s">
        <v>243</v>
      </c>
      <c r="O469" s="338" t="e">
        <f>ROUND((J466+J446+J426+J422+J382+J356+J10)*10.94944113%,2)</f>
        <v>#VALUE!</v>
      </c>
      <c r="P469" s="339"/>
    </row>
    <row r="470" spans="1:16" s="325" customFormat="1" ht="99.75" hidden="1">
      <c r="A470" s="406" t="s">
        <v>2259</v>
      </c>
      <c r="B470" s="407" t="s">
        <v>1199</v>
      </c>
      <c r="C470" s="408" t="s">
        <v>4</v>
      </c>
      <c r="D470" s="409">
        <v>1</v>
      </c>
      <c r="E470" s="409">
        <f>估驗單!F461</f>
        <v>1</v>
      </c>
      <c r="F470" s="410">
        <f t="shared" si="42"/>
        <v>0</v>
      </c>
      <c r="G470" s="409">
        <v>1987650</v>
      </c>
      <c r="H470" s="409"/>
      <c r="I470" s="409">
        <f>ROUND(D470*G470,2)</f>
        <v>1987650</v>
      </c>
      <c r="J470" s="409">
        <f>ROUND(E470*G470,2)</f>
        <v>1987650</v>
      </c>
      <c r="K470" s="542"/>
      <c r="L470" s="534"/>
      <c r="M470" s="288" t="s">
        <v>1200</v>
      </c>
      <c r="N470" s="11" t="s">
        <v>243</v>
      </c>
      <c r="O470" s="341"/>
      <c r="P470" s="339"/>
    </row>
    <row r="471" spans="1:16" s="325" customFormat="1" ht="33" hidden="1">
      <c r="A471" s="333" t="s">
        <v>2154</v>
      </c>
      <c r="B471" s="334" t="s">
        <v>1199</v>
      </c>
      <c r="C471" s="335" t="s">
        <v>6</v>
      </c>
      <c r="D471" s="336">
        <v>13251</v>
      </c>
      <c r="E471" s="336">
        <f>估驗單!F462</f>
        <v>18245</v>
      </c>
      <c r="F471" s="390">
        <f t="shared" si="42"/>
        <v>4994</v>
      </c>
      <c r="G471" s="336">
        <v>150</v>
      </c>
      <c r="H471" s="336"/>
      <c r="I471" s="336">
        <v>1987650</v>
      </c>
      <c r="J471" s="336">
        <f>ROUND(E471*G471,2)</f>
        <v>2736750</v>
      </c>
      <c r="K471" s="544"/>
      <c r="L471" s="502"/>
      <c r="M471" s="231" t="s">
        <v>242</v>
      </c>
      <c r="N471" s="11" t="s">
        <v>243</v>
      </c>
      <c r="O471" s="341"/>
      <c r="P471" s="339"/>
    </row>
    <row r="472" spans="1:16" s="325" customFormat="1" ht="114" hidden="1">
      <c r="A472" s="406" t="s">
        <v>2260</v>
      </c>
      <c r="B472" s="407" t="s">
        <v>1204</v>
      </c>
      <c r="C472" s="408" t="s">
        <v>4</v>
      </c>
      <c r="D472" s="409">
        <v>1</v>
      </c>
      <c r="E472" s="409">
        <v>1</v>
      </c>
      <c r="F472" s="410">
        <f t="shared" si="42"/>
        <v>0</v>
      </c>
      <c r="G472" s="409">
        <v>179691.68</v>
      </c>
      <c r="H472" s="409"/>
      <c r="I472" s="409">
        <v>179691.68</v>
      </c>
      <c r="J472" s="409">
        <f>ROUND(E472*G472,2)</f>
        <v>179691.68</v>
      </c>
      <c r="K472" s="542"/>
      <c r="L472" s="534"/>
      <c r="M472" s="288" t="s">
        <v>1205</v>
      </c>
      <c r="N472" s="11" t="s">
        <v>243</v>
      </c>
      <c r="O472" s="341"/>
      <c r="P472" s="339"/>
    </row>
    <row r="473" spans="1:16" s="325" customFormat="1" ht="33" hidden="1">
      <c r="A473" s="427" t="s">
        <v>2154</v>
      </c>
      <c r="B473" s="428" t="s">
        <v>1207</v>
      </c>
      <c r="C473" s="429" t="s">
        <v>13</v>
      </c>
      <c r="D473" s="430">
        <v>3208.78</v>
      </c>
      <c r="E473" s="430">
        <f>估驗單!F464</f>
        <v>3208.78</v>
      </c>
      <c r="F473" s="390">
        <f t="shared" si="42"/>
        <v>0</v>
      </c>
      <c r="G473" s="430">
        <v>56</v>
      </c>
      <c r="H473" s="430"/>
      <c r="I473" s="430">
        <v>179691.68</v>
      </c>
      <c r="J473" s="336">
        <f>ROUND(E473*G473,2)</f>
        <v>179691.68</v>
      </c>
      <c r="K473" s="544"/>
      <c r="L473" s="502"/>
      <c r="M473" s="432" t="s">
        <v>242</v>
      </c>
      <c r="N473" s="11" t="s">
        <v>243</v>
      </c>
      <c r="O473" s="380"/>
      <c r="P473" s="381"/>
    </row>
    <row r="474" spans="1:16" s="325" customFormat="1" ht="23.25" customHeight="1">
      <c r="A474" s="625"/>
      <c r="B474" s="428"/>
      <c r="C474" s="626"/>
      <c r="D474" s="627"/>
      <c r="E474" s="627"/>
      <c r="F474" s="628">
        <f>F134+F135+F136+F172+F202+F203+F204+F205+F226+F227</f>
        <v>1929.1852000000017</v>
      </c>
      <c r="G474" s="627"/>
      <c r="H474" s="627"/>
      <c r="I474" s="627"/>
      <c r="J474" s="627"/>
      <c r="K474" s="629"/>
      <c r="L474" s="630"/>
      <c r="M474" s="78"/>
      <c r="N474" s="11"/>
    </row>
    <row r="475" spans="1:16" ht="23.45" customHeight="1">
      <c r="B475" s="504" t="s">
        <v>534</v>
      </c>
      <c r="F475" s="604">
        <f>F135+F172+F202</f>
        <v>815.87020000000166</v>
      </c>
    </row>
    <row r="476" spans="1:16" ht="23.45" customHeight="1">
      <c r="B476" s="609" t="s">
        <v>626</v>
      </c>
      <c r="F476" s="604">
        <f>F203+F226</f>
        <v>11.359999999999992</v>
      </c>
    </row>
    <row r="477" spans="1:16" ht="23.45" customHeight="1">
      <c r="B477" s="334" t="s">
        <v>536</v>
      </c>
      <c r="F477" s="604">
        <f>F136+F204</f>
        <v>640.6149999999999</v>
      </c>
    </row>
    <row r="478" spans="1:16" ht="23.45" customHeight="1">
      <c r="B478" s="617" t="s">
        <v>193</v>
      </c>
      <c r="F478" s="604">
        <f>F205+F227</f>
        <v>461.34000000000003</v>
      </c>
    </row>
    <row r="479" spans="1:16" ht="23.45" customHeight="1"/>
    <row r="480" spans="1:16" ht="23.45" customHeight="1"/>
    <row r="481" ht="23.45" customHeight="1"/>
    <row r="482" ht="23.45" customHeight="1"/>
    <row r="483" ht="23.45" customHeight="1"/>
    <row r="484" ht="23.45" customHeight="1"/>
  </sheetData>
  <autoFilter ref="B1:B473" xr:uid="{F2620A91-C958-41AC-9677-501FD2802CA1}">
    <filterColumn colId="0">
      <filters>
        <filter val="清水模板，乙種"/>
        <filter val="清水模板，丙種"/>
        <filter val="清水模板，甲種"/>
        <filter val="普通模板，乙種"/>
        <filter val="普通模板，丙種"/>
      </filters>
    </filterColumn>
  </autoFilter>
  <mergeCells count="43">
    <mergeCell ref="A4:I4"/>
    <mergeCell ref="L4:M4"/>
    <mergeCell ref="C1:K1"/>
    <mergeCell ref="A2:B2"/>
    <mergeCell ref="C2:K2"/>
    <mergeCell ref="A3:J3"/>
    <mergeCell ref="L3:M3"/>
    <mergeCell ref="A5:I5"/>
    <mergeCell ref="L5:M5"/>
    <mergeCell ref="A6:I6"/>
    <mergeCell ref="L6:M6"/>
    <mergeCell ref="A7:A8"/>
    <mergeCell ref="B7:B8"/>
    <mergeCell ref="C7:C8"/>
    <mergeCell ref="D7:D8"/>
    <mergeCell ref="E7:E8"/>
    <mergeCell ref="F7:F8"/>
    <mergeCell ref="O7:O8"/>
    <mergeCell ref="P7:P8"/>
    <mergeCell ref="Q7:Q8"/>
    <mergeCell ref="G7:G8"/>
    <mergeCell ref="H7:H8"/>
    <mergeCell ref="I7:I8"/>
    <mergeCell ref="J7:J8"/>
    <mergeCell ref="K7:K8"/>
    <mergeCell ref="L7:L8"/>
    <mergeCell ref="F43:F44"/>
    <mergeCell ref="G43:G44"/>
    <mergeCell ref="H43:H44"/>
    <mergeCell ref="I43:I44"/>
    <mergeCell ref="M7:M8"/>
    <mergeCell ref="A43:A44"/>
    <mergeCell ref="B43:B44"/>
    <mergeCell ref="C43:C44"/>
    <mergeCell ref="D43:D44"/>
    <mergeCell ref="E43:E44"/>
    <mergeCell ref="Q43:Q44"/>
    <mergeCell ref="J43:J44"/>
    <mergeCell ref="K43:K44"/>
    <mergeCell ref="L43:L44"/>
    <mergeCell ref="M43:M44"/>
    <mergeCell ref="O43:O44"/>
    <mergeCell ref="P43:P44"/>
  </mergeCells>
  <phoneticPr fontId="1" type="noConversion"/>
  <printOptions horizontalCentered="1"/>
  <pageMargins left="0.51181102362204722" right="0.51181102362204722" top="0.15748031496062992" bottom="0.15748031496062992" header="0.31496062992125984" footer="0.31496062992125984"/>
  <pageSetup paperSize="9" scale="80" orientation="landscape" r:id="rId1"/>
  <colBreaks count="1" manualBreakCount="1">
    <brk id="13" max="4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EB079-5EED-4352-B643-C17206D05562}">
  <sheetPr filterMode="1"/>
  <dimension ref="A1:U478"/>
  <sheetViews>
    <sheetView view="pageBreakPreview" zoomScale="98" zoomScaleNormal="100" zoomScaleSheetLayoutView="98" workbookViewId="0">
      <pane ySplit="8" topLeftCell="A132" activePane="bottomLeft" state="frozen"/>
      <selection pane="bottomLeft" activeCell="F208" sqref="F208"/>
    </sheetView>
  </sheetViews>
  <sheetFormatPr defaultColWidth="9.140625" defaultRowHeight="12.75"/>
  <cols>
    <col min="1" max="1" width="3.28515625" style="82" customWidth="1"/>
    <col min="2" max="2" width="31.140625" style="82" customWidth="1"/>
    <col min="3" max="3" width="4.140625" style="82" customWidth="1"/>
    <col min="4" max="5" width="9.28515625" style="82" customWidth="1"/>
    <col min="6" max="6" width="11.5703125" style="82" customWidth="1"/>
    <col min="7" max="7" width="11.7109375" style="82" customWidth="1"/>
    <col min="8" max="8" width="10.7109375" style="82" customWidth="1"/>
    <col min="9" max="10" width="14.7109375" style="82" customWidth="1"/>
    <col min="11" max="11" width="14.7109375" style="545" customWidth="1"/>
    <col min="12" max="12" width="14.7109375" style="94" customWidth="1"/>
    <col min="13" max="13" width="14.28515625" style="82" customWidth="1"/>
    <col min="14" max="14" width="6.5703125" style="82" customWidth="1"/>
    <col min="15" max="15" width="24.140625" style="325" customWidth="1"/>
    <col min="16" max="16" width="26.42578125" style="325" customWidth="1"/>
    <col min="17" max="17" width="21.7109375" style="82" customWidth="1"/>
    <col min="18" max="18" width="28.5703125" style="82" customWidth="1"/>
    <col min="19" max="19" width="25" style="82" customWidth="1"/>
    <col min="20" max="20" width="16.140625" style="82" customWidth="1"/>
    <col min="21" max="16384" width="9.140625" style="82"/>
  </cols>
  <sheetData>
    <row r="1" spans="1:17" ht="25.5">
      <c r="A1" s="323"/>
      <c r="B1" s="323"/>
      <c r="C1" s="980" t="s">
        <v>230</v>
      </c>
      <c r="D1" s="980"/>
      <c r="E1" s="980"/>
      <c r="F1" s="980"/>
      <c r="G1" s="980"/>
      <c r="H1" s="980"/>
      <c r="I1" s="980"/>
      <c r="J1" s="980"/>
      <c r="K1" s="980"/>
      <c r="L1" s="531"/>
      <c r="M1" s="324"/>
      <c r="N1" s="1"/>
      <c r="O1" s="325">
        <f>759925.2+3237744.6-1826612.36+355445.15+94917.34+240906+651749+802562.58-298416.97</f>
        <v>4018220.5399999991</v>
      </c>
      <c r="P1" s="325">
        <f>759925+1411132+651749+802562+240906+450362</f>
        <v>4316636</v>
      </c>
    </row>
    <row r="2" spans="1:17" ht="19.5" hidden="1">
      <c r="A2" s="981" t="s">
        <v>242</v>
      </c>
      <c r="B2" s="981"/>
      <c r="C2" s="982" t="s">
        <v>2603</v>
      </c>
      <c r="D2" s="982"/>
      <c r="E2" s="982"/>
      <c r="F2" s="982"/>
      <c r="G2" s="982"/>
      <c r="H2" s="982"/>
      <c r="I2" s="982"/>
      <c r="J2" s="982"/>
      <c r="K2" s="982"/>
      <c r="L2" s="532"/>
      <c r="M2" s="29"/>
      <c r="N2" s="1"/>
    </row>
    <row r="3" spans="1:17" ht="16.5" hidden="1">
      <c r="A3" s="983" t="s">
        <v>2140</v>
      </c>
      <c r="B3" s="983"/>
      <c r="C3" s="983"/>
      <c r="D3" s="983"/>
      <c r="E3" s="983"/>
      <c r="F3" s="983"/>
      <c r="G3" s="983"/>
      <c r="H3" s="983"/>
      <c r="I3" s="983"/>
      <c r="J3" s="983"/>
      <c r="K3" s="537" t="s">
        <v>2299</v>
      </c>
      <c r="L3" s="984">
        <v>45653</v>
      </c>
      <c r="M3" s="984"/>
      <c r="N3" s="327"/>
      <c r="P3" s="328"/>
    </row>
    <row r="4" spans="1:17" ht="16.5" hidden="1">
      <c r="A4" s="975" t="s">
        <v>2486</v>
      </c>
      <c r="B4" s="976"/>
      <c r="C4" s="976"/>
      <c r="D4" s="976"/>
      <c r="E4" s="976"/>
      <c r="F4" s="976"/>
      <c r="G4" s="976"/>
      <c r="H4" s="976"/>
      <c r="I4" s="977"/>
      <c r="J4" s="329" t="s">
        <v>2300</v>
      </c>
      <c r="K4" s="538"/>
      <c r="L4" s="973">
        <v>257600000</v>
      </c>
      <c r="M4" s="974"/>
      <c r="N4" s="327"/>
      <c r="O4" s="328"/>
    </row>
    <row r="5" spans="1:17" ht="16.5" hidden="1">
      <c r="A5" s="970" t="s">
        <v>2604</v>
      </c>
      <c r="B5" s="971"/>
      <c r="C5" s="971"/>
      <c r="D5" s="971"/>
      <c r="E5" s="971"/>
      <c r="F5" s="971"/>
      <c r="G5" s="971"/>
      <c r="H5" s="971"/>
      <c r="I5" s="972"/>
      <c r="J5" s="387" t="s">
        <v>2301</v>
      </c>
      <c r="K5" s="539"/>
      <c r="L5" s="973">
        <v>308240521</v>
      </c>
      <c r="M5" s="974"/>
      <c r="N5" s="327"/>
    </row>
    <row r="6" spans="1:17" ht="16.5" hidden="1">
      <c r="A6" s="975" t="s">
        <v>2637</v>
      </c>
      <c r="B6" s="976"/>
      <c r="C6" s="976"/>
      <c r="D6" s="976"/>
      <c r="E6" s="976"/>
      <c r="F6" s="976"/>
      <c r="G6" s="976"/>
      <c r="H6" s="976"/>
      <c r="I6" s="977"/>
      <c r="J6" s="329" t="s">
        <v>2302</v>
      </c>
      <c r="K6" s="538"/>
      <c r="L6" s="978" t="e">
        <f>J9</f>
        <v>#VALUE!</v>
      </c>
      <c r="M6" s="979"/>
      <c r="N6" s="327"/>
      <c r="O6" s="331"/>
      <c r="P6" s="331"/>
    </row>
    <row r="7" spans="1:17" ht="14.25" hidden="1" customHeight="1">
      <c r="A7" s="957" t="s">
        <v>235</v>
      </c>
      <c r="B7" s="964" t="s">
        <v>2303</v>
      </c>
      <c r="C7" s="964" t="s">
        <v>237</v>
      </c>
      <c r="D7" s="957" t="s">
        <v>2605</v>
      </c>
      <c r="E7" s="957" t="s">
        <v>2602</v>
      </c>
      <c r="F7" s="968" t="s">
        <v>2305</v>
      </c>
      <c r="G7" s="957" t="s">
        <v>2306</v>
      </c>
      <c r="H7" s="957" t="s">
        <v>2307</v>
      </c>
      <c r="I7" s="957" t="s">
        <v>2308</v>
      </c>
      <c r="J7" s="957" t="s">
        <v>2612</v>
      </c>
      <c r="K7" s="959" t="s">
        <v>2309</v>
      </c>
      <c r="L7" s="961" t="s">
        <v>2310</v>
      </c>
      <c r="M7" s="964" t="s">
        <v>2311</v>
      </c>
      <c r="N7" s="332"/>
      <c r="O7" s="966" t="s">
        <v>2312</v>
      </c>
      <c r="P7" s="967" t="s">
        <v>2313</v>
      </c>
      <c r="Q7" s="963" t="s">
        <v>2314</v>
      </c>
    </row>
    <row r="8" spans="1:17" ht="14.25" hidden="1">
      <c r="A8" s="958"/>
      <c r="B8" s="965"/>
      <c r="C8" s="965"/>
      <c r="D8" s="958"/>
      <c r="E8" s="958"/>
      <c r="F8" s="969"/>
      <c r="G8" s="958"/>
      <c r="H8" s="958"/>
      <c r="I8" s="958"/>
      <c r="J8" s="958"/>
      <c r="K8" s="960"/>
      <c r="L8" s="962"/>
      <c r="M8" s="965"/>
      <c r="N8" s="332"/>
      <c r="O8" s="966"/>
      <c r="P8" s="967"/>
      <c r="Q8" s="963"/>
    </row>
    <row r="9" spans="1:17" ht="33" hidden="1">
      <c r="A9" s="333" t="s">
        <v>10</v>
      </c>
      <c r="B9" s="334" t="s">
        <v>12</v>
      </c>
      <c r="C9" s="335" t="s">
        <v>4</v>
      </c>
      <c r="D9" s="336"/>
      <c r="E9" s="336"/>
      <c r="F9" s="336"/>
      <c r="G9" s="336">
        <f>I9</f>
        <v>307553807.34000009</v>
      </c>
      <c r="H9" s="336"/>
      <c r="I9" s="419">
        <f>I10+I357+I383+I423+I427+I447+I467+I470+I471+I473</f>
        <v>307553807.34000009</v>
      </c>
      <c r="J9" s="419" t="e">
        <f>J10+J357+J383+J423+J427+J447+J467+J470+J471+J473</f>
        <v>#VALUE!</v>
      </c>
      <c r="K9" s="540" t="e">
        <f>K10+K357+K383+K423+K427+K447+K467+K470+K471+K473</f>
        <v>#VALUE!</v>
      </c>
      <c r="L9" s="453" t="e">
        <f>L10+L357+L383+L423+L427+L447+L467+L470+L471+L473</f>
        <v>#VALUE!</v>
      </c>
      <c r="M9" s="419"/>
      <c r="N9" s="11" t="s">
        <v>243</v>
      </c>
      <c r="O9" s="338" t="e">
        <f>K9+L9</f>
        <v>#VALUE!</v>
      </c>
      <c r="P9" s="339"/>
    </row>
    <row r="10" spans="1:17" ht="33" hidden="1">
      <c r="A10" s="333" t="s">
        <v>2152</v>
      </c>
      <c r="B10" s="334" t="s">
        <v>2</v>
      </c>
      <c r="C10" s="335" t="s">
        <v>4</v>
      </c>
      <c r="D10" s="336"/>
      <c r="E10" s="336"/>
      <c r="F10" s="336"/>
      <c r="G10" s="336">
        <f>I10</f>
        <v>232181374.87</v>
      </c>
      <c r="H10" s="336"/>
      <c r="I10" s="419">
        <f>I11+I37+I127+I169+I198+I218+I235+I313+I347</f>
        <v>232181374.87</v>
      </c>
      <c r="J10" s="419" t="e">
        <f>J11+J37+J127+J169+J198+J218+J235+J313+J347</f>
        <v>#VALUE!</v>
      </c>
      <c r="K10" s="540" t="e">
        <f>K11+K37+K127+K169+K198+K218+K235+K313+K347</f>
        <v>#VALUE!</v>
      </c>
      <c r="L10" s="453" t="e">
        <f>L11+L37+L127+L169+L198+L218+L235+L313+L347</f>
        <v>#VALUE!</v>
      </c>
      <c r="M10" s="231" t="s">
        <v>242</v>
      </c>
      <c r="N10" s="11" t="s">
        <v>243</v>
      </c>
      <c r="O10" s="341"/>
      <c r="P10" s="339"/>
    </row>
    <row r="11" spans="1:17" ht="33" hidden="1">
      <c r="A11" s="406" t="s">
        <v>2153</v>
      </c>
      <c r="B11" s="407" t="s">
        <v>244</v>
      </c>
      <c r="C11" s="408" t="s">
        <v>4</v>
      </c>
      <c r="D11" s="409"/>
      <c r="E11" s="409"/>
      <c r="F11" s="409"/>
      <c r="G11" s="409">
        <v>61233815.539999999</v>
      </c>
      <c r="H11" s="409"/>
      <c r="I11" s="411">
        <f>SUM(I12:I36)</f>
        <v>61233815.539999984</v>
      </c>
      <c r="J11" s="411" t="e">
        <f>SUM(J12:J36)</f>
        <v>#VALUE!</v>
      </c>
      <c r="K11" s="541" t="e">
        <f>SUM(K12:K36)</f>
        <v>#VALUE!</v>
      </c>
      <c r="L11" s="454" t="e">
        <f>SUM(L12:L36)</f>
        <v>#VALUE!</v>
      </c>
      <c r="M11" s="288" t="s">
        <v>242</v>
      </c>
      <c r="N11" s="11" t="s">
        <v>243</v>
      </c>
      <c r="O11" s="338"/>
      <c r="P11" s="339"/>
    </row>
    <row r="12" spans="1:17" ht="33" hidden="1">
      <c r="A12" s="333" t="s">
        <v>2154</v>
      </c>
      <c r="B12" s="334" t="s">
        <v>245</v>
      </c>
      <c r="C12" s="335" t="s">
        <v>6</v>
      </c>
      <c r="D12" s="336">
        <v>720.24</v>
      </c>
      <c r="E12" s="336">
        <f>估驗單!F8</f>
        <v>720.24</v>
      </c>
      <c r="F12" s="390"/>
      <c r="G12" s="336">
        <v>193.11</v>
      </c>
      <c r="H12" s="336"/>
      <c r="I12" s="336">
        <f t="shared" ref="I12:I36" si="0">ROUND(D12*G12,2)</f>
        <v>139085.54999999999</v>
      </c>
      <c r="J12" s="336">
        <f t="shared" ref="J12:J36" si="1">ROUND(E12*G12,2)</f>
        <v>139085.54999999999</v>
      </c>
      <c r="K12" s="546">
        <f>J12-I12</f>
        <v>0</v>
      </c>
      <c r="L12" s="546">
        <f>I12-J12</f>
        <v>0</v>
      </c>
      <c r="M12" s="231" t="s">
        <v>242</v>
      </c>
      <c r="N12" s="11" t="s">
        <v>243</v>
      </c>
      <c r="O12" s="341"/>
      <c r="P12" s="339"/>
    </row>
    <row r="13" spans="1:17" ht="33" hidden="1">
      <c r="A13" s="333" t="s">
        <v>2155</v>
      </c>
      <c r="B13" s="334" t="s">
        <v>247</v>
      </c>
      <c r="C13" s="335" t="s">
        <v>6</v>
      </c>
      <c r="D13" s="336">
        <v>4813.4399999999996</v>
      </c>
      <c r="E13" s="336">
        <f>估驗單!F9</f>
        <v>4813.4399999999996</v>
      </c>
      <c r="F13" s="390"/>
      <c r="G13" s="336">
        <v>1046.1600000000001</v>
      </c>
      <c r="H13" s="336"/>
      <c r="I13" s="336">
        <f t="shared" si="0"/>
        <v>5035628.3899999997</v>
      </c>
      <c r="J13" s="336">
        <f t="shared" si="1"/>
        <v>5035628.3899999997</v>
      </c>
      <c r="K13" s="546">
        <f t="shared" ref="K13:K77" si="2">J13-I13</f>
        <v>0</v>
      </c>
      <c r="L13" s="546">
        <f t="shared" ref="L13:L36" si="3">I13-J13</f>
        <v>0</v>
      </c>
      <c r="M13" s="231" t="s">
        <v>242</v>
      </c>
      <c r="N13" s="11" t="s">
        <v>243</v>
      </c>
      <c r="O13" s="341"/>
      <c r="P13" s="339"/>
    </row>
    <row r="14" spans="1:17" ht="57" hidden="1">
      <c r="A14" s="333" t="s">
        <v>2156</v>
      </c>
      <c r="B14" s="334" t="s">
        <v>249</v>
      </c>
      <c r="C14" s="335" t="s">
        <v>8</v>
      </c>
      <c r="D14" s="336">
        <v>1743</v>
      </c>
      <c r="E14" s="336">
        <f>估驗單!F10</f>
        <v>1743</v>
      </c>
      <c r="F14" s="390"/>
      <c r="G14" s="336">
        <v>6199.66</v>
      </c>
      <c r="H14" s="336"/>
      <c r="I14" s="336">
        <f t="shared" si="0"/>
        <v>10806007.380000001</v>
      </c>
      <c r="J14" s="336">
        <f t="shared" si="1"/>
        <v>10806007.380000001</v>
      </c>
      <c r="K14" s="546">
        <f t="shared" si="2"/>
        <v>0</v>
      </c>
      <c r="L14" s="546">
        <f t="shared" si="3"/>
        <v>0</v>
      </c>
      <c r="M14" s="231" t="s">
        <v>2315</v>
      </c>
      <c r="N14" s="11" t="s">
        <v>243</v>
      </c>
      <c r="O14" s="341"/>
      <c r="P14" s="339"/>
    </row>
    <row r="15" spans="1:17" ht="56.25" hidden="1">
      <c r="A15" s="333" t="s">
        <v>2157</v>
      </c>
      <c r="B15" s="334" t="s">
        <v>194</v>
      </c>
      <c r="C15" s="335" t="s">
        <v>23</v>
      </c>
      <c r="D15" s="336">
        <v>28009.56</v>
      </c>
      <c r="E15" s="336">
        <f>估驗單!F11</f>
        <v>28009.56</v>
      </c>
      <c r="F15" s="390"/>
      <c r="G15" s="336">
        <v>48.28</v>
      </c>
      <c r="H15" s="336"/>
      <c r="I15" s="336">
        <f t="shared" si="0"/>
        <v>1352301.56</v>
      </c>
      <c r="J15" s="336">
        <f t="shared" si="1"/>
        <v>1352301.56</v>
      </c>
      <c r="K15" s="546">
        <f t="shared" si="2"/>
        <v>0</v>
      </c>
      <c r="L15" s="546">
        <f t="shared" si="3"/>
        <v>0</v>
      </c>
      <c r="M15" s="231" t="s">
        <v>242</v>
      </c>
      <c r="N15" s="11" t="s">
        <v>243</v>
      </c>
      <c r="O15" s="341" t="s">
        <v>2316</v>
      </c>
      <c r="P15" s="339" t="s">
        <v>2317</v>
      </c>
      <c r="Q15" s="342" t="s">
        <v>2318</v>
      </c>
    </row>
    <row r="16" spans="1:17" ht="33" hidden="1">
      <c r="A16" s="333" t="s">
        <v>2158</v>
      </c>
      <c r="B16" s="334" t="s">
        <v>252</v>
      </c>
      <c r="C16" s="335" t="s">
        <v>6</v>
      </c>
      <c r="D16" s="336">
        <v>4726.67</v>
      </c>
      <c r="E16" s="336">
        <f>估驗單!F12</f>
        <v>4726.67</v>
      </c>
      <c r="F16" s="390"/>
      <c r="G16" s="336">
        <v>599.71</v>
      </c>
      <c r="H16" s="336"/>
      <c r="I16" s="336">
        <f t="shared" si="0"/>
        <v>2834631.27</v>
      </c>
      <c r="J16" s="336">
        <f t="shared" si="1"/>
        <v>2834631.27</v>
      </c>
      <c r="K16" s="546">
        <f t="shared" si="2"/>
        <v>0</v>
      </c>
      <c r="L16" s="546">
        <f t="shared" si="3"/>
        <v>0</v>
      </c>
      <c r="M16" s="231" t="s">
        <v>242</v>
      </c>
      <c r="N16" s="11" t="s">
        <v>243</v>
      </c>
      <c r="O16" s="341"/>
      <c r="P16" s="339"/>
    </row>
    <row r="17" spans="1:16" ht="33" hidden="1">
      <c r="A17" s="333" t="s">
        <v>2159</v>
      </c>
      <c r="B17" s="334" t="s">
        <v>255</v>
      </c>
      <c r="C17" s="335" t="s">
        <v>6</v>
      </c>
      <c r="D17" s="336">
        <v>13120</v>
      </c>
      <c r="E17" s="336">
        <f>估驗單!F13</f>
        <v>13120</v>
      </c>
      <c r="F17" s="390"/>
      <c r="G17" s="336">
        <v>104.64</v>
      </c>
      <c r="H17" s="336"/>
      <c r="I17" s="336">
        <f t="shared" si="0"/>
        <v>1372876.8</v>
      </c>
      <c r="J17" s="336">
        <f t="shared" si="1"/>
        <v>1372876.8</v>
      </c>
      <c r="K17" s="546">
        <f t="shared" si="2"/>
        <v>0</v>
      </c>
      <c r="L17" s="546">
        <f t="shared" si="3"/>
        <v>0</v>
      </c>
      <c r="M17" s="231" t="s">
        <v>242</v>
      </c>
      <c r="N17" s="11" t="s">
        <v>243</v>
      </c>
      <c r="O17" s="341"/>
      <c r="P17" s="339"/>
    </row>
    <row r="18" spans="1:16" ht="57" hidden="1">
      <c r="A18" s="333" t="s">
        <v>2160</v>
      </c>
      <c r="B18" s="334" t="s">
        <v>258</v>
      </c>
      <c r="C18" s="335" t="s">
        <v>23</v>
      </c>
      <c r="D18" s="336">
        <v>13251</v>
      </c>
      <c r="E18" s="336">
        <f>估驗單!F14</f>
        <v>4994</v>
      </c>
      <c r="F18" s="390"/>
      <c r="G18" s="336">
        <v>1027.3699999999999</v>
      </c>
      <c r="H18" s="336"/>
      <c r="I18" s="336">
        <f t="shared" si="0"/>
        <v>13613679.869999999</v>
      </c>
      <c r="J18" s="336">
        <f t="shared" si="1"/>
        <v>5130685.78</v>
      </c>
      <c r="K18" s="546">
        <f t="shared" si="2"/>
        <v>-8482994.0899999999</v>
      </c>
      <c r="L18" s="546">
        <f t="shared" si="3"/>
        <v>8482994.0899999999</v>
      </c>
      <c r="M18" s="231" t="s">
        <v>2319</v>
      </c>
      <c r="N18" s="11" t="s">
        <v>243</v>
      </c>
      <c r="O18" s="341"/>
      <c r="P18" s="339"/>
    </row>
    <row r="19" spans="1:16" ht="33" hidden="1">
      <c r="A19" s="333" t="s">
        <v>2161</v>
      </c>
      <c r="B19" s="334" t="s">
        <v>261</v>
      </c>
      <c r="C19" s="335" t="s">
        <v>6</v>
      </c>
      <c r="D19" s="336">
        <v>4601.4399999999996</v>
      </c>
      <c r="E19" s="336" t="str">
        <f>估驗單!F15</f>
        <v>0_x000D_</v>
      </c>
      <c r="F19" s="390"/>
      <c r="G19" s="336">
        <v>1084.98</v>
      </c>
      <c r="H19" s="336"/>
      <c r="I19" s="336">
        <f t="shared" si="0"/>
        <v>4992470.37</v>
      </c>
      <c r="J19" s="336" t="e">
        <f t="shared" si="1"/>
        <v>#VALUE!</v>
      </c>
      <c r="K19" s="546" t="e">
        <f t="shared" si="2"/>
        <v>#VALUE!</v>
      </c>
      <c r="L19" s="546" t="e">
        <f t="shared" si="3"/>
        <v>#VALUE!</v>
      </c>
      <c r="M19" s="231" t="s">
        <v>242</v>
      </c>
      <c r="N19" s="11" t="s">
        <v>243</v>
      </c>
      <c r="O19" s="341"/>
      <c r="P19" s="339"/>
    </row>
    <row r="20" spans="1:16" ht="42.75" hidden="1">
      <c r="A20" s="333" t="s">
        <v>2162</v>
      </c>
      <c r="B20" s="334" t="s">
        <v>264</v>
      </c>
      <c r="C20" s="335" t="s">
        <v>13</v>
      </c>
      <c r="D20" s="336">
        <v>2588.5</v>
      </c>
      <c r="E20" s="336">
        <f>估驗單!F16</f>
        <v>2588.5</v>
      </c>
      <c r="F20" s="390"/>
      <c r="G20" s="336">
        <v>30.45</v>
      </c>
      <c r="H20" s="336"/>
      <c r="I20" s="336">
        <f t="shared" si="0"/>
        <v>78819.83</v>
      </c>
      <c r="J20" s="336">
        <f t="shared" si="1"/>
        <v>78819.83</v>
      </c>
      <c r="K20" s="546">
        <f t="shared" si="2"/>
        <v>0</v>
      </c>
      <c r="L20" s="546">
        <f t="shared" si="3"/>
        <v>0</v>
      </c>
      <c r="M20" s="231" t="s">
        <v>2320</v>
      </c>
      <c r="N20" s="11" t="s">
        <v>243</v>
      </c>
      <c r="O20" s="341"/>
      <c r="P20" s="339"/>
    </row>
    <row r="21" spans="1:16" ht="33" hidden="1">
      <c r="A21" s="333" t="s">
        <v>2163</v>
      </c>
      <c r="B21" s="334" t="s">
        <v>267</v>
      </c>
      <c r="C21" s="335" t="s">
        <v>13</v>
      </c>
      <c r="D21" s="336">
        <v>9177</v>
      </c>
      <c r="E21" s="336">
        <f>估驗單!F17</f>
        <v>9177</v>
      </c>
      <c r="F21" s="390"/>
      <c r="G21" s="336">
        <v>28.48</v>
      </c>
      <c r="H21" s="336"/>
      <c r="I21" s="336">
        <f t="shared" si="0"/>
        <v>261360.96</v>
      </c>
      <c r="J21" s="336">
        <f t="shared" si="1"/>
        <v>261360.96</v>
      </c>
      <c r="K21" s="546">
        <f t="shared" si="2"/>
        <v>0</v>
      </c>
      <c r="L21" s="546">
        <f t="shared" si="3"/>
        <v>0</v>
      </c>
      <c r="M21" s="231" t="s">
        <v>242</v>
      </c>
      <c r="N21" s="11" t="s">
        <v>243</v>
      </c>
      <c r="O21" s="341"/>
      <c r="P21" s="339"/>
    </row>
    <row r="22" spans="1:16" ht="33" hidden="1">
      <c r="A22" s="333" t="s">
        <v>2164</v>
      </c>
      <c r="B22" s="334" t="s">
        <v>270</v>
      </c>
      <c r="C22" s="335" t="s">
        <v>8</v>
      </c>
      <c r="D22" s="336">
        <v>162.5</v>
      </c>
      <c r="E22" s="336">
        <f>估驗單!F18</f>
        <v>162.5</v>
      </c>
      <c r="F22" s="390"/>
      <c r="G22" s="336">
        <v>65.400000000000006</v>
      </c>
      <c r="H22" s="336"/>
      <c r="I22" s="336">
        <f t="shared" si="0"/>
        <v>10627.5</v>
      </c>
      <c r="J22" s="336">
        <f t="shared" si="1"/>
        <v>10627.5</v>
      </c>
      <c r="K22" s="546">
        <f t="shared" si="2"/>
        <v>0</v>
      </c>
      <c r="L22" s="546">
        <f t="shared" si="3"/>
        <v>0</v>
      </c>
      <c r="M22" s="231" t="s">
        <v>242</v>
      </c>
      <c r="N22" s="11" t="s">
        <v>243</v>
      </c>
      <c r="O22" s="341"/>
      <c r="P22" s="339"/>
    </row>
    <row r="23" spans="1:16" ht="33" hidden="1">
      <c r="A23" s="333" t="s">
        <v>2165</v>
      </c>
      <c r="B23" s="334" t="s">
        <v>273</v>
      </c>
      <c r="C23" s="335" t="s">
        <v>13</v>
      </c>
      <c r="D23" s="336">
        <v>5217.7</v>
      </c>
      <c r="E23" s="336">
        <f>估驗單!F19</f>
        <v>5217.7</v>
      </c>
      <c r="F23" s="390"/>
      <c r="G23" s="336">
        <v>20.190000000000001</v>
      </c>
      <c r="H23" s="336"/>
      <c r="I23" s="336">
        <f t="shared" si="0"/>
        <v>105345.36</v>
      </c>
      <c r="J23" s="336">
        <f t="shared" si="1"/>
        <v>105345.36</v>
      </c>
      <c r="K23" s="546">
        <f t="shared" si="2"/>
        <v>0</v>
      </c>
      <c r="L23" s="546">
        <f t="shared" si="3"/>
        <v>0</v>
      </c>
      <c r="M23" s="231" t="s">
        <v>242</v>
      </c>
      <c r="N23" s="11" t="s">
        <v>243</v>
      </c>
      <c r="O23" s="341"/>
      <c r="P23" s="339"/>
    </row>
    <row r="24" spans="1:16" ht="33" hidden="1">
      <c r="A24" s="343" t="s">
        <v>2166</v>
      </c>
      <c r="B24" s="344" t="s">
        <v>276</v>
      </c>
      <c r="C24" s="345" t="s">
        <v>6</v>
      </c>
      <c r="D24" s="340">
        <v>782.66</v>
      </c>
      <c r="E24" s="336">
        <f>估驗單!F20</f>
        <v>782.66</v>
      </c>
      <c r="F24" s="390"/>
      <c r="G24" s="340">
        <v>2286.6799999999998</v>
      </c>
      <c r="H24" s="340"/>
      <c r="I24" s="336">
        <f t="shared" si="0"/>
        <v>1789692.97</v>
      </c>
      <c r="J24" s="336">
        <f t="shared" si="1"/>
        <v>1789692.97</v>
      </c>
      <c r="K24" s="546">
        <f t="shared" si="2"/>
        <v>0</v>
      </c>
      <c r="L24" s="546">
        <f t="shared" si="3"/>
        <v>0</v>
      </c>
      <c r="M24" s="346" t="s">
        <v>2321</v>
      </c>
      <c r="N24" s="347" t="s">
        <v>243</v>
      </c>
      <c r="O24" s="348"/>
      <c r="P24" s="349"/>
    </row>
    <row r="25" spans="1:16" ht="33" hidden="1">
      <c r="A25" s="333" t="s">
        <v>2167</v>
      </c>
      <c r="B25" s="334" t="s">
        <v>279</v>
      </c>
      <c r="C25" s="335" t="s">
        <v>14</v>
      </c>
      <c r="D25" s="336">
        <v>425</v>
      </c>
      <c r="E25" s="336">
        <f>估驗單!F21</f>
        <v>425</v>
      </c>
      <c r="F25" s="390"/>
      <c r="G25" s="336">
        <v>521.15</v>
      </c>
      <c r="H25" s="336"/>
      <c r="I25" s="336">
        <f t="shared" si="0"/>
        <v>221488.75</v>
      </c>
      <c r="J25" s="336">
        <f t="shared" si="1"/>
        <v>221488.75</v>
      </c>
      <c r="K25" s="546">
        <f t="shared" si="2"/>
        <v>0</v>
      </c>
      <c r="L25" s="546">
        <f t="shared" si="3"/>
        <v>0</v>
      </c>
      <c r="M25" s="231" t="s">
        <v>2322</v>
      </c>
      <c r="N25" s="11" t="s">
        <v>243</v>
      </c>
      <c r="O25" s="341"/>
      <c r="P25" s="339"/>
    </row>
    <row r="26" spans="1:16" ht="33" hidden="1">
      <c r="A26" s="503" t="s">
        <v>2168</v>
      </c>
      <c r="B26" s="504" t="s">
        <v>282</v>
      </c>
      <c r="C26" s="505" t="s">
        <v>8</v>
      </c>
      <c r="D26" s="506">
        <v>255.5</v>
      </c>
      <c r="E26" s="506">
        <f>估驗單!F22</f>
        <v>415.08000000000004</v>
      </c>
      <c r="F26" s="507">
        <f t="shared" ref="F26:F90" si="4">E26-D26</f>
        <v>159.58000000000004</v>
      </c>
      <c r="G26" s="506">
        <v>289.67</v>
      </c>
      <c r="H26" s="506"/>
      <c r="I26" s="506">
        <f t="shared" si="0"/>
        <v>74010.69</v>
      </c>
      <c r="J26" s="506">
        <f t="shared" si="1"/>
        <v>120236.22</v>
      </c>
      <c r="K26" s="547">
        <f t="shared" si="2"/>
        <v>46225.53</v>
      </c>
      <c r="L26" s="547"/>
      <c r="M26" s="508" t="s">
        <v>242</v>
      </c>
      <c r="N26" s="11" t="s">
        <v>243</v>
      </c>
      <c r="O26" s="341"/>
      <c r="P26" s="339"/>
    </row>
    <row r="27" spans="1:16" ht="33" hidden="1">
      <c r="A27" s="333" t="s">
        <v>2169</v>
      </c>
      <c r="B27" s="334" t="s">
        <v>285</v>
      </c>
      <c r="C27" s="335" t="s">
        <v>286</v>
      </c>
      <c r="D27" s="336">
        <v>2204</v>
      </c>
      <c r="E27" s="336">
        <f>估驗單!F23</f>
        <v>2204</v>
      </c>
      <c r="F27" s="390"/>
      <c r="G27" s="336">
        <v>3082.11</v>
      </c>
      <c r="H27" s="336"/>
      <c r="I27" s="336">
        <f t="shared" si="0"/>
        <v>6792970.4400000004</v>
      </c>
      <c r="J27" s="336">
        <f t="shared" si="1"/>
        <v>6792970.4400000004</v>
      </c>
      <c r="K27" s="546">
        <f t="shared" si="2"/>
        <v>0</v>
      </c>
      <c r="L27" s="546">
        <f t="shared" si="3"/>
        <v>0</v>
      </c>
      <c r="M27" s="231" t="s">
        <v>242</v>
      </c>
      <c r="N27" s="11" t="s">
        <v>243</v>
      </c>
      <c r="O27" s="341"/>
      <c r="P27" s="339"/>
    </row>
    <row r="28" spans="1:16" ht="33" hidden="1">
      <c r="A28" s="333" t="s">
        <v>2170</v>
      </c>
      <c r="B28" s="334" t="s">
        <v>289</v>
      </c>
      <c r="C28" s="335" t="s">
        <v>290</v>
      </c>
      <c r="D28" s="336">
        <v>66</v>
      </c>
      <c r="E28" s="336">
        <f>估驗單!F24</f>
        <v>66</v>
      </c>
      <c r="F28" s="390"/>
      <c r="G28" s="336">
        <v>3311.26</v>
      </c>
      <c r="H28" s="336"/>
      <c r="I28" s="336">
        <f t="shared" si="0"/>
        <v>218543.16</v>
      </c>
      <c r="J28" s="336">
        <f t="shared" si="1"/>
        <v>218543.16</v>
      </c>
      <c r="K28" s="546">
        <f t="shared" si="2"/>
        <v>0</v>
      </c>
      <c r="L28" s="546">
        <f t="shared" si="3"/>
        <v>0</v>
      </c>
      <c r="M28" s="231" t="s">
        <v>2323</v>
      </c>
      <c r="N28" s="11" t="s">
        <v>243</v>
      </c>
      <c r="O28" s="341"/>
      <c r="P28" s="339"/>
    </row>
    <row r="29" spans="1:16" ht="33" hidden="1">
      <c r="A29" s="333" t="s">
        <v>2171</v>
      </c>
      <c r="B29" s="334" t="s">
        <v>293</v>
      </c>
      <c r="C29" s="335" t="s">
        <v>0</v>
      </c>
      <c r="D29" s="336">
        <v>18</v>
      </c>
      <c r="E29" s="336">
        <f>估驗單!F25</f>
        <v>18</v>
      </c>
      <c r="F29" s="390"/>
      <c r="G29" s="336">
        <v>1199.93</v>
      </c>
      <c r="H29" s="336"/>
      <c r="I29" s="336">
        <f t="shared" si="0"/>
        <v>21598.74</v>
      </c>
      <c r="J29" s="336">
        <f t="shared" si="1"/>
        <v>21598.74</v>
      </c>
      <c r="K29" s="546">
        <f t="shared" si="2"/>
        <v>0</v>
      </c>
      <c r="L29" s="546">
        <f t="shared" si="3"/>
        <v>0</v>
      </c>
      <c r="M29" s="231" t="s">
        <v>2323</v>
      </c>
      <c r="N29" s="11" t="s">
        <v>243</v>
      </c>
      <c r="O29" s="341"/>
      <c r="P29" s="339"/>
    </row>
    <row r="30" spans="1:16" ht="33" hidden="1">
      <c r="A30" s="333" t="s">
        <v>2172</v>
      </c>
      <c r="B30" s="334" t="s">
        <v>296</v>
      </c>
      <c r="C30" s="335" t="s">
        <v>0</v>
      </c>
      <c r="D30" s="336">
        <v>4</v>
      </c>
      <c r="E30" s="336">
        <f>估驗單!F26</f>
        <v>4</v>
      </c>
      <c r="F30" s="390"/>
      <c r="G30" s="336">
        <v>2999.84</v>
      </c>
      <c r="H30" s="336"/>
      <c r="I30" s="336">
        <f t="shared" si="0"/>
        <v>11999.36</v>
      </c>
      <c r="J30" s="336">
        <f t="shared" si="1"/>
        <v>11999.36</v>
      </c>
      <c r="K30" s="546">
        <f t="shared" si="2"/>
        <v>0</v>
      </c>
      <c r="L30" s="546">
        <f t="shared" si="3"/>
        <v>0</v>
      </c>
      <c r="M30" s="231" t="s">
        <v>2323</v>
      </c>
      <c r="N30" s="11" t="s">
        <v>243</v>
      </c>
      <c r="O30" s="341"/>
      <c r="P30" s="339"/>
    </row>
    <row r="31" spans="1:16" ht="33" hidden="1">
      <c r="A31" s="333" t="s">
        <v>2173</v>
      </c>
      <c r="B31" s="334" t="s">
        <v>299</v>
      </c>
      <c r="C31" s="335" t="s">
        <v>0</v>
      </c>
      <c r="D31" s="336">
        <v>20</v>
      </c>
      <c r="E31" s="336">
        <f>估驗單!F27</f>
        <v>20</v>
      </c>
      <c r="F31" s="390"/>
      <c r="G31" s="336">
        <v>2999.84</v>
      </c>
      <c r="H31" s="336"/>
      <c r="I31" s="336">
        <f t="shared" si="0"/>
        <v>59996.800000000003</v>
      </c>
      <c r="J31" s="336">
        <f t="shared" si="1"/>
        <v>59996.800000000003</v>
      </c>
      <c r="K31" s="546">
        <f t="shared" si="2"/>
        <v>0</v>
      </c>
      <c r="L31" s="546">
        <f t="shared" si="3"/>
        <v>0</v>
      </c>
      <c r="M31" s="231" t="s">
        <v>2323</v>
      </c>
      <c r="N31" s="11" t="s">
        <v>243</v>
      </c>
      <c r="O31" s="341"/>
      <c r="P31" s="339"/>
    </row>
    <row r="32" spans="1:16" ht="33" hidden="1">
      <c r="A32" s="333" t="s">
        <v>2174</v>
      </c>
      <c r="B32" s="334" t="s">
        <v>302</v>
      </c>
      <c r="C32" s="335" t="s">
        <v>0</v>
      </c>
      <c r="D32" s="336">
        <v>15</v>
      </c>
      <c r="E32" s="336">
        <f>估驗單!F28</f>
        <v>15</v>
      </c>
      <c r="F32" s="390"/>
      <c r="G32" s="336">
        <v>2999.84</v>
      </c>
      <c r="H32" s="336"/>
      <c r="I32" s="336">
        <f t="shared" si="0"/>
        <v>44997.599999999999</v>
      </c>
      <c r="J32" s="336">
        <f t="shared" si="1"/>
        <v>44997.599999999999</v>
      </c>
      <c r="K32" s="546">
        <f t="shared" si="2"/>
        <v>0</v>
      </c>
      <c r="L32" s="546">
        <f t="shared" si="3"/>
        <v>0</v>
      </c>
      <c r="M32" s="231" t="s">
        <v>2323</v>
      </c>
      <c r="N32" s="11" t="s">
        <v>243</v>
      </c>
      <c r="O32" s="341"/>
      <c r="P32" s="339"/>
    </row>
    <row r="33" spans="1:19" ht="33" hidden="1">
      <c r="A33" s="333" t="s">
        <v>2175</v>
      </c>
      <c r="B33" s="334" t="s">
        <v>305</v>
      </c>
      <c r="C33" s="335" t="s">
        <v>4</v>
      </c>
      <c r="D33" s="336">
        <v>1</v>
      </c>
      <c r="E33" s="336">
        <f>估驗單!F29</f>
        <v>1</v>
      </c>
      <c r="F33" s="390"/>
      <c r="G33" s="336">
        <v>399978.19</v>
      </c>
      <c r="H33" s="336"/>
      <c r="I33" s="336">
        <f t="shared" si="0"/>
        <v>399978.19</v>
      </c>
      <c r="J33" s="336">
        <f t="shared" si="1"/>
        <v>399978.19</v>
      </c>
      <c r="K33" s="546">
        <f t="shared" si="2"/>
        <v>0</v>
      </c>
      <c r="L33" s="546">
        <f t="shared" si="3"/>
        <v>0</v>
      </c>
      <c r="M33" s="231" t="s">
        <v>2324</v>
      </c>
      <c r="N33" s="11" t="s">
        <v>243</v>
      </c>
      <c r="O33" s="341"/>
      <c r="P33" s="339"/>
    </row>
    <row r="34" spans="1:19" ht="33" hidden="1">
      <c r="A34" s="333" t="s">
        <v>2177</v>
      </c>
      <c r="B34" s="334" t="s">
        <v>31</v>
      </c>
      <c r="C34" s="335" t="s">
        <v>16</v>
      </c>
      <c r="D34" s="336">
        <v>30800</v>
      </c>
      <c r="E34" s="336">
        <f>估驗單!F30</f>
        <v>30800</v>
      </c>
      <c r="F34" s="390">
        <f t="shared" si="4"/>
        <v>0</v>
      </c>
      <c r="G34" s="336">
        <v>280</v>
      </c>
      <c r="H34" s="336"/>
      <c r="I34" s="336">
        <f t="shared" si="0"/>
        <v>8624000</v>
      </c>
      <c r="J34" s="336">
        <f t="shared" si="1"/>
        <v>8624000</v>
      </c>
      <c r="K34" s="546">
        <f t="shared" si="2"/>
        <v>0</v>
      </c>
      <c r="L34" s="546">
        <f t="shared" si="3"/>
        <v>0</v>
      </c>
      <c r="M34" s="231" t="s">
        <v>2325</v>
      </c>
      <c r="N34" s="11" t="s">
        <v>243</v>
      </c>
      <c r="O34" s="341"/>
      <c r="P34" s="339"/>
    </row>
    <row r="35" spans="1:19" ht="33" hidden="1">
      <c r="A35" s="333" t="s">
        <v>2178</v>
      </c>
      <c r="B35" s="334" t="s">
        <v>1312</v>
      </c>
      <c r="C35" s="335" t="s">
        <v>13</v>
      </c>
      <c r="D35" s="336">
        <v>2150</v>
      </c>
      <c r="E35" s="336">
        <f>估驗單!F31</f>
        <v>2150</v>
      </c>
      <c r="F35" s="390">
        <f t="shared" si="4"/>
        <v>0</v>
      </c>
      <c r="G35" s="336">
        <v>70.56</v>
      </c>
      <c r="H35" s="336"/>
      <c r="I35" s="336">
        <f t="shared" si="0"/>
        <v>151704</v>
      </c>
      <c r="J35" s="336">
        <f t="shared" si="1"/>
        <v>151704</v>
      </c>
      <c r="K35" s="546">
        <f t="shared" si="2"/>
        <v>0</v>
      </c>
      <c r="L35" s="546">
        <f t="shared" si="3"/>
        <v>0</v>
      </c>
      <c r="M35" s="231" t="s">
        <v>2326</v>
      </c>
      <c r="N35" s="11" t="s">
        <v>243</v>
      </c>
      <c r="O35" s="341"/>
      <c r="P35" s="339"/>
    </row>
    <row r="36" spans="1:19" s="352" customFormat="1" ht="33.75" hidden="1">
      <c r="A36" s="343">
        <v>25</v>
      </c>
      <c r="B36" s="344" t="s">
        <v>2327</v>
      </c>
      <c r="C36" s="335" t="s">
        <v>2328</v>
      </c>
      <c r="D36" s="340">
        <v>111</v>
      </c>
      <c r="E36" s="336">
        <f>估驗單!F32</f>
        <v>111</v>
      </c>
      <c r="F36" s="390">
        <f t="shared" si="4"/>
        <v>0</v>
      </c>
      <c r="G36" s="340">
        <v>20000</v>
      </c>
      <c r="H36" s="340"/>
      <c r="I36" s="336">
        <f t="shared" si="0"/>
        <v>2220000</v>
      </c>
      <c r="J36" s="336">
        <f t="shared" si="1"/>
        <v>2220000</v>
      </c>
      <c r="K36" s="546">
        <f t="shared" si="2"/>
        <v>0</v>
      </c>
      <c r="L36" s="546">
        <f t="shared" si="3"/>
        <v>0</v>
      </c>
      <c r="M36" s="350" t="s">
        <v>2329</v>
      </c>
      <c r="N36" s="347" t="s">
        <v>243</v>
      </c>
      <c r="O36" s="348" t="s">
        <v>2330</v>
      </c>
      <c r="P36" s="351" t="s">
        <v>2331</v>
      </c>
      <c r="Q36" s="325" t="s">
        <v>2332</v>
      </c>
      <c r="S36" s="353" t="s">
        <v>2333</v>
      </c>
    </row>
    <row r="37" spans="1:19" ht="33" hidden="1">
      <c r="A37" s="406" t="s">
        <v>2180</v>
      </c>
      <c r="B37" s="407" t="s">
        <v>309</v>
      </c>
      <c r="C37" s="408" t="s">
        <v>4</v>
      </c>
      <c r="D37" s="409"/>
      <c r="E37" s="409">
        <f>估驗單!F33</f>
        <v>0</v>
      </c>
      <c r="F37" s="410">
        <f t="shared" si="4"/>
        <v>0</v>
      </c>
      <c r="G37" s="409">
        <v>30807124.300000001</v>
      </c>
      <c r="H37" s="409"/>
      <c r="I37" s="409">
        <f>SUM(I38:I126)</f>
        <v>30120410.640000001</v>
      </c>
      <c r="J37" s="409">
        <f>SUM(J38:J126)</f>
        <v>31599489.010000005</v>
      </c>
      <c r="K37" s="542">
        <f>SUM(K38:K126)</f>
        <v>3305690.73</v>
      </c>
      <c r="L37" s="452">
        <f>SUM(L38:L126)</f>
        <v>-1826612.36</v>
      </c>
      <c r="M37" s="288" t="s">
        <v>242</v>
      </c>
      <c r="N37" s="11" t="s">
        <v>243</v>
      </c>
      <c r="O37" s="338"/>
      <c r="P37" s="339"/>
    </row>
    <row r="38" spans="1:19" ht="33" hidden="1">
      <c r="A38" s="333" t="s">
        <v>2154</v>
      </c>
      <c r="B38" s="334" t="s">
        <v>310</v>
      </c>
      <c r="C38" s="335" t="s">
        <v>223</v>
      </c>
      <c r="D38" s="336">
        <v>1887.64</v>
      </c>
      <c r="E38" s="336">
        <f>估驗單!F34</f>
        <v>1887.64</v>
      </c>
      <c r="F38" s="390">
        <f t="shared" si="4"/>
        <v>0</v>
      </c>
      <c r="G38" s="336">
        <v>320.72000000000003</v>
      </c>
      <c r="H38" s="336"/>
      <c r="I38" s="336">
        <f t="shared" ref="I38:I102" si="5">ROUND(D38*G38,2)</f>
        <v>605403.9</v>
      </c>
      <c r="J38" s="336">
        <f t="shared" ref="J38:J102" si="6">ROUND(E38*G38,2)</f>
        <v>605403.9</v>
      </c>
      <c r="K38" s="546">
        <f t="shared" si="2"/>
        <v>0</v>
      </c>
      <c r="L38" s="502"/>
      <c r="M38" s="231" t="s">
        <v>242</v>
      </c>
      <c r="N38" s="11" t="s">
        <v>243</v>
      </c>
      <c r="O38" s="341"/>
      <c r="P38" s="339"/>
    </row>
    <row r="39" spans="1:19" ht="33" hidden="1">
      <c r="A39" s="333" t="s">
        <v>2155</v>
      </c>
      <c r="B39" s="334" t="s">
        <v>312</v>
      </c>
      <c r="C39" s="335" t="s">
        <v>223</v>
      </c>
      <c r="D39" s="336">
        <v>402.21</v>
      </c>
      <c r="E39" s="336">
        <f>估驗單!F35</f>
        <v>402.21</v>
      </c>
      <c r="F39" s="390">
        <f t="shared" si="4"/>
        <v>0</v>
      </c>
      <c r="G39" s="336">
        <v>346.06</v>
      </c>
      <c r="H39" s="336"/>
      <c r="I39" s="336">
        <f t="shared" si="5"/>
        <v>139188.79</v>
      </c>
      <c r="J39" s="336">
        <f t="shared" si="6"/>
        <v>139188.79</v>
      </c>
      <c r="K39" s="546">
        <f t="shared" si="2"/>
        <v>0</v>
      </c>
      <c r="L39" s="502"/>
      <c r="M39" s="231" t="s">
        <v>242</v>
      </c>
      <c r="N39" s="11" t="s">
        <v>243</v>
      </c>
      <c r="O39" s="341"/>
      <c r="P39" s="339"/>
    </row>
    <row r="40" spans="1:19" ht="16.5" hidden="1">
      <c r="A40" s="957" t="s">
        <v>235</v>
      </c>
      <c r="B40" s="964" t="s">
        <v>2303</v>
      </c>
      <c r="C40" s="964" t="s">
        <v>237</v>
      </c>
      <c r="D40" s="957" t="s">
        <v>2605</v>
      </c>
      <c r="E40" s="957" t="s">
        <v>2602</v>
      </c>
      <c r="F40" s="968" t="s">
        <v>2305</v>
      </c>
      <c r="G40" s="957" t="s">
        <v>2306</v>
      </c>
      <c r="H40" s="957" t="s">
        <v>2307</v>
      </c>
      <c r="I40" s="957" t="s">
        <v>2308</v>
      </c>
      <c r="J40" s="957" t="s">
        <v>2612</v>
      </c>
      <c r="K40" s="959" t="s">
        <v>2309</v>
      </c>
      <c r="L40" s="961" t="s">
        <v>2310</v>
      </c>
      <c r="M40" s="964" t="s">
        <v>2311</v>
      </c>
      <c r="N40" s="11"/>
      <c r="O40" s="341"/>
      <c r="P40" s="339"/>
    </row>
    <row r="41" spans="1:19" ht="33" hidden="1">
      <c r="A41" s="958"/>
      <c r="B41" s="965"/>
      <c r="C41" s="965"/>
      <c r="D41" s="958"/>
      <c r="E41" s="958"/>
      <c r="F41" s="969"/>
      <c r="G41" s="958"/>
      <c r="H41" s="958"/>
      <c r="I41" s="958"/>
      <c r="J41" s="958"/>
      <c r="K41" s="960"/>
      <c r="L41" s="962"/>
      <c r="M41" s="965"/>
      <c r="N41" s="11" t="s">
        <v>243</v>
      </c>
      <c r="O41" s="341"/>
      <c r="P41" s="339"/>
    </row>
    <row r="42" spans="1:19" ht="33" hidden="1">
      <c r="A42" s="333" t="s">
        <v>2157</v>
      </c>
      <c r="B42" s="334" t="s">
        <v>315</v>
      </c>
      <c r="C42" s="335" t="s">
        <v>6</v>
      </c>
      <c r="D42" s="336">
        <v>107.91</v>
      </c>
      <c r="E42" s="336">
        <f>估驗單!F37</f>
        <v>107.91</v>
      </c>
      <c r="F42" s="390">
        <f t="shared" si="4"/>
        <v>0</v>
      </c>
      <c r="G42" s="336">
        <v>3114.97</v>
      </c>
      <c r="H42" s="336"/>
      <c r="I42" s="336">
        <f t="shared" si="5"/>
        <v>336136.41</v>
      </c>
      <c r="J42" s="336">
        <f t="shared" si="6"/>
        <v>336136.41</v>
      </c>
      <c r="K42" s="546">
        <f t="shared" si="2"/>
        <v>0</v>
      </c>
      <c r="L42" s="502"/>
      <c r="M42" s="231" t="s">
        <v>242</v>
      </c>
      <c r="N42" s="11" t="s">
        <v>243</v>
      </c>
      <c r="O42" s="341"/>
      <c r="P42" s="339"/>
    </row>
    <row r="43" spans="1:19" ht="33" hidden="1">
      <c r="A43" s="333" t="s">
        <v>2158</v>
      </c>
      <c r="B43" s="334" t="s">
        <v>24</v>
      </c>
      <c r="C43" s="335" t="s">
        <v>6</v>
      </c>
      <c r="D43" s="336">
        <v>564.01</v>
      </c>
      <c r="E43" s="336">
        <f>估驗單!F38</f>
        <v>564.01</v>
      </c>
      <c r="F43" s="390">
        <f t="shared" si="4"/>
        <v>0</v>
      </c>
      <c r="G43" s="336">
        <v>3320.96</v>
      </c>
      <c r="H43" s="336"/>
      <c r="I43" s="336">
        <f t="shared" si="5"/>
        <v>1873054.65</v>
      </c>
      <c r="J43" s="336">
        <f t="shared" si="6"/>
        <v>1873054.65</v>
      </c>
      <c r="K43" s="546">
        <f t="shared" si="2"/>
        <v>0</v>
      </c>
      <c r="L43" s="502"/>
      <c r="M43" s="231" t="s">
        <v>242</v>
      </c>
      <c r="N43" s="11" t="s">
        <v>243</v>
      </c>
      <c r="O43" s="341"/>
      <c r="P43" s="339"/>
    </row>
    <row r="44" spans="1:19" ht="71.25" hidden="1">
      <c r="A44" s="333" t="s">
        <v>2159</v>
      </c>
      <c r="B44" s="334" t="s">
        <v>193</v>
      </c>
      <c r="C44" s="335" t="s">
        <v>13</v>
      </c>
      <c r="D44" s="336">
        <v>1926.87</v>
      </c>
      <c r="E44" s="336">
        <f>估驗單!F39</f>
        <v>1926.87</v>
      </c>
      <c r="F44" s="390">
        <f t="shared" si="4"/>
        <v>0</v>
      </c>
      <c r="G44" s="336">
        <v>533.61</v>
      </c>
      <c r="H44" s="336"/>
      <c r="I44" s="336">
        <f t="shared" si="5"/>
        <v>1028197.1</v>
      </c>
      <c r="J44" s="336">
        <f t="shared" si="6"/>
        <v>1028197.1</v>
      </c>
      <c r="K44" s="546">
        <f t="shared" si="2"/>
        <v>0</v>
      </c>
      <c r="L44" s="502"/>
      <c r="M44" s="231" t="s">
        <v>2335</v>
      </c>
      <c r="N44" s="11" t="s">
        <v>243</v>
      </c>
      <c r="O44" s="341"/>
      <c r="P44" s="339"/>
    </row>
    <row r="45" spans="1:19" ht="42.75" hidden="1">
      <c r="A45" s="333" t="s">
        <v>2160</v>
      </c>
      <c r="B45" s="334" t="s">
        <v>319</v>
      </c>
      <c r="C45" s="335" t="s">
        <v>13</v>
      </c>
      <c r="D45" s="336">
        <v>301.33</v>
      </c>
      <c r="E45" s="336">
        <f>估驗單!F40</f>
        <v>301.33</v>
      </c>
      <c r="F45" s="390">
        <f t="shared" si="4"/>
        <v>0</v>
      </c>
      <c r="G45" s="336">
        <v>1299.82</v>
      </c>
      <c r="H45" s="336"/>
      <c r="I45" s="336">
        <f t="shared" si="5"/>
        <v>391674.76</v>
      </c>
      <c r="J45" s="336">
        <f t="shared" si="6"/>
        <v>391674.76</v>
      </c>
      <c r="K45" s="546">
        <f t="shared" si="2"/>
        <v>0</v>
      </c>
      <c r="L45" s="502"/>
      <c r="M45" s="231" t="s">
        <v>2336</v>
      </c>
      <c r="N45" s="11" t="s">
        <v>243</v>
      </c>
      <c r="O45" s="341"/>
      <c r="P45" s="339"/>
    </row>
    <row r="46" spans="1:19" ht="42.75" hidden="1">
      <c r="A46" s="503" t="s">
        <v>2161</v>
      </c>
      <c r="B46" s="504" t="s">
        <v>321</v>
      </c>
      <c r="C46" s="505" t="s">
        <v>17</v>
      </c>
      <c r="D46" s="506">
        <v>5991.34</v>
      </c>
      <c r="E46" s="506">
        <f>估驗單!F41</f>
        <v>5991.34</v>
      </c>
      <c r="F46" s="507">
        <f t="shared" si="4"/>
        <v>0</v>
      </c>
      <c r="G46" s="506">
        <v>60</v>
      </c>
      <c r="H46" s="506"/>
      <c r="I46" s="506">
        <f t="shared" si="5"/>
        <v>359480.4</v>
      </c>
      <c r="J46" s="506">
        <f t="shared" si="6"/>
        <v>359480.4</v>
      </c>
      <c r="K46" s="547">
        <f t="shared" si="2"/>
        <v>0</v>
      </c>
      <c r="L46" s="510"/>
      <c r="M46" s="508" t="s">
        <v>2337</v>
      </c>
      <c r="N46" s="11" t="s">
        <v>243</v>
      </c>
      <c r="O46" s="341"/>
      <c r="P46" s="339"/>
    </row>
    <row r="47" spans="1:19" ht="33" hidden="1">
      <c r="A47" s="503" t="s">
        <v>2162</v>
      </c>
      <c r="B47" s="504" t="s">
        <v>323</v>
      </c>
      <c r="C47" s="505" t="s">
        <v>17</v>
      </c>
      <c r="D47" s="506">
        <v>5991.34</v>
      </c>
      <c r="E47" s="506">
        <f>估驗單!F42</f>
        <v>5991.34</v>
      </c>
      <c r="F47" s="507">
        <f t="shared" si="4"/>
        <v>0</v>
      </c>
      <c r="G47" s="506">
        <v>31.9</v>
      </c>
      <c r="H47" s="506"/>
      <c r="I47" s="506">
        <f t="shared" si="5"/>
        <v>191123.75</v>
      </c>
      <c r="J47" s="506">
        <f t="shared" si="6"/>
        <v>191123.75</v>
      </c>
      <c r="K47" s="547">
        <f t="shared" si="2"/>
        <v>0</v>
      </c>
      <c r="L47" s="510"/>
      <c r="M47" s="508" t="s">
        <v>242</v>
      </c>
      <c r="N47" s="11" t="s">
        <v>243</v>
      </c>
      <c r="O47" s="341"/>
      <c r="P47" s="339"/>
    </row>
    <row r="48" spans="1:19" ht="57" hidden="1">
      <c r="A48" s="333" t="s">
        <v>2163</v>
      </c>
      <c r="B48" s="334" t="s">
        <v>325</v>
      </c>
      <c r="C48" s="335" t="s">
        <v>17</v>
      </c>
      <c r="D48" s="336">
        <v>1180.03</v>
      </c>
      <c r="E48" s="336">
        <f>估驗單!F43</f>
        <v>1180.03</v>
      </c>
      <c r="F48" s="390">
        <f t="shared" si="4"/>
        <v>0</v>
      </c>
      <c r="G48" s="336">
        <v>107.3</v>
      </c>
      <c r="H48" s="336"/>
      <c r="I48" s="336">
        <f t="shared" si="5"/>
        <v>126617.22</v>
      </c>
      <c r="J48" s="336">
        <f t="shared" si="6"/>
        <v>126617.22</v>
      </c>
      <c r="K48" s="546">
        <f t="shared" si="2"/>
        <v>0</v>
      </c>
      <c r="L48" s="502"/>
      <c r="M48" s="231" t="s">
        <v>2337</v>
      </c>
      <c r="N48" s="11" t="s">
        <v>243</v>
      </c>
      <c r="O48" s="341"/>
      <c r="P48" s="339"/>
    </row>
    <row r="49" spans="1:16" ht="33" hidden="1">
      <c r="A49" s="333" t="s">
        <v>2164</v>
      </c>
      <c r="B49" s="334" t="s">
        <v>327</v>
      </c>
      <c r="C49" s="335" t="s">
        <v>13</v>
      </c>
      <c r="D49" s="336">
        <v>3879.21</v>
      </c>
      <c r="E49" s="336">
        <f>估驗單!F44</f>
        <v>3879.21</v>
      </c>
      <c r="F49" s="390">
        <f t="shared" si="4"/>
        <v>0</v>
      </c>
      <c r="G49" s="336">
        <v>3092.69</v>
      </c>
      <c r="H49" s="336"/>
      <c r="I49" s="336">
        <f t="shared" si="5"/>
        <v>11997193.970000001</v>
      </c>
      <c r="J49" s="336">
        <f t="shared" si="6"/>
        <v>11997193.970000001</v>
      </c>
      <c r="K49" s="546">
        <f t="shared" si="2"/>
        <v>0</v>
      </c>
      <c r="L49" s="502"/>
      <c r="M49" s="231" t="s">
        <v>242</v>
      </c>
      <c r="N49" s="11" t="s">
        <v>243</v>
      </c>
      <c r="O49" s="341"/>
      <c r="P49" s="339"/>
    </row>
    <row r="50" spans="1:16" ht="33" hidden="1">
      <c r="A50" s="333" t="s">
        <v>2165</v>
      </c>
      <c r="B50" s="334" t="s">
        <v>329</v>
      </c>
      <c r="C50" s="335" t="s">
        <v>13</v>
      </c>
      <c r="D50" s="336">
        <v>462.9</v>
      </c>
      <c r="E50" s="336">
        <f>估驗單!F45</f>
        <v>462.9</v>
      </c>
      <c r="F50" s="390">
        <f t="shared" si="4"/>
        <v>0</v>
      </c>
      <c r="G50" s="336">
        <v>3961.37</v>
      </c>
      <c r="H50" s="336"/>
      <c r="I50" s="336">
        <f t="shared" si="5"/>
        <v>1833718.17</v>
      </c>
      <c r="J50" s="336">
        <f t="shared" si="6"/>
        <v>1833718.17</v>
      </c>
      <c r="K50" s="546">
        <f t="shared" si="2"/>
        <v>0</v>
      </c>
      <c r="L50" s="502"/>
      <c r="M50" s="231" t="s">
        <v>242</v>
      </c>
      <c r="N50" s="11" t="s">
        <v>243</v>
      </c>
      <c r="O50" s="341"/>
      <c r="P50" s="339"/>
    </row>
    <row r="51" spans="1:16" ht="33" hidden="1">
      <c r="A51" s="503" t="s">
        <v>2166</v>
      </c>
      <c r="B51" s="504" t="s">
        <v>331</v>
      </c>
      <c r="C51" s="505" t="s">
        <v>13</v>
      </c>
      <c r="D51" s="506">
        <v>5.09</v>
      </c>
      <c r="E51" s="506">
        <f>估驗單!F46</f>
        <v>5.09</v>
      </c>
      <c r="F51" s="507">
        <f t="shared" si="4"/>
        <v>0</v>
      </c>
      <c r="G51" s="506">
        <v>3965.59</v>
      </c>
      <c r="H51" s="506"/>
      <c r="I51" s="506">
        <f t="shared" si="5"/>
        <v>20184.849999999999</v>
      </c>
      <c r="J51" s="506">
        <f t="shared" si="6"/>
        <v>20184.849999999999</v>
      </c>
      <c r="K51" s="547">
        <f t="shared" si="2"/>
        <v>0</v>
      </c>
      <c r="L51" s="510"/>
      <c r="M51" s="508" t="s">
        <v>242</v>
      </c>
      <c r="N51" s="11" t="s">
        <v>243</v>
      </c>
      <c r="O51" s="341" t="s">
        <v>2619</v>
      </c>
      <c r="P51" s="339"/>
    </row>
    <row r="52" spans="1:16" ht="33" hidden="1">
      <c r="A52" s="333" t="s">
        <v>2167</v>
      </c>
      <c r="B52" s="334" t="s">
        <v>333</v>
      </c>
      <c r="C52" s="335" t="s">
        <v>13</v>
      </c>
      <c r="D52" s="336">
        <v>18.760000000000002</v>
      </c>
      <c r="E52" s="336">
        <f>估驗單!F47</f>
        <v>18.760000000000002</v>
      </c>
      <c r="F52" s="390">
        <f t="shared" si="4"/>
        <v>0</v>
      </c>
      <c r="G52" s="336">
        <v>3391.22</v>
      </c>
      <c r="H52" s="336"/>
      <c r="I52" s="336">
        <f t="shared" si="5"/>
        <v>63619.29</v>
      </c>
      <c r="J52" s="336">
        <f t="shared" si="6"/>
        <v>63619.29</v>
      </c>
      <c r="K52" s="546">
        <f t="shared" si="2"/>
        <v>0</v>
      </c>
      <c r="L52" s="502"/>
      <c r="M52" s="231" t="s">
        <v>242</v>
      </c>
      <c r="N52" s="11" t="s">
        <v>243</v>
      </c>
      <c r="O52" s="341"/>
      <c r="P52" s="339"/>
    </row>
    <row r="53" spans="1:16" ht="33" hidden="1">
      <c r="A53" s="333" t="s">
        <v>2168</v>
      </c>
      <c r="B53" s="334" t="s">
        <v>335</v>
      </c>
      <c r="C53" s="335" t="s">
        <v>13</v>
      </c>
      <c r="D53" s="336">
        <v>118.92</v>
      </c>
      <c r="E53" s="336">
        <f>估驗單!F48</f>
        <v>118.92</v>
      </c>
      <c r="F53" s="390">
        <f t="shared" si="4"/>
        <v>0</v>
      </c>
      <c r="G53" s="336">
        <v>773.85</v>
      </c>
      <c r="H53" s="336"/>
      <c r="I53" s="336">
        <f t="shared" si="5"/>
        <v>92026.240000000005</v>
      </c>
      <c r="J53" s="336">
        <f t="shared" si="6"/>
        <v>92026.240000000005</v>
      </c>
      <c r="K53" s="546">
        <f t="shared" si="2"/>
        <v>0</v>
      </c>
      <c r="L53" s="502"/>
      <c r="M53" s="231" t="s">
        <v>242</v>
      </c>
      <c r="N53" s="11" t="s">
        <v>243</v>
      </c>
      <c r="O53" s="341"/>
      <c r="P53" s="339"/>
    </row>
    <row r="54" spans="1:16" ht="33" hidden="1">
      <c r="A54" s="333" t="s">
        <v>2169</v>
      </c>
      <c r="B54" s="334" t="s">
        <v>337</v>
      </c>
      <c r="C54" s="335" t="s">
        <v>13</v>
      </c>
      <c r="D54" s="336">
        <v>173.3</v>
      </c>
      <c r="E54" s="336">
        <f>估驗單!F49</f>
        <v>173.3</v>
      </c>
      <c r="F54" s="390">
        <f t="shared" si="4"/>
        <v>0</v>
      </c>
      <c r="G54" s="336">
        <v>948.34</v>
      </c>
      <c r="H54" s="336"/>
      <c r="I54" s="336">
        <f t="shared" si="5"/>
        <v>164347.32</v>
      </c>
      <c r="J54" s="336">
        <f t="shared" si="6"/>
        <v>164347.32</v>
      </c>
      <c r="K54" s="546">
        <f t="shared" si="2"/>
        <v>0</v>
      </c>
      <c r="L54" s="502"/>
      <c r="M54" s="231" t="s">
        <v>242</v>
      </c>
      <c r="N54" s="11" t="s">
        <v>243</v>
      </c>
      <c r="O54" s="341"/>
      <c r="P54" s="339"/>
    </row>
    <row r="55" spans="1:16" ht="33" hidden="1">
      <c r="A55" s="333" t="s">
        <v>2170</v>
      </c>
      <c r="B55" s="334" t="s">
        <v>339</v>
      </c>
      <c r="C55" s="335" t="s">
        <v>0</v>
      </c>
      <c r="D55" s="336">
        <v>1</v>
      </c>
      <c r="E55" s="336">
        <f>估驗單!F50</f>
        <v>1</v>
      </c>
      <c r="F55" s="390">
        <f t="shared" si="4"/>
        <v>0</v>
      </c>
      <c r="G55" s="336">
        <v>144378.63</v>
      </c>
      <c r="H55" s="336"/>
      <c r="I55" s="336">
        <f t="shared" si="5"/>
        <v>144378.63</v>
      </c>
      <c r="J55" s="336">
        <f t="shared" si="6"/>
        <v>144378.63</v>
      </c>
      <c r="K55" s="546">
        <f t="shared" si="2"/>
        <v>0</v>
      </c>
      <c r="L55" s="502"/>
      <c r="M55" s="231" t="s">
        <v>242</v>
      </c>
      <c r="N55" s="11" t="s">
        <v>243</v>
      </c>
      <c r="O55" s="341"/>
      <c r="P55" s="339"/>
    </row>
    <row r="56" spans="1:16" ht="33" hidden="1">
      <c r="A56" s="333" t="s">
        <v>2171</v>
      </c>
      <c r="B56" s="334" t="s">
        <v>341</v>
      </c>
      <c r="C56" s="335" t="s">
        <v>223</v>
      </c>
      <c r="D56" s="336">
        <v>156.68</v>
      </c>
      <c r="E56" s="336">
        <f>估驗單!F51</f>
        <v>156.68</v>
      </c>
      <c r="F56" s="390">
        <f t="shared" si="4"/>
        <v>0</v>
      </c>
      <c r="G56" s="336">
        <v>145.21</v>
      </c>
      <c r="H56" s="336"/>
      <c r="I56" s="336">
        <f t="shared" si="5"/>
        <v>22751.5</v>
      </c>
      <c r="J56" s="336">
        <f t="shared" si="6"/>
        <v>22751.5</v>
      </c>
      <c r="K56" s="546">
        <f t="shared" si="2"/>
        <v>0</v>
      </c>
      <c r="L56" s="502"/>
      <c r="M56" s="231" t="s">
        <v>242</v>
      </c>
      <c r="N56" s="11" t="s">
        <v>243</v>
      </c>
      <c r="O56" s="341"/>
      <c r="P56" s="339"/>
    </row>
    <row r="57" spans="1:16" ht="33" hidden="1">
      <c r="A57" s="333" t="s">
        <v>2172</v>
      </c>
      <c r="B57" s="334" t="s">
        <v>343</v>
      </c>
      <c r="C57" s="335" t="s">
        <v>8</v>
      </c>
      <c r="D57" s="336">
        <v>689.86</v>
      </c>
      <c r="E57" s="336">
        <f>估驗單!F52</f>
        <v>689.86</v>
      </c>
      <c r="F57" s="390">
        <f t="shared" si="4"/>
        <v>0</v>
      </c>
      <c r="G57" s="336">
        <v>2755.78</v>
      </c>
      <c r="H57" s="336"/>
      <c r="I57" s="336">
        <f t="shared" si="5"/>
        <v>1901102.39</v>
      </c>
      <c r="J57" s="336">
        <f t="shared" si="6"/>
        <v>1901102.39</v>
      </c>
      <c r="K57" s="546">
        <f t="shared" si="2"/>
        <v>0</v>
      </c>
      <c r="L57" s="502"/>
      <c r="M57" s="231" t="s">
        <v>2321</v>
      </c>
      <c r="N57" s="11" t="s">
        <v>243</v>
      </c>
      <c r="O57" s="341"/>
      <c r="P57" s="339"/>
    </row>
    <row r="58" spans="1:16" ht="33" hidden="1">
      <c r="A58" s="333" t="s">
        <v>2173</v>
      </c>
      <c r="B58" s="334" t="s">
        <v>345</v>
      </c>
      <c r="C58" s="335" t="s">
        <v>8</v>
      </c>
      <c r="D58" s="336">
        <v>12.91</v>
      </c>
      <c r="E58" s="336">
        <f>估驗單!F53</f>
        <v>12.91</v>
      </c>
      <c r="F58" s="390">
        <f t="shared" si="4"/>
        <v>0</v>
      </c>
      <c r="G58" s="336">
        <v>576.77</v>
      </c>
      <c r="H58" s="336"/>
      <c r="I58" s="336">
        <f t="shared" si="5"/>
        <v>7446.1</v>
      </c>
      <c r="J58" s="336">
        <f t="shared" si="6"/>
        <v>7446.1</v>
      </c>
      <c r="K58" s="546">
        <f t="shared" si="2"/>
        <v>0</v>
      </c>
      <c r="L58" s="502"/>
      <c r="M58" s="231" t="s">
        <v>2321</v>
      </c>
      <c r="N58" s="11" t="s">
        <v>243</v>
      </c>
      <c r="O58" s="341"/>
      <c r="P58" s="339"/>
    </row>
    <row r="59" spans="1:16" ht="33" hidden="1">
      <c r="A59" s="333" t="s">
        <v>2174</v>
      </c>
      <c r="B59" s="334" t="s">
        <v>347</v>
      </c>
      <c r="C59" s="335" t="s">
        <v>8</v>
      </c>
      <c r="D59" s="336">
        <v>56.09</v>
      </c>
      <c r="E59" s="336">
        <f>估驗單!F54</f>
        <v>56.09</v>
      </c>
      <c r="F59" s="390">
        <f t="shared" si="4"/>
        <v>0</v>
      </c>
      <c r="G59" s="336">
        <v>615.30999999999995</v>
      </c>
      <c r="H59" s="336"/>
      <c r="I59" s="336">
        <f t="shared" si="5"/>
        <v>34512.74</v>
      </c>
      <c r="J59" s="336">
        <f t="shared" si="6"/>
        <v>34512.74</v>
      </c>
      <c r="K59" s="546">
        <f t="shared" si="2"/>
        <v>0</v>
      </c>
      <c r="L59" s="502"/>
      <c r="M59" s="231" t="s">
        <v>242</v>
      </c>
      <c r="N59" s="11" t="s">
        <v>243</v>
      </c>
      <c r="O59" s="341"/>
      <c r="P59" s="339"/>
    </row>
    <row r="60" spans="1:16" ht="33" hidden="1">
      <c r="A60" s="333" t="s">
        <v>2175</v>
      </c>
      <c r="B60" s="334" t="s">
        <v>349</v>
      </c>
      <c r="C60" s="335" t="s">
        <v>8</v>
      </c>
      <c r="D60" s="336">
        <v>656.91</v>
      </c>
      <c r="E60" s="336">
        <f>估驗單!F55</f>
        <v>656.91</v>
      </c>
      <c r="F60" s="390">
        <f t="shared" si="4"/>
        <v>0</v>
      </c>
      <c r="G60" s="336">
        <v>685.27</v>
      </c>
      <c r="H60" s="336"/>
      <c r="I60" s="336">
        <f t="shared" si="5"/>
        <v>450160.72</v>
      </c>
      <c r="J60" s="336">
        <f t="shared" si="6"/>
        <v>450160.72</v>
      </c>
      <c r="K60" s="546">
        <f t="shared" si="2"/>
        <v>0</v>
      </c>
      <c r="L60" s="502"/>
      <c r="M60" s="231" t="s">
        <v>2321</v>
      </c>
      <c r="N60" s="11" t="s">
        <v>243</v>
      </c>
      <c r="O60" s="341"/>
      <c r="P60" s="339"/>
    </row>
    <row r="61" spans="1:16" ht="33" hidden="1">
      <c r="A61" s="333" t="s">
        <v>2177</v>
      </c>
      <c r="B61" s="334" t="s">
        <v>351</v>
      </c>
      <c r="C61" s="335" t="s">
        <v>8</v>
      </c>
      <c r="D61" s="336">
        <v>1254.1300000000001</v>
      </c>
      <c r="E61" s="336">
        <f>估驗單!F56</f>
        <v>1254.1300000000001</v>
      </c>
      <c r="F61" s="390">
        <f t="shared" si="4"/>
        <v>0</v>
      </c>
      <c r="G61" s="336">
        <v>699.69</v>
      </c>
      <c r="H61" s="336"/>
      <c r="I61" s="336">
        <f t="shared" si="5"/>
        <v>877502.22</v>
      </c>
      <c r="J61" s="336">
        <f t="shared" si="6"/>
        <v>877502.22</v>
      </c>
      <c r="K61" s="546">
        <f t="shared" si="2"/>
        <v>0</v>
      </c>
      <c r="L61" s="502"/>
      <c r="M61" s="231" t="s">
        <v>2321</v>
      </c>
      <c r="N61" s="11" t="s">
        <v>243</v>
      </c>
      <c r="O61" s="341"/>
      <c r="P61" s="339"/>
    </row>
    <row r="62" spans="1:16" ht="33" hidden="1">
      <c r="A62" s="333" t="s">
        <v>2178</v>
      </c>
      <c r="B62" s="334" t="s">
        <v>353</v>
      </c>
      <c r="C62" s="335" t="s">
        <v>8</v>
      </c>
      <c r="D62" s="336">
        <v>44.64</v>
      </c>
      <c r="E62" s="336">
        <f>估驗單!F57</f>
        <v>44.64</v>
      </c>
      <c r="F62" s="390">
        <f t="shared" si="4"/>
        <v>0</v>
      </c>
      <c r="G62" s="336">
        <v>1199.27</v>
      </c>
      <c r="H62" s="336"/>
      <c r="I62" s="336">
        <f t="shared" si="5"/>
        <v>53535.41</v>
      </c>
      <c r="J62" s="336">
        <f t="shared" si="6"/>
        <v>53535.41</v>
      </c>
      <c r="K62" s="546">
        <f t="shared" si="2"/>
        <v>0</v>
      </c>
      <c r="L62" s="502"/>
      <c r="M62" s="231" t="s">
        <v>2321</v>
      </c>
      <c r="N62" s="11" t="s">
        <v>243</v>
      </c>
      <c r="O62" s="341"/>
      <c r="P62" s="339"/>
    </row>
    <row r="63" spans="1:16" ht="33" hidden="1">
      <c r="A63" s="333" t="s">
        <v>2179</v>
      </c>
      <c r="B63" s="334" t="s">
        <v>355</v>
      </c>
      <c r="C63" s="335" t="s">
        <v>8</v>
      </c>
      <c r="D63" s="336">
        <v>142.26</v>
      </c>
      <c r="E63" s="336">
        <f>估驗單!F58</f>
        <v>142.26</v>
      </c>
      <c r="F63" s="390">
        <f t="shared" si="4"/>
        <v>0</v>
      </c>
      <c r="G63" s="336">
        <v>57.68</v>
      </c>
      <c r="H63" s="336"/>
      <c r="I63" s="336">
        <f t="shared" si="5"/>
        <v>8205.56</v>
      </c>
      <c r="J63" s="336">
        <f t="shared" si="6"/>
        <v>8205.56</v>
      </c>
      <c r="K63" s="546">
        <f t="shared" si="2"/>
        <v>0</v>
      </c>
      <c r="L63" s="502"/>
      <c r="M63" s="231" t="s">
        <v>2321</v>
      </c>
      <c r="N63" s="11" t="s">
        <v>243</v>
      </c>
      <c r="O63" s="341"/>
      <c r="P63" s="339"/>
    </row>
    <row r="64" spans="1:16" ht="33" hidden="1">
      <c r="A64" s="333" t="s">
        <v>2181</v>
      </c>
      <c r="B64" s="334" t="s">
        <v>357</v>
      </c>
      <c r="C64" s="335" t="s">
        <v>8</v>
      </c>
      <c r="D64" s="336">
        <v>8.5</v>
      </c>
      <c r="E64" s="336">
        <f>估驗單!F59</f>
        <v>8.5</v>
      </c>
      <c r="F64" s="390">
        <f t="shared" si="4"/>
        <v>0</v>
      </c>
      <c r="G64" s="336">
        <v>138.84</v>
      </c>
      <c r="H64" s="336"/>
      <c r="I64" s="336">
        <f t="shared" si="5"/>
        <v>1180.1400000000001</v>
      </c>
      <c r="J64" s="336">
        <f t="shared" si="6"/>
        <v>1180.1400000000001</v>
      </c>
      <c r="K64" s="546">
        <f t="shared" si="2"/>
        <v>0</v>
      </c>
      <c r="L64" s="502"/>
      <c r="M64" s="231" t="s">
        <v>242</v>
      </c>
      <c r="N64" s="11" t="s">
        <v>243</v>
      </c>
      <c r="O64" s="341"/>
      <c r="P64" s="339"/>
    </row>
    <row r="65" spans="1:16" ht="33" hidden="1">
      <c r="A65" s="333" t="s">
        <v>2182</v>
      </c>
      <c r="B65" s="334" t="s">
        <v>359</v>
      </c>
      <c r="C65" s="335" t="s">
        <v>13</v>
      </c>
      <c r="D65" s="336">
        <v>20.48</v>
      </c>
      <c r="E65" s="336">
        <f>估驗單!F60</f>
        <v>20.48</v>
      </c>
      <c r="F65" s="390">
        <f t="shared" si="4"/>
        <v>0</v>
      </c>
      <c r="G65" s="336">
        <v>2145.31</v>
      </c>
      <c r="H65" s="336"/>
      <c r="I65" s="336">
        <f t="shared" si="5"/>
        <v>43935.95</v>
      </c>
      <c r="J65" s="336">
        <f t="shared" si="6"/>
        <v>43935.95</v>
      </c>
      <c r="K65" s="546">
        <f t="shared" si="2"/>
        <v>0</v>
      </c>
      <c r="L65" s="502"/>
      <c r="M65" s="231" t="s">
        <v>2321</v>
      </c>
      <c r="N65" s="11" t="s">
        <v>243</v>
      </c>
      <c r="O65" s="341"/>
      <c r="P65" s="339"/>
    </row>
    <row r="66" spans="1:16" ht="33" hidden="1">
      <c r="A66" s="333" t="s">
        <v>2183</v>
      </c>
      <c r="B66" s="334" t="s">
        <v>361</v>
      </c>
      <c r="C66" s="335" t="s">
        <v>8</v>
      </c>
      <c r="D66" s="336">
        <v>56.1</v>
      </c>
      <c r="E66" s="336">
        <f>估驗單!F61</f>
        <v>56.1</v>
      </c>
      <c r="F66" s="390">
        <f t="shared" si="4"/>
        <v>0</v>
      </c>
      <c r="G66" s="336">
        <v>511.36</v>
      </c>
      <c r="H66" s="336"/>
      <c r="I66" s="336">
        <f t="shared" si="5"/>
        <v>28687.3</v>
      </c>
      <c r="J66" s="336">
        <f t="shared" si="6"/>
        <v>28687.3</v>
      </c>
      <c r="K66" s="546">
        <f t="shared" si="2"/>
        <v>0</v>
      </c>
      <c r="L66" s="502"/>
      <c r="M66" s="231" t="s">
        <v>242</v>
      </c>
      <c r="N66" s="11" t="s">
        <v>243</v>
      </c>
      <c r="O66" s="341"/>
      <c r="P66" s="339"/>
    </row>
    <row r="67" spans="1:16" ht="33" hidden="1">
      <c r="A67" s="333" t="s">
        <v>2184</v>
      </c>
      <c r="B67" s="334" t="s">
        <v>363</v>
      </c>
      <c r="C67" s="335" t="s">
        <v>8</v>
      </c>
      <c r="D67" s="336">
        <v>16.600000000000001</v>
      </c>
      <c r="E67" s="336">
        <f>估驗單!F62</f>
        <v>16.600000000000001</v>
      </c>
      <c r="F67" s="390">
        <f t="shared" si="4"/>
        <v>0</v>
      </c>
      <c r="G67" s="336">
        <v>829.1</v>
      </c>
      <c r="H67" s="336"/>
      <c r="I67" s="336">
        <f t="shared" si="5"/>
        <v>13763.06</v>
      </c>
      <c r="J67" s="336">
        <f t="shared" si="6"/>
        <v>13763.06</v>
      </c>
      <c r="K67" s="546">
        <f t="shared" si="2"/>
        <v>0</v>
      </c>
      <c r="L67" s="502"/>
      <c r="M67" s="231" t="s">
        <v>242</v>
      </c>
      <c r="N67" s="11" t="s">
        <v>243</v>
      </c>
      <c r="O67" s="341"/>
      <c r="P67" s="339"/>
    </row>
    <row r="68" spans="1:16" ht="33" hidden="1">
      <c r="A68" s="333" t="s">
        <v>2185</v>
      </c>
      <c r="B68" s="334" t="s">
        <v>365</v>
      </c>
      <c r="C68" s="335" t="s">
        <v>8</v>
      </c>
      <c r="D68" s="336">
        <v>2</v>
      </c>
      <c r="E68" s="336">
        <f>估驗單!F63</f>
        <v>2</v>
      </c>
      <c r="F68" s="390">
        <f t="shared" si="4"/>
        <v>0</v>
      </c>
      <c r="G68" s="336">
        <v>443.91</v>
      </c>
      <c r="H68" s="336"/>
      <c r="I68" s="336">
        <f t="shared" si="5"/>
        <v>887.82</v>
      </c>
      <c r="J68" s="336">
        <f t="shared" si="6"/>
        <v>887.82</v>
      </c>
      <c r="K68" s="546">
        <f t="shared" si="2"/>
        <v>0</v>
      </c>
      <c r="L68" s="502"/>
      <c r="M68" s="231" t="s">
        <v>242</v>
      </c>
      <c r="N68" s="11" t="s">
        <v>243</v>
      </c>
      <c r="O68" s="341"/>
      <c r="P68" s="339"/>
    </row>
    <row r="69" spans="1:16" ht="33" hidden="1">
      <c r="A69" s="333" t="s">
        <v>2186</v>
      </c>
      <c r="B69" s="334" t="s">
        <v>367</v>
      </c>
      <c r="C69" s="335" t="s">
        <v>0</v>
      </c>
      <c r="D69" s="336">
        <v>7</v>
      </c>
      <c r="E69" s="336">
        <f>估驗單!F64</f>
        <v>7</v>
      </c>
      <c r="F69" s="390">
        <f t="shared" si="4"/>
        <v>0</v>
      </c>
      <c r="G69" s="336">
        <v>26450.3</v>
      </c>
      <c r="H69" s="336"/>
      <c r="I69" s="336">
        <f t="shared" si="5"/>
        <v>185152.1</v>
      </c>
      <c r="J69" s="336">
        <f t="shared" si="6"/>
        <v>185152.1</v>
      </c>
      <c r="K69" s="546">
        <f t="shared" si="2"/>
        <v>0</v>
      </c>
      <c r="L69" s="502"/>
      <c r="M69" s="231" t="s">
        <v>242</v>
      </c>
      <c r="N69" s="11" t="s">
        <v>243</v>
      </c>
      <c r="O69" s="341"/>
      <c r="P69" s="339"/>
    </row>
    <row r="70" spans="1:16" ht="33" hidden="1">
      <c r="A70" s="333" t="s">
        <v>2187</v>
      </c>
      <c r="B70" s="334" t="s">
        <v>369</v>
      </c>
      <c r="C70" s="335" t="s">
        <v>8</v>
      </c>
      <c r="D70" s="336">
        <v>19.2</v>
      </c>
      <c r="E70" s="336">
        <f>估驗單!F65</f>
        <v>19.2</v>
      </c>
      <c r="F70" s="390">
        <f t="shared" si="4"/>
        <v>0</v>
      </c>
      <c r="G70" s="336">
        <v>443.91</v>
      </c>
      <c r="H70" s="336"/>
      <c r="I70" s="336">
        <f t="shared" si="5"/>
        <v>8523.07</v>
      </c>
      <c r="J70" s="336">
        <f t="shared" si="6"/>
        <v>8523.07</v>
      </c>
      <c r="K70" s="546">
        <f t="shared" si="2"/>
        <v>0</v>
      </c>
      <c r="L70" s="502"/>
      <c r="M70" s="231" t="s">
        <v>2321</v>
      </c>
      <c r="N70" s="11" t="s">
        <v>243</v>
      </c>
      <c r="O70" s="341"/>
      <c r="P70" s="339"/>
    </row>
    <row r="71" spans="1:16" ht="33" hidden="1">
      <c r="A71" s="333" t="s">
        <v>2188</v>
      </c>
      <c r="B71" s="334" t="s">
        <v>372</v>
      </c>
      <c r="C71" s="335" t="s">
        <v>0</v>
      </c>
      <c r="D71" s="336">
        <v>2</v>
      </c>
      <c r="E71" s="336">
        <f>估驗單!F66</f>
        <v>2</v>
      </c>
      <c r="F71" s="390">
        <f t="shared" si="4"/>
        <v>0</v>
      </c>
      <c r="G71" s="336">
        <v>23899.56</v>
      </c>
      <c r="H71" s="336"/>
      <c r="I71" s="336">
        <f t="shared" si="5"/>
        <v>47799.12</v>
      </c>
      <c r="J71" s="336">
        <f t="shared" si="6"/>
        <v>47799.12</v>
      </c>
      <c r="K71" s="546">
        <f t="shared" si="2"/>
        <v>0</v>
      </c>
      <c r="L71" s="502"/>
      <c r="M71" s="231" t="s">
        <v>242</v>
      </c>
      <c r="N71" s="11" t="s">
        <v>243</v>
      </c>
      <c r="O71" s="341"/>
      <c r="P71" s="339"/>
    </row>
    <row r="72" spans="1:16" ht="33" hidden="1">
      <c r="A72" s="333" t="s">
        <v>2189</v>
      </c>
      <c r="B72" s="334" t="s">
        <v>374</v>
      </c>
      <c r="C72" s="335" t="s">
        <v>0</v>
      </c>
      <c r="D72" s="336">
        <v>8</v>
      </c>
      <c r="E72" s="336">
        <f>估驗單!F67</f>
        <v>8</v>
      </c>
      <c r="F72" s="390">
        <f t="shared" si="4"/>
        <v>0</v>
      </c>
      <c r="G72" s="336">
        <v>25125.57</v>
      </c>
      <c r="H72" s="336"/>
      <c r="I72" s="336">
        <f t="shared" si="5"/>
        <v>201004.56</v>
      </c>
      <c r="J72" s="336">
        <f t="shared" si="6"/>
        <v>201004.56</v>
      </c>
      <c r="K72" s="546">
        <f t="shared" si="2"/>
        <v>0</v>
      </c>
      <c r="L72" s="502"/>
      <c r="M72" s="231" t="s">
        <v>2321</v>
      </c>
      <c r="N72" s="11" t="s">
        <v>243</v>
      </c>
      <c r="O72" s="341"/>
      <c r="P72" s="339"/>
    </row>
    <row r="73" spans="1:16" ht="33" hidden="1">
      <c r="A73" s="333" t="s">
        <v>2190</v>
      </c>
      <c r="B73" s="334" t="s">
        <v>376</v>
      </c>
      <c r="C73" s="335" t="s">
        <v>0</v>
      </c>
      <c r="D73" s="336">
        <v>3</v>
      </c>
      <c r="E73" s="336">
        <f>估驗單!F68</f>
        <v>3</v>
      </c>
      <c r="F73" s="390">
        <f t="shared" si="4"/>
        <v>0</v>
      </c>
      <c r="G73" s="336">
        <v>24022.04</v>
      </c>
      <c r="H73" s="336"/>
      <c r="I73" s="336">
        <f t="shared" si="5"/>
        <v>72066.12</v>
      </c>
      <c r="J73" s="336">
        <f t="shared" si="6"/>
        <v>72066.12</v>
      </c>
      <c r="K73" s="546">
        <f t="shared" si="2"/>
        <v>0</v>
      </c>
      <c r="L73" s="502"/>
      <c r="M73" s="231" t="s">
        <v>242</v>
      </c>
      <c r="N73" s="11" t="s">
        <v>243</v>
      </c>
      <c r="O73" s="341"/>
      <c r="P73" s="339"/>
    </row>
    <row r="74" spans="1:16" ht="33" hidden="1">
      <c r="A74" s="333" t="s">
        <v>2191</v>
      </c>
      <c r="B74" s="334" t="s">
        <v>378</v>
      </c>
      <c r="C74" s="335" t="s">
        <v>8</v>
      </c>
      <c r="D74" s="336">
        <v>30.1</v>
      </c>
      <c r="E74" s="336">
        <f>估驗單!F69</f>
        <v>30.1</v>
      </c>
      <c r="F74" s="390">
        <f t="shared" si="4"/>
        <v>0</v>
      </c>
      <c r="G74" s="336">
        <v>545.1</v>
      </c>
      <c r="H74" s="336"/>
      <c r="I74" s="336">
        <f t="shared" si="5"/>
        <v>16407.509999999998</v>
      </c>
      <c r="J74" s="336">
        <f t="shared" si="6"/>
        <v>16407.509999999998</v>
      </c>
      <c r="K74" s="546">
        <f t="shared" si="2"/>
        <v>0</v>
      </c>
      <c r="L74" s="502"/>
      <c r="M74" s="231" t="s">
        <v>2321</v>
      </c>
      <c r="N74" s="11" t="s">
        <v>243</v>
      </c>
      <c r="O74" s="341"/>
      <c r="P74" s="339"/>
    </row>
    <row r="75" spans="1:16" ht="33" hidden="1">
      <c r="A75" s="503" t="s">
        <v>2192</v>
      </c>
      <c r="B75" s="504" t="s">
        <v>380</v>
      </c>
      <c r="C75" s="505" t="s">
        <v>8</v>
      </c>
      <c r="D75" s="506">
        <v>31.2</v>
      </c>
      <c r="E75" s="506">
        <f>估驗單!F70</f>
        <v>35.200000000000003</v>
      </c>
      <c r="F75" s="507">
        <f t="shared" si="4"/>
        <v>4.0000000000000036</v>
      </c>
      <c r="G75" s="506">
        <v>8355.11</v>
      </c>
      <c r="H75" s="506"/>
      <c r="I75" s="506">
        <f t="shared" si="5"/>
        <v>260679.43</v>
      </c>
      <c r="J75" s="506">
        <f t="shared" si="6"/>
        <v>294099.87</v>
      </c>
      <c r="K75" s="547">
        <f t="shared" si="2"/>
        <v>33420.44</v>
      </c>
      <c r="L75" s="510"/>
      <c r="M75" s="508" t="s">
        <v>242</v>
      </c>
      <c r="N75" s="11" t="s">
        <v>243</v>
      </c>
      <c r="O75" s="341" t="s">
        <v>2616</v>
      </c>
      <c r="P75" s="339"/>
    </row>
    <row r="76" spans="1:16" ht="33" hidden="1">
      <c r="A76" s="503" t="s">
        <v>2193</v>
      </c>
      <c r="B76" s="504" t="s">
        <v>383</v>
      </c>
      <c r="C76" s="505" t="s">
        <v>8</v>
      </c>
      <c r="D76" s="506">
        <v>17.899999999999999</v>
      </c>
      <c r="E76" s="506">
        <f>估驗單!F71</f>
        <v>24.3</v>
      </c>
      <c r="F76" s="507">
        <f t="shared" si="4"/>
        <v>6.4000000000000021</v>
      </c>
      <c r="G76" s="506">
        <v>5394.64</v>
      </c>
      <c r="H76" s="506"/>
      <c r="I76" s="506">
        <f t="shared" si="5"/>
        <v>96564.06</v>
      </c>
      <c r="J76" s="506">
        <f t="shared" si="6"/>
        <v>131089.75</v>
      </c>
      <c r="K76" s="547">
        <f t="shared" si="2"/>
        <v>34525.69</v>
      </c>
      <c r="L76" s="510"/>
      <c r="M76" s="508" t="s">
        <v>242</v>
      </c>
      <c r="N76" s="11" t="s">
        <v>243</v>
      </c>
      <c r="O76" s="341" t="s">
        <v>2616</v>
      </c>
      <c r="P76" s="339"/>
    </row>
    <row r="77" spans="1:16" ht="33" hidden="1">
      <c r="A77" s="333" t="s">
        <v>2194</v>
      </c>
      <c r="B77" s="334" t="s">
        <v>386</v>
      </c>
      <c r="C77" s="335" t="s">
        <v>8</v>
      </c>
      <c r="D77" s="336">
        <v>19.600000000000001</v>
      </c>
      <c r="E77" s="336">
        <f>估驗單!F72</f>
        <v>19.600000000000001</v>
      </c>
      <c r="F77" s="390">
        <f t="shared" si="4"/>
        <v>0</v>
      </c>
      <c r="G77" s="336">
        <v>432.57</v>
      </c>
      <c r="H77" s="336"/>
      <c r="I77" s="336">
        <f t="shared" si="5"/>
        <v>8478.3700000000008</v>
      </c>
      <c r="J77" s="336">
        <f t="shared" si="6"/>
        <v>8478.3700000000008</v>
      </c>
      <c r="K77" s="546">
        <f t="shared" si="2"/>
        <v>0</v>
      </c>
      <c r="L77" s="502"/>
      <c r="M77" s="231" t="s">
        <v>242</v>
      </c>
      <c r="N77" s="11" t="s">
        <v>243</v>
      </c>
      <c r="O77" s="341"/>
      <c r="P77" s="339"/>
    </row>
    <row r="78" spans="1:16" ht="33" hidden="1">
      <c r="A78" s="333" t="s">
        <v>2195</v>
      </c>
      <c r="B78" s="334" t="s">
        <v>389</v>
      </c>
      <c r="C78" s="335" t="s">
        <v>8</v>
      </c>
      <c r="D78" s="336">
        <v>24.9</v>
      </c>
      <c r="E78" s="336">
        <f>估驗單!F73</f>
        <v>24.9</v>
      </c>
      <c r="F78" s="390">
        <f t="shared" si="4"/>
        <v>0</v>
      </c>
      <c r="G78" s="336">
        <v>1224.22</v>
      </c>
      <c r="H78" s="336"/>
      <c r="I78" s="336">
        <f t="shared" si="5"/>
        <v>30483.08</v>
      </c>
      <c r="J78" s="336">
        <f t="shared" si="6"/>
        <v>30483.08</v>
      </c>
      <c r="K78" s="546">
        <f t="shared" ref="K78:K143" si="7">J78-I78</f>
        <v>0</v>
      </c>
      <c r="L78" s="502"/>
      <c r="M78" s="231" t="s">
        <v>242</v>
      </c>
      <c r="N78" s="11" t="s">
        <v>243</v>
      </c>
      <c r="O78" s="341"/>
      <c r="P78" s="339"/>
    </row>
    <row r="79" spans="1:16" ht="33" hidden="1">
      <c r="A79" s="333" t="s">
        <v>2196</v>
      </c>
      <c r="B79" s="334" t="s">
        <v>392</v>
      </c>
      <c r="C79" s="335" t="s">
        <v>8</v>
      </c>
      <c r="D79" s="336">
        <v>3.5</v>
      </c>
      <c r="E79" s="336">
        <f>估驗單!F74</f>
        <v>3.5</v>
      </c>
      <c r="F79" s="390">
        <f t="shared" si="4"/>
        <v>0</v>
      </c>
      <c r="G79" s="336">
        <v>1148.6300000000001</v>
      </c>
      <c r="H79" s="336"/>
      <c r="I79" s="336">
        <f t="shared" si="5"/>
        <v>4020.21</v>
      </c>
      <c r="J79" s="336">
        <f t="shared" si="6"/>
        <v>4020.21</v>
      </c>
      <c r="K79" s="546">
        <f t="shared" si="7"/>
        <v>0</v>
      </c>
      <c r="L79" s="502"/>
      <c r="M79" s="231" t="s">
        <v>242</v>
      </c>
      <c r="N79" s="11" t="s">
        <v>243</v>
      </c>
      <c r="O79" s="341"/>
      <c r="P79" s="339"/>
    </row>
    <row r="80" spans="1:16" ht="33" hidden="1">
      <c r="A80" s="333" t="s">
        <v>2197</v>
      </c>
      <c r="B80" s="334" t="s">
        <v>395</v>
      </c>
      <c r="C80" s="335" t="s">
        <v>0</v>
      </c>
      <c r="D80" s="336">
        <v>1</v>
      </c>
      <c r="E80" s="336">
        <f>估驗單!F75</f>
        <v>1</v>
      </c>
      <c r="F80" s="390">
        <f t="shared" si="4"/>
        <v>0</v>
      </c>
      <c r="G80" s="336">
        <v>5698.63</v>
      </c>
      <c r="H80" s="336"/>
      <c r="I80" s="336">
        <f t="shared" si="5"/>
        <v>5698.63</v>
      </c>
      <c r="J80" s="336">
        <f t="shared" si="6"/>
        <v>5698.63</v>
      </c>
      <c r="K80" s="546">
        <f t="shared" si="7"/>
        <v>0</v>
      </c>
      <c r="L80" s="502"/>
      <c r="M80" s="231" t="s">
        <v>242</v>
      </c>
      <c r="N80" s="11" t="s">
        <v>243</v>
      </c>
      <c r="O80" s="341"/>
      <c r="P80" s="339"/>
    </row>
    <row r="81" spans="1:16" ht="33" hidden="1">
      <c r="A81" s="333" t="s">
        <v>2198</v>
      </c>
      <c r="B81" s="334" t="s">
        <v>398</v>
      </c>
      <c r="C81" s="335" t="s">
        <v>0</v>
      </c>
      <c r="D81" s="336">
        <v>1</v>
      </c>
      <c r="E81" s="336">
        <f>估驗單!F76</f>
        <v>1</v>
      </c>
      <c r="F81" s="390">
        <f t="shared" si="4"/>
        <v>0</v>
      </c>
      <c r="G81" s="336">
        <v>5963.22</v>
      </c>
      <c r="H81" s="336"/>
      <c r="I81" s="336">
        <f t="shared" si="5"/>
        <v>5963.22</v>
      </c>
      <c r="J81" s="336">
        <f t="shared" si="6"/>
        <v>5963.22</v>
      </c>
      <c r="K81" s="546">
        <f t="shared" si="7"/>
        <v>0</v>
      </c>
      <c r="L81" s="502"/>
      <c r="M81" s="231" t="s">
        <v>242</v>
      </c>
      <c r="N81" s="11" t="s">
        <v>243</v>
      </c>
      <c r="O81" s="341"/>
      <c r="P81" s="339"/>
    </row>
    <row r="82" spans="1:16" ht="33" hidden="1">
      <c r="A82" s="333" t="s">
        <v>2199</v>
      </c>
      <c r="B82" s="334" t="s">
        <v>401</v>
      </c>
      <c r="C82" s="335" t="s">
        <v>0</v>
      </c>
      <c r="D82" s="336">
        <v>1</v>
      </c>
      <c r="E82" s="336">
        <f>估驗單!F77</f>
        <v>1</v>
      </c>
      <c r="F82" s="390">
        <f t="shared" si="4"/>
        <v>0</v>
      </c>
      <c r="G82" s="336">
        <v>1421.11</v>
      </c>
      <c r="H82" s="336"/>
      <c r="I82" s="336">
        <f t="shared" si="5"/>
        <v>1421.11</v>
      </c>
      <c r="J82" s="336">
        <f t="shared" si="6"/>
        <v>1421.11</v>
      </c>
      <c r="K82" s="546">
        <f t="shared" si="7"/>
        <v>0</v>
      </c>
      <c r="L82" s="502"/>
      <c r="M82" s="231" t="s">
        <v>242</v>
      </c>
      <c r="N82" s="11" t="s">
        <v>243</v>
      </c>
      <c r="O82" s="341"/>
      <c r="P82" s="339"/>
    </row>
    <row r="83" spans="1:16" ht="33" hidden="1">
      <c r="A83" s="333" t="s">
        <v>2200</v>
      </c>
      <c r="B83" s="334" t="s">
        <v>404</v>
      </c>
      <c r="C83" s="335" t="s">
        <v>0</v>
      </c>
      <c r="D83" s="336">
        <v>1</v>
      </c>
      <c r="E83" s="336">
        <f>估驗單!F78</f>
        <v>1</v>
      </c>
      <c r="F83" s="390">
        <f t="shared" si="4"/>
        <v>0</v>
      </c>
      <c r="G83" s="336">
        <v>4031.83</v>
      </c>
      <c r="H83" s="336"/>
      <c r="I83" s="336">
        <f t="shared" si="5"/>
        <v>4031.83</v>
      </c>
      <c r="J83" s="336">
        <f t="shared" si="6"/>
        <v>4031.83</v>
      </c>
      <c r="K83" s="546">
        <f t="shared" si="7"/>
        <v>0</v>
      </c>
      <c r="L83" s="502"/>
      <c r="M83" s="231" t="s">
        <v>242</v>
      </c>
      <c r="N83" s="11" t="s">
        <v>243</v>
      </c>
      <c r="O83" s="341"/>
      <c r="P83" s="339"/>
    </row>
    <row r="84" spans="1:16" ht="33" hidden="1">
      <c r="A84" s="333" t="s">
        <v>2201</v>
      </c>
      <c r="B84" s="334" t="s">
        <v>407</v>
      </c>
      <c r="C84" s="335" t="s">
        <v>0</v>
      </c>
      <c r="D84" s="336">
        <v>1</v>
      </c>
      <c r="E84" s="336">
        <f>估驗單!F79</f>
        <v>1</v>
      </c>
      <c r="F84" s="390">
        <f t="shared" si="4"/>
        <v>0</v>
      </c>
      <c r="G84" s="336">
        <v>3313.67</v>
      </c>
      <c r="H84" s="336"/>
      <c r="I84" s="336">
        <f t="shared" si="5"/>
        <v>3313.67</v>
      </c>
      <c r="J84" s="336">
        <f t="shared" si="6"/>
        <v>3313.67</v>
      </c>
      <c r="K84" s="546">
        <f t="shared" si="7"/>
        <v>0</v>
      </c>
      <c r="L84" s="502"/>
      <c r="M84" s="231" t="s">
        <v>242</v>
      </c>
      <c r="N84" s="11" t="s">
        <v>243</v>
      </c>
      <c r="O84" s="341"/>
      <c r="P84" s="339"/>
    </row>
    <row r="85" spans="1:16" ht="33" hidden="1">
      <c r="A85" s="333" t="s">
        <v>2202</v>
      </c>
      <c r="B85" s="334" t="s">
        <v>410</v>
      </c>
      <c r="C85" s="335" t="s">
        <v>8</v>
      </c>
      <c r="D85" s="336">
        <v>149.5</v>
      </c>
      <c r="E85" s="336">
        <f>估驗單!F80</f>
        <v>149.5</v>
      </c>
      <c r="F85" s="390">
        <f t="shared" si="4"/>
        <v>0</v>
      </c>
      <c r="G85" s="336">
        <v>1975.94</v>
      </c>
      <c r="H85" s="336"/>
      <c r="I85" s="336">
        <f t="shared" si="5"/>
        <v>295403.03000000003</v>
      </c>
      <c r="J85" s="336">
        <f t="shared" si="6"/>
        <v>295403.03000000003</v>
      </c>
      <c r="K85" s="546">
        <f t="shared" si="7"/>
        <v>0</v>
      </c>
      <c r="L85" s="502"/>
      <c r="M85" s="231" t="s">
        <v>242</v>
      </c>
      <c r="N85" s="11" t="s">
        <v>243</v>
      </c>
      <c r="O85" s="341"/>
      <c r="P85" s="339"/>
    </row>
    <row r="86" spans="1:16" ht="33" hidden="1">
      <c r="A86" s="333" t="s">
        <v>2203</v>
      </c>
      <c r="B86" s="334" t="s">
        <v>413</v>
      </c>
      <c r="C86" s="335" t="s">
        <v>8</v>
      </c>
      <c r="D86" s="336">
        <v>39.299999999999997</v>
      </c>
      <c r="E86" s="336">
        <f>估驗單!F81</f>
        <v>39.299999999999997</v>
      </c>
      <c r="F86" s="390">
        <f t="shared" si="4"/>
        <v>0</v>
      </c>
      <c r="G86" s="336">
        <v>4874.2299999999996</v>
      </c>
      <c r="H86" s="336"/>
      <c r="I86" s="336">
        <f t="shared" si="5"/>
        <v>191557.24</v>
      </c>
      <c r="J86" s="336">
        <f t="shared" si="6"/>
        <v>191557.24</v>
      </c>
      <c r="K86" s="546">
        <f t="shared" si="7"/>
        <v>0</v>
      </c>
      <c r="L86" s="502"/>
      <c r="M86" s="231" t="s">
        <v>242</v>
      </c>
      <c r="N86" s="11" t="s">
        <v>243</v>
      </c>
      <c r="O86" s="341"/>
      <c r="P86" s="339"/>
    </row>
    <row r="87" spans="1:16" ht="33" hidden="1">
      <c r="A87" s="333" t="s">
        <v>2204</v>
      </c>
      <c r="B87" s="334" t="s">
        <v>416</v>
      </c>
      <c r="C87" s="335" t="s">
        <v>8</v>
      </c>
      <c r="D87" s="336">
        <v>51.3</v>
      </c>
      <c r="E87" s="336">
        <f>估驗單!F82</f>
        <v>51.3</v>
      </c>
      <c r="F87" s="390">
        <f t="shared" si="4"/>
        <v>0</v>
      </c>
      <c r="G87" s="336">
        <v>2938.96</v>
      </c>
      <c r="H87" s="336"/>
      <c r="I87" s="336">
        <f t="shared" si="5"/>
        <v>150768.65</v>
      </c>
      <c r="J87" s="336">
        <f t="shared" si="6"/>
        <v>150768.65</v>
      </c>
      <c r="K87" s="546">
        <f t="shared" si="7"/>
        <v>0</v>
      </c>
      <c r="L87" s="502"/>
      <c r="M87" s="231" t="s">
        <v>242</v>
      </c>
      <c r="N87" s="11" t="s">
        <v>243</v>
      </c>
      <c r="O87" s="341"/>
      <c r="P87" s="339"/>
    </row>
    <row r="88" spans="1:16" ht="33" hidden="1">
      <c r="A88" s="333" t="s">
        <v>2205</v>
      </c>
      <c r="B88" s="334" t="s">
        <v>419</v>
      </c>
      <c r="C88" s="335" t="s">
        <v>0</v>
      </c>
      <c r="D88" s="336">
        <v>1</v>
      </c>
      <c r="E88" s="336">
        <f>估驗單!F83</f>
        <v>1</v>
      </c>
      <c r="F88" s="390">
        <f t="shared" si="4"/>
        <v>0</v>
      </c>
      <c r="G88" s="336">
        <v>23029.53</v>
      </c>
      <c r="H88" s="336"/>
      <c r="I88" s="336">
        <f t="shared" si="5"/>
        <v>23029.53</v>
      </c>
      <c r="J88" s="336">
        <f t="shared" si="6"/>
        <v>23029.53</v>
      </c>
      <c r="K88" s="546">
        <f t="shared" si="7"/>
        <v>0</v>
      </c>
      <c r="L88" s="502"/>
      <c r="M88" s="231" t="s">
        <v>2321</v>
      </c>
      <c r="N88" s="11" t="s">
        <v>243</v>
      </c>
      <c r="O88" s="341"/>
      <c r="P88" s="339"/>
    </row>
    <row r="89" spans="1:16" ht="33" hidden="1">
      <c r="A89" s="333" t="s">
        <v>2206</v>
      </c>
      <c r="B89" s="334" t="s">
        <v>422</v>
      </c>
      <c r="C89" s="335" t="s">
        <v>0</v>
      </c>
      <c r="D89" s="336">
        <v>2</v>
      </c>
      <c r="E89" s="336">
        <f>估驗單!F84</f>
        <v>2</v>
      </c>
      <c r="F89" s="390">
        <f t="shared" si="4"/>
        <v>0</v>
      </c>
      <c r="G89" s="336">
        <v>18604.87</v>
      </c>
      <c r="H89" s="336"/>
      <c r="I89" s="336">
        <f t="shared" si="5"/>
        <v>37209.74</v>
      </c>
      <c r="J89" s="336">
        <f t="shared" si="6"/>
        <v>37209.74</v>
      </c>
      <c r="K89" s="546">
        <f t="shared" si="7"/>
        <v>0</v>
      </c>
      <c r="L89" s="502"/>
      <c r="M89" s="231" t="s">
        <v>2321</v>
      </c>
      <c r="N89" s="11" t="s">
        <v>243</v>
      </c>
      <c r="O89" s="341"/>
      <c r="P89" s="339"/>
    </row>
    <row r="90" spans="1:16" ht="33" hidden="1">
      <c r="A90" s="333" t="s">
        <v>2207</v>
      </c>
      <c r="B90" s="334" t="s">
        <v>425</v>
      </c>
      <c r="C90" s="335" t="s">
        <v>0</v>
      </c>
      <c r="D90" s="336">
        <v>1</v>
      </c>
      <c r="E90" s="336">
        <f>估驗單!F85</f>
        <v>1</v>
      </c>
      <c r="F90" s="390">
        <f t="shared" si="4"/>
        <v>0</v>
      </c>
      <c r="G90" s="336">
        <v>18604.87</v>
      </c>
      <c r="H90" s="336"/>
      <c r="I90" s="336">
        <f t="shared" si="5"/>
        <v>18604.87</v>
      </c>
      <c r="J90" s="336">
        <f t="shared" si="6"/>
        <v>18604.87</v>
      </c>
      <c r="K90" s="546">
        <f t="shared" si="7"/>
        <v>0</v>
      </c>
      <c r="L90" s="502"/>
      <c r="M90" s="231" t="s">
        <v>242</v>
      </c>
      <c r="N90" s="11" t="s">
        <v>243</v>
      </c>
      <c r="O90" s="341"/>
      <c r="P90" s="339"/>
    </row>
    <row r="91" spans="1:16" ht="33" hidden="1">
      <c r="A91" s="333" t="s">
        <v>2208</v>
      </c>
      <c r="B91" s="334" t="s">
        <v>428</v>
      </c>
      <c r="C91" s="335" t="s">
        <v>0</v>
      </c>
      <c r="D91" s="336">
        <v>2</v>
      </c>
      <c r="E91" s="336">
        <f>估驗單!F86</f>
        <v>2</v>
      </c>
      <c r="F91" s="390">
        <f t="shared" ref="F91:F159" si="8">E91-D91</f>
        <v>0</v>
      </c>
      <c r="G91" s="336">
        <v>11654.82</v>
      </c>
      <c r="H91" s="336"/>
      <c r="I91" s="336">
        <f t="shared" si="5"/>
        <v>23309.64</v>
      </c>
      <c r="J91" s="336">
        <f t="shared" si="6"/>
        <v>23309.64</v>
      </c>
      <c r="K91" s="546">
        <f t="shared" si="7"/>
        <v>0</v>
      </c>
      <c r="L91" s="502"/>
      <c r="M91" s="231" t="s">
        <v>242</v>
      </c>
      <c r="N91" s="11" t="s">
        <v>243</v>
      </c>
      <c r="O91" s="341"/>
      <c r="P91" s="339"/>
    </row>
    <row r="92" spans="1:16" ht="33" hidden="1">
      <c r="A92" s="333" t="s">
        <v>2209</v>
      </c>
      <c r="B92" s="334" t="s">
        <v>431</v>
      </c>
      <c r="C92" s="335" t="s">
        <v>0</v>
      </c>
      <c r="D92" s="336">
        <v>2</v>
      </c>
      <c r="E92" s="336">
        <f>估驗單!F87</f>
        <v>2</v>
      </c>
      <c r="F92" s="390">
        <f t="shared" si="8"/>
        <v>0</v>
      </c>
      <c r="G92" s="336">
        <v>25107.48</v>
      </c>
      <c r="H92" s="336"/>
      <c r="I92" s="336">
        <f t="shared" si="5"/>
        <v>50214.96</v>
      </c>
      <c r="J92" s="336">
        <f t="shared" si="6"/>
        <v>50214.96</v>
      </c>
      <c r="K92" s="546">
        <f t="shared" si="7"/>
        <v>0</v>
      </c>
      <c r="L92" s="502"/>
      <c r="M92" s="231" t="s">
        <v>242</v>
      </c>
      <c r="N92" s="11" t="s">
        <v>243</v>
      </c>
      <c r="O92" s="341"/>
      <c r="P92" s="339"/>
    </row>
    <row r="93" spans="1:16" ht="33" hidden="1">
      <c r="A93" s="333" t="s">
        <v>2210</v>
      </c>
      <c r="B93" s="334" t="s">
        <v>434</v>
      </c>
      <c r="C93" s="335" t="s">
        <v>0</v>
      </c>
      <c r="D93" s="336">
        <v>1</v>
      </c>
      <c r="E93" s="336">
        <f>估驗單!F88</f>
        <v>1</v>
      </c>
      <c r="F93" s="390">
        <f t="shared" si="8"/>
        <v>0</v>
      </c>
      <c r="G93" s="336">
        <v>22415.66</v>
      </c>
      <c r="H93" s="336"/>
      <c r="I93" s="336">
        <f t="shared" si="5"/>
        <v>22415.66</v>
      </c>
      <c r="J93" s="336">
        <f t="shared" si="6"/>
        <v>22415.66</v>
      </c>
      <c r="K93" s="546">
        <f t="shared" si="7"/>
        <v>0</v>
      </c>
      <c r="L93" s="502"/>
      <c r="M93" s="231" t="s">
        <v>242</v>
      </c>
      <c r="N93" s="11" t="s">
        <v>243</v>
      </c>
      <c r="O93" s="341"/>
      <c r="P93" s="339"/>
    </row>
    <row r="94" spans="1:16" ht="33" hidden="1">
      <c r="A94" s="333" t="s">
        <v>2211</v>
      </c>
      <c r="B94" s="334" t="s">
        <v>437</v>
      </c>
      <c r="C94" s="335" t="s">
        <v>0</v>
      </c>
      <c r="D94" s="336">
        <v>1</v>
      </c>
      <c r="E94" s="336">
        <f>估驗單!F89</f>
        <v>1</v>
      </c>
      <c r="F94" s="390">
        <f t="shared" si="8"/>
        <v>0</v>
      </c>
      <c r="G94" s="336">
        <v>21723.54</v>
      </c>
      <c r="H94" s="336"/>
      <c r="I94" s="336">
        <f t="shared" si="5"/>
        <v>21723.54</v>
      </c>
      <c r="J94" s="336">
        <f t="shared" si="6"/>
        <v>21723.54</v>
      </c>
      <c r="K94" s="546">
        <f t="shared" si="7"/>
        <v>0</v>
      </c>
      <c r="L94" s="502"/>
      <c r="M94" s="231" t="s">
        <v>242</v>
      </c>
      <c r="N94" s="11" t="s">
        <v>243</v>
      </c>
      <c r="O94" s="341"/>
      <c r="P94" s="339"/>
    </row>
    <row r="95" spans="1:16" ht="33" hidden="1">
      <c r="A95" s="333" t="s">
        <v>2212</v>
      </c>
      <c r="B95" s="334" t="s">
        <v>440</v>
      </c>
      <c r="C95" s="335" t="s">
        <v>0</v>
      </c>
      <c r="D95" s="336">
        <v>1</v>
      </c>
      <c r="E95" s="336">
        <f>估驗單!F90</f>
        <v>1</v>
      </c>
      <c r="F95" s="390">
        <f t="shared" si="8"/>
        <v>0</v>
      </c>
      <c r="G95" s="336">
        <v>22646.36</v>
      </c>
      <c r="H95" s="336"/>
      <c r="I95" s="336">
        <f t="shared" si="5"/>
        <v>22646.36</v>
      </c>
      <c r="J95" s="336">
        <f t="shared" si="6"/>
        <v>22646.36</v>
      </c>
      <c r="K95" s="546">
        <f t="shared" si="7"/>
        <v>0</v>
      </c>
      <c r="L95" s="502"/>
      <c r="M95" s="231" t="s">
        <v>242</v>
      </c>
      <c r="N95" s="11" t="s">
        <v>243</v>
      </c>
      <c r="O95" s="341"/>
      <c r="P95" s="339"/>
    </row>
    <row r="96" spans="1:16" ht="33" hidden="1">
      <c r="A96" s="333" t="s">
        <v>2213</v>
      </c>
      <c r="B96" s="334" t="s">
        <v>443</v>
      </c>
      <c r="C96" s="335" t="s">
        <v>0</v>
      </c>
      <c r="D96" s="336">
        <v>4</v>
      </c>
      <c r="E96" s="336">
        <f>估驗單!F91</f>
        <v>4</v>
      </c>
      <c r="F96" s="390">
        <f t="shared" si="8"/>
        <v>0</v>
      </c>
      <c r="G96" s="336">
        <v>17340.05</v>
      </c>
      <c r="H96" s="336"/>
      <c r="I96" s="336">
        <f t="shared" si="5"/>
        <v>69360.2</v>
      </c>
      <c r="J96" s="336">
        <f t="shared" si="6"/>
        <v>69360.2</v>
      </c>
      <c r="K96" s="546">
        <f t="shared" si="7"/>
        <v>0</v>
      </c>
      <c r="L96" s="502"/>
      <c r="M96" s="231" t="s">
        <v>242</v>
      </c>
      <c r="N96" s="11" t="s">
        <v>243</v>
      </c>
      <c r="O96" s="341"/>
      <c r="P96" s="339"/>
    </row>
    <row r="97" spans="1:16" ht="33" hidden="1">
      <c r="A97" s="333" t="s">
        <v>2214</v>
      </c>
      <c r="B97" s="334" t="s">
        <v>446</v>
      </c>
      <c r="C97" s="335" t="s">
        <v>0</v>
      </c>
      <c r="D97" s="336">
        <v>6</v>
      </c>
      <c r="E97" s="336">
        <f>估驗單!F92</f>
        <v>6</v>
      </c>
      <c r="F97" s="390">
        <f t="shared" si="8"/>
        <v>0</v>
      </c>
      <c r="G97" s="336">
        <v>17340.05</v>
      </c>
      <c r="H97" s="336"/>
      <c r="I97" s="336">
        <f t="shared" si="5"/>
        <v>104040.3</v>
      </c>
      <c r="J97" s="336">
        <f t="shared" si="6"/>
        <v>104040.3</v>
      </c>
      <c r="K97" s="546">
        <f t="shared" si="7"/>
        <v>0</v>
      </c>
      <c r="L97" s="502"/>
      <c r="M97" s="231" t="s">
        <v>242</v>
      </c>
      <c r="N97" s="11" t="s">
        <v>243</v>
      </c>
      <c r="O97" s="341"/>
      <c r="P97" s="339"/>
    </row>
    <row r="98" spans="1:16" ht="33" hidden="1">
      <c r="A98" s="333" t="s">
        <v>2215</v>
      </c>
      <c r="B98" s="334" t="s">
        <v>449</v>
      </c>
      <c r="C98" s="335" t="s">
        <v>0</v>
      </c>
      <c r="D98" s="336">
        <v>1</v>
      </c>
      <c r="E98" s="336">
        <f>估驗單!F93</f>
        <v>1</v>
      </c>
      <c r="F98" s="390">
        <f t="shared" si="8"/>
        <v>0</v>
      </c>
      <c r="G98" s="336">
        <v>17496.650000000001</v>
      </c>
      <c r="H98" s="336"/>
      <c r="I98" s="336">
        <f t="shared" si="5"/>
        <v>17496.650000000001</v>
      </c>
      <c r="J98" s="336">
        <f t="shared" si="6"/>
        <v>17496.650000000001</v>
      </c>
      <c r="K98" s="546">
        <f t="shared" si="7"/>
        <v>0</v>
      </c>
      <c r="L98" s="502"/>
      <c r="M98" s="231" t="s">
        <v>242</v>
      </c>
      <c r="N98" s="11" t="s">
        <v>243</v>
      </c>
      <c r="O98" s="341"/>
      <c r="P98" s="339"/>
    </row>
    <row r="99" spans="1:16" ht="33" hidden="1">
      <c r="A99" s="333" t="s">
        <v>2216</v>
      </c>
      <c r="B99" s="334" t="s">
        <v>452</v>
      </c>
      <c r="C99" s="335" t="s">
        <v>0</v>
      </c>
      <c r="D99" s="336">
        <v>1</v>
      </c>
      <c r="E99" s="336">
        <f>估驗單!F94</f>
        <v>1</v>
      </c>
      <c r="F99" s="390">
        <f t="shared" si="8"/>
        <v>0</v>
      </c>
      <c r="G99" s="336">
        <v>1501.66</v>
      </c>
      <c r="H99" s="336"/>
      <c r="I99" s="336">
        <f t="shared" si="5"/>
        <v>1501.66</v>
      </c>
      <c r="J99" s="336">
        <f t="shared" si="6"/>
        <v>1501.66</v>
      </c>
      <c r="K99" s="546">
        <f t="shared" si="7"/>
        <v>0</v>
      </c>
      <c r="L99" s="502"/>
      <c r="M99" s="231" t="s">
        <v>242</v>
      </c>
      <c r="N99" s="11" t="s">
        <v>243</v>
      </c>
      <c r="O99" s="341"/>
      <c r="P99" s="339"/>
    </row>
    <row r="100" spans="1:16" ht="33" hidden="1">
      <c r="A100" s="333" t="s">
        <v>2217</v>
      </c>
      <c r="B100" s="334" t="s">
        <v>455</v>
      </c>
      <c r="C100" s="335" t="s">
        <v>0</v>
      </c>
      <c r="D100" s="336">
        <v>1</v>
      </c>
      <c r="E100" s="336">
        <f>估驗單!F95</f>
        <v>1</v>
      </c>
      <c r="F100" s="390">
        <f t="shared" si="8"/>
        <v>0</v>
      </c>
      <c r="G100" s="336">
        <v>1240.05</v>
      </c>
      <c r="H100" s="336"/>
      <c r="I100" s="336">
        <f t="shared" si="5"/>
        <v>1240.05</v>
      </c>
      <c r="J100" s="336">
        <f t="shared" si="6"/>
        <v>1240.05</v>
      </c>
      <c r="K100" s="546">
        <f t="shared" si="7"/>
        <v>0</v>
      </c>
      <c r="L100" s="502"/>
      <c r="M100" s="231" t="s">
        <v>242</v>
      </c>
      <c r="N100" s="11" t="s">
        <v>243</v>
      </c>
      <c r="O100" s="341"/>
      <c r="P100" s="339"/>
    </row>
    <row r="101" spans="1:16" ht="33" hidden="1">
      <c r="A101" s="333" t="s">
        <v>2218</v>
      </c>
      <c r="B101" s="334" t="s">
        <v>458</v>
      </c>
      <c r="C101" s="335" t="s">
        <v>0</v>
      </c>
      <c r="D101" s="336">
        <v>1</v>
      </c>
      <c r="E101" s="336">
        <f>估驗單!F96</f>
        <v>1</v>
      </c>
      <c r="F101" s="390">
        <f t="shared" si="8"/>
        <v>0</v>
      </c>
      <c r="G101" s="336">
        <v>1470.75</v>
      </c>
      <c r="H101" s="336"/>
      <c r="I101" s="336">
        <f t="shared" si="5"/>
        <v>1470.75</v>
      </c>
      <c r="J101" s="336">
        <f t="shared" si="6"/>
        <v>1470.75</v>
      </c>
      <c r="K101" s="546">
        <f t="shared" si="7"/>
        <v>0</v>
      </c>
      <c r="L101" s="502"/>
      <c r="M101" s="231" t="s">
        <v>242</v>
      </c>
      <c r="N101" s="11" t="s">
        <v>243</v>
      </c>
      <c r="O101" s="341"/>
      <c r="P101" s="339"/>
    </row>
    <row r="102" spans="1:16" ht="33" hidden="1">
      <c r="A102" s="333" t="s">
        <v>2219</v>
      </c>
      <c r="B102" s="334" t="s">
        <v>461</v>
      </c>
      <c r="C102" s="335" t="s">
        <v>0</v>
      </c>
      <c r="D102" s="336">
        <v>1</v>
      </c>
      <c r="E102" s="336">
        <f>估驗單!F97</f>
        <v>1</v>
      </c>
      <c r="F102" s="390">
        <f t="shared" si="8"/>
        <v>0</v>
      </c>
      <c r="G102" s="336">
        <v>1326.56</v>
      </c>
      <c r="H102" s="336"/>
      <c r="I102" s="336">
        <f t="shared" si="5"/>
        <v>1326.56</v>
      </c>
      <c r="J102" s="336">
        <f t="shared" si="6"/>
        <v>1326.56</v>
      </c>
      <c r="K102" s="546">
        <f t="shared" si="7"/>
        <v>0</v>
      </c>
      <c r="L102" s="502"/>
      <c r="M102" s="231" t="s">
        <v>242</v>
      </c>
      <c r="N102" s="11" t="s">
        <v>243</v>
      </c>
      <c r="O102" s="341"/>
      <c r="P102" s="339"/>
    </row>
    <row r="103" spans="1:16" ht="33" hidden="1">
      <c r="A103" s="333" t="s">
        <v>2220</v>
      </c>
      <c r="B103" s="334" t="s">
        <v>464</v>
      </c>
      <c r="C103" s="335" t="s">
        <v>0</v>
      </c>
      <c r="D103" s="336">
        <v>3</v>
      </c>
      <c r="E103" s="336">
        <f>估驗單!F98</f>
        <v>3</v>
      </c>
      <c r="F103" s="390">
        <f t="shared" si="8"/>
        <v>0</v>
      </c>
      <c r="G103" s="336">
        <v>331.64</v>
      </c>
      <c r="H103" s="336"/>
      <c r="I103" s="336">
        <f t="shared" ref="I103:I126" si="9">ROUND(D103*G103,2)</f>
        <v>994.92</v>
      </c>
      <c r="J103" s="336">
        <f t="shared" ref="J103:J123" si="10">ROUND(E103*G103,2)</f>
        <v>994.92</v>
      </c>
      <c r="K103" s="546">
        <f t="shared" si="7"/>
        <v>0</v>
      </c>
      <c r="L103" s="502"/>
      <c r="M103" s="231" t="s">
        <v>242</v>
      </c>
      <c r="N103" s="11" t="s">
        <v>243</v>
      </c>
      <c r="O103" s="341"/>
      <c r="P103" s="339"/>
    </row>
    <row r="104" spans="1:16" ht="33" hidden="1">
      <c r="A104" s="333" t="s">
        <v>2221</v>
      </c>
      <c r="B104" s="334" t="s">
        <v>467</v>
      </c>
      <c r="C104" s="335" t="s">
        <v>0</v>
      </c>
      <c r="D104" s="336">
        <v>7</v>
      </c>
      <c r="E104" s="336">
        <f>估驗單!F99</f>
        <v>7</v>
      </c>
      <c r="F104" s="390">
        <f t="shared" si="8"/>
        <v>0</v>
      </c>
      <c r="G104" s="336">
        <v>952.18</v>
      </c>
      <c r="H104" s="336"/>
      <c r="I104" s="336">
        <f t="shared" si="9"/>
        <v>6665.26</v>
      </c>
      <c r="J104" s="336">
        <f t="shared" si="10"/>
        <v>6665.26</v>
      </c>
      <c r="K104" s="546">
        <f t="shared" si="7"/>
        <v>0</v>
      </c>
      <c r="L104" s="502"/>
      <c r="M104" s="231" t="s">
        <v>242</v>
      </c>
      <c r="N104" s="11" t="s">
        <v>243</v>
      </c>
      <c r="O104" s="341"/>
      <c r="P104" s="339"/>
    </row>
    <row r="105" spans="1:16" ht="33" hidden="1">
      <c r="A105" s="333" t="s">
        <v>2222</v>
      </c>
      <c r="B105" s="334" t="s">
        <v>470</v>
      </c>
      <c r="C105" s="335" t="s">
        <v>0</v>
      </c>
      <c r="D105" s="336">
        <v>1</v>
      </c>
      <c r="E105" s="336">
        <f>估驗單!F100</f>
        <v>1</v>
      </c>
      <c r="F105" s="390">
        <f t="shared" si="8"/>
        <v>0</v>
      </c>
      <c r="G105" s="336">
        <v>272825.21000000002</v>
      </c>
      <c r="H105" s="336"/>
      <c r="I105" s="336">
        <f t="shared" si="9"/>
        <v>272825.21000000002</v>
      </c>
      <c r="J105" s="336">
        <f t="shared" si="10"/>
        <v>272825.21000000002</v>
      </c>
      <c r="K105" s="546">
        <f t="shared" si="7"/>
        <v>0</v>
      </c>
      <c r="L105" s="502"/>
      <c r="M105" s="231" t="s">
        <v>242</v>
      </c>
      <c r="N105" s="11" t="s">
        <v>243</v>
      </c>
      <c r="O105" s="341"/>
      <c r="P105" s="339"/>
    </row>
    <row r="106" spans="1:16" ht="33" hidden="1">
      <c r="A106" s="333" t="s">
        <v>2223</v>
      </c>
      <c r="B106" s="334" t="s">
        <v>473</v>
      </c>
      <c r="C106" s="335" t="s">
        <v>13</v>
      </c>
      <c r="D106" s="336">
        <v>759.43</v>
      </c>
      <c r="E106" s="336">
        <f>估驗單!F101</f>
        <v>759.43</v>
      </c>
      <c r="F106" s="390">
        <f t="shared" si="8"/>
        <v>0</v>
      </c>
      <c r="G106" s="336">
        <v>647.65</v>
      </c>
      <c r="H106" s="336"/>
      <c r="I106" s="336">
        <f t="shared" si="9"/>
        <v>491844.84</v>
      </c>
      <c r="J106" s="336">
        <f t="shared" si="10"/>
        <v>491844.84</v>
      </c>
      <c r="K106" s="546">
        <f t="shared" si="7"/>
        <v>0</v>
      </c>
      <c r="L106" s="502"/>
      <c r="M106" s="231" t="s">
        <v>242</v>
      </c>
      <c r="N106" s="11" t="s">
        <v>243</v>
      </c>
      <c r="O106" s="341"/>
      <c r="P106" s="339"/>
    </row>
    <row r="107" spans="1:16" ht="33" hidden="1">
      <c r="A107" s="333" t="s">
        <v>2224</v>
      </c>
      <c r="B107" s="334" t="s">
        <v>476</v>
      </c>
      <c r="C107" s="335" t="s">
        <v>15</v>
      </c>
      <c r="D107" s="336">
        <v>1</v>
      </c>
      <c r="E107" s="336">
        <f>估驗單!F102</f>
        <v>1</v>
      </c>
      <c r="F107" s="390">
        <f t="shared" si="8"/>
        <v>0</v>
      </c>
      <c r="G107" s="336">
        <v>10412.73</v>
      </c>
      <c r="H107" s="336"/>
      <c r="I107" s="336">
        <f t="shared" si="9"/>
        <v>10412.73</v>
      </c>
      <c r="J107" s="336">
        <f t="shared" si="10"/>
        <v>10412.73</v>
      </c>
      <c r="K107" s="546">
        <f t="shared" si="7"/>
        <v>0</v>
      </c>
      <c r="L107" s="502"/>
      <c r="M107" s="231" t="s">
        <v>2321</v>
      </c>
      <c r="N107" s="11" t="s">
        <v>243</v>
      </c>
      <c r="O107" s="341"/>
      <c r="P107" s="339"/>
    </row>
    <row r="108" spans="1:16" ht="33" hidden="1">
      <c r="A108" s="333" t="s">
        <v>2225</v>
      </c>
      <c r="B108" s="334" t="s">
        <v>479</v>
      </c>
      <c r="C108" s="335" t="s">
        <v>15</v>
      </c>
      <c r="D108" s="336">
        <v>3</v>
      </c>
      <c r="E108" s="336">
        <f>估驗單!F103</f>
        <v>3</v>
      </c>
      <c r="F108" s="390">
        <f t="shared" si="8"/>
        <v>0</v>
      </c>
      <c r="G108" s="336">
        <v>4575.03</v>
      </c>
      <c r="H108" s="336"/>
      <c r="I108" s="336">
        <f t="shared" si="9"/>
        <v>13725.09</v>
      </c>
      <c r="J108" s="336">
        <f t="shared" si="10"/>
        <v>13725.09</v>
      </c>
      <c r="K108" s="546">
        <f t="shared" si="7"/>
        <v>0</v>
      </c>
      <c r="L108" s="502"/>
      <c r="M108" s="231" t="s">
        <v>2338</v>
      </c>
      <c r="N108" s="11" t="s">
        <v>243</v>
      </c>
      <c r="O108" s="341"/>
      <c r="P108" s="339"/>
    </row>
    <row r="109" spans="1:16" ht="33" hidden="1">
      <c r="A109" s="503" t="s">
        <v>2226</v>
      </c>
      <c r="B109" s="504" t="s">
        <v>482</v>
      </c>
      <c r="C109" s="505" t="s">
        <v>483</v>
      </c>
      <c r="D109" s="506">
        <v>88.17</v>
      </c>
      <c r="E109" s="506">
        <f>估驗單!F104</f>
        <v>88.17</v>
      </c>
      <c r="F109" s="507">
        <f t="shared" si="8"/>
        <v>0</v>
      </c>
      <c r="G109" s="506">
        <v>15299.17</v>
      </c>
      <c r="H109" s="506"/>
      <c r="I109" s="506">
        <f t="shared" si="9"/>
        <v>1348927.82</v>
      </c>
      <c r="J109" s="506">
        <f t="shared" si="10"/>
        <v>1348927.82</v>
      </c>
      <c r="K109" s="547">
        <f t="shared" si="7"/>
        <v>0</v>
      </c>
      <c r="L109" s="510"/>
      <c r="M109" s="508" t="s">
        <v>2339</v>
      </c>
      <c r="N109" s="11" t="s">
        <v>243</v>
      </c>
      <c r="O109" s="474" t="s">
        <v>2614</v>
      </c>
      <c r="P109" s="339" t="s">
        <v>2615</v>
      </c>
    </row>
    <row r="110" spans="1:16" ht="33" hidden="1">
      <c r="A110" s="333" t="s">
        <v>2227</v>
      </c>
      <c r="B110" s="334" t="s">
        <v>486</v>
      </c>
      <c r="C110" s="335" t="s">
        <v>0</v>
      </c>
      <c r="D110" s="336">
        <v>25</v>
      </c>
      <c r="E110" s="336">
        <f>估驗單!F105</f>
        <v>25</v>
      </c>
      <c r="F110" s="390">
        <f t="shared" si="8"/>
        <v>0</v>
      </c>
      <c r="G110" s="336">
        <v>4498.3100000000004</v>
      </c>
      <c r="H110" s="336"/>
      <c r="I110" s="336">
        <f t="shared" si="9"/>
        <v>112457.75</v>
      </c>
      <c r="J110" s="336">
        <f t="shared" si="10"/>
        <v>112457.75</v>
      </c>
      <c r="K110" s="546">
        <f t="shared" si="7"/>
        <v>0</v>
      </c>
      <c r="L110" s="502"/>
      <c r="M110" s="231" t="s">
        <v>242</v>
      </c>
      <c r="N110" s="11" t="s">
        <v>243</v>
      </c>
      <c r="O110" s="341"/>
      <c r="P110" s="339"/>
    </row>
    <row r="111" spans="1:16" ht="33" hidden="1">
      <c r="A111" s="333" t="s">
        <v>2228</v>
      </c>
      <c r="B111" s="334" t="s">
        <v>489</v>
      </c>
      <c r="C111" s="335" t="s">
        <v>0</v>
      </c>
      <c r="D111" s="336">
        <v>13</v>
      </c>
      <c r="E111" s="336">
        <f>估驗單!F106</f>
        <v>13</v>
      </c>
      <c r="F111" s="390">
        <f t="shared" si="8"/>
        <v>0</v>
      </c>
      <c r="G111" s="336">
        <v>3353.5</v>
      </c>
      <c r="H111" s="336"/>
      <c r="I111" s="336">
        <f t="shared" si="9"/>
        <v>43595.5</v>
      </c>
      <c r="J111" s="336">
        <f t="shared" si="10"/>
        <v>43595.5</v>
      </c>
      <c r="K111" s="546">
        <f t="shared" si="7"/>
        <v>0</v>
      </c>
      <c r="L111" s="502"/>
      <c r="M111" s="231" t="s">
        <v>242</v>
      </c>
      <c r="N111" s="11" t="s">
        <v>243</v>
      </c>
      <c r="O111" s="341"/>
      <c r="P111" s="339"/>
    </row>
    <row r="112" spans="1:16" ht="33" hidden="1">
      <c r="A112" s="333" t="s">
        <v>2229</v>
      </c>
      <c r="B112" s="334" t="s">
        <v>492</v>
      </c>
      <c r="C112" s="335" t="s">
        <v>8</v>
      </c>
      <c r="D112" s="336">
        <v>9.8000000000000007</v>
      </c>
      <c r="E112" s="336">
        <f>估驗單!F107</f>
        <v>9.8000000000000007</v>
      </c>
      <c r="F112" s="390">
        <f t="shared" si="8"/>
        <v>0</v>
      </c>
      <c r="G112" s="336">
        <v>9873.85</v>
      </c>
      <c r="H112" s="336"/>
      <c r="I112" s="336">
        <f t="shared" si="9"/>
        <v>96763.73</v>
      </c>
      <c r="J112" s="336">
        <f t="shared" si="10"/>
        <v>96763.73</v>
      </c>
      <c r="K112" s="546">
        <f t="shared" si="7"/>
        <v>0</v>
      </c>
      <c r="L112" s="502"/>
      <c r="M112" s="231" t="s">
        <v>242</v>
      </c>
      <c r="N112" s="11" t="s">
        <v>243</v>
      </c>
      <c r="O112" s="341"/>
      <c r="P112" s="339"/>
    </row>
    <row r="113" spans="1:17" ht="33" hidden="1">
      <c r="A113" s="333" t="s">
        <v>2230</v>
      </c>
      <c r="B113" s="334" t="s">
        <v>495</v>
      </c>
      <c r="C113" s="335" t="s">
        <v>8</v>
      </c>
      <c r="D113" s="336">
        <v>6.2</v>
      </c>
      <c r="E113" s="336">
        <f>估驗單!F108</f>
        <v>6.2</v>
      </c>
      <c r="F113" s="390">
        <f t="shared" si="8"/>
        <v>0</v>
      </c>
      <c r="G113" s="336">
        <v>6554</v>
      </c>
      <c r="H113" s="336"/>
      <c r="I113" s="336">
        <f t="shared" si="9"/>
        <v>40634.800000000003</v>
      </c>
      <c r="J113" s="336">
        <f t="shared" si="10"/>
        <v>40634.800000000003</v>
      </c>
      <c r="K113" s="546">
        <f t="shared" si="7"/>
        <v>0</v>
      </c>
      <c r="L113" s="502"/>
      <c r="M113" s="231" t="s">
        <v>242</v>
      </c>
      <c r="N113" s="11" t="s">
        <v>243</v>
      </c>
      <c r="O113" s="341"/>
      <c r="P113" s="339"/>
    </row>
    <row r="114" spans="1:17" ht="33" hidden="1">
      <c r="A114" s="333" t="s">
        <v>2231</v>
      </c>
      <c r="B114" s="334" t="s">
        <v>498</v>
      </c>
      <c r="C114" s="335" t="s">
        <v>8</v>
      </c>
      <c r="D114" s="336">
        <v>3.3</v>
      </c>
      <c r="E114" s="336">
        <f>估驗單!F109</f>
        <v>3.3</v>
      </c>
      <c r="F114" s="390">
        <f t="shared" si="8"/>
        <v>0</v>
      </c>
      <c r="G114" s="336">
        <v>8390.27</v>
      </c>
      <c r="H114" s="336"/>
      <c r="I114" s="336">
        <f t="shared" si="9"/>
        <v>27687.89</v>
      </c>
      <c r="J114" s="336">
        <f t="shared" si="10"/>
        <v>27687.89</v>
      </c>
      <c r="K114" s="546">
        <f t="shared" si="7"/>
        <v>0</v>
      </c>
      <c r="L114" s="502"/>
      <c r="M114" s="231" t="s">
        <v>242</v>
      </c>
      <c r="N114" s="11" t="s">
        <v>243</v>
      </c>
      <c r="O114" s="341"/>
      <c r="P114" s="339"/>
    </row>
    <row r="115" spans="1:17" ht="33" hidden="1">
      <c r="A115" s="333" t="s">
        <v>2232</v>
      </c>
      <c r="B115" s="334" t="s">
        <v>501</v>
      </c>
      <c r="C115" s="335" t="s">
        <v>8</v>
      </c>
      <c r="D115" s="336">
        <v>40.6</v>
      </c>
      <c r="E115" s="336">
        <f>估驗單!F110</f>
        <v>40.6</v>
      </c>
      <c r="F115" s="390">
        <f t="shared" si="8"/>
        <v>0</v>
      </c>
      <c r="G115" s="336">
        <v>671.95</v>
      </c>
      <c r="H115" s="336"/>
      <c r="I115" s="336">
        <f t="shared" si="9"/>
        <v>27281.17</v>
      </c>
      <c r="J115" s="336">
        <f t="shared" si="10"/>
        <v>27281.17</v>
      </c>
      <c r="K115" s="546">
        <f t="shared" si="7"/>
        <v>0</v>
      </c>
      <c r="L115" s="502"/>
      <c r="M115" s="231" t="s">
        <v>2321</v>
      </c>
      <c r="N115" s="11" t="s">
        <v>243</v>
      </c>
      <c r="O115" s="341"/>
      <c r="P115" s="339"/>
    </row>
    <row r="116" spans="1:17" ht="33" hidden="1">
      <c r="A116" s="333" t="s">
        <v>2233</v>
      </c>
      <c r="B116" s="334" t="s">
        <v>504</v>
      </c>
      <c r="C116" s="335" t="s">
        <v>8</v>
      </c>
      <c r="D116" s="336">
        <v>176.7</v>
      </c>
      <c r="E116" s="336">
        <f>估驗單!F111</f>
        <v>176.7</v>
      </c>
      <c r="F116" s="390">
        <f t="shared" si="8"/>
        <v>0</v>
      </c>
      <c r="G116" s="336">
        <v>658.27</v>
      </c>
      <c r="H116" s="336"/>
      <c r="I116" s="336">
        <f t="shared" si="9"/>
        <v>116316.31</v>
      </c>
      <c r="J116" s="336">
        <f t="shared" si="10"/>
        <v>116316.31</v>
      </c>
      <c r="K116" s="546">
        <f t="shared" si="7"/>
        <v>0</v>
      </c>
      <c r="L116" s="502"/>
      <c r="M116" s="231" t="s">
        <v>242</v>
      </c>
      <c r="N116" s="11" t="s">
        <v>243</v>
      </c>
      <c r="O116" s="341"/>
      <c r="P116" s="339"/>
    </row>
    <row r="117" spans="1:17" ht="33" hidden="1">
      <c r="A117" s="333" t="s">
        <v>2234</v>
      </c>
      <c r="B117" s="334" t="s">
        <v>507</v>
      </c>
      <c r="C117" s="335" t="s">
        <v>8</v>
      </c>
      <c r="D117" s="336">
        <v>251.7</v>
      </c>
      <c r="E117" s="336">
        <f>估驗單!F112</f>
        <v>251.7</v>
      </c>
      <c r="F117" s="390">
        <f t="shared" si="8"/>
        <v>0</v>
      </c>
      <c r="G117" s="336">
        <v>730.37</v>
      </c>
      <c r="H117" s="336"/>
      <c r="I117" s="336">
        <f t="shared" si="9"/>
        <v>183834.13</v>
      </c>
      <c r="J117" s="336">
        <f t="shared" si="10"/>
        <v>183834.13</v>
      </c>
      <c r="K117" s="546">
        <f t="shared" si="7"/>
        <v>0</v>
      </c>
      <c r="L117" s="502"/>
      <c r="M117" s="231" t="s">
        <v>242</v>
      </c>
      <c r="N117" s="11" t="s">
        <v>243</v>
      </c>
      <c r="O117" s="341"/>
      <c r="P117" s="339"/>
    </row>
    <row r="118" spans="1:17" ht="33" hidden="1">
      <c r="A118" s="333" t="s">
        <v>2235</v>
      </c>
      <c r="B118" s="334" t="s">
        <v>510</v>
      </c>
      <c r="C118" s="335" t="s">
        <v>8</v>
      </c>
      <c r="D118" s="336">
        <v>6.8</v>
      </c>
      <c r="E118" s="336">
        <f>估驗單!F113</f>
        <v>6.8</v>
      </c>
      <c r="F118" s="390">
        <f t="shared" si="8"/>
        <v>0</v>
      </c>
      <c r="G118" s="336">
        <v>406.38</v>
      </c>
      <c r="H118" s="336"/>
      <c r="I118" s="336">
        <f t="shared" si="9"/>
        <v>2763.38</v>
      </c>
      <c r="J118" s="336">
        <f t="shared" si="10"/>
        <v>2763.38</v>
      </c>
      <c r="K118" s="546">
        <f t="shared" si="7"/>
        <v>0</v>
      </c>
      <c r="L118" s="502"/>
      <c r="M118" s="231" t="s">
        <v>242</v>
      </c>
      <c r="N118" s="11" t="s">
        <v>243</v>
      </c>
      <c r="O118" s="341"/>
      <c r="P118" s="339"/>
    </row>
    <row r="119" spans="1:17" ht="33" hidden="1">
      <c r="A119" s="333" t="s">
        <v>2236</v>
      </c>
      <c r="B119" s="334" t="s">
        <v>513</v>
      </c>
      <c r="C119" s="335" t="s">
        <v>8</v>
      </c>
      <c r="D119" s="336">
        <v>44.2</v>
      </c>
      <c r="E119" s="336">
        <f>估驗單!F114</f>
        <v>44.2</v>
      </c>
      <c r="F119" s="390">
        <f t="shared" si="8"/>
        <v>0</v>
      </c>
      <c r="G119" s="336">
        <v>457.88</v>
      </c>
      <c r="H119" s="336"/>
      <c r="I119" s="336">
        <f t="shared" si="9"/>
        <v>20238.3</v>
      </c>
      <c r="J119" s="336">
        <f t="shared" si="10"/>
        <v>20238.3</v>
      </c>
      <c r="K119" s="546">
        <f t="shared" si="7"/>
        <v>0</v>
      </c>
      <c r="L119" s="502"/>
      <c r="M119" s="231" t="s">
        <v>2321</v>
      </c>
      <c r="N119" s="11" t="s">
        <v>243</v>
      </c>
      <c r="O119" s="341"/>
      <c r="P119" s="339"/>
    </row>
    <row r="120" spans="1:17" ht="33" hidden="1">
      <c r="A120" s="333" t="s">
        <v>2237</v>
      </c>
      <c r="B120" s="334" t="s">
        <v>516</v>
      </c>
      <c r="C120" s="335" t="s">
        <v>8</v>
      </c>
      <c r="D120" s="336">
        <v>10.7</v>
      </c>
      <c r="E120" s="336">
        <f>估驗單!F115</f>
        <v>10.7</v>
      </c>
      <c r="F120" s="390">
        <f t="shared" si="8"/>
        <v>0</v>
      </c>
      <c r="G120" s="336">
        <v>499.08</v>
      </c>
      <c r="H120" s="336"/>
      <c r="I120" s="336">
        <f t="shared" si="9"/>
        <v>5340.16</v>
      </c>
      <c r="J120" s="336">
        <f t="shared" si="10"/>
        <v>5340.16</v>
      </c>
      <c r="K120" s="546">
        <f t="shared" si="7"/>
        <v>0</v>
      </c>
      <c r="L120" s="502"/>
      <c r="M120" s="231" t="s">
        <v>2321</v>
      </c>
      <c r="N120" s="11" t="s">
        <v>243</v>
      </c>
      <c r="O120" s="341"/>
      <c r="P120" s="339"/>
    </row>
    <row r="121" spans="1:17" ht="33" hidden="1">
      <c r="A121" s="333" t="s">
        <v>2238</v>
      </c>
      <c r="B121" s="334" t="s">
        <v>519</v>
      </c>
      <c r="C121" s="335" t="s">
        <v>8</v>
      </c>
      <c r="D121" s="336">
        <v>62.5</v>
      </c>
      <c r="E121" s="336">
        <f>估驗單!F116</f>
        <v>62.5</v>
      </c>
      <c r="F121" s="390">
        <f t="shared" si="8"/>
        <v>0</v>
      </c>
      <c r="G121" s="336">
        <v>545.82000000000005</v>
      </c>
      <c r="H121" s="336"/>
      <c r="I121" s="336">
        <f t="shared" si="9"/>
        <v>34113.75</v>
      </c>
      <c r="J121" s="336">
        <f t="shared" si="10"/>
        <v>34113.75</v>
      </c>
      <c r="K121" s="546">
        <f t="shared" si="7"/>
        <v>0</v>
      </c>
      <c r="L121" s="502"/>
      <c r="M121" s="231" t="s">
        <v>2321</v>
      </c>
      <c r="N121" s="11" t="s">
        <v>243</v>
      </c>
      <c r="O121" s="341"/>
      <c r="P121" s="339"/>
    </row>
    <row r="122" spans="1:17" ht="42.75" hidden="1">
      <c r="A122" s="333" t="s">
        <v>2239</v>
      </c>
      <c r="B122" s="334" t="s">
        <v>522</v>
      </c>
      <c r="C122" s="335" t="s">
        <v>8</v>
      </c>
      <c r="D122" s="336">
        <v>84.8</v>
      </c>
      <c r="E122" s="336">
        <f>估驗單!F117</f>
        <v>84.8</v>
      </c>
      <c r="F122" s="390">
        <f t="shared" si="8"/>
        <v>0</v>
      </c>
      <c r="G122" s="336">
        <v>7340.02</v>
      </c>
      <c r="H122" s="336"/>
      <c r="I122" s="336">
        <f t="shared" si="9"/>
        <v>622433.69999999995</v>
      </c>
      <c r="J122" s="336">
        <f t="shared" si="10"/>
        <v>622433.69999999995</v>
      </c>
      <c r="K122" s="546">
        <f t="shared" si="7"/>
        <v>0</v>
      </c>
      <c r="L122" s="502"/>
      <c r="M122" s="231" t="s">
        <v>2336</v>
      </c>
      <c r="N122" s="11" t="s">
        <v>243</v>
      </c>
      <c r="O122" s="341"/>
      <c r="P122" s="339"/>
    </row>
    <row r="123" spans="1:17" ht="45" hidden="1">
      <c r="A123" s="503" t="s">
        <v>2240</v>
      </c>
      <c r="B123" s="504" t="s">
        <v>525</v>
      </c>
      <c r="C123" s="505" t="s">
        <v>0</v>
      </c>
      <c r="D123" s="506">
        <v>2</v>
      </c>
      <c r="E123" s="506">
        <v>0</v>
      </c>
      <c r="F123" s="509">
        <f t="shared" si="8"/>
        <v>-2</v>
      </c>
      <c r="G123" s="506">
        <v>913306.18</v>
      </c>
      <c r="H123" s="506"/>
      <c r="I123" s="506">
        <f t="shared" si="9"/>
        <v>1826612.36</v>
      </c>
      <c r="J123" s="506">
        <f t="shared" si="10"/>
        <v>0</v>
      </c>
      <c r="K123" s="547"/>
      <c r="L123" s="510">
        <f>J123-I123</f>
        <v>-1826612.36</v>
      </c>
      <c r="M123" s="508" t="s">
        <v>2321</v>
      </c>
      <c r="N123" s="11" t="s">
        <v>243</v>
      </c>
      <c r="O123" s="341" t="s">
        <v>2613</v>
      </c>
      <c r="P123" s="339"/>
    </row>
    <row r="124" spans="1:17" ht="27.95" hidden="1" customHeight="1">
      <c r="A124" s="503" t="s">
        <v>2606</v>
      </c>
      <c r="B124" s="504" t="s">
        <v>2609</v>
      </c>
      <c r="C124" s="505" t="s">
        <v>0</v>
      </c>
      <c r="D124" s="511">
        <v>0</v>
      </c>
      <c r="E124" s="511">
        <v>1</v>
      </c>
      <c r="F124" s="507">
        <f t="shared" si="8"/>
        <v>1</v>
      </c>
      <c r="G124" s="511">
        <v>0</v>
      </c>
      <c r="H124" s="511">
        <v>704273.82</v>
      </c>
      <c r="I124" s="506">
        <f t="shared" si="9"/>
        <v>0</v>
      </c>
      <c r="J124" s="506">
        <f>ROUND(E124*H124,2)</f>
        <v>704273.82</v>
      </c>
      <c r="K124" s="547">
        <f t="shared" si="7"/>
        <v>704273.82</v>
      </c>
      <c r="L124" s="533"/>
      <c r="M124" s="529" t="s">
        <v>2625</v>
      </c>
      <c r="N124" s="11"/>
      <c r="O124" s="341"/>
      <c r="P124" s="339"/>
    </row>
    <row r="125" spans="1:17" ht="27.95" hidden="1" customHeight="1">
      <c r="A125" s="503" t="s">
        <v>2607</v>
      </c>
      <c r="B125" s="504" t="s">
        <v>2610</v>
      </c>
      <c r="C125" s="505" t="s">
        <v>0</v>
      </c>
      <c r="D125" s="511">
        <v>0</v>
      </c>
      <c r="E125" s="511">
        <v>1</v>
      </c>
      <c r="F125" s="507">
        <f t="shared" si="8"/>
        <v>1</v>
      </c>
      <c r="G125" s="511">
        <v>0</v>
      </c>
      <c r="H125" s="511">
        <v>1255553.18</v>
      </c>
      <c r="I125" s="506">
        <f t="shared" si="9"/>
        <v>0</v>
      </c>
      <c r="J125" s="506">
        <f>ROUND(E125*H125,2)</f>
        <v>1255553.18</v>
      </c>
      <c r="K125" s="547">
        <f t="shared" si="7"/>
        <v>1255553.18</v>
      </c>
      <c r="L125" s="533"/>
      <c r="M125" s="529" t="s">
        <v>2625</v>
      </c>
      <c r="N125" s="11"/>
      <c r="O125" s="341"/>
      <c r="P125" s="339"/>
    </row>
    <row r="126" spans="1:17" ht="27.95" hidden="1" customHeight="1">
      <c r="A126" s="503" t="s">
        <v>2608</v>
      </c>
      <c r="B126" s="504" t="s">
        <v>2611</v>
      </c>
      <c r="C126" s="505" t="s">
        <v>0</v>
      </c>
      <c r="D126" s="511">
        <v>0</v>
      </c>
      <c r="E126" s="511">
        <v>1</v>
      </c>
      <c r="F126" s="507">
        <f t="shared" si="8"/>
        <v>1</v>
      </c>
      <c r="G126" s="511">
        <v>0</v>
      </c>
      <c r="H126" s="511">
        <v>1277917.6000000001</v>
      </c>
      <c r="I126" s="506">
        <f t="shared" si="9"/>
        <v>0</v>
      </c>
      <c r="J126" s="506">
        <f>ROUND(E126*H126,2)</f>
        <v>1277917.6000000001</v>
      </c>
      <c r="K126" s="547">
        <f t="shared" si="7"/>
        <v>1277917.6000000001</v>
      </c>
      <c r="L126" s="533"/>
      <c r="M126" s="529" t="s">
        <v>2625</v>
      </c>
      <c r="N126" s="11"/>
      <c r="O126" s="341"/>
      <c r="P126" s="339"/>
    </row>
    <row r="127" spans="1:17" ht="33" hidden="1">
      <c r="A127" s="406" t="s">
        <v>2241</v>
      </c>
      <c r="B127" s="407" t="s">
        <v>527</v>
      </c>
      <c r="C127" s="408" t="s">
        <v>4</v>
      </c>
      <c r="D127" s="409"/>
      <c r="E127" s="409">
        <f>估驗單!F119</f>
        <v>0</v>
      </c>
      <c r="F127" s="410">
        <f t="shared" si="8"/>
        <v>0</v>
      </c>
      <c r="G127" s="409">
        <f>I127</f>
        <v>45369259.610000014</v>
      </c>
      <c r="H127" s="409"/>
      <c r="I127" s="409">
        <f>SUM(I128:I168)</f>
        <v>45369259.610000014</v>
      </c>
      <c r="J127" s="409">
        <f>SUM(J128:J168)</f>
        <v>45442982.900000013</v>
      </c>
      <c r="K127" s="542">
        <f>SUM(K128:K168)</f>
        <v>73723.289999999746</v>
      </c>
      <c r="L127" s="534">
        <f>SUM(L128:L168)</f>
        <v>0</v>
      </c>
      <c r="M127" s="288" t="s">
        <v>242</v>
      </c>
      <c r="N127" s="11" t="s">
        <v>243</v>
      </c>
      <c r="O127" s="338"/>
      <c r="P127" s="339"/>
    </row>
    <row r="128" spans="1:17" ht="33.75" hidden="1">
      <c r="A128" s="333" t="s">
        <v>2154</v>
      </c>
      <c r="B128" s="334" t="s">
        <v>310</v>
      </c>
      <c r="C128" s="335" t="s">
        <v>223</v>
      </c>
      <c r="D128" s="336">
        <v>928.51</v>
      </c>
      <c r="E128" s="336">
        <f>估驗單!F120</f>
        <v>928.51</v>
      </c>
      <c r="F128" s="390">
        <f t="shared" si="8"/>
        <v>0</v>
      </c>
      <c r="G128" s="336">
        <v>320.72000000000003</v>
      </c>
      <c r="H128" s="336"/>
      <c r="I128" s="336">
        <f t="shared" ref="I128:I168" si="11">ROUND(D128*G128,2)</f>
        <v>297791.73</v>
      </c>
      <c r="J128" s="336">
        <f t="shared" ref="J128:J168" si="12">ROUND(E128*G128,2)</f>
        <v>297791.73</v>
      </c>
      <c r="K128" s="546">
        <f t="shared" si="7"/>
        <v>0</v>
      </c>
      <c r="L128" s="502"/>
      <c r="M128" s="231" t="s">
        <v>242</v>
      </c>
      <c r="N128" s="11" t="s">
        <v>243</v>
      </c>
      <c r="O128" s="341" t="s">
        <v>2316</v>
      </c>
      <c r="P128" s="339" t="s">
        <v>2340</v>
      </c>
      <c r="Q128" s="342" t="s">
        <v>2341</v>
      </c>
    </row>
    <row r="129" spans="1:17" ht="33" hidden="1">
      <c r="A129" s="333" t="s">
        <v>2155</v>
      </c>
      <c r="B129" s="334" t="s">
        <v>315</v>
      </c>
      <c r="C129" s="335" t="s">
        <v>6</v>
      </c>
      <c r="D129" s="336">
        <v>26.33</v>
      </c>
      <c r="E129" s="336">
        <f>估驗單!F121</f>
        <v>26.33</v>
      </c>
      <c r="F129" s="390">
        <f t="shared" si="8"/>
        <v>0</v>
      </c>
      <c r="G129" s="336">
        <v>3114.97</v>
      </c>
      <c r="H129" s="336"/>
      <c r="I129" s="336">
        <f t="shared" si="11"/>
        <v>82017.16</v>
      </c>
      <c r="J129" s="336">
        <f t="shared" si="12"/>
        <v>82017.16</v>
      </c>
      <c r="K129" s="546">
        <f t="shared" si="7"/>
        <v>0</v>
      </c>
      <c r="L129" s="502"/>
      <c r="M129" s="231" t="s">
        <v>242</v>
      </c>
      <c r="N129" s="11" t="s">
        <v>243</v>
      </c>
      <c r="O129" s="341"/>
      <c r="P129" s="339"/>
    </row>
    <row r="130" spans="1:17" ht="33" hidden="1">
      <c r="A130" s="333" t="s">
        <v>2156</v>
      </c>
      <c r="B130" s="334" t="s">
        <v>24</v>
      </c>
      <c r="C130" s="335" t="s">
        <v>6</v>
      </c>
      <c r="D130" s="336">
        <v>36.86</v>
      </c>
      <c r="E130" s="336">
        <f>估驗單!F122</f>
        <v>36.86</v>
      </c>
      <c r="F130" s="390">
        <f t="shared" si="8"/>
        <v>0</v>
      </c>
      <c r="G130" s="336">
        <v>3320.96</v>
      </c>
      <c r="H130" s="336"/>
      <c r="I130" s="336">
        <f t="shared" si="11"/>
        <v>122410.59</v>
      </c>
      <c r="J130" s="336">
        <f t="shared" si="12"/>
        <v>122410.59</v>
      </c>
      <c r="K130" s="546">
        <f t="shared" si="7"/>
        <v>0</v>
      </c>
      <c r="L130" s="502"/>
      <c r="M130" s="231" t="s">
        <v>242</v>
      </c>
      <c r="N130" s="11" t="s">
        <v>243</v>
      </c>
      <c r="O130" s="341"/>
      <c r="P130" s="339"/>
    </row>
    <row r="131" spans="1:17" ht="33" hidden="1">
      <c r="A131" s="333" t="s">
        <v>2157</v>
      </c>
      <c r="B131" s="334" t="s">
        <v>528</v>
      </c>
      <c r="C131" s="335" t="s">
        <v>6</v>
      </c>
      <c r="D131" s="336">
        <v>654.83000000000004</v>
      </c>
      <c r="E131" s="336">
        <f>估驗單!F123</f>
        <v>654.83000000000004</v>
      </c>
      <c r="F131" s="390">
        <f t="shared" si="8"/>
        <v>0</v>
      </c>
      <c r="G131" s="336">
        <v>3643.53</v>
      </c>
      <c r="H131" s="336"/>
      <c r="I131" s="336">
        <f t="shared" si="11"/>
        <v>2385892.75</v>
      </c>
      <c r="J131" s="336">
        <f t="shared" si="12"/>
        <v>2385892.75</v>
      </c>
      <c r="K131" s="546">
        <f t="shared" si="7"/>
        <v>0</v>
      </c>
      <c r="L131" s="502"/>
      <c r="M131" s="231" t="s">
        <v>242</v>
      </c>
      <c r="N131" s="11" t="s">
        <v>243</v>
      </c>
      <c r="O131" s="341"/>
      <c r="P131" s="339"/>
    </row>
    <row r="132" spans="1:17" ht="14.25" customHeight="1">
      <c r="A132" s="957" t="s">
        <v>235</v>
      </c>
      <c r="B132" s="964" t="s">
        <v>2303</v>
      </c>
      <c r="C132" s="964" t="s">
        <v>237</v>
      </c>
      <c r="D132" s="957" t="s">
        <v>2605</v>
      </c>
      <c r="E132" s="957" t="s">
        <v>2602</v>
      </c>
      <c r="F132" s="968" t="s">
        <v>2305</v>
      </c>
      <c r="G132" s="957" t="s">
        <v>2306</v>
      </c>
      <c r="H132" s="957" t="s">
        <v>2307</v>
      </c>
      <c r="I132" s="957" t="s">
        <v>2308</v>
      </c>
      <c r="J132" s="957" t="s">
        <v>2612</v>
      </c>
      <c r="K132" s="959" t="s">
        <v>2309</v>
      </c>
      <c r="L132" s="961" t="s">
        <v>2310</v>
      </c>
      <c r="M132" s="964" t="s">
        <v>2311</v>
      </c>
      <c r="N132" s="332"/>
      <c r="O132" s="966" t="s">
        <v>2312</v>
      </c>
      <c r="P132" s="967" t="s">
        <v>2313</v>
      </c>
      <c r="Q132" s="963" t="s">
        <v>2314</v>
      </c>
    </row>
    <row r="133" spans="1:17" ht="14.25">
      <c r="A133" s="958"/>
      <c r="B133" s="965"/>
      <c r="C133" s="965"/>
      <c r="D133" s="958"/>
      <c r="E133" s="958"/>
      <c r="F133" s="969"/>
      <c r="G133" s="958"/>
      <c r="H133" s="958"/>
      <c r="I133" s="958"/>
      <c r="J133" s="958"/>
      <c r="K133" s="960"/>
      <c r="L133" s="962"/>
      <c r="M133" s="965"/>
      <c r="N133" s="332"/>
      <c r="O133" s="966"/>
      <c r="P133" s="967"/>
      <c r="Q133" s="963"/>
    </row>
    <row r="134" spans="1:17" ht="42.75">
      <c r="A134" s="333" t="s">
        <v>2158</v>
      </c>
      <c r="B134" s="334" t="s">
        <v>192</v>
      </c>
      <c r="C134" s="335" t="s">
        <v>17</v>
      </c>
      <c r="D134" s="336">
        <v>6240.88</v>
      </c>
      <c r="E134" s="336">
        <f>估驗單!F124</f>
        <v>6240.88</v>
      </c>
      <c r="F134" s="390">
        <f t="shared" si="8"/>
        <v>0</v>
      </c>
      <c r="G134" s="336">
        <v>36.4</v>
      </c>
      <c r="H134" s="336"/>
      <c r="I134" s="336">
        <f t="shared" si="11"/>
        <v>227168.03</v>
      </c>
      <c r="J134" s="336">
        <f t="shared" si="12"/>
        <v>227168.03</v>
      </c>
      <c r="K134" s="546">
        <f t="shared" si="7"/>
        <v>0</v>
      </c>
      <c r="L134" s="502"/>
      <c r="M134" s="231" t="s">
        <v>2334</v>
      </c>
      <c r="N134" s="11" t="s">
        <v>2950</v>
      </c>
      <c r="O134" s="341"/>
      <c r="P134" s="339"/>
    </row>
    <row r="135" spans="1:17" ht="42.75">
      <c r="A135" s="333" t="s">
        <v>2159</v>
      </c>
      <c r="B135" s="334" t="s">
        <v>530</v>
      </c>
      <c r="C135" s="335" t="s">
        <v>17</v>
      </c>
      <c r="D135" s="336">
        <v>102796.95</v>
      </c>
      <c r="E135" s="336">
        <f>估驗單!F125</f>
        <v>102796.95</v>
      </c>
      <c r="F135" s="390">
        <f t="shared" si="8"/>
        <v>0</v>
      </c>
      <c r="G135" s="336">
        <v>38.71</v>
      </c>
      <c r="H135" s="336"/>
      <c r="I135" s="336">
        <f t="shared" si="11"/>
        <v>3979269.93</v>
      </c>
      <c r="J135" s="336">
        <f t="shared" si="12"/>
        <v>3979269.93</v>
      </c>
      <c r="K135" s="546">
        <f t="shared" si="7"/>
        <v>0</v>
      </c>
      <c r="L135" s="502"/>
      <c r="M135" s="231" t="s">
        <v>2334</v>
      </c>
      <c r="N135" s="11" t="s">
        <v>2950</v>
      </c>
      <c r="O135" s="341"/>
      <c r="P135" s="339"/>
    </row>
    <row r="136" spans="1:17" ht="42.75" hidden="1">
      <c r="A136" s="333" t="s">
        <v>2160</v>
      </c>
      <c r="B136" s="334" t="s">
        <v>532</v>
      </c>
      <c r="C136" s="335" t="s">
        <v>13</v>
      </c>
      <c r="D136" s="336">
        <v>223.3</v>
      </c>
      <c r="E136" s="336">
        <f>估驗單!F126</f>
        <v>223.3</v>
      </c>
      <c r="F136" s="390">
        <f t="shared" si="8"/>
        <v>0</v>
      </c>
      <c r="G136" s="336">
        <v>1154.9100000000001</v>
      </c>
      <c r="H136" s="336"/>
      <c r="I136" s="336">
        <f t="shared" si="11"/>
        <v>257891.4</v>
      </c>
      <c r="J136" s="336">
        <f t="shared" si="12"/>
        <v>257891.4</v>
      </c>
      <c r="K136" s="546">
        <f t="shared" si="7"/>
        <v>0</v>
      </c>
      <c r="L136" s="502"/>
      <c r="M136" s="231" t="s">
        <v>2342</v>
      </c>
      <c r="N136" s="11" t="s">
        <v>243</v>
      </c>
      <c r="O136" s="341"/>
      <c r="P136" s="339"/>
    </row>
    <row r="137" spans="1:17" ht="99.75" hidden="1">
      <c r="A137" s="503" t="s">
        <v>2161</v>
      </c>
      <c r="B137" s="504" t="s">
        <v>534</v>
      </c>
      <c r="C137" s="505" t="s">
        <v>13</v>
      </c>
      <c r="D137" s="506">
        <v>450.04</v>
      </c>
      <c r="E137" s="506">
        <f>估驗單!F127</f>
        <v>484.31400000000008</v>
      </c>
      <c r="F137" s="507">
        <f t="shared" si="8"/>
        <v>34.274000000000058</v>
      </c>
      <c r="G137" s="506">
        <v>982.93</v>
      </c>
      <c r="H137" s="506"/>
      <c r="I137" s="506">
        <f t="shared" si="11"/>
        <v>442357.82</v>
      </c>
      <c r="J137" s="506">
        <f t="shared" si="12"/>
        <v>476046.76</v>
      </c>
      <c r="K137" s="547">
        <f t="shared" si="7"/>
        <v>33688.94</v>
      </c>
      <c r="L137" s="510"/>
      <c r="M137" s="508" t="s">
        <v>2343</v>
      </c>
      <c r="N137" s="11" t="s">
        <v>243</v>
      </c>
      <c r="O137" s="341"/>
      <c r="P137" s="339"/>
    </row>
    <row r="138" spans="1:17" ht="71.25" hidden="1">
      <c r="A138" s="503" t="s">
        <v>2162</v>
      </c>
      <c r="B138" s="504" t="s">
        <v>536</v>
      </c>
      <c r="C138" s="505" t="s">
        <v>13</v>
      </c>
      <c r="D138" s="506">
        <v>28.27</v>
      </c>
      <c r="E138" s="506">
        <f>估驗單!F128</f>
        <v>42.534999999999997</v>
      </c>
      <c r="F138" s="507">
        <f t="shared" si="8"/>
        <v>14.264999999999997</v>
      </c>
      <c r="G138" s="506">
        <v>804.75</v>
      </c>
      <c r="H138" s="506"/>
      <c r="I138" s="506">
        <f t="shared" si="11"/>
        <v>22750.28</v>
      </c>
      <c r="J138" s="506">
        <f t="shared" si="12"/>
        <v>34230.04</v>
      </c>
      <c r="K138" s="547">
        <f t="shared" si="7"/>
        <v>11479.760000000002</v>
      </c>
      <c r="L138" s="510"/>
      <c r="M138" s="508" t="s">
        <v>2344</v>
      </c>
      <c r="N138" s="11" t="s">
        <v>243</v>
      </c>
      <c r="O138" s="341"/>
      <c r="P138" s="339"/>
    </row>
    <row r="139" spans="1:17" ht="33" hidden="1">
      <c r="A139" s="333" t="s">
        <v>2163</v>
      </c>
      <c r="B139" s="334" t="s">
        <v>538</v>
      </c>
      <c r="C139" s="335" t="s">
        <v>539</v>
      </c>
      <c r="D139" s="336">
        <v>25655</v>
      </c>
      <c r="E139" s="336">
        <f>估驗單!F129</f>
        <v>25655</v>
      </c>
      <c r="F139" s="390">
        <f t="shared" si="8"/>
        <v>0</v>
      </c>
      <c r="G139" s="336">
        <v>75</v>
      </c>
      <c r="H139" s="336"/>
      <c r="I139" s="336">
        <f t="shared" si="11"/>
        <v>1924125</v>
      </c>
      <c r="J139" s="336">
        <f t="shared" si="12"/>
        <v>1924125</v>
      </c>
      <c r="K139" s="546">
        <f t="shared" si="7"/>
        <v>0</v>
      </c>
      <c r="L139" s="502"/>
      <c r="M139" s="231" t="s">
        <v>242</v>
      </c>
      <c r="N139" s="11" t="s">
        <v>243</v>
      </c>
      <c r="O139" s="341"/>
      <c r="P139" s="339"/>
    </row>
    <row r="140" spans="1:17" ht="42.75" hidden="1">
      <c r="A140" s="333" t="s">
        <v>2164</v>
      </c>
      <c r="B140" s="334" t="s">
        <v>321</v>
      </c>
      <c r="C140" s="335" t="s">
        <v>17</v>
      </c>
      <c r="D140" s="336">
        <v>3691</v>
      </c>
      <c r="E140" s="336">
        <f>估驗單!F130</f>
        <v>3691</v>
      </c>
      <c r="F140" s="390">
        <f t="shared" si="8"/>
        <v>0</v>
      </c>
      <c r="G140" s="336">
        <v>60</v>
      </c>
      <c r="H140" s="336"/>
      <c r="I140" s="336">
        <f t="shared" si="11"/>
        <v>221460</v>
      </c>
      <c r="J140" s="336">
        <f t="shared" si="12"/>
        <v>221460</v>
      </c>
      <c r="K140" s="546">
        <f t="shared" si="7"/>
        <v>0</v>
      </c>
      <c r="L140" s="502"/>
      <c r="M140" s="231" t="s">
        <v>2337</v>
      </c>
      <c r="N140" s="11" t="s">
        <v>243</v>
      </c>
      <c r="O140" s="341"/>
      <c r="P140" s="339"/>
    </row>
    <row r="141" spans="1:17" ht="33" hidden="1">
      <c r="A141" s="333" t="s">
        <v>2165</v>
      </c>
      <c r="B141" s="334" t="s">
        <v>323</v>
      </c>
      <c r="C141" s="335" t="s">
        <v>17</v>
      </c>
      <c r="D141" s="336">
        <v>3691</v>
      </c>
      <c r="E141" s="336">
        <f>估驗單!F131</f>
        <v>3691</v>
      </c>
      <c r="F141" s="390">
        <f t="shared" si="8"/>
        <v>0</v>
      </c>
      <c r="G141" s="336">
        <v>31.9</v>
      </c>
      <c r="H141" s="336"/>
      <c r="I141" s="336">
        <f t="shared" si="11"/>
        <v>117742.9</v>
      </c>
      <c r="J141" s="336">
        <f t="shared" si="12"/>
        <v>117742.9</v>
      </c>
      <c r="K141" s="546">
        <f t="shared" si="7"/>
        <v>0</v>
      </c>
      <c r="L141" s="502"/>
      <c r="M141" s="231" t="s">
        <v>242</v>
      </c>
      <c r="N141" s="11" t="s">
        <v>243</v>
      </c>
      <c r="O141" s="341"/>
      <c r="P141" s="339"/>
    </row>
    <row r="142" spans="1:17" ht="33" hidden="1">
      <c r="A142" s="333" t="s">
        <v>2166</v>
      </c>
      <c r="B142" s="334" t="s">
        <v>542</v>
      </c>
      <c r="C142" s="335" t="s">
        <v>17</v>
      </c>
      <c r="D142" s="336">
        <v>2162</v>
      </c>
      <c r="E142" s="336">
        <f>估驗單!F132</f>
        <v>2162</v>
      </c>
      <c r="F142" s="390">
        <f t="shared" si="8"/>
        <v>0</v>
      </c>
      <c r="G142" s="336">
        <v>278.08</v>
      </c>
      <c r="H142" s="336"/>
      <c r="I142" s="336">
        <f t="shared" si="11"/>
        <v>601208.96</v>
      </c>
      <c r="J142" s="336">
        <f t="shared" si="12"/>
        <v>601208.96</v>
      </c>
      <c r="K142" s="546">
        <f t="shared" si="7"/>
        <v>0</v>
      </c>
      <c r="L142" s="502"/>
      <c r="M142" s="231" t="s">
        <v>242</v>
      </c>
      <c r="N142" s="11" t="s">
        <v>243</v>
      </c>
      <c r="O142" s="341"/>
      <c r="P142" s="339"/>
    </row>
    <row r="143" spans="1:17" ht="33" hidden="1">
      <c r="A143" s="333" t="s">
        <v>2167</v>
      </c>
      <c r="B143" s="334" t="s">
        <v>544</v>
      </c>
      <c r="C143" s="335" t="s">
        <v>13</v>
      </c>
      <c r="D143" s="336">
        <v>99.7</v>
      </c>
      <c r="E143" s="336">
        <f>估驗單!F133</f>
        <v>99.7</v>
      </c>
      <c r="F143" s="390">
        <f t="shared" si="8"/>
        <v>0</v>
      </c>
      <c r="G143" s="336">
        <v>1399.92</v>
      </c>
      <c r="H143" s="336"/>
      <c r="I143" s="336">
        <f t="shared" si="11"/>
        <v>139572.01999999999</v>
      </c>
      <c r="J143" s="336">
        <f t="shared" si="12"/>
        <v>139572.01999999999</v>
      </c>
      <c r="K143" s="546">
        <f t="shared" si="7"/>
        <v>0</v>
      </c>
      <c r="L143" s="502"/>
      <c r="M143" s="231" t="s">
        <v>2321</v>
      </c>
      <c r="N143" s="11" t="s">
        <v>243</v>
      </c>
      <c r="O143" s="341"/>
      <c r="P143" s="339"/>
    </row>
    <row r="144" spans="1:17" ht="57" hidden="1">
      <c r="A144" s="503" t="s">
        <v>2168</v>
      </c>
      <c r="B144" s="504" t="s">
        <v>325</v>
      </c>
      <c r="C144" s="505" t="s">
        <v>17</v>
      </c>
      <c r="D144" s="506">
        <v>95900</v>
      </c>
      <c r="E144" s="506">
        <f>估驗單!F134</f>
        <v>96604.35</v>
      </c>
      <c r="F144" s="507">
        <f t="shared" si="8"/>
        <v>704.35000000000582</v>
      </c>
      <c r="G144" s="506">
        <v>107.3</v>
      </c>
      <c r="H144" s="506"/>
      <c r="I144" s="506">
        <f t="shared" si="11"/>
        <v>10290070</v>
      </c>
      <c r="J144" s="506">
        <f t="shared" si="12"/>
        <v>10365646.76</v>
      </c>
      <c r="K144" s="547">
        <f t="shared" ref="K144:K207" si="13">J144-I144</f>
        <v>75576.759999999776</v>
      </c>
      <c r="L144" s="510"/>
      <c r="M144" s="508" t="s">
        <v>2337</v>
      </c>
      <c r="N144" s="11" t="s">
        <v>243</v>
      </c>
      <c r="O144" s="341"/>
      <c r="P144" s="339"/>
    </row>
    <row r="145" spans="1:16" ht="42.75" hidden="1">
      <c r="A145" s="503" t="s">
        <v>2169</v>
      </c>
      <c r="B145" s="504" t="s">
        <v>222</v>
      </c>
      <c r="C145" s="505" t="s">
        <v>13</v>
      </c>
      <c r="D145" s="506">
        <v>438.86</v>
      </c>
      <c r="E145" s="506">
        <f>估驗單!F135</f>
        <v>611.66</v>
      </c>
      <c r="F145" s="507">
        <f t="shared" si="8"/>
        <v>172.79999999999995</v>
      </c>
      <c r="G145" s="506">
        <v>692.12</v>
      </c>
      <c r="H145" s="506"/>
      <c r="I145" s="506">
        <f t="shared" si="11"/>
        <v>303743.78000000003</v>
      </c>
      <c r="J145" s="506">
        <f t="shared" si="12"/>
        <v>423342.12</v>
      </c>
      <c r="K145" s="547">
        <f t="shared" si="13"/>
        <v>119598.33999999997</v>
      </c>
      <c r="L145" s="510"/>
      <c r="M145" s="508" t="s">
        <v>2345</v>
      </c>
      <c r="N145" s="11" t="s">
        <v>243</v>
      </c>
      <c r="O145" s="341"/>
      <c r="P145" s="339"/>
    </row>
    <row r="146" spans="1:16" ht="33" hidden="1">
      <c r="A146" s="333" t="s">
        <v>2170</v>
      </c>
      <c r="B146" s="334" t="s">
        <v>194</v>
      </c>
      <c r="C146" s="335" t="s">
        <v>23</v>
      </c>
      <c r="D146" s="336">
        <v>342.71</v>
      </c>
      <c r="E146" s="336">
        <f>估驗單!F136</f>
        <v>342.71</v>
      </c>
      <c r="F146" s="390">
        <f t="shared" si="8"/>
        <v>0</v>
      </c>
      <c r="G146" s="336">
        <v>48.28</v>
      </c>
      <c r="H146" s="336"/>
      <c r="I146" s="336">
        <f t="shared" si="11"/>
        <v>16546.04</v>
      </c>
      <c r="J146" s="336">
        <f t="shared" si="12"/>
        <v>16546.04</v>
      </c>
      <c r="K146" s="546">
        <f t="shared" si="13"/>
        <v>0</v>
      </c>
      <c r="L146" s="502"/>
      <c r="M146" s="231" t="s">
        <v>242</v>
      </c>
      <c r="N146" s="11" t="s">
        <v>243</v>
      </c>
      <c r="O146" s="341"/>
      <c r="P146" s="339"/>
    </row>
    <row r="147" spans="1:16" ht="33" hidden="1">
      <c r="A147" s="333" t="s">
        <v>2171</v>
      </c>
      <c r="B147" s="334" t="s">
        <v>205</v>
      </c>
      <c r="C147" s="335" t="s">
        <v>23</v>
      </c>
      <c r="D147" s="336">
        <v>231.09</v>
      </c>
      <c r="E147" s="336">
        <f>估驗單!F137</f>
        <v>0</v>
      </c>
      <c r="F147" s="390">
        <f t="shared" si="8"/>
        <v>-231.09</v>
      </c>
      <c r="G147" s="336">
        <v>721.02</v>
      </c>
      <c r="H147" s="336"/>
      <c r="I147" s="336">
        <f t="shared" si="11"/>
        <v>166620.51</v>
      </c>
      <c r="J147" s="336">
        <f t="shared" si="12"/>
        <v>0</v>
      </c>
      <c r="K147" s="546">
        <f t="shared" si="13"/>
        <v>-166620.51</v>
      </c>
      <c r="L147" s="502"/>
      <c r="M147" s="231" t="s">
        <v>242</v>
      </c>
      <c r="N147" s="11" t="s">
        <v>243</v>
      </c>
      <c r="O147" s="341"/>
      <c r="P147" s="339"/>
    </row>
    <row r="148" spans="1:16" ht="33" hidden="1">
      <c r="A148" s="333" t="s">
        <v>2172</v>
      </c>
      <c r="B148" s="334" t="s">
        <v>548</v>
      </c>
      <c r="C148" s="335" t="s">
        <v>13</v>
      </c>
      <c r="D148" s="336">
        <v>27956</v>
      </c>
      <c r="E148" s="336">
        <f>估驗單!F138</f>
        <v>27956</v>
      </c>
      <c r="F148" s="390">
        <f t="shared" si="8"/>
        <v>0</v>
      </c>
      <c r="G148" s="336">
        <v>28</v>
      </c>
      <c r="H148" s="336"/>
      <c r="I148" s="336">
        <f t="shared" si="11"/>
        <v>782768</v>
      </c>
      <c r="J148" s="336">
        <f t="shared" si="12"/>
        <v>782768</v>
      </c>
      <c r="K148" s="546">
        <f t="shared" si="13"/>
        <v>0</v>
      </c>
      <c r="L148" s="502"/>
      <c r="M148" s="231" t="s">
        <v>2321</v>
      </c>
      <c r="N148" s="11" t="s">
        <v>243</v>
      </c>
      <c r="O148" s="341"/>
      <c r="P148" s="339"/>
    </row>
    <row r="149" spans="1:16" ht="42.75" hidden="1">
      <c r="A149" s="333" t="s">
        <v>2173</v>
      </c>
      <c r="B149" s="334" t="s">
        <v>2242</v>
      </c>
      <c r="C149" s="335" t="s">
        <v>8</v>
      </c>
      <c r="D149" s="336">
        <v>322</v>
      </c>
      <c r="E149" s="336">
        <f>估驗單!F139</f>
        <v>322</v>
      </c>
      <c r="F149" s="390">
        <f t="shared" si="8"/>
        <v>0</v>
      </c>
      <c r="G149" s="336">
        <v>19011.37</v>
      </c>
      <c r="H149" s="336"/>
      <c r="I149" s="336">
        <f t="shared" si="11"/>
        <v>6121661.1399999997</v>
      </c>
      <c r="J149" s="336">
        <f t="shared" si="12"/>
        <v>6121661.1399999997</v>
      </c>
      <c r="K149" s="546">
        <f t="shared" si="13"/>
        <v>0</v>
      </c>
      <c r="L149" s="502"/>
      <c r="M149" s="231" t="s">
        <v>2334</v>
      </c>
      <c r="N149" s="11" t="s">
        <v>243</v>
      </c>
      <c r="O149" s="341"/>
      <c r="P149" s="339"/>
    </row>
    <row r="150" spans="1:16" ht="33" hidden="1">
      <c r="A150" s="333" t="s">
        <v>2174</v>
      </c>
      <c r="B150" s="334" t="s">
        <v>552</v>
      </c>
      <c r="C150" s="335" t="s">
        <v>13</v>
      </c>
      <c r="D150" s="336">
        <v>100</v>
      </c>
      <c r="E150" s="336">
        <f>估驗單!F140</f>
        <v>100</v>
      </c>
      <c r="F150" s="390">
        <f t="shared" si="8"/>
        <v>0</v>
      </c>
      <c r="G150" s="336">
        <v>373.08</v>
      </c>
      <c r="H150" s="336"/>
      <c r="I150" s="336">
        <f t="shared" si="11"/>
        <v>37308</v>
      </c>
      <c r="J150" s="336">
        <f t="shared" si="12"/>
        <v>37308</v>
      </c>
      <c r="K150" s="546">
        <f t="shared" si="13"/>
        <v>0</v>
      </c>
      <c r="L150" s="502"/>
      <c r="M150" s="231" t="s">
        <v>242</v>
      </c>
      <c r="N150" s="11" t="s">
        <v>243</v>
      </c>
      <c r="O150" s="341"/>
      <c r="P150" s="339"/>
    </row>
    <row r="151" spans="1:16" ht="33" hidden="1">
      <c r="A151" s="333" t="s">
        <v>2175</v>
      </c>
      <c r="B151" s="334" t="s">
        <v>554</v>
      </c>
      <c r="C151" s="335" t="s">
        <v>13</v>
      </c>
      <c r="D151" s="336">
        <v>83</v>
      </c>
      <c r="E151" s="336">
        <f>估驗單!F141</f>
        <v>83</v>
      </c>
      <c r="F151" s="390">
        <f t="shared" si="8"/>
        <v>0</v>
      </c>
      <c r="G151" s="336">
        <v>616.49</v>
      </c>
      <c r="H151" s="336"/>
      <c r="I151" s="336">
        <f t="shared" si="11"/>
        <v>51168.67</v>
      </c>
      <c r="J151" s="336">
        <f t="shared" si="12"/>
        <v>51168.67</v>
      </c>
      <c r="K151" s="546">
        <f t="shared" si="13"/>
        <v>0</v>
      </c>
      <c r="L151" s="502"/>
      <c r="M151" s="231" t="s">
        <v>242</v>
      </c>
      <c r="N151" s="11" t="s">
        <v>243</v>
      </c>
      <c r="O151" s="341"/>
      <c r="P151" s="339"/>
    </row>
    <row r="152" spans="1:16" ht="33" hidden="1">
      <c r="A152" s="333" t="s">
        <v>2177</v>
      </c>
      <c r="B152" s="334" t="s">
        <v>556</v>
      </c>
      <c r="C152" s="335" t="s">
        <v>13</v>
      </c>
      <c r="D152" s="336">
        <v>2.1</v>
      </c>
      <c r="E152" s="336">
        <f>估驗單!F142</f>
        <v>2.1</v>
      </c>
      <c r="F152" s="390">
        <f t="shared" si="8"/>
        <v>0</v>
      </c>
      <c r="G152" s="336">
        <v>1874.26</v>
      </c>
      <c r="H152" s="336"/>
      <c r="I152" s="336">
        <f t="shared" si="11"/>
        <v>3935.95</v>
      </c>
      <c r="J152" s="336">
        <f t="shared" si="12"/>
        <v>3935.95</v>
      </c>
      <c r="K152" s="546">
        <f t="shared" si="13"/>
        <v>0</v>
      </c>
      <c r="L152" s="502"/>
      <c r="M152" s="231" t="s">
        <v>242</v>
      </c>
      <c r="N152" s="11" t="s">
        <v>243</v>
      </c>
      <c r="O152" s="341"/>
      <c r="P152" s="339"/>
    </row>
    <row r="153" spans="1:16" ht="33" hidden="1">
      <c r="A153" s="333" t="s">
        <v>2178</v>
      </c>
      <c r="B153" s="334" t="s">
        <v>558</v>
      </c>
      <c r="C153" s="335" t="s">
        <v>8</v>
      </c>
      <c r="D153" s="336">
        <v>62</v>
      </c>
      <c r="E153" s="336">
        <f>估驗單!F143</f>
        <v>62</v>
      </c>
      <c r="F153" s="390">
        <f t="shared" si="8"/>
        <v>0</v>
      </c>
      <c r="G153" s="336">
        <v>2388.4299999999998</v>
      </c>
      <c r="H153" s="336"/>
      <c r="I153" s="336">
        <f t="shared" si="11"/>
        <v>148082.66</v>
      </c>
      <c r="J153" s="336">
        <f t="shared" si="12"/>
        <v>148082.66</v>
      </c>
      <c r="K153" s="546">
        <f t="shared" si="13"/>
        <v>0</v>
      </c>
      <c r="L153" s="502"/>
      <c r="M153" s="231" t="s">
        <v>2321</v>
      </c>
      <c r="N153" s="11" t="s">
        <v>243</v>
      </c>
      <c r="O153" s="341"/>
      <c r="P153" s="339"/>
    </row>
    <row r="154" spans="1:16" ht="33" hidden="1">
      <c r="A154" s="333" t="s">
        <v>2179</v>
      </c>
      <c r="B154" s="334" t="s">
        <v>560</v>
      </c>
      <c r="C154" s="335" t="s">
        <v>8</v>
      </c>
      <c r="D154" s="336">
        <v>33</v>
      </c>
      <c r="E154" s="336">
        <f>估驗單!F144</f>
        <v>33</v>
      </c>
      <c r="F154" s="390">
        <f t="shared" si="8"/>
        <v>0</v>
      </c>
      <c r="G154" s="336">
        <v>12777.68</v>
      </c>
      <c r="H154" s="336"/>
      <c r="I154" s="336">
        <f t="shared" si="11"/>
        <v>421663.44</v>
      </c>
      <c r="J154" s="336">
        <f t="shared" si="12"/>
        <v>421663.44</v>
      </c>
      <c r="K154" s="546">
        <f t="shared" si="13"/>
        <v>0</v>
      </c>
      <c r="L154" s="502"/>
      <c r="M154" s="231" t="s">
        <v>2321</v>
      </c>
      <c r="N154" s="11" t="s">
        <v>243</v>
      </c>
      <c r="O154" s="341"/>
      <c r="P154" s="339"/>
    </row>
    <row r="155" spans="1:16" ht="33" hidden="1">
      <c r="A155" s="333" t="s">
        <v>2181</v>
      </c>
      <c r="B155" s="334" t="s">
        <v>562</v>
      </c>
      <c r="C155" s="335" t="s">
        <v>8</v>
      </c>
      <c r="D155" s="336">
        <v>32.6</v>
      </c>
      <c r="E155" s="336">
        <f>估驗單!F145</f>
        <v>32.6</v>
      </c>
      <c r="F155" s="390">
        <f t="shared" si="8"/>
        <v>0</v>
      </c>
      <c r="G155" s="336">
        <v>71914.34</v>
      </c>
      <c r="H155" s="336"/>
      <c r="I155" s="336">
        <f t="shared" si="11"/>
        <v>2344407.48</v>
      </c>
      <c r="J155" s="336">
        <f t="shared" si="12"/>
        <v>2344407.48</v>
      </c>
      <c r="K155" s="546">
        <f t="shared" si="13"/>
        <v>0</v>
      </c>
      <c r="L155" s="502"/>
      <c r="M155" s="231" t="s">
        <v>2321</v>
      </c>
      <c r="N155" s="11" t="s">
        <v>243</v>
      </c>
      <c r="O155" s="341"/>
      <c r="P155" s="339"/>
    </row>
    <row r="156" spans="1:16" ht="33" hidden="1">
      <c r="A156" s="333" t="s">
        <v>2182</v>
      </c>
      <c r="B156" s="334" t="s">
        <v>564</v>
      </c>
      <c r="C156" s="335" t="s">
        <v>8</v>
      </c>
      <c r="D156" s="336">
        <v>32.6</v>
      </c>
      <c r="E156" s="336">
        <f>估驗單!F146</f>
        <v>32.6</v>
      </c>
      <c r="F156" s="390">
        <f t="shared" si="8"/>
        <v>0</v>
      </c>
      <c r="G156" s="336">
        <v>189793.78</v>
      </c>
      <c r="H156" s="336"/>
      <c r="I156" s="336">
        <f t="shared" si="11"/>
        <v>6187277.2300000004</v>
      </c>
      <c r="J156" s="336">
        <f t="shared" si="12"/>
        <v>6187277.2300000004</v>
      </c>
      <c r="K156" s="546">
        <f t="shared" si="13"/>
        <v>0</v>
      </c>
      <c r="L156" s="502"/>
      <c r="M156" s="231" t="s">
        <v>2321</v>
      </c>
      <c r="N156" s="11" t="s">
        <v>243</v>
      </c>
      <c r="O156" s="341"/>
      <c r="P156" s="339"/>
    </row>
    <row r="157" spans="1:16" ht="33" hidden="1">
      <c r="A157" s="333" t="s">
        <v>2183</v>
      </c>
      <c r="B157" s="334" t="s">
        <v>567</v>
      </c>
      <c r="C157" s="335" t="s">
        <v>0</v>
      </c>
      <c r="D157" s="336">
        <v>1</v>
      </c>
      <c r="E157" s="336">
        <f>估驗單!F147</f>
        <v>1</v>
      </c>
      <c r="F157" s="390">
        <f t="shared" si="8"/>
        <v>0</v>
      </c>
      <c r="G157" s="336">
        <v>78208.240000000005</v>
      </c>
      <c r="H157" s="336"/>
      <c r="I157" s="336">
        <f t="shared" si="11"/>
        <v>78208.240000000005</v>
      </c>
      <c r="J157" s="336">
        <f t="shared" si="12"/>
        <v>78208.240000000005</v>
      </c>
      <c r="K157" s="546">
        <f t="shared" si="13"/>
        <v>0</v>
      </c>
      <c r="L157" s="502"/>
      <c r="M157" s="231" t="s">
        <v>2321</v>
      </c>
      <c r="N157" s="11" t="s">
        <v>243</v>
      </c>
      <c r="O157" s="341"/>
      <c r="P157" s="339"/>
    </row>
    <row r="158" spans="1:16" ht="33" hidden="1">
      <c r="A158" s="333" t="s">
        <v>2184</v>
      </c>
      <c r="B158" s="334" t="s">
        <v>570</v>
      </c>
      <c r="C158" s="335" t="s">
        <v>8</v>
      </c>
      <c r="D158" s="336">
        <v>9.6</v>
      </c>
      <c r="E158" s="336">
        <f>估驗單!F148</f>
        <v>9.6</v>
      </c>
      <c r="F158" s="390">
        <f t="shared" si="8"/>
        <v>0</v>
      </c>
      <c r="G158" s="336">
        <v>4213.4799999999996</v>
      </c>
      <c r="H158" s="336"/>
      <c r="I158" s="336">
        <f t="shared" si="11"/>
        <v>40449.410000000003</v>
      </c>
      <c r="J158" s="336">
        <f t="shared" si="12"/>
        <v>40449.410000000003</v>
      </c>
      <c r="K158" s="546">
        <f t="shared" si="13"/>
        <v>0</v>
      </c>
      <c r="L158" s="502"/>
      <c r="M158" s="231" t="s">
        <v>2321</v>
      </c>
      <c r="N158" s="11" t="s">
        <v>243</v>
      </c>
      <c r="O158" s="341"/>
      <c r="P158" s="339"/>
    </row>
    <row r="159" spans="1:16" ht="33" hidden="1">
      <c r="A159" s="333" t="s">
        <v>2185</v>
      </c>
      <c r="B159" s="334" t="s">
        <v>573</v>
      </c>
      <c r="C159" s="335" t="s">
        <v>0</v>
      </c>
      <c r="D159" s="336">
        <v>1</v>
      </c>
      <c r="E159" s="336">
        <f>估驗單!F149</f>
        <v>1</v>
      </c>
      <c r="F159" s="390">
        <f t="shared" si="8"/>
        <v>0</v>
      </c>
      <c r="G159" s="336">
        <v>2005.23</v>
      </c>
      <c r="H159" s="336"/>
      <c r="I159" s="336">
        <f t="shared" si="11"/>
        <v>2005.23</v>
      </c>
      <c r="J159" s="336">
        <f t="shared" si="12"/>
        <v>2005.23</v>
      </c>
      <c r="K159" s="546">
        <f t="shared" si="13"/>
        <v>0</v>
      </c>
      <c r="L159" s="502"/>
      <c r="M159" s="231" t="s">
        <v>242</v>
      </c>
      <c r="N159" s="11" t="s">
        <v>243</v>
      </c>
      <c r="O159" s="341"/>
      <c r="P159" s="339"/>
    </row>
    <row r="160" spans="1:16" ht="33" hidden="1">
      <c r="A160" s="333" t="s">
        <v>2186</v>
      </c>
      <c r="B160" s="334" t="s">
        <v>576</v>
      </c>
      <c r="C160" s="335" t="s">
        <v>8</v>
      </c>
      <c r="D160" s="336">
        <v>32.6</v>
      </c>
      <c r="E160" s="336">
        <f>估驗單!F150</f>
        <v>32.6</v>
      </c>
      <c r="F160" s="390">
        <f t="shared" ref="F160:F223" si="14">E160-D160</f>
        <v>0</v>
      </c>
      <c r="G160" s="336">
        <v>21727.78</v>
      </c>
      <c r="H160" s="336"/>
      <c r="I160" s="336">
        <f t="shared" si="11"/>
        <v>708325.63</v>
      </c>
      <c r="J160" s="336">
        <f t="shared" si="12"/>
        <v>708325.63</v>
      </c>
      <c r="K160" s="546">
        <f t="shared" si="13"/>
        <v>0</v>
      </c>
      <c r="L160" s="502"/>
      <c r="M160" s="231" t="s">
        <v>2321</v>
      </c>
      <c r="N160" s="11" t="s">
        <v>243</v>
      </c>
      <c r="O160" s="341"/>
      <c r="P160" s="339"/>
    </row>
    <row r="161" spans="1:19" ht="33" hidden="1">
      <c r="A161" s="333" t="s">
        <v>2187</v>
      </c>
      <c r="B161" s="334" t="s">
        <v>579</v>
      </c>
      <c r="C161" s="335" t="s">
        <v>8</v>
      </c>
      <c r="D161" s="336">
        <v>32.6</v>
      </c>
      <c r="E161" s="336">
        <f>估驗單!F151</f>
        <v>32.6</v>
      </c>
      <c r="F161" s="390">
        <f t="shared" si="14"/>
        <v>0</v>
      </c>
      <c r="G161" s="336">
        <v>15955.67</v>
      </c>
      <c r="H161" s="336"/>
      <c r="I161" s="336">
        <f t="shared" si="11"/>
        <v>520154.84</v>
      </c>
      <c r="J161" s="336">
        <f t="shared" si="12"/>
        <v>520154.84</v>
      </c>
      <c r="K161" s="546">
        <f t="shared" si="13"/>
        <v>0</v>
      </c>
      <c r="L161" s="502"/>
      <c r="M161" s="231" t="s">
        <v>2321</v>
      </c>
      <c r="N161" s="11" t="s">
        <v>243</v>
      </c>
      <c r="O161" s="341"/>
      <c r="P161" s="339"/>
    </row>
    <row r="162" spans="1:19" ht="33" hidden="1">
      <c r="A162" s="333" t="s">
        <v>2188</v>
      </c>
      <c r="B162" s="334" t="s">
        <v>582</v>
      </c>
      <c r="C162" s="335" t="s">
        <v>583</v>
      </c>
      <c r="D162" s="336">
        <v>4</v>
      </c>
      <c r="E162" s="336">
        <f>估驗單!F152</f>
        <v>4</v>
      </c>
      <c r="F162" s="390">
        <f t="shared" si="14"/>
        <v>0</v>
      </c>
      <c r="G162" s="336">
        <v>299.98</v>
      </c>
      <c r="H162" s="336"/>
      <c r="I162" s="336">
        <f t="shared" si="11"/>
        <v>1199.92</v>
      </c>
      <c r="J162" s="336">
        <f t="shared" si="12"/>
        <v>1199.92</v>
      </c>
      <c r="K162" s="546">
        <f t="shared" si="13"/>
        <v>0</v>
      </c>
      <c r="L162" s="502"/>
      <c r="M162" s="231" t="s">
        <v>242</v>
      </c>
      <c r="N162" s="11" t="s">
        <v>243</v>
      </c>
      <c r="O162" s="341"/>
      <c r="P162" s="339"/>
    </row>
    <row r="163" spans="1:19" ht="33" hidden="1">
      <c r="A163" s="343" t="s">
        <v>2189</v>
      </c>
      <c r="B163" s="344" t="s">
        <v>2346</v>
      </c>
      <c r="C163" s="345" t="s">
        <v>8</v>
      </c>
      <c r="D163" s="340">
        <v>4.8</v>
      </c>
      <c r="E163" s="336">
        <f>估驗單!F153</f>
        <v>4.8</v>
      </c>
      <c r="F163" s="390">
        <f t="shared" si="14"/>
        <v>0</v>
      </c>
      <c r="G163" s="340">
        <v>119.99</v>
      </c>
      <c r="H163" s="340"/>
      <c r="I163" s="336">
        <f t="shared" si="11"/>
        <v>575.95000000000005</v>
      </c>
      <c r="J163" s="336">
        <f t="shared" si="12"/>
        <v>575.95000000000005</v>
      </c>
      <c r="K163" s="546">
        <f t="shared" si="13"/>
        <v>0</v>
      </c>
      <c r="L163" s="502"/>
      <c r="M163" s="346" t="s">
        <v>2321</v>
      </c>
      <c r="N163" s="347" t="s">
        <v>243</v>
      </c>
      <c r="O163" s="354"/>
      <c r="P163" s="322"/>
    </row>
    <row r="164" spans="1:19" ht="33" hidden="1">
      <c r="A164" s="333" t="s">
        <v>2190</v>
      </c>
      <c r="B164" s="334" t="s">
        <v>589</v>
      </c>
      <c r="C164" s="335" t="s">
        <v>0</v>
      </c>
      <c r="D164" s="336">
        <v>1</v>
      </c>
      <c r="E164" s="336">
        <f>估驗單!F154</f>
        <v>1</v>
      </c>
      <c r="F164" s="390">
        <f t="shared" si="14"/>
        <v>0</v>
      </c>
      <c r="G164" s="336">
        <v>849172.02</v>
      </c>
      <c r="H164" s="336"/>
      <c r="I164" s="336">
        <f t="shared" si="11"/>
        <v>849172.02</v>
      </c>
      <c r="J164" s="336">
        <f t="shared" si="12"/>
        <v>849172.02</v>
      </c>
      <c r="K164" s="546">
        <f t="shared" si="13"/>
        <v>0</v>
      </c>
      <c r="L164" s="502"/>
      <c r="M164" s="231" t="s">
        <v>242</v>
      </c>
      <c r="N164" s="11" t="s">
        <v>243</v>
      </c>
      <c r="O164" s="341"/>
      <c r="P164" s="339"/>
    </row>
    <row r="165" spans="1:19" ht="33" hidden="1">
      <c r="A165" s="333" t="s">
        <v>2191</v>
      </c>
      <c r="B165" s="334" t="s">
        <v>592</v>
      </c>
      <c r="C165" s="335" t="s">
        <v>0</v>
      </c>
      <c r="D165" s="336">
        <v>1</v>
      </c>
      <c r="E165" s="336">
        <f>估驗單!F155</f>
        <v>1</v>
      </c>
      <c r="F165" s="390">
        <f t="shared" si="14"/>
        <v>0</v>
      </c>
      <c r="G165" s="336">
        <v>2066157.04</v>
      </c>
      <c r="H165" s="336"/>
      <c r="I165" s="336">
        <f t="shared" si="11"/>
        <v>2066157.04</v>
      </c>
      <c r="J165" s="336">
        <f t="shared" si="12"/>
        <v>2066157.04</v>
      </c>
      <c r="K165" s="546">
        <f t="shared" si="13"/>
        <v>0</v>
      </c>
      <c r="L165" s="502"/>
      <c r="M165" s="231" t="s">
        <v>242</v>
      </c>
      <c r="N165" s="11" t="s">
        <v>243</v>
      </c>
      <c r="O165" s="341"/>
      <c r="P165" s="339"/>
    </row>
    <row r="166" spans="1:19" ht="33" hidden="1" customHeight="1">
      <c r="A166" s="333" t="s">
        <v>2192</v>
      </c>
      <c r="B166" s="334" t="s">
        <v>1360</v>
      </c>
      <c r="C166" s="335" t="s">
        <v>606</v>
      </c>
      <c r="D166" s="336">
        <v>2</v>
      </c>
      <c r="E166" s="336">
        <f>估驗單!F156</f>
        <v>2</v>
      </c>
      <c r="F166" s="390">
        <f t="shared" si="14"/>
        <v>0</v>
      </c>
      <c r="G166" s="336">
        <v>201796.15</v>
      </c>
      <c r="H166" s="336"/>
      <c r="I166" s="336">
        <f t="shared" si="11"/>
        <v>403592.3</v>
      </c>
      <c r="J166" s="336">
        <f t="shared" si="12"/>
        <v>403592.3</v>
      </c>
      <c r="K166" s="546">
        <f t="shared" si="13"/>
        <v>0</v>
      </c>
      <c r="L166" s="502"/>
      <c r="M166" s="231" t="s">
        <v>242</v>
      </c>
      <c r="N166" s="11" t="s">
        <v>243</v>
      </c>
      <c r="O166" s="341"/>
      <c r="P166" s="339"/>
    </row>
    <row r="167" spans="1:19" s="356" customFormat="1" ht="33" hidden="1" customHeight="1">
      <c r="A167" s="512">
        <v>38</v>
      </c>
      <c r="B167" s="513" t="s">
        <v>2347</v>
      </c>
      <c r="C167" s="514" t="s">
        <v>2348</v>
      </c>
      <c r="D167" s="515">
        <v>96850</v>
      </c>
      <c r="E167" s="506">
        <f>估驗單!F157</f>
        <v>96850</v>
      </c>
      <c r="F167" s="507">
        <f t="shared" si="14"/>
        <v>0</v>
      </c>
      <c r="G167" s="515">
        <v>16.21</v>
      </c>
      <c r="H167" s="515"/>
      <c r="I167" s="506">
        <f t="shared" si="11"/>
        <v>1569938.5</v>
      </c>
      <c r="J167" s="506">
        <f t="shared" si="12"/>
        <v>1569938.5</v>
      </c>
      <c r="K167" s="547">
        <f t="shared" si="13"/>
        <v>0</v>
      </c>
      <c r="L167" s="510"/>
      <c r="M167" s="516"/>
      <c r="N167" s="347"/>
      <c r="O167" s="517" t="s">
        <v>2617</v>
      </c>
      <c r="P167" s="349"/>
      <c r="Q167" s="325"/>
    </row>
    <row r="168" spans="1:19" s="359" customFormat="1" ht="33" hidden="1" customHeight="1">
      <c r="A168" s="343">
        <v>39</v>
      </c>
      <c r="B168" s="344" t="s">
        <v>2352</v>
      </c>
      <c r="C168" s="345" t="s">
        <v>2353</v>
      </c>
      <c r="D168" s="340">
        <v>18</v>
      </c>
      <c r="E168" s="336">
        <f>估驗單!F158</f>
        <v>18</v>
      </c>
      <c r="F168" s="390">
        <f t="shared" si="14"/>
        <v>0</v>
      </c>
      <c r="G168" s="340">
        <v>79587.17</v>
      </c>
      <c r="H168" s="340"/>
      <c r="I168" s="336">
        <f t="shared" si="11"/>
        <v>1432569.06</v>
      </c>
      <c r="J168" s="336">
        <f t="shared" si="12"/>
        <v>1432569.06</v>
      </c>
      <c r="K168" s="546">
        <f t="shared" si="13"/>
        <v>0</v>
      </c>
      <c r="L168" s="502"/>
      <c r="M168" s="346"/>
      <c r="N168" s="357"/>
      <c r="O168" s="355"/>
      <c r="P168" s="349"/>
      <c r="Q168" s="358"/>
      <c r="S168" s="359" t="s">
        <v>2357</v>
      </c>
    </row>
    <row r="169" spans="1:19" ht="33" hidden="1">
      <c r="A169" s="406" t="s">
        <v>2243</v>
      </c>
      <c r="B169" s="407" t="s">
        <v>594</v>
      </c>
      <c r="C169" s="408" t="s">
        <v>4</v>
      </c>
      <c r="D169" s="409"/>
      <c r="E169" s="409">
        <f>估驗單!F159</f>
        <v>0</v>
      </c>
      <c r="F169" s="410">
        <f t="shared" si="14"/>
        <v>0</v>
      </c>
      <c r="G169" s="409">
        <f>I169</f>
        <v>31723888.269999996</v>
      </c>
      <c r="H169" s="409"/>
      <c r="I169" s="448">
        <f>SUM(I170:I197)</f>
        <v>31723888.269999996</v>
      </c>
      <c r="J169" s="448">
        <f>SUM(J170:J197)</f>
        <v>35058442.640000001</v>
      </c>
      <c r="K169" s="543">
        <f>SUM(K170:K197)</f>
        <v>3334554.3699999996</v>
      </c>
      <c r="L169" s="452">
        <f>SUM(L170:L197)</f>
        <v>0</v>
      </c>
      <c r="M169" s="288" t="s">
        <v>242</v>
      </c>
      <c r="N169" s="11" t="s">
        <v>243</v>
      </c>
      <c r="O169" s="338"/>
      <c r="P169" s="339"/>
    </row>
    <row r="170" spans="1:19" ht="33" hidden="1">
      <c r="A170" s="333" t="s">
        <v>2154</v>
      </c>
      <c r="B170" s="334" t="s">
        <v>315</v>
      </c>
      <c r="C170" s="335" t="s">
        <v>6</v>
      </c>
      <c r="D170" s="336">
        <v>22</v>
      </c>
      <c r="E170" s="336">
        <f>估驗單!F160</f>
        <v>22</v>
      </c>
      <c r="F170" s="390">
        <f t="shared" si="14"/>
        <v>0</v>
      </c>
      <c r="G170" s="336">
        <v>3114.97</v>
      </c>
      <c r="H170" s="336"/>
      <c r="I170" s="336">
        <f t="shared" ref="I170:I197" si="15">ROUND(D170*G170,2)</f>
        <v>68529.34</v>
      </c>
      <c r="J170" s="336">
        <f t="shared" ref="J170:J197" si="16">ROUND(E170*G170,2)</f>
        <v>68529.34</v>
      </c>
      <c r="K170" s="546">
        <f t="shared" si="13"/>
        <v>0</v>
      </c>
      <c r="L170" s="502"/>
      <c r="M170" s="231" t="s">
        <v>242</v>
      </c>
      <c r="N170" s="11" t="s">
        <v>243</v>
      </c>
      <c r="O170" s="341"/>
      <c r="P170" s="339"/>
    </row>
    <row r="171" spans="1:19" ht="33" hidden="1">
      <c r="A171" s="503" t="s">
        <v>2155</v>
      </c>
      <c r="B171" s="504" t="s">
        <v>24</v>
      </c>
      <c r="C171" s="505" t="s">
        <v>6</v>
      </c>
      <c r="D171" s="506">
        <v>302</v>
      </c>
      <c r="E171" s="506">
        <f>估驗單!F161</f>
        <v>302</v>
      </c>
      <c r="F171" s="519">
        <f t="shared" si="14"/>
        <v>0</v>
      </c>
      <c r="G171" s="506">
        <v>3320.96</v>
      </c>
      <c r="H171" s="506"/>
      <c r="I171" s="506">
        <f t="shared" si="15"/>
        <v>1002929.92</v>
      </c>
      <c r="J171" s="506">
        <f t="shared" si="16"/>
        <v>1002929.92</v>
      </c>
      <c r="K171" s="547"/>
      <c r="L171" s="519">
        <f>J171-I171</f>
        <v>0</v>
      </c>
      <c r="M171" s="520"/>
      <c r="N171" s="11" t="s">
        <v>243</v>
      </c>
      <c r="O171" s="338" t="s">
        <v>2620</v>
      </c>
      <c r="P171" s="339"/>
    </row>
    <row r="172" spans="1:19" ht="33" hidden="1">
      <c r="A172" s="333" t="s">
        <v>2156</v>
      </c>
      <c r="B172" s="334" t="s">
        <v>528</v>
      </c>
      <c r="C172" s="335" t="s">
        <v>6</v>
      </c>
      <c r="D172" s="336">
        <v>0</v>
      </c>
      <c r="E172" s="336">
        <f>估驗單!F162</f>
        <v>0</v>
      </c>
      <c r="F172" s="390">
        <f t="shared" si="14"/>
        <v>0</v>
      </c>
      <c r="G172" s="340">
        <v>3643.53</v>
      </c>
      <c r="H172" s="340"/>
      <c r="I172" s="336">
        <f t="shared" si="15"/>
        <v>0</v>
      </c>
      <c r="J172" s="336">
        <f t="shared" si="16"/>
        <v>0</v>
      </c>
      <c r="K172" s="546">
        <f t="shared" si="13"/>
        <v>0</v>
      </c>
      <c r="L172" s="502"/>
      <c r="M172" s="231" t="s">
        <v>242</v>
      </c>
      <c r="N172" s="11" t="s">
        <v>243</v>
      </c>
      <c r="O172" s="341" t="s">
        <v>2358</v>
      </c>
      <c r="P172" s="339"/>
      <c r="Q172" s="358" t="s">
        <v>2356</v>
      </c>
    </row>
    <row r="173" spans="1:19" ht="33" hidden="1">
      <c r="A173" s="503" t="s">
        <v>2157</v>
      </c>
      <c r="B173" s="504" t="s">
        <v>595</v>
      </c>
      <c r="C173" s="505" t="s">
        <v>6</v>
      </c>
      <c r="D173" s="506">
        <v>1090</v>
      </c>
      <c r="E173" s="506">
        <f>估驗單!F163</f>
        <v>1501.8982857142857</v>
      </c>
      <c r="F173" s="507">
        <f t="shared" si="14"/>
        <v>411.89828571428575</v>
      </c>
      <c r="G173" s="506">
        <v>199.99</v>
      </c>
      <c r="H173" s="506"/>
      <c r="I173" s="506">
        <f t="shared" si="15"/>
        <v>217989.1</v>
      </c>
      <c r="J173" s="506">
        <f t="shared" si="16"/>
        <v>300364.64</v>
      </c>
      <c r="K173" s="547">
        <f t="shared" si="13"/>
        <v>82375.540000000008</v>
      </c>
      <c r="L173" s="510"/>
      <c r="M173" s="508" t="s">
        <v>242</v>
      </c>
      <c r="N173" s="11" t="s">
        <v>243</v>
      </c>
      <c r="O173" s="341" t="s">
        <v>2618</v>
      </c>
      <c r="P173" s="339"/>
    </row>
    <row r="174" spans="1:19" ht="99.75" hidden="1">
      <c r="A174" s="503" t="s">
        <v>2158</v>
      </c>
      <c r="B174" s="504" t="s">
        <v>534</v>
      </c>
      <c r="C174" s="505" t="s">
        <v>13</v>
      </c>
      <c r="D174" s="506">
        <v>1203</v>
      </c>
      <c r="E174" s="506">
        <f>估驗單!F164</f>
        <v>1274.9890000000003</v>
      </c>
      <c r="F174" s="507">
        <f t="shared" si="14"/>
        <v>71.98900000000026</v>
      </c>
      <c r="G174" s="506">
        <v>982.93</v>
      </c>
      <c r="H174" s="506"/>
      <c r="I174" s="506">
        <f t="shared" si="15"/>
        <v>1182464.79</v>
      </c>
      <c r="J174" s="506">
        <f t="shared" si="16"/>
        <v>1253224.94</v>
      </c>
      <c r="K174" s="547">
        <f t="shared" si="13"/>
        <v>70760.149999999907</v>
      </c>
      <c r="L174" s="510"/>
      <c r="M174" s="508" t="s">
        <v>2343</v>
      </c>
      <c r="N174" s="11" t="s">
        <v>243</v>
      </c>
      <c r="O174" s="341"/>
      <c r="P174" s="339"/>
    </row>
    <row r="175" spans="1:19" ht="71.25" hidden="1">
      <c r="A175" s="503" t="s">
        <v>2159</v>
      </c>
      <c r="B175" s="504" t="s">
        <v>536</v>
      </c>
      <c r="C175" s="505" t="s">
        <v>13</v>
      </c>
      <c r="D175" s="506">
        <v>393</v>
      </c>
      <c r="E175" s="506">
        <f>估驗單!F165</f>
        <v>821.92359999999985</v>
      </c>
      <c r="F175" s="507">
        <f t="shared" si="14"/>
        <v>428.92359999999985</v>
      </c>
      <c r="G175" s="506">
        <v>804.75</v>
      </c>
      <c r="H175" s="506"/>
      <c r="I175" s="506">
        <f t="shared" si="15"/>
        <v>316266.75</v>
      </c>
      <c r="J175" s="506">
        <f t="shared" si="16"/>
        <v>661443.02</v>
      </c>
      <c r="K175" s="547">
        <f t="shared" si="13"/>
        <v>345176.27</v>
      </c>
      <c r="L175" s="510"/>
      <c r="M175" s="508" t="s">
        <v>2344</v>
      </c>
      <c r="N175" s="11" t="s">
        <v>243</v>
      </c>
      <c r="O175" s="341"/>
      <c r="P175" s="339"/>
    </row>
    <row r="176" spans="1:19" ht="42.75">
      <c r="A176" s="608" t="s">
        <v>2160</v>
      </c>
      <c r="B176" s="609" t="s">
        <v>192</v>
      </c>
      <c r="C176" s="610" t="s">
        <v>17</v>
      </c>
      <c r="D176" s="611">
        <v>13138</v>
      </c>
      <c r="E176" s="611">
        <f>估驗單!F166</f>
        <v>35217.512975700003</v>
      </c>
      <c r="F176" s="612">
        <f t="shared" si="14"/>
        <v>22079.512975700003</v>
      </c>
      <c r="G176" s="611">
        <v>36.4</v>
      </c>
      <c r="H176" s="611"/>
      <c r="I176" s="611">
        <f t="shared" si="15"/>
        <v>478223.2</v>
      </c>
      <c r="J176" s="611">
        <f t="shared" si="16"/>
        <v>1281917.47</v>
      </c>
      <c r="K176" s="613">
        <f t="shared" si="13"/>
        <v>803694.27</v>
      </c>
      <c r="L176" s="614"/>
      <c r="M176" s="615" t="s">
        <v>2334</v>
      </c>
      <c r="N176" s="11" t="s">
        <v>2951</v>
      </c>
      <c r="O176" s="341"/>
      <c r="P176" s="339"/>
    </row>
    <row r="177" spans="1:19" ht="42.75">
      <c r="A177" s="503" t="s">
        <v>2161</v>
      </c>
      <c r="B177" s="504" t="s">
        <v>530</v>
      </c>
      <c r="C177" s="505" t="s">
        <v>17</v>
      </c>
      <c r="D177" s="506">
        <v>15589</v>
      </c>
      <c r="E177" s="506">
        <f>估驗單!F167</f>
        <v>25125.1749375</v>
      </c>
      <c r="F177" s="507">
        <f t="shared" si="14"/>
        <v>9536.1749374999999</v>
      </c>
      <c r="G177" s="506">
        <v>38.71</v>
      </c>
      <c r="H177" s="506"/>
      <c r="I177" s="506">
        <f t="shared" si="15"/>
        <v>603450.18999999994</v>
      </c>
      <c r="J177" s="506">
        <f t="shared" si="16"/>
        <v>972595.52</v>
      </c>
      <c r="K177" s="547">
        <f t="shared" si="13"/>
        <v>369145.33000000007</v>
      </c>
      <c r="L177" s="510"/>
      <c r="M177" s="508" t="s">
        <v>2334</v>
      </c>
      <c r="N177" s="11" t="s">
        <v>2951</v>
      </c>
      <c r="O177" s="341"/>
      <c r="P177" s="339"/>
    </row>
    <row r="178" spans="1:19" ht="33" hidden="1">
      <c r="A178" s="343" t="s">
        <v>2162</v>
      </c>
      <c r="B178" s="344" t="s">
        <v>597</v>
      </c>
      <c r="C178" s="345" t="s">
        <v>13</v>
      </c>
      <c r="D178" s="340">
        <v>776</v>
      </c>
      <c r="E178" s="336">
        <f>估驗單!F168</f>
        <v>776</v>
      </c>
      <c r="F178" s="390">
        <f t="shared" si="14"/>
        <v>0</v>
      </c>
      <c r="G178" s="340">
        <v>2510.64</v>
      </c>
      <c r="H178" s="340"/>
      <c r="I178" s="336">
        <f t="shared" si="15"/>
        <v>1948256.64</v>
      </c>
      <c r="J178" s="336">
        <f t="shared" si="16"/>
        <v>1948256.64</v>
      </c>
      <c r="K178" s="546">
        <f t="shared" si="13"/>
        <v>0</v>
      </c>
      <c r="L178" s="502"/>
      <c r="M178" s="346" t="s">
        <v>2359</v>
      </c>
      <c r="N178" s="347" t="s">
        <v>243</v>
      </c>
      <c r="O178" s="354"/>
      <c r="P178" s="349"/>
    </row>
    <row r="179" spans="1:19" ht="33" hidden="1">
      <c r="A179" s="503" t="s">
        <v>2163</v>
      </c>
      <c r="B179" s="504" t="s">
        <v>599</v>
      </c>
      <c r="C179" s="505" t="s">
        <v>223</v>
      </c>
      <c r="D179" s="506">
        <v>235</v>
      </c>
      <c r="E179" s="506">
        <f>估驗單!F169</f>
        <v>251.85</v>
      </c>
      <c r="F179" s="507">
        <f t="shared" si="14"/>
        <v>16.849999999999994</v>
      </c>
      <c r="G179" s="506">
        <v>3297.86</v>
      </c>
      <c r="H179" s="506"/>
      <c r="I179" s="506">
        <f t="shared" si="15"/>
        <v>774997.1</v>
      </c>
      <c r="J179" s="506">
        <f t="shared" si="16"/>
        <v>830566.04</v>
      </c>
      <c r="K179" s="547">
        <f t="shared" si="13"/>
        <v>55568.940000000061</v>
      </c>
      <c r="L179" s="510"/>
      <c r="M179" s="508" t="s">
        <v>2321</v>
      </c>
      <c r="N179" s="11" t="s">
        <v>243</v>
      </c>
      <c r="O179" s="341"/>
      <c r="P179" s="339"/>
    </row>
    <row r="180" spans="1:19" ht="33" hidden="1">
      <c r="A180" s="503" t="s">
        <v>2164</v>
      </c>
      <c r="B180" s="504" t="s">
        <v>601</v>
      </c>
      <c r="C180" s="505" t="s">
        <v>13</v>
      </c>
      <c r="D180" s="506">
        <v>102</v>
      </c>
      <c r="E180" s="506">
        <f>估驗單!F170</f>
        <v>173.82</v>
      </c>
      <c r="F180" s="507">
        <f t="shared" si="14"/>
        <v>71.819999999999993</v>
      </c>
      <c r="G180" s="506">
        <v>2952.01</v>
      </c>
      <c r="H180" s="506"/>
      <c r="I180" s="506">
        <f t="shared" si="15"/>
        <v>301105.02</v>
      </c>
      <c r="J180" s="506">
        <f t="shared" si="16"/>
        <v>513118.38</v>
      </c>
      <c r="K180" s="547">
        <f t="shared" si="13"/>
        <v>212013.36</v>
      </c>
      <c r="L180" s="510"/>
      <c r="M180" s="508" t="s">
        <v>2321</v>
      </c>
      <c r="N180" s="11" t="s">
        <v>243</v>
      </c>
      <c r="O180" s="341"/>
      <c r="P180" s="339"/>
    </row>
    <row r="181" spans="1:19" ht="33" hidden="1">
      <c r="A181" s="503" t="s">
        <v>2165</v>
      </c>
      <c r="B181" s="504" t="s">
        <v>603</v>
      </c>
      <c r="C181" s="505" t="s">
        <v>13</v>
      </c>
      <c r="D181" s="506">
        <v>400</v>
      </c>
      <c r="E181" s="506">
        <f>估驗單!F171</f>
        <v>400</v>
      </c>
      <c r="F181" s="507">
        <f t="shared" si="14"/>
        <v>0</v>
      </c>
      <c r="G181" s="506">
        <v>1454.49</v>
      </c>
      <c r="H181" s="506"/>
      <c r="I181" s="506">
        <f t="shared" si="15"/>
        <v>581796</v>
      </c>
      <c r="J181" s="506">
        <f t="shared" si="16"/>
        <v>581796</v>
      </c>
      <c r="K181" s="547">
        <f t="shared" si="13"/>
        <v>0</v>
      </c>
      <c r="L181" s="510"/>
      <c r="M181" s="508" t="s">
        <v>242</v>
      </c>
      <c r="N181" s="11" t="s">
        <v>243</v>
      </c>
      <c r="O181" s="341"/>
      <c r="P181" s="339"/>
    </row>
    <row r="182" spans="1:19" ht="33" hidden="1">
      <c r="A182" s="333" t="s">
        <v>2166</v>
      </c>
      <c r="B182" s="334" t="s">
        <v>605</v>
      </c>
      <c r="C182" s="335" t="s">
        <v>606</v>
      </c>
      <c r="D182" s="336">
        <v>333</v>
      </c>
      <c r="E182" s="336">
        <f>估驗單!F172</f>
        <v>333</v>
      </c>
      <c r="F182" s="390">
        <f t="shared" si="14"/>
        <v>0</v>
      </c>
      <c r="G182" s="336">
        <v>434.98</v>
      </c>
      <c r="H182" s="336"/>
      <c r="I182" s="336">
        <f t="shared" si="15"/>
        <v>144848.34</v>
      </c>
      <c r="J182" s="336">
        <f t="shared" si="16"/>
        <v>144848.34</v>
      </c>
      <c r="K182" s="546">
        <f t="shared" si="13"/>
        <v>0</v>
      </c>
      <c r="L182" s="502"/>
      <c r="M182" s="231" t="s">
        <v>242</v>
      </c>
      <c r="N182" s="11" t="s">
        <v>243</v>
      </c>
      <c r="O182" s="341"/>
      <c r="P182" s="339"/>
    </row>
    <row r="183" spans="1:19" ht="33" hidden="1">
      <c r="A183" s="503" t="s">
        <v>2167</v>
      </c>
      <c r="B183" s="504" t="s">
        <v>608</v>
      </c>
      <c r="C183" s="505" t="s">
        <v>13</v>
      </c>
      <c r="D183" s="506">
        <v>1702</v>
      </c>
      <c r="E183" s="506">
        <f>估驗單!G173</f>
        <v>1702</v>
      </c>
      <c r="F183" s="519">
        <f t="shared" si="14"/>
        <v>0</v>
      </c>
      <c r="G183" s="506">
        <v>885.76</v>
      </c>
      <c r="H183" s="506"/>
      <c r="I183" s="506">
        <f t="shared" si="15"/>
        <v>1507563.52</v>
      </c>
      <c r="J183" s="506">
        <f t="shared" si="16"/>
        <v>1507563.52</v>
      </c>
      <c r="K183" s="547"/>
      <c r="L183" s="519">
        <f>J183-I183</f>
        <v>0</v>
      </c>
      <c r="M183" s="508" t="s">
        <v>2321</v>
      </c>
      <c r="N183" s="11" t="s">
        <v>243</v>
      </c>
      <c r="O183" s="341"/>
      <c r="P183" s="339"/>
    </row>
    <row r="184" spans="1:19" ht="33" hidden="1">
      <c r="A184" s="503" t="s">
        <v>2168</v>
      </c>
      <c r="B184" s="504" t="s">
        <v>357</v>
      </c>
      <c r="C184" s="505" t="s">
        <v>8</v>
      </c>
      <c r="D184" s="506">
        <v>49</v>
      </c>
      <c r="E184" s="506">
        <f>估驗單!F174</f>
        <v>49</v>
      </c>
      <c r="F184" s="507">
        <f t="shared" si="14"/>
        <v>0</v>
      </c>
      <c r="G184" s="506">
        <v>138.84</v>
      </c>
      <c r="H184" s="506"/>
      <c r="I184" s="506">
        <f t="shared" si="15"/>
        <v>6803.16</v>
      </c>
      <c r="J184" s="506">
        <f t="shared" si="16"/>
        <v>6803.16</v>
      </c>
      <c r="K184" s="547">
        <f t="shared" si="13"/>
        <v>0</v>
      </c>
      <c r="L184" s="510"/>
      <c r="M184" s="508" t="s">
        <v>242</v>
      </c>
      <c r="N184" s="11" t="s">
        <v>243</v>
      </c>
      <c r="O184" s="341"/>
      <c r="P184" s="339"/>
    </row>
    <row r="185" spans="1:19" ht="33" hidden="1">
      <c r="A185" s="503" t="s">
        <v>2169</v>
      </c>
      <c r="B185" s="504" t="s">
        <v>611</v>
      </c>
      <c r="C185" s="505" t="s">
        <v>8</v>
      </c>
      <c r="D185" s="506">
        <v>85</v>
      </c>
      <c r="E185" s="506">
        <f>估驗單!F175</f>
        <v>85</v>
      </c>
      <c r="F185" s="507">
        <f t="shared" si="14"/>
        <v>0</v>
      </c>
      <c r="G185" s="506">
        <v>326.27999999999997</v>
      </c>
      <c r="H185" s="506"/>
      <c r="I185" s="506">
        <f t="shared" si="15"/>
        <v>27733.8</v>
      </c>
      <c r="J185" s="506">
        <f t="shared" si="16"/>
        <v>27733.8</v>
      </c>
      <c r="K185" s="547">
        <f t="shared" si="13"/>
        <v>0</v>
      </c>
      <c r="L185" s="510"/>
      <c r="M185" s="508" t="s">
        <v>242</v>
      </c>
      <c r="N185" s="11" t="s">
        <v>243</v>
      </c>
      <c r="O185" s="341"/>
      <c r="P185" s="339"/>
    </row>
    <row r="186" spans="1:19" ht="42.75" hidden="1">
      <c r="A186" s="503" t="s">
        <v>2170</v>
      </c>
      <c r="B186" s="504" t="s">
        <v>222</v>
      </c>
      <c r="C186" s="505" t="s">
        <v>13</v>
      </c>
      <c r="D186" s="506">
        <v>385</v>
      </c>
      <c r="E186" s="506">
        <f>估驗單!F176</f>
        <v>2005</v>
      </c>
      <c r="F186" s="507">
        <f t="shared" si="14"/>
        <v>1620</v>
      </c>
      <c r="G186" s="506">
        <v>692.12</v>
      </c>
      <c r="H186" s="506"/>
      <c r="I186" s="506">
        <f t="shared" si="15"/>
        <v>266466.2</v>
      </c>
      <c r="J186" s="506">
        <f t="shared" si="16"/>
        <v>1387700.6</v>
      </c>
      <c r="K186" s="547">
        <f t="shared" si="13"/>
        <v>1121234.4000000001</v>
      </c>
      <c r="L186" s="510"/>
      <c r="M186" s="508" t="s">
        <v>2345</v>
      </c>
      <c r="N186" s="11" t="s">
        <v>243</v>
      </c>
      <c r="O186" s="341" t="s">
        <v>2622</v>
      </c>
      <c r="P186" s="339"/>
    </row>
    <row r="187" spans="1:19" ht="71.25" hidden="1">
      <c r="A187" s="333" t="s">
        <v>2171</v>
      </c>
      <c r="B187" s="334" t="s">
        <v>615</v>
      </c>
      <c r="C187" s="335" t="s">
        <v>8</v>
      </c>
      <c r="D187" s="336">
        <v>0</v>
      </c>
      <c r="E187" s="336">
        <f>估驗單!F177</f>
        <v>0</v>
      </c>
      <c r="F187" s="390">
        <f t="shared" si="14"/>
        <v>0</v>
      </c>
      <c r="G187" s="336">
        <v>1706.44</v>
      </c>
      <c r="H187" s="336"/>
      <c r="I187" s="336">
        <f t="shared" si="15"/>
        <v>0</v>
      </c>
      <c r="J187" s="336">
        <f t="shared" si="16"/>
        <v>0</v>
      </c>
      <c r="K187" s="546">
        <f t="shared" si="13"/>
        <v>0</v>
      </c>
      <c r="L187" s="502"/>
      <c r="M187" s="231" t="s">
        <v>2360</v>
      </c>
      <c r="N187" s="11" t="s">
        <v>243</v>
      </c>
      <c r="O187" s="341"/>
      <c r="P187" s="339"/>
    </row>
    <row r="188" spans="1:19" ht="33" hidden="1">
      <c r="A188" s="333" t="s">
        <v>2172</v>
      </c>
      <c r="B188" s="334" t="s">
        <v>618</v>
      </c>
      <c r="C188" s="335" t="s">
        <v>23</v>
      </c>
      <c r="D188" s="336">
        <v>1070.5</v>
      </c>
      <c r="E188" s="336">
        <f>估驗單!F178</f>
        <v>1070.5</v>
      </c>
      <c r="F188" s="390">
        <f t="shared" si="14"/>
        <v>0</v>
      </c>
      <c r="G188" s="336">
        <v>49</v>
      </c>
      <c r="H188" s="336"/>
      <c r="I188" s="336">
        <f t="shared" si="15"/>
        <v>52454.5</v>
      </c>
      <c r="J188" s="336">
        <f t="shared" si="16"/>
        <v>52454.5</v>
      </c>
      <c r="K188" s="546">
        <f t="shared" si="13"/>
        <v>0</v>
      </c>
      <c r="L188" s="502"/>
      <c r="M188" s="231" t="s">
        <v>242</v>
      </c>
      <c r="N188" s="11" t="s">
        <v>243</v>
      </c>
      <c r="O188" s="341"/>
      <c r="P188" s="339"/>
    </row>
    <row r="189" spans="1:19" ht="33" hidden="1">
      <c r="A189" s="333" t="s">
        <v>2173</v>
      </c>
      <c r="B189" s="334" t="s">
        <v>621</v>
      </c>
      <c r="C189" s="335" t="s">
        <v>19</v>
      </c>
      <c r="D189" s="336">
        <v>2</v>
      </c>
      <c r="E189" s="336">
        <f>估驗單!F179</f>
        <v>2</v>
      </c>
      <c r="F189" s="390">
        <f t="shared" si="14"/>
        <v>0</v>
      </c>
      <c r="G189" s="336">
        <v>5349708.26</v>
      </c>
      <c r="H189" s="336"/>
      <c r="I189" s="336">
        <f t="shared" si="15"/>
        <v>10699416.52</v>
      </c>
      <c r="J189" s="336">
        <f t="shared" si="16"/>
        <v>10699416.52</v>
      </c>
      <c r="K189" s="546">
        <f t="shared" si="13"/>
        <v>0</v>
      </c>
      <c r="L189" s="502"/>
      <c r="M189" s="231" t="s">
        <v>242</v>
      </c>
      <c r="N189" s="11" t="s">
        <v>243</v>
      </c>
      <c r="O189" s="341"/>
      <c r="P189" s="339"/>
    </row>
    <row r="190" spans="1:19" ht="42.75" hidden="1">
      <c r="A190" s="333" t="s">
        <v>2174</v>
      </c>
      <c r="B190" s="334" t="s">
        <v>1368</v>
      </c>
      <c r="C190" s="335" t="s">
        <v>8</v>
      </c>
      <c r="D190" s="336">
        <v>571.08000000000004</v>
      </c>
      <c r="E190" s="336">
        <f>估驗單!F180</f>
        <v>571.08000000000004</v>
      </c>
      <c r="F190" s="390">
        <f t="shared" si="14"/>
        <v>0</v>
      </c>
      <c r="G190" s="336">
        <v>5456.33</v>
      </c>
      <c r="H190" s="336"/>
      <c r="I190" s="336">
        <f t="shared" si="15"/>
        <v>3116000.94</v>
      </c>
      <c r="J190" s="336">
        <f t="shared" si="16"/>
        <v>3116000.94</v>
      </c>
      <c r="K190" s="546">
        <f t="shared" si="13"/>
        <v>0</v>
      </c>
      <c r="L190" s="502"/>
      <c r="M190" s="231" t="s">
        <v>242</v>
      </c>
      <c r="N190" s="11" t="s">
        <v>243</v>
      </c>
      <c r="O190" s="341"/>
      <c r="P190" s="339"/>
    </row>
    <row r="191" spans="1:19" ht="33" hidden="1">
      <c r="A191" s="333" t="s">
        <v>2175</v>
      </c>
      <c r="B191" s="334" t="s">
        <v>1370</v>
      </c>
      <c r="C191" s="335" t="s">
        <v>6</v>
      </c>
      <c r="D191" s="336">
        <v>161.38999999999999</v>
      </c>
      <c r="E191" s="336">
        <f>估驗單!F181</f>
        <v>0</v>
      </c>
      <c r="F191" s="390">
        <f t="shared" si="14"/>
        <v>-161.38999999999999</v>
      </c>
      <c r="G191" s="336">
        <v>1481.84</v>
      </c>
      <c r="H191" s="336"/>
      <c r="I191" s="336">
        <f t="shared" si="15"/>
        <v>239154.16</v>
      </c>
      <c r="J191" s="336">
        <f t="shared" si="16"/>
        <v>0</v>
      </c>
      <c r="K191" s="546">
        <f t="shared" si="13"/>
        <v>-239154.16</v>
      </c>
      <c r="L191" s="502"/>
      <c r="M191" s="231" t="s">
        <v>242</v>
      </c>
      <c r="N191" s="11" t="s">
        <v>243</v>
      </c>
      <c r="O191" s="341"/>
      <c r="P191" s="339"/>
    </row>
    <row r="192" spans="1:19" s="352" customFormat="1" ht="33.75" hidden="1">
      <c r="A192" s="512">
        <v>24</v>
      </c>
      <c r="B192" s="513" t="s">
        <v>1372</v>
      </c>
      <c r="C192" s="514" t="s">
        <v>13</v>
      </c>
      <c r="D192" s="515">
        <v>634.14</v>
      </c>
      <c r="E192" s="506">
        <f>估驗單!F182</f>
        <v>776.79333333333329</v>
      </c>
      <c r="F192" s="507">
        <f t="shared" si="14"/>
        <v>142.65333333333331</v>
      </c>
      <c r="G192" s="515">
        <v>3120.65</v>
      </c>
      <c r="H192" s="515"/>
      <c r="I192" s="506">
        <f t="shared" si="15"/>
        <v>1978928.99</v>
      </c>
      <c r="J192" s="506">
        <f t="shared" si="16"/>
        <v>2424100.12</v>
      </c>
      <c r="K192" s="547">
        <f t="shared" si="13"/>
        <v>445171.13000000012</v>
      </c>
      <c r="L192" s="510"/>
      <c r="M192" s="527" t="s">
        <v>2361</v>
      </c>
      <c r="N192" s="347" t="s">
        <v>243</v>
      </c>
      <c r="O192" s="348" t="s">
        <v>2362</v>
      </c>
      <c r="P192" s="360" t="s">
        <v>2363</v>
      </c>
      <c r="Q192" s="325" t="s">
        <v>2364</v>
      </c>
      <c r="S192" s="361"/>
    </row>
    <row r="193" spans="1:19" s="363" customFormat="1" ht="33.75" hidden="1">
      <c r="A193" s="343">
        <v>25</v>
      </c>
      <c r="B193" s="344" t="s">
        <v>2346</v>
      </c>
      <c r="C193" s="345" t="s">
        <v>8</v>
      </c>
      <c r="D193" s="340">
        <f>295*0.7+76*0.75+40*2</f>
        <v>343.5</v>
      </c>
      <c r="E193" s="336">
        <f>估驗單!F183</f>
        <v>343.5</v>
      </c>
      <c r="F193" s="390">
        <f t="shared" si="14"/>
        <v>0</v>
      </c>
      <c r="G193" s="340">
        <v>119.99</v>
      </c>
      <c r="H193" s="340"/>
      <c r="I193" s="336">
        <f t="shared" si="15"/>
        <v>41216.57</v>
      </c>
      <c r="J193" s="336">
        <f t="shared" si="16"/>
        <v>41216.57</v>
      </c>
      <c r="K193" s="546">
        <f t="shared" si="13"/>
        <v>0</v>
      </c>
      <c r="L193" s="502"/>
      <c r="M193" s="346" t="s">
        <v>2321</v>
      </c>
      <c r="N193" s="347" t="s">
        <v>243</v>
      </c>
      <c r="O193" s="354" t="s">
        <v>2365</v>
      </c>
      <c r="P193" s="322" t="s">
        <v>2366</v>
      </c>
      <c r="Q193" s="362" t="s">
        <v>2356</v>
      </c>
    </row>
    <row r="194" spans="1:19" s="363" customFormat="1" ht="33.75" hidden="1">
      <c r="A194" s="343">
        <v>26</v>
      </c>
      <c r="B194" s="344" t="s">
        <v>2367</v>
      </c>
      <c r="C194" s="345" t="s">
        <v>2368</v>
      </c>
      <c r="D194" s="340">
        <f>295+76+80</f>
        <v>451</v>
      </c>
      <c r="E194" s="336">
        <f>估驗單!F184</f>
        <v>451</v>
      </c>
      <c r="F194" s="390">
        <f t="shared" si="14"/>
        <v>0</v>
      </c>
      <c r="G194" s="340">
        <v>324.97000000000003</v>
      </c>
      <c r="H194" s="340"/>
      <c r="I194" s="336">
        <f t="shared" si="15"/>
        <v>146561.47</v>
      </c>
      <c r="J194" s="336">
        <f t="shared" si="16"/>
        <v>146561.47</v>
      </c>
      <c r="K194" s="546">
        <f t="shared" si="13"/>
        <v>0</v>
      </c>
      <c r="L194" s="502"/>
      <c r="M194" s="346" t="s">
        <v>2369</v>
      </c>
      <c r="N194" s="347"/>
      <c r="O194" s="354" t="s">
        <v>2365</v>
      </c>
      <c r="P194" s="322" t="s">
        <v>2370</v>
      </c>
      <c r="Q194" s="362" t="s">
        <v>2356</v>
      </c>
    </row>
    <row r="195" spans="1:19" ht="57" hidden="1">
      <c r="A195" s="333">
        <v>28</v>
      </c>
      <c r="B195" s="334" t="s">
        <v>1377</v>
      </c>
      <c r="C195" s="335" t="s">
        <v>6</v>
      </c>
      <c r="D195" s="336">
        <v>1513</v>
      </c>
      <c r="E195" s="336">
        <f>估驗單!F185</f>
        <v>1513</v>
      </c>
      <c r="F195" s="390">
        <f t="shared" si="14"/>
        <v>0</v>
      </c>
      <c r="G195" s="336">
        <v>926.62</v>
      </c>
      <c r="H195" s="336"/>
      <c r="I195" s="336">
        <f t="shared" si="15"/>
        <v>1401976.06</v>
      </c>
      <c r="J195" s="336">
        <f t="shared" si="16"/>
        <v>1401976.06</v>
      </c>
      <c r="K195" s="546">
        <f t="shared" si="13"/>
        <v>0</v>
      </c>
      <c r="L195" s="502"/>
      <c r="M195" s="231" t="s">
        <v>2371</v>
      </c>
      <c r="N195" s="11" t="s">
        <v>243</v>
      </c>
      <c r="O195" s="364" t="s">
        <v>2372</v>
      </c>
      <c r="P195" s="365" t="s">
        <v>2373</v>
      </c>
      <c r="Q195" s="325" t="s">
        <v>2374</v>
      </c>
      <c r="S195" s="82">
        <f>(1.5*1.5*0.45*0.45)^(1/2)*(295+57.3)*0.15</f>
        <v>35.670375000000007</v>
      </c>
    </row>
    <row r="196" spans="1:19" s="368" customFormat="1" ht="156.75" hidden="1">
      <c r="A196" s="503">
        <v>29</v>
      </c>
      <c r="B196" s="504" t="s">
        <v>2375</v>
      </c>
      <c r="C196" s="505" t="s">
        <v>6</v>
      </c>
      <c r="D196" s="506">
        <v>1177.9000000000001</v>
      </c>
      <c r="E196" s="506">
        <f>估驗單!F186</f>
        <v>1177.9000000000001</v>
      </c>
      <c r="F196" s="507">
        <f t="shared" si="14"/>
        <v>0</v>
      </c>
      <c r="G196" s="506">
        <v>3832.9</v>
      </c>
      <c r="H196" s="506"/>
      <c r="I196" s="506">
        <f t="shared" si="15"/>
        <v>4514772.91</v>
      </c>
      <c r="J196" s="506">
        <f t="shared" si="16"/>
        <v>4514772.91</v>
      </c>
      <c r="K196" s="547">
        <f t="shared" si="13"/>
        <v>0</v>
      </c>
      <c r="L196" s="510"/>
      <c r="M196" s="508" t="s">
        <v>2376</v>
      </c>
      <c r="N196" s="11" t="s">
        <v>243</v>
      </c>
      <c r="O196" s="341" t="s">
        <v>2377</v>
      </c>
      <c r="P196" s="366" t="s">
        <v>2378</v>
      </c>
      <c r="Q196" s="367" t="s">
        <v>2379</v>
      </c>
      <c r="S196" s="369" t="s">
        <v>2380</v>
      </c>
    </row>
    <row r="197" spans="1:19" s="368" customFormat="1" ht="42.75" hidden="1">
      <c r="A197" s="333">
        <v>30</v>
      </c>
      <c r="B197" s="334" t="s">
        <v>1380</v>
      </c>
      <c r="C197" s="335" t="s">
        <v>13</v>
      </c>
      <c r="D197" s="336">
        <v>442.5</v>
      </c>
      <c r="E197" s="336">
        <f>估驗單!F187</f>
        <v>734.29600000000005</v>
      </c>
      <c r="F197" s="390">
        <f t="shared" si="14"/>
        <v>291.79600000000005</v>
      </c>
      <c r="G197" s="336">
        <v>234.99</v>
      </c>
      <c r="H197" s="336"/>
      <c r="I197" s="336">
        <f t="shared" si="15"/>
        <v>103983.08</v>
      </c>
      <c r="J197" s="336">
        <f t="shared" si="16"/>
        <v>172552.22</v>
      </c>
      <c r="K197" s="546">
        <f t="shared" si="13"/>
        <v>68569.14</v>
      </c>
      <c r="L197" s="502"/>
      <c r="M197" s="231" t="s">
        <v>2381</v>
      </c>
      <c r="N197" s="11"/>
      <c r="O197" s="341" t="s">
        <v>2382</v>
      </c>
      <c r="P197" s="370" t="s">
        <v>2383</v>
      </c>
      <c r="Q197" s="325" t="s">
        <v>2384</v>
      </c>
      <c r="S197" s="369"/>
    </row>
    <row r="198" spans="1:19" ht="33" hidden="1">
      <c r="A198" s="406" t="s">
        <v>2244</v>
      </c>
      <c r="B198" s="407" t="s">
        <v>623</v>
      </c>
      <c r="C198" s="408" t="s">
        <v>4</v>
      </c>
      <c r="D198" s="409"/>
      <c r="E198" s="409">
        <f>估驗單!F188</f>
        <v>0</v>
      </c>
      <c r="F198" s="410">
        <f t="shared" si="14"/>
        <v>0</v>
      </c>
      <c r="G198" s="409">
        <f>I198</f>
        <v>28004421.200000003</v>
      </c>
      <c r="H198" s="409"/>
      <c r="I198" s="409">
        <f>SUM(I199:I217)</f>
        <v>28004421.200000003</v>
      </c>
      <c r="J198" s="409">
        <f>SUM(J199:J217)</f>
        <v>33518571.399999999</v>
      </c>
      <c r="K198" s="409">
        <f>SUM(K199:K217)</f>
        <v>5987095.5399999991</v>
      </c>
      <c r="L198" s="452">
        <f>SUM(L199:L217)</f>
        <v>-472945.33999999991</v>
      </c>
      <c r="M198" s="288" t="s">
        <v>242</v>
      </c>
      <c r="N198" s="11" t="s">
        <v>243</v>
      </c>
      <c r="O198" s="338"/>
      <c r="P198" s="339"/>
    </row>
    <row r="199" spans="1:19" ht="33" hidden="1">
      <c r="A199" s="503" t="s">
        <v>2154</v>
      </c>
      <c r="B199" s="504" t="s">
        <v>315</v>
      </c>
      <c r="C199" s="505" t="s">
        <v>6</v>
      </c>
      <c r="D199" s="506">
        <v>252</v>
      </c>
      <c r="E199" s="506">
        <f>估驗單!F189</f>
        <v>109.33</v>
      </c>
      <c r="F199" s="519">
        <f t="shared" si="14"/>
        <v>-142.67000000000002</v>
      </c>
      <c r="G199" s="506">
        <v>3114.97</v>
      </c>
      <c r="H199" s="506"/>
      <c r="I199" s="506">
        <f t="shared" ref="I199:I217" si="17">ROUND(D199*G199,2)</f>
        <v>784972.44</v>
      </c>
      <c r="J199" s="506">
        <f t="shared" ref="J199:J217" si="18">ROUND(E199*G199,2)</f>
        <v>340559.67</v>
      </c>
      <c r="K199" s="547"/>
      <c r="L199" s="519">
        <f>J199-I199</f>
        <v>-444412.76999999996</v>
      </c>
      <c r="M199" s="520"/>
      <c r="N199" s="11" t="s">
        <v>243</v>
      </c>
      <c r="O199" s="341" t="s">
        <v>2623</v>
      </c>
      <c r="P199" s="339"/>
    </row>
    <row r="200" spans="1:19" ht="33" hidden="1">
      <c r="A200" s="503" t="s">
        <v>2155</v>
      </c>
      <c r="B200" s="504" t="s">
        <v>24</v>
      </c>
      <c r="C200" s="505" t="s">
        <v>6</v>
      </c>
      <c r="D200" s="506">
        <v>2490</v>
      </c>
      <c r="E200" s="506">
        <f>估驗單!F190</f>
        <v>2490</v>
      </c>
      <c r="F200" s="507">
        <f t="shared" si="14"/>
        <v>0</v>
      </c>
      <c r="G200" s="506">
        <v>3320.96</v>
      </c>
      <c r="H200" s="506"/>
      <c r="I200" s="506">
        <f t="shared" si="17"/>
        <v>8269190.4000000004</v>
      </c>
      <c r="J200" s="506">
        <f t="shared" si="18"/>
        <v>8269190.4000000004</v>
      </c>
      <c r="K200" s="547">
        <f t="shared" si="13"/>
        <v>0</v>
      </c>
      <c r="L200" s="510"/>
      <c r="M200" s="508" t="s">
        <v>242</v>
      </c>
      <c r="N200" s="11" t="s">
        <v>243</v>
      </c>
      <c r="O200" s="341"/>
      <c r="P200" s="339"/>
    </row>
    <row r="201" spans="1:19" ht="33" hidden="1">
      <c r="A201" s="333" t="s">
        <v>2156</v>
      </c>
      <c r="B201" s="334" t="s">
        <v>624</v>
      </c>
      <c r="C201" s="335" t="s">
        <v>6</v>
      </c>
      <c r="D201" s="336">
        <v>998</v>
      </c>
      <c r="E201" s="336">
        <f>估驗單!F191</f>
        <v>998</v>
      </c>
      <c r="F201" s="390">
        <f t="shared" si="14"/>
        <v>0</v>
      </c>
      <c r="G201" s="336">
        <v>1749.16</v>
      </c>
      <c r="H201" s="336"/>
      <c r="I201" s="336">
        <f t="shared" si="17"/>
        <v>1745661.68</v>
      </c>
      <c r="J201" s="336">
        <f t="shared" si="18"/>
        <v>1745661.68</v>
      </c>
      <c r="K201" s="546">
        <f t="shared" si="13"/>
        <v>0</v>
      </c>
      <c r="L201" s="502"/>
      <c r="M201" s="231" t="s">
        <v>242</v>
      </c>
      <c r="N201" s="11" t="s">
        <v>243</v>
      </c>
      <c r="O201" s="341"/>
      <c r="P201" s="339"/>
    </row>
    <row r="202" spans="1:19" ht="33" hidden="1">
      <c r="A202" s="503" t="s">
        <v>2157</v>
      </c>
      <c r="B202" s="504" t="s">
        <v>595</v>
      </c>
      <c r="C202" s="505" t="s">
        <v>6</v>
      </c>
      <c r="D202" s="506">
        <v>3740</v>
      </c>
      <c r="E202" s="506">
        <f>估驗單!F192</f>
        <v>3597.33</v>
      </c>
      <c r="F202" s="519">
        <f t="shared" si="14"/>
        <v>-142.67000000000007</v>
      </c>
      <c r="G202" s="506">
        <v>199.99</v>
      </c>
      <c r="H202" s="506"/>
      <c r="I202" s="506">
        <f t="shared" si="17"/>
        <v>747962.6</v>
      </c>
      <c r="J202" s="506">
        <f t="shared" si="18"/>
        <v>719430.03</v>
      </c>
      <c r="K202" s="547"/>
      <c r="L202" s="519">
        <f>J202-I202</f>
        <v>-28532.569999999949</v>
      </c>
      <c r="M202" s="508" t="s">
        <v>242</v>
      </c>
      <c r="N202" s="11" t="s">
        <v>243</v>
      </c>
      <c r="O202" s="341"/>
      <c r="P202" s="339"/>
    </row>
    <row r="203" spans="1:19" s="325" customFormat="1" ht="99.75" hidden="1">
      <c r="A203" s="503" t="s">
        <v>2158</v>
      </c>
      <c r="B203" s="504" t="s">
        <v>534</v>
      </c>
      <c r="C203" s="505" t="s">
        <v>13</v>
      </c>
      <c r="D203" s="506">
        <v>4240</v>
      </c>
      <c r="E203" s="506">
        <f>估驗單!F193</f>
        <v>4949.6072000000013</v>
      </c>
      <c r="F203" s="507">
        <f t="shared" si="14"/>
        <v>709.60720000000128</v>
      </c>
      <c r="G203" s="506">
        <v>982.93</v>
      </c>
      <c r="H203" s="506"/>
      <c r="I203" s="506">
        <f t="shared" si="17"/>
        <v>4167623.2</v>
      </c>
      <c r="J203" s="506">
        <f t="shared" si="18"/>
        <v>4865117.41</v>
      </c>
      <c r="K203" s="547">
        <f t="shared" si="13"/>
        <v>697494.21</v>
      </c>
      <c r="L203" s="510"/>
      <c r="M203" s="508" t="s">
        <v>2343</v>
      </c>
      <c r="N203" s="11" t="s">
        <v>243</v>
      </c>
      <c r="O203" s="341"/>
      <c r="P203" s="360"/>
    </row>
    <row r="204" spans="1:19" s="325" customFormat="1" ht="42.75" hidden="1">
      <c r="A204" s="503" t="s">
        <v>2159</v>
      </c>
      <c r="B204" s="504" t="s">
        <v>626</v>
      </c>
      <c r="C204" s="505" t="s">
        <v>13</v>
      </c>
      <c r="D204" s="506">
        <v>38</v>
      </c>
      <c r="E204" s="506">
        <f>估驗單!F194</f>
        <v>49.359999999999992</v>
      </c>
      <c r="F204" s="507">
        <f t="shared" si="14"/>
        <v>11.359999999999992</v>
      </c>
      <c r="G204" s="506">
        <v>698.28</v>
      </c>
      <c r="H204" s="506"/>
      <c r="I204" s="506">
        <f t="shared" si="17"/>
        <v>26534.639999999999</v>
      </c>
      <c r="J204" s="506">
        <f t="shared" si="18"/>
        <v>34467.1</v>
      </c>
      <c r="K204" s="547">
        <f t="shared" si="13"/>
        <v>7932.4599999999991</v>
      </c>
      <c r="L204" s="510"/>
      <c r="M204" s="508" t="s">
        <v>2385</v>
      </c>
      <c r="N204" s="11" t="s">
        <v>243</v>
      </c>
      <c r="O204" s="341"/>
      <c r="P204" s="339"/>
    </row>
    <row r="205" spans="1:19" s="325" customFormat="1" ht="71.25" hidden="1">
      <c r="A205" s="503" t="s">
        <v>2160</v>
      </c>
      <c r="B205" s="504" t="s">
        <v>536</v>
      </c>
      <c r="C205" s="505" t="s">
        <v>13</v>
      </c>
      <c r="D205" s="506">
        <v>783</v>
      </c>
      <c r="E205" s="506">
        <f>估驗單!F195</f>
        <v>1409.35</v>
      </c>
      <c r="F205" s="507">
        <f t="shared" si="14"/>
        <v>626.34999999999991</v>
      </c>
      <c r="G205" s="506">
        <v>804.75</v>
      </c>
      <c r="H205" s="506"/>
      <c r="I205" s="506">
        <f t="shared" si="17"/>
        <v>630119.25</v>
      </c>
      <c r="J205" s="506">
        <f t="shared" si="18"/>
        <v>1134174.4099999999</v>
      </c>
      <c r="K205" s="547">
        <f t="shared" si="13"/>
        <v>504055.15999999992</v>
      </c>
      <c r="L205" s="510"/>
      <c r="M205" s="508" t="s">
        <v>2344</v>
      </c>
      <c r="N205" s="11" t="s">
        <v>243</v>
      </c>
      <c r="O205" s="341"/>
      <c r="P205" s="339"/>
    </row>
    <row r="206" spans="1:19" s="325" customFormat="1" ht="71.25" hidden="1">
      <c r="A206" s="503" t="s">
        <v>2161</v>
      </c>
      <c r="B206" s="504" t="s">
        <v>193</v>
      </c>
      <c r="C206" s="505" t="s">
        <v>13</v>
      </c>
      <c r="D206" s="506">
        <v>300</v>
      </c>
      <c r="E206" s="506">
        <f>估驗單!F196</f>
        <v>761.34</v>
      </c>
      <c r="F206" s="507">
        <f t="shared" si="14"/>
        <v>461.34000000000003</v>
      </c>
      <c r="G206" s="506">
        <v>533.61</v>
      </c>
      <c r="H206" s="506"/>
      <c r="I206" s="506">
        <f t="shared" si="17"/>
        <v>160083</v>
      </c>
      <c r="J206" s="506">
        <f t="shared" si="18"/>
        <v>406258.64</v>
      </c>
      <c r="K206" s="547">
        <f t="shared" si="13"/>
        <v>246175.64</v>
      </c>
      <c r="L206" s="510"/>
      <c r="M206" s="508" t="s">
        <v>2335</v>
      </c>
      <c r="N206" s="11" t="s">
        <v>243</v>
      </c>
      <c r="O206" s="341"/>
      <c r="P206" s="360"/>
    </row>
    <row r="207" spans="1:19" s="325" customFormat="1" ht="42.75">
      <c r="A207" s="608" t="s">
        <v>2162</v>
      </c>
      <c r="B207" s="609" t="s">
        <v>192</v>
      </c>
      <c r="C207" s="610" t="s">
        <v>17</v>
      </c>
      <c r="D207" s="611">
        <v>137462</v>
      </c>
      <c r="E207" s="611">
        <f>估驗單!F197</f>
        <v>207085.17276800002</v>
      </c>
      <c r="F207" s="612">
        <f t="shared" si="14"/>
        <v>69623.172768000019</v>
      </c>
      <c r="G207" s="611">
        <v>36.4</v>
      </c>
      <c r="H207" s="611"/>
      <c r="I207" s="611">
        <f t="shared" si="17"/>
        <v>5003616.8</v>
      </c>
      <c r="J207" s="611">
        <f t="shared" si="18"/>
        <v>7537900.29</v>
      </c>
      <c r="K207" s="613">
        <f t="shared" si="13"/>
        <v>2534283.4900000002</v>
      </c>
      <c r="L207" s="614"/>
      <c r="M207" s="615" t="s">
        <v>2334</v>
      </c>
      <c r="N207" s="11" t="s">
        <v>2737</v>
      </c>
      <c r="O207" s="341"/>
      <c r="P207" s="339"/>
    </row>
    <row r="208" spans="1:19" s="325" customFormat="1" ht="42.75">
      <c r="A208" s="503" t="s">
        <v>2163</v>
      </c>
      <c r="B208" s="504" t="s">
        <v>530</v>
      </c>
      <c r="C208" s="505" t="s">
        <v>17</v>
      </c>
      <c r="D208" s="506">
        <v>116638</v>
      </c>
      <c r="E208" s="506">
        <f>估驗單!F198</f>
        <v>168230.73</v>
      </c>
      <c r="F208" s="507">
        <f t="shared" si="14"/>
        <v>51592.73000000001</v>
      </c>
      <c r="G208" s="506">
        <v>38.71</v>
      </c>
      <c r="H208" s="506"/>
      <c r="I208" s="506">
        <f t="shared" si="17"/>
        <v>4515056.9800000004</v>
      </c>
      <c r="J208" s="506">
        <f t="shared" si="18"/>
        <v>6512211.5599999996</v>
      </c>
      <c r="K208" s="547">
        <f t="shared" ref="K208:K271" si="19">J208-I208</f>
        <v>1997154.5799999991</v>
      </c>
      <c r="L208" s="510"/>
      <c r="M208" s="508" t="s">
        <v>2334</v>
      </c>
      <c r="N208" s="11" t="s">
        <v>2737</v>
      </c>
      <c r="O208" s="341"/>
      <c r="P208" s="339"/>
    </row>
    <row r="209" spans="1:16" s="325" customFormat="1" ht="33" hidden="1">
      <c r="A209" s="503" t="s">
        <v>2164</v>
      </c>
      <c r="B209" s="504" t="s">
        <v>628</v>
      </c>
      <c r="C209" s="505" t="s">
        <v>8</v>
      </c>
      <c r="D209" s="506">
        <v>112</v>
      </c>
      <c r="E209" s="506">
        <f>估驗單!F199</f>
        <v>112</v>
      </c>
      <c r="F209" s="519">
        <f t="shared" si="14"/>
        <v>0</v>
      </c>
      <c r="G209" s="506">
        <v>2865.8</v>
      </c>
      <c r="H209" s="506"/>
      <c r="I209" s="506">
        <f t="shared" si="17"/>
        <v>320969.59999999998</v>
      </c>
      <c r="J209" s="506">
        <f t="shared" si="18"/>
        <v>320969.59999999998</v>
      </c>
      <c r="K209" s="547"/>
      <c r="L209" s="519">
        <f>J209-I209</f>
        <v>0</v>
      </c>
      <c r="M209" s="520" t="s">
        <v>2496</v>
      </c>
      <c r="N209" s="11" t="s">
        <v>243</v>
      </c>
      <c r="O209" s="341" t="s">
        <v>2629</v>
      </c>
      <c r="P209" s="339"/>
    </row>
    <row r="210" spans="1:16" s="325" customFormat="1" ht="42.75" hidden="1">
      <c r="A210" s="333" t="s">
        <v>2165</v>
      </c>
      <c r="B210" s="334" t="s">
        <v>630</v>
      </c>
      <c r="C210" s="335" t="s">
        <v>0</v>
      </c>
      <c r="D210" s="336">
        <v>47</v>
      </c>
      <c r="E210" s="336">
        <f>估驗單!F200</f>
        <v>47</v>
      </c>
      <c r="F210" s="390">
        <f t="shared" si="14"/>
        <v>0</v>
      </c>
      <c r="G210" s="336">
        <v>1477.97</v>
      </c>
      <c r="H210" s="336"/>
      <c r="I210" s="336">
        <f t="shared" si="17"/>
        <v>69464.59</v>
      </c>
      <c r="J210" s="336">
        <f t="shared" si="18"/>
        <v>69464.59</v>
      </c>
      <c r="K210" s="546">
        <f t="shared" si="19"/>
        <v>0</v>
      </c>
      <c r="L210" s="502"/>
      <c r="M210" s="234" t="s">
        <v>2628</v>
      </c>
      <c r="N210" s="11" t="s">
        <v>243</v>
      </c>
      <c r="O210" s="341"/>
      <c r="P210" s="339"/>
    </row>
    <row r="211" spans="1:16" s="325" customFormat="1" ht="42.75" hidden="1">
      <c r="A211" s="333" t="s">
        <v>2166</v>
      </c>
      <c r="B211" s="334" t="s">
        <v>632</v>
      </c>
      <c r="C211" s="335" t="s">
        <v>8</v>
      </c>
      <c r="D211" s="336">
        <v>148</v>
      </c>
      <c r="E211" s="336">
        <f>估驗單!F201</f>
        <v>148</v>
      </c>
      <c r="F211" s="390">
        <f t="shared" si="14"/>
        <v>0</v>
      </c>
      <c r="G211" s="336">
        <v>151.71</v>
      </c>
      <c r="H211" s="336"/>
      <c r="I211" s="336">
        <f t="shared" si="17"/>
        <v>22453.08</v>
      </c>
      <c r="J211" s="336">
        <f t="shared" si="18"/>
        <v>22453.08</v>
      </c>
      <c r="K211" s="546">
        <f t="shared" si="19"/>
        <v>0</v>
      </c>
      <c r="L211" s="502"/>
      <c r="M211" s="231" t="s">
        <v>242</v>
      </c>
      <c r="N211" s="11" t="s">
        <v>243</v>
      </c>
      <c r="O211" s="341"/>
      <c r="P211" s="339"/>
    </row>
    <row r="212" spans="1:16" s="325" customFormat="1" ht="33" hidden="1">
      <c r="A212" s="333" t="s">
        <v>2167</v>
      </c>
      <c r="B212" s="334" t="s">
        <v>634</v>
      </c>
      <c r="C212" s="335" t="s">
        <v>15</v>
      </c>
      <c r="D212" s="336">
        <v>6</v>
      </c>
      <c r="E212" s="336">
        <f>估驗單!F202</f>
        <v>6</v>
      </c>
      <c r="F212" s="390">
        <f t="shared" si="14"/>
        <v>0</v>
      </c>
      <c r="G212" s="336">
        <v>15778.75</v>
      </c>
      <c r="H212" s="336"/>
      <c r="I212" s="336">
        <f t="shared" si="17"/>
        <v>94672.5</v>
      </c>
      <c r="J212" s="336">
        <f t="shared" si="18"/>
        <v>94672.5</v>
      </c>
      <c r="K212" s="546">
        <f t="shared" si="19"/>
        <v>0</v>
      </c>
      <c r="L212" s="502"/>
      <c r="M212" s="231" t="s">
        <v>242</v>
      </c>
      <c r="N212" s="11" t="s">
        <v>243</v>
      </c>
      <c r="O212" s="341"/>
      <c r="P212" s="339"/>
    </row>
    <row r="213" spans="1:16" s="325" customFormat="1" ht="33" hidden="1">
      <c r="A213" s="503" t="s">
        <v>2168</v>
      </c>
      <c r="B213" s="504" t="s">
        <v>357</v>
      </c>
      <c r="C213" s="505" t="s">
        <v>8</v>
      </c>
      <c r="D213" s="506">
        <v>746</v>
      </c>
      <c r="E213" s="506">
        <f>估驗單!F203</f>
        <v>746</v>
      </c>
      <c r="F213" s="519">
        <f t="shared" si="14"/>
        <v>0</v>
      </c>
      <c r="G213" s="506">
        <v>138.84</v>
      </c>
      <c r="H213" s="506"/>
      <c r="I213" s="506">
        <f t="shared" si="17"/>
        <v>103574.64</v>
      </c>
      <c r="J213" s="506">
        <f t="shared" si="18"/>
        <v>103574.64</v>
      </c>
      <c r="K213" s="547"/>
      <c r="L213" s="519">
        <f>J213-I213</f>
        <v>0</v>
      </c>
      <c r="M213" s="520" t="s">
        <v>2497</v>
      </c>
      <c r="N213" s="11" t="s">
        <v>243</v>
      </c>
      <c r="O213" s="341"/>
      <c r="P213" s="339"/>
    </row>
    <row r="214" spans="1:16" s="325" customFormat="1" ht="33" hidden="1">
      <c r="A214" s="503" t="s">
        <v>2169</v>
      </c>
      <c r="B214" s="504" t="s">
        <v>611</v>
      </c>
      <c r="C214" s="505" t="s">
        <v>8</v>
      </c>
      <c r="D214" s="506">
        <v>1740</v>
      </c>
      <c r="E214" s="506">
        <f>估驗單!F204</f>
        <v>1740</v>
      </c>
      <c r="F214" s="519">
        <f t="shared" si="14"/>
        <v>0</v>
      </c>
      <c r="G214" s="506">
        <v>326.27999999999997</v>
      </c>
      <c r="H214" s="506"/>
      <c r="I214" s="506">
        <f t="shared" si="17"/>
        <v>567727.19999999995</v>
      </c>
      <c r="J214" s="506">
        <f t="shared" si="18"/>
        <v>567727.19999999995</v>
      </c>
      <c r="K214" s="547"/>
      <c r="L214" s="519">
        <f>J214-I214</f>
        <v>0</v>
      </c>
      <c r="M214" s="520" t="s">
        <v>2497</v>
      </c>
      <c r="N214" s="11" t="s">
        <v>243</v>
      </c>
      <c r="O214" s="341"/>
      <c r="P214" s="339"/>
    </row>
    <row r="215" spans="1:16" s="325" customFormat="1" ht="42.75" hidden="1">
      <c r="A215" s="333" t="s">
        <v>2170</v>
      </c>
      <c r="B215" s="334" t="s">
        <v>222</v>
      </c>
      <c r="C215" s="335" t="s">
        <v>13</v>
      </c>
      <c r="D215" s="336">
        <v>783</v>
      </c>
      <c r="E215" s="336">
        <f>估驗單!F205</f>
        <v>783</v>
      </c>
      <c r="F215" s="390">
        <f t="shared" si="14"/>
        <v>0</v>
      </c>
      <c r="G215" s="336">
        <v>692.12</v>
      </c>
      <c r="H215" s="336"/>
      <c r="I215" s="336">
        <f t="shared" si="17"/>
        <v>541929.96</v>
      </c>
      <c r="J215" s="336">
        <f t="shared" si="18"/>
        <v>541929.96</v>
      </c>
      <c r="K215" s="546">
        <f t="shared" si="19"/>
        <v>0</v>
      </c>
      <c r="L215" s="502"/>
      <c r="M215" s="231" t="s">
        <v>2345</v>
      </c>
      <c r="N215" s="11" t="s">
        <v>243</v>
      </c>
      <c r="O215" s="341"/>
      <c r="P215" s="339"/>
    </row>
    <row r="216" spans="1:16" s="325" customFormat="1" ht="33" hidden="1">
      <c r="A216" s="333" t="s">
        <v>2171</v>
      </c>
      <c r="B216" s="334" t="s">
        <v>640</v>
      </c>
      <c r="C216" s="335" t="s">
        <v>15</v>
      </c>
      <c r="D216" s="336">
        <v>1</v>
      </c>
      <c r="E216" s="336">
        <f>估驗單!F206</f>
        <v>1</v>
      </c>
      <c r="F216" s="390">
        <f t="shared" si="14"/>
        <v>0</v>
      </c>
      <c r="G216" s="336">
        <v>214228.32</v>
      </c>
      <c r="H216" s="336"/>
      <c r="I216" s="336">
        <f t="shared" si="17"/>
        <v>214228.32</v>
      </c>
      <c r="J216" s="336">
        <f t="shared" si="18"/>
        <v>214228.32</v>
      </c>
      <c r="K216" s="546">
        <f t="shared" si="19"/>
        <v>0</v>
      </c>
      <c r="L216" s="502"/>
      <c r="M216" s="231" t="s">
        <v>242</v>
      </c>
      <c r="N216" s="11" t="s">
        <v>243</v>
      </c>
      <c r="O216" s="341"/>
      <c r="P216" s="339"/>
    </row>
    <row r="217" spans="1:16" s="325" customFormat="1" ht="33" hidden="1">
      <c r="A217" s="333" t="s">
        <v>2172</v>
      </c>
      <c r="B217" s="334" t="s">
        <v>643</v>
      </c>
      <c r="C217" s="335" t="s">
        <v>5</v>
      </c>
      <c r="D217" s="336">
        <v>44</v>
      </c>
      <c r="E217" s="336">
        <f>估驗單!F207</f>
        <v>44</v>
      </c>
      <c r="F217" s="390">
        <f t="shared" si="14"/>
        <v>0</v>
      </c>
      <c r="G217" s="336">
        <v>422.28</v>
      </c>
      <c r="H217" s="336"/>
      <c r="I217" s="336">
        <f t="shared" si="17"/>
        <v>18580.32</v>
      </c>
      <c r="J217" s="336">
        <f t="shared" si="18"/>
        <v>18580.32</v>
      </c>
      <c r="K217" s="546">
        <f t="shared" si="19"/>
        <v>0</v>
      </c>
      <c r="L217" s="502"/>
      <c r="M217" s="231" t="s">
        <v>242</v>
      </c>
      <c r="N217" s="11" t="s">
        <v>243</v>
      </c>
      <c r="O217" s="341"/>
      <c r="P217" s="339"/>
    </row>
    <row r="218" spans="1:16" s="325" customFormat="1" ht="33" hidden="1">
      <c r="A218" s="406" t="s">
        <v>2245</v>
      </c>
      <c r="B218" s="407" t="s">
        <v>645</v>
      </c>
      <c r="C218" s="408" t="s">
        <v>4</v>
      </c>
      <c r="D218" s="409"/>
      <c r="E218" s="409"/>
      <c r="F218" s="410"/>
      <c r="G218" s="409">
        <f>I218</f>
        <v>13631722.120000003</v>
      </c>
      <c r="H218" s="409"/>
      <c r="I218" s="409">
        <f>SUM(I219:I234)</f>
        <v>13631722.120000003</v>
      </c>
      <c r="J218" s="409">
        <f>SUM(J219:J234)</f>
        <v>13631722.120000003</v>
      </c>
      <c r="K218" s="542">
        <f>SUM(K219:K234)</f>
        <v>0</v>
      </c>
      <c r="L218" s="452">
        <f>SUM(L219:L234)</f>
        <v>0</v>
      </c>
      <c r="M218" s="288" t="s">
        <v>242</v>
      </c>
      <c r="N218" s="11" t="s">
        <v>243</v>
      </c>
      <c r="O218" s="338"/>
      <c r="P218" s="339"/>
    </row>
    <row r="219" spans="1:16" s="325" customFormat="1" ht="33" hidden="1">
      <c r="A219" s="333" t="s">
        <v>2154</v>
      </c>
      <c r="B219" s="334" t="s">
        <v>646</v>
      </c>
      <c r="C219" s="335" t="s">
        <v>6</v>
      </c>
      <c r="D219" s="336">
        <v>230</v>
      </c>
      <c r="E219" s="336">
        <f>估驗單!F209</f>
        <v>230</v>
      </c>
      <c r="F219" s="390">
        <f t="shared" si="14"/>
        <v>0</v>
      </c>
      <c r="G219" s="336">
        <v>7517.15</v>
      </c>
      <c r="H219" s="336"/>
      <c r="I219" s="336">
        <f t="shared" ref="I219:I234" si="20">ROUND(D219*G219,2)</f>
        <v>1728944.5</v>
      </c>
      <c r="J219" s="336">
        <f t="shared" ref="J219:J234" si="21">ROUND(E219*G219,2)</f>
        <v>1728944.5</v>
      </c>
      <c r="K219" s="546">
        <f t="shared" si="19"/>
        <v>0</v>
      </c>
      <c r="L219" s="502"/>
      <c r="M219" s="231" t="s">
        <v>242</v>
      </c>
      <c r="N219" s="11" t="s">
        <v>243</v>
      </c>
      <c r="O219" s="341"/>
      <c r="P219" s="339"/>
    </row>
    <row r="220" spans="1:16" s="325" customFormat="1" ht="33" hidden="1">
      <c r="A220" s="333" t="s">
        <v>2155</v>
      </c>
      <c r="B220" s="334" t="s">
        <v>648</v>
      </c>
      <c r="C220" s="335" t="s">
        <v>6</v>
      </c>
      <c r="D220" s="336">
        <v>689</v>
      </c>
      <c r="E220" s="336">
        <f>估驗單!F210</f>
        <v>689</v>
      </c>
      <c r="F220" s="390">
        <f t="shared" si="14"/>
        <v>0</v>
      </c>
      <c r="G220" s="336">
        <v>7496.55</v>
      </c>
      <c r="H220" s="336"/>
      <c r="I220" s="336">
        <f t="shared" si="20"/>
        <v>5165122.95</v>
      </c>
      <c r="J220" s="336">
        <f t="shared" si="21"/>
        <v>5165122.95</v>
      </c>
      <c r="K220" s="546">
        <f t="shared" si="19"/>
        <v>0</v>
      </c>
      <c r="L220" s="502"/>
      <c r="M220" s="231" t="s">
        <v>242</v>
      </c>
      <c r="N220" s="11" t="s">
        <v>243</v>
      </c>
      <c r="O220" s="341"/>
      <c r="P220" s="339"/>
    </row>
    <row r="221" spans="1:16" s="325" customFormat="1" ht="33" hidden="1">
      <c r="A221" s="503" t="s">
        <v>2156</v>
      </c>
      <c r="B221" s="504" t="s">
        <v>650</v>
      </c>
      <c r="C221" s="505" t="s">
        <v>13</v>
      </c>
      <c r="D221" s="506">
        <v>4589</v>
      </c>
      <c r="E221" s="506">
        <f>估驗單!F211</f>
        <v>4589</v>
      </c>
      <c r="F221" s="507">
        <f t="shared" si="14"/>
        <v>0</v>
      </c>
      <c r="G221" s="506">
        <v>11.6</v>
      </c>
      <c r="H221" s="506"/>
      <c r="I221" s="506">
        <f t="shared" si="20"/>
        <v>53232.4</v>
      </c>
      <c r="J221" s="506">
        <f t="shared" si="21"/>
        <v>53232.4</v>
      </c>
      <c r="K221" s="547">
        <f t="shared" si="19"/>
        <v>0</v>
      </c>
      <c r="L221" s="510"/>
      <c r="M221" s="508" t="s">
        <v>242</v>
      </c>
      <c r="N221" s="11" t="s">
        <v>243</v>
      </c>
      <c r="O221" s="341" t="s">
        <v>2624</v>
      </c>
      <c r="P221" s="339"/>
    </row>
    <row r="222" spans="1:16" s="325" customFormat="1" ht="33" hidden="1">
      <c r="A222" s="333" t="s">
        <v>2157</v>
      </c>
      <c r="B222" s="334" t="s">
        <v>652</v>
      </c>
      <c r="C222" s="335" t="s">
        <v>13</v>
      </c>
      <c r="D222" s="336">
        <v>4589</v>
      </c>
      <c r="E222" s="336">
        <f>估驗單!F212</f>
        <v>4589</v>
      </c>
      <c r="F222" s="390">
        <f t="shared" si="14"/>
        <v>0</v>
      </c>
      <c r="G222" s="336">
        <v>42.46</v>
      </c>
      <c r="H222" s="336"/>
      <c r="I222" s="336">
        <f t="shared" si="20"/>
        <v>194848.94</v>
      </c>
      <c r="J222" s="336">
        <f t="shared" si="21"/>
        <v>194848.94</v>
      </c>
      <c r="K222" s="546">
        <f t="shared" si="19"/>
        <v>0</v>
      </c>
      <c r="L222" s="502"/>
      <c r="M222" s="231" t="s">
        <v>242</v>
      </c>
      <c r="N222" s="11" t="s">
        <v>243</v>
      </c>
      <c r="O222" s="341"/>
      <c r="P222" s="339"/>
    </row>
    <row r="223" spans="1:16" s="325" customFormat="1" ht="33" hidden="1">
      <c r="A223" s="333" t="s">
        <v>2158</v>
      </c>
      <c r="B223" s="334" t="s">
        <v>204</v>
      </c>
      <c r="C223" s="335" t="s">
        <v>13</v>
      </c>
      <c r="D223" s="336">
        <v>13765</v>
      </c>
      <c r="E223" s="336">
        <f>估驗單!F213</f>
        <v>13765</v>
      </c>
      <c r="F223" s="390">
        <f t="shared" si="14"/>
        <v>0</v>
      </c>
      <c r="G223" s="336">
        <v>15.96</v>
      </c>
      <c r="H223" s="336"/>
      <c r="I223" s="336">
        <f t="shared" si="20"/>
        <v>219689.4</v>
      </c>
      <c r="J223" s="336">
        <f t="shared" si="21"/>
        <v>219689.4</v>
      </c>
      <c r="K223" s="546">
        <f t="shared" si="19"/>
        <v>0</v>
      </c>
      <c r="L223" s="502"/>
      <c r="M223" s="231" t="s">
        <v>242</v>
      </c>
      <c r="N223" s="11" t="s">
        <v>243</v>
      </c>
      <c r="O223" s="341"/>
      <c r="P223" s="339"/>
    </row>
    <row r="224" spans="1:16" s="325" customFormat="1" ht="33" hidden="1">
      <c r="A224" s="333" t="s">
        <v>2159</v>
      </c>
      <c r="B224" s="334" t="s">
        <v>315</v>
      </c>
      <c r="C224" s="335" t="s">
        <v>6</v>
      </c>
      <c r="D224" s="336">
        <v>49</v>
      </c>
      <c r="E224" s="336">
        <f>估驗單!F214</f>
        <v>49</v>
      </c>
      <c r="F224" s="390">
        <f t="shared" ref="F224:F287" si="22">E224-D224</f>
        <v>0</v>
      </c>
      <c r="G224" s="336">
        <v>3114.97</v>
      </c>
      <c r="H224" s="336"/>
      <c r="I224" s="336">
        <f t="shared" si="20"/>
        <v>152633.53</v>
      </c>
      <c r="J224" s="336">
        <f t="shared" si="21"/>
        <v>152633.53</v>
      </c>
      <c r="K224" s="546">
        <f t="shared" si="19"/>
        <v>0</v>
      </c>
      <c r="L224" s="453"/>
      <c r="M224" s="231" t="s">
        <v>242</v>
      </c>
      <c r="N224" s="11" t="s">
        <v>243</v>
      </c>
      <c r="O224" s="341"/>
      <c r="P224" s="339"/>
    </row>
    <row r="225" spans="1:19" s="325" customFormat="1" ht="33" hidden="1">
      <c r="A225" s="503" t="s">
        <v>2160</v>
      </c>
      <c r="B225" s="504" t="s">
        <v>24</v>
      </c>
      <c r="C225" s="505" t="s">
        <v>6</v>
      </c>
      <c r="D225" s="506">
        <v>328</v>
      </c>
      <c r="E225" s="506">
        <f>估驗單!F215</f>
        <v>328</v>
      </c>
      <c r="F225" s="507">
        <f t="shared" si="22"/>
        <v>0</v>
      </c>
      <c r="G225" s="506">
        <v>3320.96</v>
      </c>
      <c r="H225" s="506"/>
      <c r="I225" s="506">
        <f t="shared" si="20"/>
        <v>1089274.8799999999</v>
      </c>
      <c r="J225" s="506">
        <f t="shared" si="21"/>
        <v>1089274.8799999999</v>
      </c>
      <c r="K225" s="547">
        <f t="shared" si="19"/>
        <v>0</v>
      </c>
      <c r="L225" s="510"/>
      <c r="M225" s="508" t="s">
        <v>242</v>
      </c>
      <c r="N225" s="11" t="s">
        <v>243</v>
      </c>
      <c r="O225" s="341"/>
      <c r="P225" s="339"/>
    </row>
    <row r="226" spans="1:19" s="325" customFormat="1" ht="33" hidden="1">
      <c r="A226" s="503" t="s">
        <v>2161</v>
      </c>
      <c r="B226" s="504" t="s">
        <v>595</v>
      </c>
      <c r="C226" s="505" t="s">
        <v>6</v>
      </c>
      <c r="D226" s="506">
        <v>377</v>
      </c>
      <c r="E226" s="506">
        <f>估驗單!F216</f>
        <v>377</v>
      </c>
      <c r="F226" s="507">
        <f t="shared" si="22"/>
        <v>0</v>
      </c>
      <c r="G226" s="506">
        <v>199.99</v>
      </c>
      <c r="H226" s="506"/>
      <c r="I226" s="506">
        <f t="shared" si="20"/>
        <v>75396.23</v>
      </c>
      <c r="J226" s="506">
        <f t="shared" si="21"/>
        <v>75396.23</v>
      </c>
      <c r="K226" s="547">
        <f t="shared" si="19"/>
        <v>0</v>
      </c>
      <c r="L226" s="510"/>
      <c r="M226" s="508" t="s">
        <v>242</v>
      </c>
      <c r="N226" s="11" t="s">
        <v>243</v>
      </c>
      <c r="O226" s="341"/>
      <c r="P226" s="339"/>
    </row>
    <row r="227" spans="1:19" s="325" customFormat="1" ht="42.75" hidden="1">
      <c r="A227" s="503" t="s">
        <v>2162</v>
      </c>
      <c r="B227" s="504" t="s">
        <v>626</v>
      </c>
      <c r="C227" s="505" t="s">
        <v>13</v>
      </c>
      <c r="D227" s="506">
        <v>867</v>
      </c>
      <c r="E227" s="506">
        <f>估驗單!F217</f>
        <v>867</v>
      </c>
      <c r="F227" s="507">
        <f t="shared" si="22"/>
        <v>0</v>
      </c>
      <c r="G227" s="506">
        <v>698.28</v>
      </c>
      <c r="H227" s="506"/>
      <c r="I227" s="506">
        <f t="shared" si="20"/>
        <v>605408.76</v>
      </c>
      <c r="J227" s="506">
        <f t="shared" si="21"/>
        <v>605408.76</v>
      </c>
      <c r="K227" s="547">
        <f t="shared" si="19"/>
        <v>0</v>
      </c>
      <c r="L227" s="510"/>
      <c r="M227" s="508" t="s">
        <v>2385</v>
      </c>
      <c r="N227" s="11" t="s">
        <v>243</v>
      </c>
      <c r="O227" s="341"/>
      <c r="P227" s="360"/>
    </row>
    <row r="228" spans="1:19" s="325" customFormat="1" ht="71.25" hidden="1">
      <c r="A228" s="333" t="s">
        <v>2163</v>
      </c>
      <c r="B228" s="334" t="s">
        <v>193</v>
      </c>
      <c r="C228" s="335" t="s">
        <v>13</v>
      </c>
      <c r="D228" s="336">
        <v>1257</v>
      </c>
      <c r="E228" s="336">
        <f>估驗單!F218</f>
        <v>1257</v>
      </c>
      <c r="F228" s="390">
        <f t="shared" si="22"/>
        <v>0</v>
      </c>
      <c r="G228" s="336">
        <v>533.61</v>
      </c>
      <c r="H228" s="336"/>
      <c r="I228" s="336">
        <f t="shared" si="20"/>
        <v>670747.77</v>
      </c>
      <c r="J228" s="336">
        <f t="shared" si="21"/>
        <v>670747.77</v>
      </c>
      <c r="K228" s="546">
        <f t="shared" si="19"/>
        <v>0</v>
      </c>
      <c r="L228" s="453"/>
      <c r="M228" s="231" t="s">
        <v>2335</v>
      </c>
      <c r="N228" s="11" t="s">
        <v>243</v>
      </c>
      <c r="O228" s="341"/>
      <c r="P228" s="360"/>
    </row>
    <row r="229" spans="1:19" s="325" customFormat="1" ht="42.75">
      <c r="A229" s="608" t="s">
        <v>2164</v>
      </c>
      <c r="B229" s="609" t="s">
        <v>192</v>
      </c>
      <c r="C229" s="610" t="s">
        <v>17</v>
      </c>
      <c r="D229" s="611">
        <v>12810</v>
      </c>
      <c r="E229" s="611">
        <f>估驗單!F219</f>
        <v>12810</v>
      </c>
      <c r="F229" s="612">
        <f t="shared" si="22"/>
        <v>0</v>
      </c>
      <c r="G229" s="611">
        <v>36.4</v>
      </c>
      <c r="H229" s="611"/>
      <c r="I229" s="611">
        <f t="shared" si="20"/>
        <v>466284</v>
      </c>
      <c r="J229" s="611">
        <f t="shared" si="21"/>
        <v>466284</v>
      </c>
      <c r="K229" s="613">
        <f t="shared" si="19"/>
        <v>0</v>
      </c>
      <c r="L229" s="614"/>
      <c r="M229" s="615" t="s">
        <v>2334</v>
      </c>
      <c r="N229" s="11" t="s">
        <v>2952</v>
      </c>
      <c r="O229" s="474" t="s">
        <v>2631</v>
      </c>
      <c r="P229" s="339"/>
    </row>
    <row r="230" spans="1:19" s="325" customFormat="1" ht="42.75" hidden="1">
      <c r="A230" s="333" t="s">
        <v>2165</v>
      </c>
      <c r="B230" s="334" t="s">
        <v>655</v>
      </c>
      <c r="C230" s="335" t="s">
        <v>15</v>
      </c>
      <c r="D230" s="336">
        <v>158</v>
      </c>
      <c r="E230" s="336">
        <f>估驗單!F220</f>
        <v>158</v>
      </c>
      <c r="F230" s="390">
        <f t="shared" si="22"/>
        <v>0</v>
      </c>
      <c r="G230" s="336">
        <v>3615.1</v>
      </c>
      <c r="H230" s="336"/>
      <c r="I230" s="336">
        <f t="shared" si="20"/>
        <v>571185.80000000005</v>
      </c>
      <c r="J230" s="336">
        <f t="shared" si="21"/>
        <v>571185.80000000005</v>
      </c>
      <c r="K230" s="546">
        <f t="shared" si="19"/>
        <v>0</v>
      </c>
      <c r="L230" s="502"/>
      <c r="M230" s="231" t="s">
        <v>2337</v>
      </c>
      <c r="N230" s="11" t="s">
        <v>243</v>
      </c>
      <c r="O230" s="341"/>
      <c r="P230" s="339"/>
    </row>
    <row r="231" spans="1:19" s="325" customFormat="1" ht="42.75" hidden="1">
      <c r="A231" s="333" t="s">
        <v>2166</v>
      </c>
      <c r="B231" s="334" t="s">
        <v>657</v>
      </c>
      <c r="C231" s="335" t="s">
        <v>17</v>
      </c>
      <c r="D231" s="336">
        <v>3713</v>
      </c>
      <c r="E231" s="336">
        <f>估驗單!F221</f>
        <v>3713</v>
      </c>
      <c r="F231" s="390">
        <f t="shared" si="22"/>
        <v>0</v>
      </c>
      <c r="G231" s="336">
        <v>107.44</v>
      </c>
      <c r="H231" s="336"/>
      <c r="I231" s="336">
        <f t="shared" si="20"/>
        <v>398924.72</v>
      </c>
      <c r="J231" s="336">
        <f t="shared" si="21"/>
        <v>398924.72</v>
      </c>
      <c r="K231" s="546">
        <f t="shared" si="19"/>
        <v>0</v>
      </c>
      <c r="L231" s="502"/>
      <c r="M231" s="231" t="s">
        <v>2337</v>
      </c>
      <c r="N231" s="11" t="s">
        <v>243</v>
      </c>
      <c r="O231" s="341"/>
      <c r="P231" s="339"/>
    </row>
    <row r="232" spans="1:19" s="325" customFormat="1" ht="33" hidden="1">
      <c r="A232" s="333" t="s">
        <v>2167</v>
      </c>
      <c r="B232" s="334" t="s">
        <v>357</v>
      </c>
      <c r="C232" s="335" t="s">
        <v>8</v>
      </c>
      <c r="D232" s="336">
        <v>155</v>
      </c>
      <c r="E232" s="336">
        <f>估驗單!F222</f>
        <v>155</v>
      </c>
      <c r="F232" s="390">
        <f t="shared" si="22"/>
        <v>0</v>
      </c>
      <c r="G232" s="336">
        <v>138.84</v>
      </c>
      <c r="H232" s="336"/>
      <c r="I232" s="336">
        <f t="shared" si="20"/>
        <v>21520.2</v>
      </c>
      <c r="J232" s="336">
        <f t="shared" si="21"/>
        <v>21520.2</v>
      </c>
      <c r="K232" s="546">
        <f t="shared" si="19"/>
        <v>0</v>
      </c>
      <c r="L232" s="502"/>
      <c r="M232" s="231" t="s">
        <v>242</v>
      </c>
      <c r="N232" s="11" t="s">
        <v>243</v>
      </c>
      <c r="O232" s="341"/>
      <c r="P232" s="339"/>
    </row>
    <row r="233" spans="1:19" s="356" customFormat="1" ht="31.5" hidden="1">
      <c r="A233" s="343">
        <v>15</v>
      </c>
      <c r="B233" s="344" t="s">
        <v>1497</v>
      </c>
      <c r="C233" s="345" t="s">
        <v>223</v>
      </c>
      <c r="D233" s="340">
        <v>1376.7</v>
      </c>
      <c r="E233" s="336">
        <f>估驗單!F223</f>
        <v>1376.7</v>
      </c>
      <c r="F233" s="390">
        <f t="shared" si="22"/>
        <v>0</v>
      </c>
      <c r="G233" s="340">
        <v>1288.28</v>
      </c>
      <c r="H233" s="340"/>
      <c r="I233" s="336">
        <f t="shared" si="20"/>
        <v>1773575.08</v>
      </c>
      <c r="J233" s="336">
        <f t="shared" si="21"/>
        <v>1773575.08</v>
      </c>
      <c r="K233" s="546">
        <f t="shared" si="19"/>
        <v>0</v>
      </c>
      <c r="L233" s="502"/>
      <c r="M233" s="346" t="s">
        <v>2387</v>
      </c>
      <c r="N233" s="347"/>
      <c r="O233" s="355" t="s">
        <v>2388</v>
      </c>
      <c r="P233" s="349" t="s">
        <v>2389</v>
      </c>
      <c r="Q233" s="325" t="s">
        <v>2390</v>
      </c>
    </row>
    <row r="234" spans="1:19" s="356" customFormat="1" ht="168.75" hidden="1">
      <c r="A234" s="343">
        <v>16</v>
      </c>
      <c r="B234" s="344" t="s">
        <v>2391</v>
      </c>
      <c r="C234" s="345" t="s">
        <v>2386</v>
      </c>
      <c r="D234" s="419">
        <v>512.1</v>
      </c>
      <c r="E234" s="336">
        <f>估驗單!F224</f>
        <v>512.1</v>
      </c>
      <c r="F234" s="390">
        <f t="shared" si="22"/>
        <v>0</v>
      </c>
      <c r="G234" s="340">
        <v>868.84</v>
      </c>
      <c r="H234" s="340"/>
      <c r="I234" s="336">
        <f t="shared" si="20"/>
        <v>444932.96</v>
      </c>
      <c r="J234" s="336">
        <f t="shared" si="21"/>
        <v>444932.96</v>
      </c>
      <c r="K234" s="546">
        <f t="shared" si="19"/>
        <v>0</v>
      </c>
      <c r="L234" s="453"/>
      <c r="M234" s="346" t="s">
        <v>2392</v>
      </c>
      <c r="N234" s="347"/>
      <c r="O234" s="355" t="s">
        <v>2393</v>
      </c>
      <c r="P234" s="360" t="s">
        <v>2394</v>
      </c>
      <c r="Q234" s="362" t="s">
        <v>2390</v>
      </c>
      <c r="S234" s="371" t="s">
        <v>2395</v>
      </c>
    </row>
    <row r="235" spans="1:19" s="325" customFormat="1" ht="33" hidden="1">
      <c r="A235" s="406" t="s">
        <v>2246</v>
      </c>
      <c r="B235" s="407" t="s">
        <v>660</v>
      </c>
      <c r="C235" s="408" t="s">
        <v>4</v>
      </c>
      <c r="D235" s="409"/>
      <c r="E235" s="409"/>
      <c r="F235" s="410">
        <f t="shared" si="22"/>
        <v>0</v>
      </c>
      <c r="G235" s="409">
        <v>901865.78</v>
      </c>
      <c r="H235" s="409"/>
      <c r="I235" s="411">
        <f>SUM(I236:I312)</f>
        <v>5797339.8100000005</v>
      </c>
      <c r="J235" s="411">
        <f>SUM(J236:J312)</f>
        <v>5864027.4800000004</v>
      </c>
      <c r="K235" s="541">
        <f>SUM(K236:K312)</f>
        <v>66687.67</v>
      </c>
      <c r="L235" s="452">
        <f>SUM(L236:L312)</f>
        <v>0</v>
      </c>
      <c r="M235" s="288" t="s">
        <v>242</v>
      </c>
      <c r="N235" s="11" t="s">
        <v>243</v>
      </c>
      <c r="O235" s="338"/>
      <c r="P235" s="339"/>
      <c r="R235" s="325">
        <f>(26.4+21.4+6.8+29.6+4.8+58.5)+(52.7+6.8+48.3+5+21.2+10.7+23.9+49.8+2.3+1.4)+(43.6+11.2+9.1+20.6+77.7+67.4+13.8+49.3+17.5+24.2+1.8)+(6.5+64.1+10.9+43+11.1+9.4+10+42+1.2+20.1)</f>
        <v>924.09999999999991</v>
      </c>
      <c r="S235" s="325">
        <f>(26.4+21.4+6.8+29.6+4.8+58.5)+(52.7+6.8+48.3+5+21.2+10.7+23.9+49.8+2.3+1.4)+(43.6+11.2+9.1+20.6+77.7+67.4+13.8+49.3+17.5+24.2+1.8)+(10.9+43+11.1+9.4+10+42+1.2+20.1)</f>
        <v>853.5</v>
      </c>
    </row>
    <row r="236" spans="1:19" s="325" customFormat="1" ht="33" hidden="1">
      <c r="A236" s="333" t="s">
        <v>2154</v>
      </c>
      <c r="B236" s="334" t="s">
        <v>662</v>
      </c>
      <c r="C236" s="335" t="s">
        <v>223</v>
      </c>
      <c r="D236" s="336">
        <v>1</v>
      </c>
      <c r="E236" s="336">
        <f>估驗單!F226</f>
        <v>1</v>
      </c>
      <c r="F236" s="390">
        <f t="shared" si="22"/>
        <v>0</v>
      </c>
      <c r="G236" s="336">
        <v>704.48</v>
      </c>
      <c r="H236" s="336"/>
      <c r="I236" s="336">
        <f t="shared" ref="I236:I299" si="23">ROUND(D236*G236,2)</f>
        <v>704.48</v>
      </c>
      <c r="J236" s="336">
        <f t="shared" ref="J236:J299" si="24">ROUND(E236*G236,2)</f>
        <v>704.48</v>
      </c>
      <c r="K236" s="546">
        <f t="shared" si="19"/>
        <v>0</v>
      </c>
      <c r="L236" s="502"/>
      <c r="M236" s="231" t="s">
        <v>2396</v>
      </c>
      <c r="N236" s="11" t="s">
        <v>243</v>
      </c>
      <c r="O236" s="341"/>
      <c r="P236" s="339"/>
    </row>
    <row r="237" spans="1:19" s="325" customFormat="1" ht="33" hidden="1">
      <c r="A237" s="333" t="s">
        <v>2155</v>
      </c>
      <c r="B237" s="334" t="s">
        <v>665</v>
      </c>
      <c r="C237" s="335" t="s">
        <v>5</v>
      </c>
      <c r="D237" s="336">
        <v>1</v>
      </c>
      <c r="E237" s="336">
        <f>估驗單!F227</f>
        <v>1</v>
      </c>
      <c r="F237" s="390">
        <f t="shared" si="22"/>
        <v>0</v>
      </c>
      <c r="G237" s="336">
        <v>399.98</v>
      </c>
      <c r="H237" s="336"/>
      <c r="I237" s="336">
        <f t="shared" si="23"/>
        <v>399.98</v>
      </c>
      <c r="J237" s="336">
        <f t="shared" si="24"/>
        <v>399.98</v>
      </c>
      <c r="K237" s="546">
        <f t="shared" si="19"/>
        <v>0</v>
      </c>
      <c r="L237" s="502"/>
      <c r="M237" s="231" t="s">
        <v>2397</v>
      </c>
      <c r="N237" s="11" t="s">
        <v>243</v>
      </c>
      <c r="O237" s="341"/>
      <c r="P237" s="339"/>
    </row>
    <row r="238" spans="1:19" s="325" customFormat="1" ht="33.75" hidden="1">
      <c r="A238" s="333" t="s">
        <v>2156</v>
      </c>
      <c r="B238" s="334" t="s">
        <v>668</v>
      </c>
      <c r="C238" s="335" t="s">
        <v>669</v>
      </c>
      <c r="D238" s="336">
        <v>14</v>
      </c>
      <c r="E238" s="336">
        <f>估驗單!F228</f>
        <v>15</v>
      </c>
      <c r="F238" s="390">
        <f t="shared" si="22"/>
        <v>1</v>
      </c>
      <c r="G238" s="336">
        <v>3569.75</v>
      </c>
      <c r="H238" s="336"/>
      <c r="I238" s="336">
        <f t="shared" si="23"/>
        <v>49976.5</v>
      </c>
      <c r="J238" s="336">
        <f t="shared" si="24"/>
        <v>53546.25</v>
      </c>
      <c r="K238" s="546">
        <f t="shared" si="19"/>
        <v>3569.75</v>
      </c>
      <c r="L238" s="502"/>
      <c r="M238" s="231" t="s">
        <v>2398</v>
      </c>
      <c r="N238" s="11" t="s">
        <v>243</v>
      </c>
      <c r="O238" s="341" t="s">
        <v>2399</v>
      </c>
      <c r="P238" s="339"/>
      <c r="Q238" s="325" t="s">
        <v>2400</v>
      </c>
    </row>
    <row r="239" spans="1:19" s="325" customFormat="1" ht="33.75" hidden="1">
      <c r="A239" s="333" t="s">
        <v>2157</v>
      </c>
      <c r="B239" s="334" t="s">
        <v>672</v>
      </c>
      <c r="C239" s="335" t="s">
        <v>669</v>
      </c>
      <c r="D239" s="336">
        <v>2</v>
      </c>
      <c r="E239" s="336">
        <f>估驗單!F229</f>
        <v>2</v>
      </c>
      <c r="F239" s="390">
        <f t="shared" si="22"/>
        <v>0</v>
      </c>
      <c r="G239" s="336">
        <v>4082.87</v>
      </c>
      <c r="H239" s="336"/>
      <c r="I239" s="336">
        <f t="shared" si="23"/>
        <v>8165.74</v>
      </c>
      <c r="J239" s="336">
        <f t="shared" si="24"/>
        <v>8165.74</v>
      </c>
      <c r="K239" s="546">
        <f t="shared" si="19"/>
        <v>0</v>
      </c>
      <c r="L239" s="502"/>
      <c r="M239" s="231" t="s">
        <v>2401</v>
      </c>
      <c r="N239" s="11" t="s">
        <v>243</v>
      </c>
      <c r="O239" s="341" t="s">
        <v>2399</v>
      </c>
      <c r="P239" s="339"/>
      <c r="Q239" s="325" t="s">
        <v>2400</v>
      </c>
    </row>
    <row r="240" spans="1:19" s="325" customFormat="1" ht="33.75" hidden="1">
      <c r="A240" s="333" t="s">
        <v>2158</v>
      </c>
      <c r="B240" s="334" t="s">
        <v>675</v>
      </c>
      <c r="C240" s="335" t="s">
        <v>669</v>
      </c>
      <c r="D240" s="336">
        <v>6</v>
      </c>
      <c r="E240" s="336">
        <f>估驗單!F230</f>
        <v>9</v>
      </c>
      <c r="F240" s="390">
        <f t="shared" si="22"/>
        <v>3</v>
      </c>
      <c r="G240" s="336">
        <v>7408.14</v>
      </c>
      <c r="H240" s="336"/>
      <c r="I240" s="336">
        <f t="shared" si="23"/>
        <v>44448.84</v>
      </c>
      <c r="J240" s="336">
        <f t="shared" si="24"/>
        <v>66673.259999999995</v>
      </c>
      <c r="K240" s="546">
        <f t="shared" si="19"/>
        <v>22224.42</v>
      </c>
      <c r="L240" s="502"/>
      <c r="M240" s="231" t="s">
        <v>2401</v>
      </c>
      <c r="N240" s="11" t="s">
        <v>243</v>
      </c>
      <c r="O240" s="341" t="s">
        <v>2399</v>
      </c>
      <c r="P240" s="339"/>
      <c r="Q240" s="325" t="s">
        <v>2400</v>
      </c>
    </row>
    <row r="241" spans="1:17" s="325" customFormat="1" ht="33.75" hidden="1">
      <c r="A241" s="333" t="s">
        <v>2159</v>
      </c>
      <c r="B241" s="334" t="s">
        <v>678</v>
      </c>
      <c r="C241" s="335" t="s">
        <v>669</v>
      </c>
      <c r="D241" s="336">
        <v>8</v>
      </c>
      <c r="E241" s="336">
        <f>估驗單!F231</f>
        <v>8</v>
      </c>
      <c r="F241" s="390">
        <f t="shared" si="22"/>
        <v>0</v>
      </c>
      <c r="G241" s="336">
        <v>10318.74</v>
      </c>
      <c r="H241" s="336"/>
      <c r="I241" s="336">
        <f t="shared" si="23"/>
        <v>82549.919999999998</v>
      </c>
      <c r="J241" s="336">
        <f t="shared" si="24"/>
        <v>82549.919999999998</v>
      </c>
      <c r="K241" s="546">
        <f t="shared" si="19"/>
        <v>0</v>
      </c>
      <c r="L241" s="502"/>
      <c r="M241" s="231" t="s">
        <v>2401</v>
      </c>
      <c r="N241" s="11" t="s">
        <v>243</v>
      </c>
      <c r="O241" s="341" t="s">
        <v>2399</v>
      </c>
      <c r="P241" s="339"/>
      <c r="Q241" s="325" t="s">
        <v>2400</v>
      </c>
    </row>
    <row r="242" spans="1:17" s="325" customFormat="1" ht="33.75" hidden="1">
      <c r="A242" s="333" t="s">
        <v>2160</v>
      </c>
      <c r="B242" s="334" t="s">
        <v>681</v>
      </c>
      <c r="C242" s="335" t="s">
        <v>669</v>
      </c>
      <c r="D242" s="336">
        <v>5</v>
      </c>
      <c r="E242" s="336">
        <f>估驗單!F232</f>
        <v>5</v>
      </c>
      <c r="F242" s="390">
        <f t="shared" si="22"/>
        <v>0</v>
      </c>
      <c r="G242" s="336">
        <v>15163.34</v>
      </c>
      <c r="H242" s="336"/>
      <c r="I242" s="336">
        <f t="shared" si="23"/>
        <v>75816.7</v>
      </c>
      <c r="J242" s="336">
        <f t="shared" si="24"/>
        <v>75816.7</v>
      </c>
      <c r="K242" s="546">
        <f t="shared" si="19"/>
        <v>0</v>
      </c>
      <c r="L242" s="502"/>
      <c r="M242" s="231" t="s">
        <v>2398</v>
      </c>
      <c r="N242" s="11" t="s">
        <v>243</v>
      </c>
      <c r="O242" s="341" t="s">
        <v>2399</v>
      </c>
      <c r="P242" s="339"/>
      <c r="Q242" s="325" t="s">
        <v>2400</v>
      </c>
    </row>
    <row r="243" spans="1:17" s="325" customFormat="1" ht="33.75" hidden="1">
      <c r="A243" s="333" t="s">
        <v>2161</v>
      </c>
      <c r="B243" s="334" t="s">
        <v>684</v>
      </c>
      <c r="C243" s="335" t="s">
        <v>669</v>
      </c>
      <c r="D243" s="336">
        <v>3</v>
      </c>
      <c r="E243" s="336">
        <f>估驗單!F233</f>
        <v>3</v>
      </c>
      <c r="F243" s="390">
        <f t="shared" si="22"/>
        <v>0</v>
      </c>
      <c r="G243" s="336">
        <v>21801.91</v>
      </c>
      <c r="H243" s="336"/>
      <c r="I243" s="336">
        <f t="shared" si="23"/>
        <v>65405.73</v>
      </c>
      <c r="J243" s="336">
        <f t="shared" si="24"/>
        <v>65405.73</v>
      </c>
      <c r="K243" s="546">
        <f t="shared" si="19"/>
        <v>0</v>
      </c>
      <c r="L243" s="502"/>
      <c r="M243" s="231" t="s">
        <v>2401</v>
      </c>
      <c r="N243" s="11" t="s">
        <v>243</v>
      </c>
      <c r="O243" s="341" t="s">
        <v>2399</v>
      </c>
      <c r="P243" s="339"/>
      <c r="Q243" s="325" t="s">
        <v>2400</v>
      </c>
    </row>
    <row r="244" spans="1:17" s="325" customFormat="1" ht="33.75" hidden="1">
      <c r="A244" s="333" t="s">
        <v>2162</v>
      </c>
      <c r="B244" s="334" t="s">
        <v>687</v>
      </c>
      <c r="C244" s="335" t="s">
        <v>669</v>
      </c>
      <c r="D244" s="336">
        <v>2</v>
      </c>
      <c r="E244" s="336">
        <f>估驗單!F234</f>
        <v>2</v>
      </c>
      <c r="F244" s="390">
        <f t="shared" si="22"/>
        <v>0</v>
      </c>
      <c r="G244" s="336">
        <v>29983.23</v>
      </c>
      <c r="H244" s="336"/>
      <c r="I244" s="336">
        <f t="shared" si="23"/>
        <v>59966.46</v>
      </c>
      <c r="J244" s="336">
        <f t="shared" si="24"/>
        <v>59966.46</v>
      </c>
      <c r="K244" s="546">
        <f t="shared" si="19"/>
        <v>0</v>
      </c>
      <c r="L244" s="502"/>
      <c r="M244" s="231" t="s">
        <v>242</v>
      </c>
      <c r="N244" s="11" t="s">
        <v>243</v>
      </c>
      <c r="O244" s="341" t="s">
        <v>2399</v>
      </c>
      <c r="P244" s="339"/>
      <c r="Q244" s="325" t="s">
        <v>2400</v>
      </c>
    </row>
    <row r="245" spans="1:17" s="325" customFormat="1" ht="33" hidden="1">
      <c r="A245" s="333" t="s">
        <v>2163</v>
      </c>
      <c r="B245" s="334" t="s">
        <v>690</v>
      </c>
      <c r="C245" s="335" t="s">
        <v>669</v>
      </c>
      <c r="D245" s="336">
        <v>1</v>
      </c>
      <c r="E245" s="336">
        <f>估驗單!F235</f>
        <v>1</v>
      </c>
      <c r="F245" s="390">
        <f t="shared" si="22"/>
        <v>0</v>
      </c>
      <c r="G245" s="336">
        <v>28372.400000000001</v>
      </c>
      <c r="H245" s="336"/>
      <c r="I245" s="336">
        <f t="shared" si="23"/>
        <v>28372.400000000001</v>
      </c>
      <c r="J245" s="336">
        <f t="shared" si="24"/>
        <v>28372.400000000001</v>
      </c>
      <c r="K245" s="546">
        <f t="shared" si="19"/>
        <v>0</v>
      </c>
      <c r="L245" s="502"/>
      <c r="M245" s="231" t="s">
        <v>242</v>
      </c>
      <c r="N245" s="11" t="s">
        <v>243</v>
      </c>
      <c r="O245" s="341"/>
      <c r="P245" s="339"/>
    </row>
    <row r="246" spans="1:17" s="325" customFormat="1" ht="33" hidden="1">
      <c r="A246" s="333" t="s">
        <v>2164</v>
      </c>
      <c r="B246" s="334" t="s">
        <v>693</v>
      </c>
      <c r="C246" s="335" t="s">
        <v>669</v>
      </c>
      <c r="D246" s="336">
        <v>1</v>
      </c>
      <c r="E246" s="336">
        <f>估驗單!F236</f>
        <v>1</v>
      </c>
      <c r="F246" s="390">
        <f t="shared" si="22"/>
        <v>0</v>
      </c>
      <c r="G246" s="336">
        <v>73084.87</v>
      </c>
      <c r="H246" s="336"/>
      <c r="I246" s="336">
        <f t="shared" si="23"/>
        <v>73084.87</v>
      </c>
      <c r="J246" s="336">
        <f t="shared" si="24"/>
        <v>73084.87</v>
      </c>
      <c r="K246" s="546">
        <f t="shared" si="19"/>
        <v>0</v>
      </c>
      <c r="L246" s="502"/>
      <c r="M246" s="231" t="s">
        <v>242</v>
      </c>
      <c r="N246" s="11" t="s">
        <v>243</v>
      </c>
      <c r="O246" s="341"/>
      <c r="P246" s="339"/>
    </row>
    <row r="247" spans="1:17" s="325" customFormat="1" ht="57" hidden="1">
      <c r="A247" s="333" t="s">
        <v>2165</v>
      </c>
      <c r="B247" s="334" t="s">
        <v>696</v>
      </c>
      <c r="C247" s="335" t="s">
        <v>669</v>
      </c>
      <c r="D247" s="336">
        <v>4</v>
      </c>
      <c r="E247" s="336">
        <f>估驗單!F237</f>
        <v>4</v>
      </c>
      <c r="F247" s="390">
        <f t="shared" si="22"/>
        <v>0</v>
      </c>
      <c r="G247" s="336">
        <v>22813.26</v>
      </c>
      <c r="H247" s="336"/>
      <c r="I247" s="336">
        <f t="shared" si="23"/>
        <v>91253.04</v>
      </c>
      <c r="J247" s="336">
        <f t="shared" si="24"/>
        <v>91253.04</v>
      </c>
      <c r="K247" s="546">
        <f t="shared" si="19"/>
        <v>0</v>
      </c>
      <c r="L247" s="502"/>
      <c r="M247" s="231" t="s">
        <v>2402</v>
      </c>
      <c r="N247" s="11" t="s">
        <v>243</v>
      </c>
      <c r="O247" s="341"/>
      <c r="P247" s="339"/>
    </row>
    <row r="248" spans="1:17" s="325" customFormat="1" ht="33" hidden="1">
      <c r="A248" s="333" t="s">
        <v>2166</v>
      </c>
      <c r="B248" s="334" t="s">
        <v>699</v>
      </c>
      <c r="C248" s="335" t="s">
        <v>669</v>
      </c>
      <c r="D248" s="336">
        <v>1</v>
      </c>
      <c r="E248" s="336">
        <f>估驗單!F238</f>
        <v>2</v>
      </c>
      <c r="F248" s="390">
        <f t="shared" si="22"/>
        <v>1</v>
      </c>
      <c r="G248" s="336">
        <v>1079.8499999999999</v>
      </c>
      <c r="H248" s="336"/>
      <c r="I248" s="336">
        <f t="shared" si="23"/>
        <v>1079.8499999999999</v>
      </c>
      <c r="J248" s="336">
        <f t="shared" si="24"/>
        <v>2159.6999999999998</v>
      </c>
      <c r="K248" s="546">
        <f t="shared" si="19"/>
        <v>1079.8499999999999</v>
      </c>
      <c r="L248" s="502"/>
      <c r="M248" s="231" t="s">
        <v>2403</v>
      </c>
      <c r="N248" s="11" t="s">
        <v>243</v>
      </c>
      <c r="O248" s="341"/>
      <c r="P248" s="339"/>
    </row>
    <row r="249" spans="1:17" s="325" customFormat="1" ht="33" hidden="1">
      <c r="A249" s="333" t="s">
        <v>2167</v>
      </c>
      <c r="B249" s="334" t="s">
        <v>702</v>
      </c>
      <c r="C249" s="335" t="s">
        <v>669</v>
      </c>
      <c r="D249" s="336">
        <v>1</v>
      </c>
      <c r="E249" s="336">
        <f>估驗單!F239</f>
        <v>7</v>
      </c>
      <c r="F249" s="390">
        <f t="shared" si="22"/>
        <v>6</v>
      </c>
      <c r="G249" s="336">
        <v>1963.19</v>
      </c>
      <c r="H249" s="336"/>
      <c r="I249" s="336">
        <f t="shared" si="23"/>
        <v>1963.19</v>
      </c>
      <c r="J249" s="336">
        <f t="shared" si="24"/>
        <v>13742.33</v>
      </c>
      <c r="K249" s="546">
        <f t="shared" si="19"/>
        <v>11779.14</v>
      </c>
      <c r="L249" s="502"/>
      <c r="M249" s="231"/>
      <c r="N249" s="11" t="s">
        <v>243</v>
      </c>
      <c r="O249" s="341"/>
      <c r="P249" s="339"/>
    </row>
    <row r="250" spans="1:17" s="325" customFormat="1" ht="33" hidden="1">
      <c r="A250" s="333" t="s">
        <v>2168</v>
      </c>
      <c r="B250" s="334" t="s">
        <v>705</v>
      </c>
      <c r="C250" s="335" t="s">
        <v>669</v>
      </c>
      <c r="D250" s="336">
        <v>1</v>
      </c>
      <c r="E250" s="336">
        <f>估驗單!F240</f>
        <v>3</v>
      </c>
      <c r="F250" s="390">
        <f t="shared" si="22"/>
        <v>2</v>
      </c>
      <c r="G250" s="336">
        <v>2216.48</v>
      </c>
      <c r="H250" s="336"/>
      <c r="I250" s="336">
        <f t="shared" si="23"/>
        <v>2216.48</v>
      </c>
      <c r="J250" s="336">
        <f t="shared" si="24"/>
        <v>6649.44</v>
      </c>
      <c r="K250" s="546">
        <f t="shared" si="19"/>
        <v>4432.9599999999991</v>
      </c>
      <c r="L250" s="502"/>
      <c r="M250" s="231" t="s">
        <v>242</v>
      </c>
      <c r="N250" s="11" t="s">
        <v>243</v>
      </c>
      <c r="O250" s="341"/>
      <c r="P250" s="339"/>
    </row>
    <row r="251" spans="1:17" s="325" customFormat="1" ht="33" hidden="1">
      <c r="A251" s="333" t="s">
        <v>2169</v>
      </c>
      <c r="B251" s="334" t="s">
        <v>708</v>
      </c>
      <c r="C251" s="335" t="s">
        <v>669</v>
      </c>
      <c r="D251" s="336">
        <v>1</v>
      </c>
      <c r="E251" s="336">
        <f>估驗單!F241</f>
        <v>6</v>
      </c>
      <c r="F251" s="390">
        <f t="shared" si="22"/>
        <v>5</v>
      </c>
      <c r="G251" s="336">
        <v>4720.3100000000004</v>
      </c>
      <c r="H251" s="336"/>
      <c r="I251" s="336">
        <f t="shared" si="23"/>
        <v>4720.3100000000004</v>
      </c>
      <c r="J251" s="336">
        <f t="shared" si="24"/>
        <v>28321.86</v>
      </c>
      <c r="K251" s="546">
        <f t="shared" si="19"/>
        <v>23601.55</v>
      </c>
      <c r="L251" s="502"/>
      <c r="M251" s="231" t="s">
        <v>242</v>
      </c>
      <c r="N251" s="11" t="s">
        <v>243</v>
      </c>
      <c r="O251" s="341"/>
      <c r="P251" s="339"/>
    </row>
    <row r="252" spans="1:17" s="325" customFormat="1" ht="33" hidden="1">
      <c r="A252" s="333" t="s">
        <v>2170</v>
      </c>
      <c r="B252" s="334" t="s">
        <v>147</v>
      </c>
      <c r="C252" s="335" t="s">
        <v>8</v>
      </c>
      <c r="D252" s="336">
        <v>162</v>
      </c>
      <c r="E252" s="336">
        <f>估驗單!F242</f>
        <v>162</v>
      </c>
      <c r="F252" s="390">
        <f t="shared" si="22"/>
        <v>0</v>
      </c>
      <c r="G252" s="336">
        <v>1859.79</v>
      </c>
      <c r="H252" s="336"/>
      <c r="I252" s="336">
        <f t="shared" si="23"/>
        <v>301285.98</v>
      </c>
      <c r="J252" s="336">
        <f t="shared" si="24"/>
        <v>301285.98</v>
      </c>
      <c r="K252" s="546">
        <f t="shared" si="19"/>
        <v>0</v>
      </c>
      <c r="L252" s="502"/>
      <c r="M252" s="231" t="s">
        <v>2404</v>
      </c>
      <c r="N252" s="11" t="s">
        <v>243</v>
      </c>
      <c r="O252" s="341"/>
      <c r="P252" s="339"/>
    </row>
    <row r="253" spans="1:17" s="325" customFormat="1" ht="33" hidden="1">
      <c r="A253" s="333" t="s">
        <v>2171</v>
      </c>
      <c r="B253" s="334" t="s">
        <v>713</v>
      </c>
      <c r="C253" s="335" t="s">
        <v>15</v>
      </c>
      <c r="D253" s="336">
        <v>1</v>
      </c>
      <c r="E253" s="336">
        <f>估驗單!F243</f>
        <v>1</v>
      </c>
      <c r="F253" s="390">
        <f t="shared" si="22"/>
        <v>0</v>
      </c>
      <c r="G253" s="336">
        <v>10254.44</v>
      </c>
      <c r="H253" s="336"/>
      <c r="I253" s="336">
        <f t="shared" si="23"/>
        <v>10254.44</v>
      </c>
      <c r="J253" s="336">
        <f t="shared" si="24"/>
        <v>10254.44</v>
      </c>
      <c r="K253" s="546">
        <f t="shared" si="19"/>
        <v>0</v>
      </c>
      <c r="L253" s="502"/>
      <c r="M253" s="231" t="s">
        <v>2405</v>
      </c>
      <c r="N253" s="11" t="s">
        <v>243</v>
      </c>
      <c r="O253" s="341"/>
      <c r="P253" s="339"/>
    </row>
    <row r="254" spans="1:17" s="325" customFormat="1" ht="33" hidden="1">
      <c r="A254" s="333" t="s">
        <v>2172</v>
      </c>
      <c r="B254" s="334" t="s">
        <v>716</v>
      </c>
      <c r="C254" s="335" t="s">
        <v>15</v>
      </c>
      <c r="D254" s="336">
        <v>268</v>
      </c>
      <c r="E254" s="336">
        <f>估驗單!F244</f>
        <v>268</v>
      </c>
      <c r="F254" s="390">
        <f t="shared" si="22"/>
        <v>0</v>
      </c>
      <c r="G254" s="336">
        <v>40</v>
      </c>
      <c r="H254" s="336"/>
      <c r="I254" s="336">
        <f t="shared" si="23"/>
        <v>10720</v>
      </c>
      <c r="J254" s="336">
        <f t="shared" si="24"/>
        <v>10720</v>
      </c>
      <c r="K254" s="546">
        <f t="shared" si="19"/>
        <v>0</v>
      </c>
      <c r="L254" s="502"/>
      <c r="M254" s="231" t="s">
        <v>2406</v>
      </c>
      <c r="N254" s="11" t="s">
        <v>243</v>
      </c>
      <c r="O254" s="341"/>
      <c r="P254" s="339"/>
    </row>
    <row r="255" spans="1:17" s="325" customFormat="1" ht="33" hidden="1">
      <c r="A255" s="333" t="s">
        <v>2173</v>
      </c>
      <c r="B255" s="334" t="s">
        <v>719</v>
      </c>
      <c r="C255" s="335" t="s">
        <v>7</v>
      </c>
      <c r="D255" s="336">
        <v>1340</v>
      </c>
      <c r="E255" s="336">
        <f>估驗單!F245</f>
        <v>1340</v>
      </c>
      <c r="F255" s="390">
        <f t="shared" si="22"/>
        <v>0</v>
      </c>
      <c r="G255" s="336">
        <v>35</v>
      </c>
      <c r="H255" s="336"/>
      <c r="I255" s="336">
        <f t="shared" si="23"/>
        <v>46900</v>
      </c>
      <c r="J255" s="336">
        <f t="shared" si="24"/>
        <v>46900</v>
      </c>
      <c r="K255" s="546">
        <f t="shared" si="19"/>
        <v>0</v>
      </c>
      <c r="L255" s="502"/>
      <c r="M255" s="231" t="s">
        <v>2407</v>
      </c>
      <c r="N255" s="11" t="s">
        <v>243</v>
      </c>
      <c r="O255" s="341"/>
      <c r="P255" s="339"/>
    </row>
    <row r="256" spans="1:17" s="325" customFormat="1" ht="33" hidden="1">
      <c r="A256" s="333" t="s">
        <v>2174</v>
      </c>
      <c r="B256" s="334" t="s">
        <v>722</v>
      </c>
      <c r="C256" s="335" t="s">
        <v>8</v>
      </c>
      <c r="D256" s="336">
        <v>1</v>
      </c>
      <c r="E256" s="336">
        <f>估驗單!F246</f>
        <v>1</v>
      </c>
      <c r="F256" s="390">
        <f t="shared" si="22"/>
        <v>0</v>
      </c>
      <c r="G256" s="336">
        <v>10</v>
      </c>
      <c r="H256" s="336"/>
      <c r="I256" s="336">
        <f t="shared" si="23"/>
        <v>10</v>
      </c>
      <c r="J256" s="336">
        <f t="shared" si="24"/>
        <v>10</v>
      </c>
      <c r="K256" s="546">
        <f t="shared" si="19"/>
        <v>0</v>
      </c>
      <c r="L256" s="502"/>
      <c r="M256" s="231" t="s">
        <v>242</v>
      </c>
      <c r="N256" s="11" t="s">
        <v>243</v>
      </c>
      <c r="O256" s="341"/>
      <c r="P256" s="339"/>
    </row>
    <row r="257" spans="1:16" s="325" customFormat="1" ht="33" hidden="1">
      <c r="A257" s="333" t="s">
        <v>2175</v>
      </c>
      <c r="B257" s="334" t="s">
        <v>725</v>
      </c>
      <c r="C257" s="335" t="s">
        <v>13</v>
      </c>
      <c r="D257" s="336">
        <v>1</v>
      </c>
      <c r="E257" s="336">
        <f>估驗單!F247</f>
        <v>1</v>
      </c>
      <c r="F257" s="390">
        <f t="shared" si="22"/>
        <v>0</v>
      </c>
      <c r="G257" s="336">
        <v>530.97</v>
      </c>
      <c r="H257" s="336"/>
      <c r="I257" s="336">
        <f t="shared" si="23"/>
        <v>530.97</v>
      </c>
      <c r="J257" s="336">
        <f t="shared" si="24"/>
        <v>530.97</v>
      </c>
      <c r="K257" s="546">
        <f t="shared" si="19"/>
        <v>0</v>
      </c>
      <c r="L257" s="502"/>
      <c r="M257" s="231" t="s">
        <v>2408</v>
      </c>
      <c r="N257" s="11" t="s">
        <v>243</v>
      </c>
      <c r="O257" s="341"/>
      <c r="P257" s="339"/>
    </row>
    <row r="258" spans="1:16" s="325" customFormat="1" ht="33" hidden="1">
      <c r="A258" s="333" t="s">
        <v>2177</v>
      </c>
      <c r="B258" s="334" t="s">
        <v>728</v>
      </c>
      <c r="C258" s="335" t="s">
        <v>6</v>
      </c>
      <c r="D258" s="336">
        <v>11.31</v>
      </c>
      <c r="E258" s="336">
        <f>估驗單!F248</f>
        <v>11.31</v>
      </c>
      <c r="F258" s="390">
        <f t="shared" si="22"/>
        <v>0</v>
      </c>
      <c r="G258" s="336">
        <v>3386.34</v>
      </c>
      <c r="H258" s="336"/>
      <c r="I258" s="336">
        <f t="shared" si="23"/>
        <v>38299.51</v>
      </c>
      <c r="J258" s="336">
        <f t="shared" si="24"/>
        <v>38299.51</v>
      </c>
      <c r="K258" s="546">
        <f t="shared" si="19"/>
        <v>0</v>
      </c>
      <c r="L258" s="502"/>
      <c r="M258" s="231" t="s">
        <v>242</v>
      </c>
      <c r="N258" s="11" t="s">
        <v>243</v>
      </c>
      <c r="O258" s="341"/>
      <c r="P258" s="339"/>
    </row>
    <row r="259" spans="1:16" s="325" customFormat="1" ht="33" hidden="1">
      <c r="A259" s="333" t="s">
        <v>2178</v>
      </c>
      <c r="B259" s="334" t="s">
        <v>731</v>
      </c>
      <c r="C259" s="335" t="s">
        <v>4</v>
      </c>
      <c r="D259" s="336">
        <v>1</v>
      </c>
      <c r="E259" s="336">
        <f>估驗單!F249</f>
        <v>1</v>
      </c>
      <c r="F259" s="390">
        <f t="shared" si="22"/>
        <v>0</v>
      </c>
      <c r="G259" s="336">
        <v>107994.11</v>
      </c>
      <c r="H259" s="336"/>
      <c r="I259" s="336">
        <f t="shared" si="23"/>
        <v>107994.11</v>
      </c>
      <c r="J259" s="336">
        <f t="shared" si="24"/>
        <v>107994.11</v>
      </c>
      <c r="K259" s="546">
        <f t="shared" si="19"/>
        <v>0</v>
      </c>
      <c r="L259" s="502"/>
      <c r="M259" s="231" t="s">
        <v>2409</v>
      </c>
      <c r="N259" s="11" t="s">
        <v>243</v>
      </c>
      <c r="O259" s="341"/>
      <c r="P259" s="339"/>
    </row>
    <row r="260" spans="1:16" s="325" customFormat="1" ht="33" hidden="1">
      <c r="A260" s="333" t="s">
        <v>2179</v>
      </c>
      <c r="B260" s="334" t="s">
        <v>734</v>
      </c>
      <c r="C260" s="335" t="s">
        <v>13</v>
      </c>
      <c r="D260" s="336">
        <v>1</v>
      </c>
      <c r="E260" s="336">
        <f>估驗單!F250</f>
        <v>1</v>
      </c>
      <c r="F260" s="390">
        <f t="shared" si="22"/>
        <v>0</v>
      </c>
      <c r="G260" s="336">
        <v>499.97</v>
      </c>
      <c r="H260" s="336"/>
      <c r="I260" s="336">
        <f t="shared" si="23"/>
        <v>499.97</v>
      </c>
      <c r="J260" s="336">
        <f t="shared" si="24"/>
        <v>499.97</v>
      </c>
      <c r="K260" s="546">
        <f t="shared" si="19"/>
        <v>0</v>
      </c>
      <c r="L260" s="502"/>
      <c r="M260" s="231" t="s">
        <v>2321</v>
      </c>
      <c r="N260" s="11" t="s">
        <v>243</v>
      </c>
      <c r="O260" s="341"/>
      <c r="P260" s="339"/>
    </row>
    <row r="261" spans="1:16" s="325" customFormat="1" ht="42.75" hidden="1">
      <c r="A261" s="333" t="s">
        <v>2181</v>
      </c>
      <c r="B261" s="334" t="s">
        <v>737</v>
      </c>
      <c r="C261" s="335" t="s">
        <v>669</v>
      </c>
      <c r="D261" s="336">
        <v>1</v>
      </c>
      <c r="E261" s="336">
        <f>估驗單!F251</f>
        <v>1</v>
      </c>
      <c r="F261" s="390">
        <f t="shared" si="22"/>
        <v>0</v>
      </c>
      <c r="G261" s="336">
        <v>10067.84</v>
      </c>
      <c r="H261" s="336"/>
      <c r="I261" s="336">
        <f t="shared" si="23"/>
        <v>10067.84</v>
      </c>
      <c r="J261" s="336">
        <f t="shared" si="24"/>
        <v>10067.84</v>
      </c>
      <c r="K261" s="546">
        <f t="shared" si="19"/>
        <v>0</v>
      </c>
      <c r="L261" s="502"/>
      <c r="M261" s="231" t="s">
        <v>2321</v>
      </c>
      <c r="N261" s="11" t="s">
        <v>243</v>
      </c>
      <c r="O261" s="341"/>
      <c r="P261" s="339"/>
    </row>
    <row r="262" spans="1:16" s="325" customFormat="1" ht="33" hidden="1">
      <c r="A262" s="333" t="s">
        <v>2182</v>
      </c>
      <c r="B262" s="334" t="s">
        <v>740</v>
      </c>
      <c r="C262" s="335" t="s">
        <v>669</v>
      </c>
      <c r="D262" s="336">
        <v>1</v>
      </c>
      <c r="E262" s="336">
        <f>估驗單!F252</f>
        <v>1</v>
      </c>
      <c r="F262" s="390">
        <f t="shared" si="22"/>
        <v>0</v>
      </c>
      <c r="G262" s="336">
        <v>6487.57</v>
      </c>
      <c r="H262" s="336"/>
      <c r="I262" s="336">
        <f t="shared" si="23"/>
        <v>6487.57</v>
      </c>
      <c r="J262" s="336">
        <f t="shared" si="24"/>
        <v>6487.57</v>
      </c>
      <c r="K262" s="546">
        <f t="shared" si="19"/>
        <v>0</v>
      </c>
      <c r="L262" s="502"/>
      <c r="M262" s="231" t="s">
        <v>2321</v>
      </c>
      <c r="N262" s="11" t="s">
        <v>243</v>
      </c>
      <c r="O262" s="341"/>
      <c r="P262" s="339"/>
    </row>
    <row r="263" spans="1:16" s="325" customFormat="1" ht="42.75" hidden="1">
      <c r="A263" s="333" t="s">
        <v>2183</v>
      </c>
      <c r="B263" s="334" t="s">
        <v>743</v>
      </c>
      <c r="C263" s="335" t="s">
        <v>669</v>
      </c>
      <c r="D263" s="336">
        <v>1</v>
      </c>
      <c r="E263" s="336">
        <f>估驗單!F253</f>
        <v>1</v>
      </c>
      <c r="F263" s="390">
        <f t="shared" si="22"/>
        <v>0</v>
      </c>
      <c r="G263" s="336">
        <v>8473.2999999999993</v>
      </c>
      <c r="H263" s="336"/>
      <c r="I263" s="336">
        <f t="shared" si="23"/>
        <v>8473.2999999999993</v>
      </c>
      <c r="J263" s="336">
        <f t="shared" si="24"/>
        <v>8473.2999999999993</v>
      </c>
      <c r="K263" s="546">
        <f t="shared" si="19"/>
        <v>0</v>
      </c>
      <c r="L263" s="502"/>
      <c r="M263" s="231" t="s">
        <v>2321</v>
      </c>
      <c r="N263" s="11" t="s">
        <v>243</v>
      </c>
      <c r="O263" s="341"/>
      <c r="P263" s="339"/>
    </row>
    <row r="264" spans="1:16" s="325" customFormat="1" ht="42.75" hidden="1">
      <c r="A264" s="333" t="s">
        <v>2184</v>
      </c>
      <c r="B264" s="334" t="s">
        <v>746</v>
      </c>
      <c r="C264" s="335" t="s">
        <v>669</v>
      </c>
      <c r="D264" s="336">
        <v>1</v>
      </c>
      <c r="E264" s="336">
        <f>估驗單!F254</f>
        <v>1</v>
      </c>
      <c r="F264" s="390">
        <f t="shared" si="22"/>
        <v>0</v>
      </c>
      <c r="G264" s="336">
        <v>17742.79</v>
      </c>
      <c r="H264" s="336"/>
      <c r="I264" s="336">
        <f t="shared" si="23"/>
        <v>17742.79</v>
      </c>
      <c r="J264" s="336">
        <f t="shared" si="24"/>
        <v>17742.79</v>
      </c>
      <c r="K264" s="546">
        <f t="shared" si="19"/>
        <v>0</v>
      </c>
      <c r="L264" s="502"/>
      <c r="M264" s="231" t="s">
        <v>2321</v>
      </c>
      <c r="N264" s="11" t="s">
        <v>243</v>
      </c>
      <c r="O264" s="341"/>
      <c r="P264" s="339"/>
    </row>
    <row r="265" spans="1:16" s="325" customFormat="1" ht="42.75" hidden="1">
      <c r="A265" s="333" t="s">
        <v>2185</v>
      </c>
      <c r="B265" s="334" t="s">
        <v>749</v>
      </c>
      <c r="C265" s="335" t="s">
        <v>669</v>
      </c>
      <c r="D265" s="336">
        <v>1</v>
      </c>
      <c r="E265" s="336">
        <f>估驗單!F255</f>
        <v>1</v>
      </c>
      <c r="F265" s="390">
        <f t="shared" si="22"/>
        <v>0</v>
      </c>
      <c r="G265" s="336">
        <v>5164.09</v>
      </c>
      <c r="H265" s="336"/>
      <c r="I265" s="336">
        <f t="shared" si="23"/>
        <v>5164.09</v>
      </c>
      <c r="J265" s="336">
        <f t="shared" si="24"/>
        <v>5164.09</v>
      </c>
      <c r="K265" s="546">
        <f t="shared" si="19"/>
        <v>0</v>
      </c>
      <c r="L265" s="502"/>
      <c r="M265" s="231" t="s">
        <v>2321</v>
      </c>
      <c r="N265" s="11" t="s">
        <v>243</v>
      </c>
      <c r="O265" s="341"/>
      <c r="P265" s="339"/>
    </row>
    <row r="266" spans="1:16" s="325" customFormat="1" ht="42.75" hidden="1">
      <c r="A266" s="333" t="s">
        <v>2186</v>
      </c>
      <c r="B266" s="334" t="s">
        <v>752</v>
      </c>
      <c r="C266" s="335" t="s">
        <v>669</v>
      </c>
      <c r="D266" s="336">
        <v>1</v>
      </c>
      <c r="E266" s="336">
        <f>估驗單!F256</f>
        <v>1</v>
      </c>
      <c r="F266" s="390">
        <f t="shared" si="22"/>
        <v>0</v>
      </c>
      <c r="G266" s="336">
        <v>5164.09</v>
      </c>
      <c r="H266" s="336"/>
      <c r="I266" s="336">
        <f t="shared" si="23"/>
        <v>5164.09</v>
      </c>
      <c r="J266" s="336">
        <f t="shared" si="24"/>
        <v>5164.09</v>
      </c>
      <c r="K266" s="546">
        <f t="shared" si="19"/>
        <v>0</v>
      </c>
      <c r="L266" s="502"/>
      <c r="M266" s="231" t="s">
        <v>2321</v>
      </c>
      <c r="N266" s="11" t="s">
        <v>243</v>
      </c>
      <c r="O266" s="341"/>
      <c r="P266" s="339"/>
    </row>
    <row r="267" spans="1:16" s="325" customFormat="1" ht="42.75" hidden="1">
      <c r="A267" s="333" t="s">
        <v>2187</v>
      </c>
      <c r="B267" s="334" t="s">
        <v>755</v>
      </c>
      <c r="C267" s="335" t="s">
        <v>669</v>
      </c>
      <c r="D267" s="336">
        <v>1</v>
      </c>
      <c r="E267" s="336">
        <f>估驗單!F257</f>
        <v>1</v>
      </c>
      <c r="F267" s="390">
        <f t="shared" si="22"/>
        <v>0</v>
      </c>
      <c r="G267" s="336">
        <v>5730.56</v>
      </c>
      <c r="H267" s="336"/>
      <c r="I267" s="336">
        <f t="shared" si="23"/>
        <v>5730.56</v>
      </c>
      <c r="J267" s="336">
        <f t="shared" si="24"/>
        <v>5730.56</v>
      </c>
      <c r="K267" s="546">
        <f t="shared" si="19"/>
        <v>0</v>
      </c>
      <c r="L267" s="502"/>
      <c r="M267" s="231" t="s">
        <v>2321</v>
      </c>
      <c r="N267" s="11" t="s">
        <v>243</v>
      </c>
      <c r="O267" s="341"/>
      <c r="P267" s="339"/>
    </row>
    <row r="268" spans="1:16" s="325" customFormat="1" ht="42.75" hidden="1">
      <c r="A268" s="333" t="s">
        <v>2188</v>
      </c>
      <c r="B268" s="334" t="s">
        <v>758</v>
      </c>
      <c r="C268" s="335" t="s">
        <v>669</v>
      </c>
      <c r="D268" s="336">
        <v>1</v>
      </c>
      <c r="E268" s="336">
        <f>估驗單!F258</f>
        <v>1</v>
      </c>
      <c r="F268" s="390">
        <f t="shared" si="22"/>
        <v>0</v>
      </c>
      <c r="G268" s="336">
        <v>7081</v>
      </c>
      <c r="H268" s="336"/>
      <c r="I268" s="336">
        <f t="shared" si="23"/>
        <v>7081</v>
      </c>
      <c r="J268" s="336">
        <f t="shared" si="24"/>
        <v>7081</v>
      </c>
      <c r="K268" s="546">
        <f t="shared" si="19"/>
        <v>0</v>
      </c>
      <c r="L268" s="502"/>
      <c r="M268" s="231" t="s">
        <v>2321</v>
      </c>
      <c r="N268" s="11" t="s">
        <v>243</v>
      </c>
      <c r="O268" s="341"/>
      <c r="P268" s="339"/>
    </row>
    <row r="269" spans="1:16" s="325" customFormat="1" ht="42.75" hidden="1">
      <c r="A269" s="333" t="s">
        <v>2189</v>
      </c>
      <c r="B269" s="334" t="s">
        <v>761</v>
      </c>
      <c r="C269" s="335" t="s">
        <v>669</v>
      </c>
      <c r="D269" s="336">
        <v>1</v>
      </c>
      <c r="E269" s="336">
        <f>估驗單!F259</f>
        <v>1</v>
      </c>
      <c r="F269" s="390">
        <f t="shared" si="22"/>
        <v>0</v>
      </c>
      <c r="G269" s="336">
        <v>4752.1099999999997</v>
      </c>
      <c r="H269" s="336"/>
      <c r="I269" s="336">
        <f t="shared" si="23"/>
        <v>4752.1099999999997</v>
      </c>
      <c r="J269" s="336">
        <f t="shared" si="24"/>
        <v>4752.1099999999997</v>
      </c>
      <c r="K269" s="546">
        <f t="shared" si="19"/>
        <v>0</v>
      </c>
      <c r="L269" s="502"/>
      <c r="M269" s="231" t="s">
        <v>2321</v>
      </c>
      <c r="N269" s="11" t="s">
        <v>243</v>
      </c>
      <c r="O269" s="341"/>
      <c r="P269" s="339"/>
    </row>
    <row r="270" spans="1:16" s="325" customFormat="1" ht="42.75" hidden="1">
      <c r="A270" s="333" t="s">
        <v>2190</v>
      </c>
      <c r="B270" s="334" t="s">
        <v>764</v>
      </c>
      <c r="C270" s="335" t="s">
        <v>669</v>
      </c>
      <c r="D270" s="336">
        <v>1</v>
      </c>
      <c r="E270" s="336">
        <f>估驗單!F260</f>
        <v>1</v>
      </c>
      <c r="F270" s="390">
        <f t="shared" si="22"/>
        <v>0</v>
      </c>
      <c r="G270" s="336">
        <v>14691.08</v>
      </c>
      <c r="H270" s="336"/>
      <c r="I270" s="336">
        <f t="shared" si="23"/>
        <v>14691.08</v>
      </c>
      <c r="J270" s="336">
        <f t="shared" si="24"/>
        <v>14691.08</v>
      </c>
      <c r="K270" s="546">
        <f t="shared" si="19"/>
        <v>0</v>
      </c>
      <c r="L270" s="502"/>
      <c r="M270" s="231" t="s">
        <v>2321</v>
      </c>
      <c r="N270" s="11" t="s">
        <v>243</v>
      </c>
      <c r="O270" s="341"/>
      <c r="P270" s="339"/>
    </row>
    <row r="271" spans="1:16" s="325" customFormat="1" ht="33" hidden="1">
      <c r="A271" s="333" t="s">
        <v>2191</v>
      </c>
      <c r="B271" s="334" t="s">
        <v>767</v>
      </c>
      <c r="C271" s="335" t="s">
        <v>669</v>
      </c>
      <c r="D271" s="336">
        <v>1</v>
      </c>
      <c r="E271" s="336">
        <f>估驗單!F261</f>
        <v>1</v>
      </c>
      <c r="F271" s="390">
        <f t="shared" si="22"/>
        <v>0</v>
      </c>
      <c r="G271" s="336">
        <v>224.3</v>
      </c>
      <c r="H271" s="336"/>
      <c r="I271" s="336">
        <f t="shared" si="23"/>
        <v>224.3</v>
      </c>
      <c r="J271" s="336">
        <f t="shared" si="24"/>
        <v>224.3</v>
      </c>
      <c r="K271" s="546">
        <f t="shared" si="19"/>
        <v>0</v>
      </c>
      <c r="L271" s="502"/>
      <c r="M271" s="231" t="s">
        <v>2321</v>
      </c>
      <c r="N271" s="11" t="s">
        <v>243</v>
      </c>
      <c r="O271" s="341"/>
      <c r="P271" s="339"/>
    </row>
    <row r="272" spans="1:16" s="325" customFormat="1" ht="33" hidden="1">
      <c r="A272" s="333" t="s">
        <v>2192</v>
      </c>
      <c r="B272" s="334" t="s">
        <v>770</v>
      </c>
      <c r="C272" s="335" t="s">
        <v>669</v>
      </c>
      <c r="D272" s="336">
        <v>1</v>
      </c>
      <c r="E272" s="336">
        <f>估驗單!F262</f>
        <v>1</v>
      </c>
      <c r="F272" s="390">
        <f t="shared" si="22"/>
        <v>0</v>
      </c>
      <c r="G272" s="336">
        <v>275.64</v>
      </c>
      <c r="H272" s="336"/>
      <c r="I272" s="336">
        <f t="shared" si="23"/>
        <v>275.64</v>
      </c>
      <c r="J272" s="336">
        <f t="shared" si="24"/>
        <v>275.64</v>
      </c>
      <c r="K272" s="546">
        <f t="shared" ref="K272:K335" si="25">J272-I272</f>
        <v>0</v>
      </c>
      <c r="L272" s="502"/>
      <c r="M272" s="231" t="s">
        <v>2321</v>
      </c>
      <c r="N272" s="11" t="s">
        <v>243</v>
      </c>
      <c r="O272" s="341"/>
      <c r="P272" s="339"/>
    </row>
    <row r="273" spans="1:16" s="325" customFormat="1" ht="33" hidden="1">
      <c r="A273" s="333" t="s">
        <v>2193</v>
      </c>
      <c r="B273" s="334" t="s">
        <v>773</v>
      </c>
      <c r="C273" s="335" t="s">
        <v>669</v>
      </c>
      <c r="D273" s="336">
        <v>1</v>
      </c>
      <c r="E273" s="336">
        <f>估驗單!F263</f>
        <v>1</v>
      </c>
      <c r="F273" s="390">
        <f t="shared" si="22"/>
        <v>0</v>
      </c>
      <c r="G273" s="336">
        <v>283.52999999999997</v>
      </c>
      <c r="H273" s="336"/>
      <c r="I273" s="336">
        <f t="shared" si="23"/>
        <v>283.52999999999997</v>
      </c>
      <c r="J273" s="336">
        <f t="shared" si="24"/>
        <v>283.52999999999997</v>
      </c>
      <c r="K273" s="546">
        <f t="shared" si="25"/>
        <v>0</v>
      </c>
      <c r="L273" s="502"/>
      <c r="M273" s="231" t="s">
        <v>2321</v>
      </c>
      <c r="N273" s="11" t="s">
        <v>243</v>
      </c>
      <c r="O273" s="341"/>
      <c r="P273" s="339"/>
    </row>
    <row r="274" spans="1:16" s="325" customFormat="1" ht="33" hidden="1">
      <c r="A274" s="333" t="s">
        <v>2194</v>
      </c>
      <c r="B274" s="334" t="s">
        <v>776</v>
      </c>
      <c r="C274" s="335" t="s">
        <v>669</v>
      </c>
      <c r="D274" s="336">
        <v>1</v>
      </c>
      <c r="E274" s="336">
        <f>估驗單!F264</f>
        <v>1</v>
      </c>
      <c r="F274" s="390">
        <f t="shared" si="22"/>
        <v>0</v>
      </c>
      <c r="G274" s="336">
        <v>88.95</v>
      </c>
      <c r="H274" s="336"/>
      <c r="I274" s="336">
        <f t="shared" si="23"/>
        <v>88.95</v>
      </c>
      <c r="J274" s="336">
        <f t="shared" si="24"/>
        <v>88.95</v>
      </c>
      <c r="K274" s="546">
        <f t="shared" si="25"/>
        <v>0</v>
      </c>
      <c r="L274" s="502"/>
      <c r="M274" s="231" t="s">
        <v>242</v>
      </c>
      <c r="N274" s="11" t="s">
        <v>243</v>
      </c>
      <c r="O274" s="341"/>
      <c r="P274" s="339"/>
    </row>
    <row r="275" spans="1:16" s="325" customFormat="1" ht="33" hidden="1">
      <c r="A275" s="333" t="s">
        <v>2195</v>
      </c>
      <c r="B275" s="334" t="s">
        <v>779</v>
      </c>
      <c r="C275" s="335" t="s">
        <v>669</v>
      </c>
      <c r="D275" s="336">
        <v>1</v>
      </c>
      <c r="E275" s="336">
        <f>估驗單!F265</f>
        <v>1</v>
      </c>
      <c r="F275" s="390">
        <f t="shared" si="22"/>
        <v>0</v>
      </c>
      <c r="G275" s="336">
        <v>123.72</v>
      </c>
      <c r="H275" s="336"/>
      <c r="I275" s="336">
        <f t="shared" si="23"/>
        <v>123.72</v>
      </c>
      <c r="J275" s="336">
        <f t="shared" si="24"/>
        <v>123.72</v>
      </c>
      <c r="K275" s="546">
        <f t="shared" si="25"/>
        <v>0</v>
      </c>
      <c r="L275" s="502"/>
      <c r="M275" s="231" t="s">
        <v>2321</v>
      </c>
      <c r="N275" s="11" t="s">
        <v>243</v>
      </c>
      <c r="O275" s="341"/>
      <c r="P275" s="339"/>
    </row>
    <row r="276" spans="1:16" s="325" customFormat="1" ht="33" hidden="1">
      <c r="A276" s="333" t="s">
        <v>2196</v>
      </c>
      <c r="B276" s="334" t="s">
        <v>782</v>
      </c>
      <c r="C276" s="335" t="s">
        <v>669</v>
      </c>
      <c r="D276" s="336">
        <v>1</v>
      </c>
      <c r="E276" s="336">
        <f>估驗單!F266</f>
        <v>1</v>
      </c>
      <c r="F276" s="390">
        <f t="shared" si="22"/>
        <v>0</v>
      </c>
      <c r="G276" s="336">
        <v>121.41</v>
      </c>
      <c r="H276" s="336"/>
      <c r="I276" s="336">
        <f t="shared" si="23"/>
        <v>121.41</v>
      </c>
      <c r="J276" s="336">
        <f t="shared" si="24"/>
        <v>121.41</v>
      </c>
      <c r="K276" s="546">
        <f t="shared" si="25"/>
        <v>0</v>
      </c>
      <c r="L276" s="502"/>
      <c r="M276" s="231" t="s">
        <v>242</v>
      </c>
      <c r="N276" s="11" t="s">
        <v>243</v>
      </c>
      <c r="O276" s="341"/>
      <c r="P276" s="339"/>
    </row>
    <row r="277" spans="1:16" s="325" customFormat="1" ht="33" hidden="1">
      <c r="A277" s="333" t="s">
        <v>2197</v>
      </c>
      <c r="B277" s="334" t="s">
        <v>785</v>
      </c>
      <c r="C277" s="335" t="s">
        <v>669</v>
      </c>
      <c r="D277" s="336">
        <v>1</v>
      </c>
      <c r="E277" s="336">
        <f>估驗單!F267</f>
        <v>1</v>
      </c>
      <c r="F277" s="390">
        <f t="shared" si="22"/>
        <v>0</v>
      </c>
      <c r="G277" s="336">
        <v>134.28</v>
      </c>
      <c r="H277" s="336"/>
      <c r="I277" s="336">
        <f t="shared" si="23"/>
        <v>134.28</v>
      </c>
      <c r="J277" s="336">
        <f t="shared" si="24"/>
        <v>134.28</v>
      </c>
      <c r="K277" s="546">
        <f t="shared" si="25"/>
        <v>0</v>
      </c>
      <c r="L277" s="502"/>
      <c r="M277" s="231" t="s">
        <v>242</v>
      </c>
      <c r="N277" s="11" t="s">
        <v>243</v>
      </c>
      <c r="O277" s="341"/>
      <c r="P277" s="339"/>
    </row>
    <row r="278" spans="1:16" s="325" customFormat="1" ht="33" hidden="1">
      <c r="A278" s="333" t="s">
        <v>2198</v>
      </c>
      <c r="B278" s="334" t="s">
        <v>788</v>
      </c>
      <c r="C278" s="335" t="s">
        <v>669</v>
      </c>
      <c r="D278" s="336">
        <v>1</v>
      </c>
      <c r="E278" s="336">
        <f>估驗單!F268</f>
        <v>1</v>
      </c>
      <c r="F278" s="390">
        <f t="shared" si="22"/>
        <v>0</v>
      </c>
      <c r="G278" s="336">
        <v>36.549999999999997</v>
      </c>
      <c r="H278" s="336"/>
      <c r="I278" s="336">
        <f t="shared" si="23"/>
        <v>36.549999999999997</v>
      </c>
      <c r="J278" s="336">
        <f t="shared" si="24"/>
        <v>36.549999999999997</v>
      </c>
      <c r="K278" s="546">
        <f t="shared" si="25"/>
        <v>0</v>
      </c>
      <c r="L278" s="502"/>
      <c r="M278" s="231" t="s">
        <v>2321</v>
      </c>
      <c r="N278" s="11" t="s">
        <v>243</v>
      </c>
      <c r="O278" s="341"/>
      <c r="P278" s="339"/>
    </row>
    <row r="279" spans="1:16" s="325" customFormat="1" ht="33" hidden="1">
      <c r="A279" s="333" t="s">
        <v>2199</v>
      </c>
      <c r="B279" s="334" t="s">
        <v>791</v>
      </c>
      <c r="C279" s="335" t="s">
        <v>669</v>
      </c>
      <c r="D279" s="336">
        <v>1</v>
      </c>
      <c r="E279" s="336">
        <f>估驗單!F269</f>
        <v>1</v>
      </c>
      <c r="F279" s="390">
        <f t="shared" si="22"/>
        <v>0</v>
      </c>
      <c r="G279" s="336">
        <v>103.76</v>
      </c>
      <c r="H279" s="336"/>
      <c r="I279" s="336">
        <f t="shared" si="23"/>
        <v>103.76</v>
      </c>
      <c r="J279" s="336">
        <f t="shared" si="24"/>
        <v>103.76</v>
      </c>
      <c r="K279" s="546">
        <f t="shared" si="25"/>
        <v>0</v>
      </c>
      <c r="L279" s="502"/>
      <c r="M279" s="231" t="s">
        <v>242</v>
      </c>
      <c r="N279" s="11" t="s">
        <v>243</v>
      </c>
      <c r="O279" s="341"/>
      <c r="P279" s="339"/>
    </row>
    <row r="280" spans="1:16" s="325" customFormat="1" ht="33" hidden="1">
      <c r="A280" s="333" t="s">
        <v>2200</v>
      </c>
      <c r="B280" s="334" t="s">
        <v>794</v>
      </c>
      <c r="C280" s="335" t="s">
        <v>669</v>
      </c>
      <c r="D280" s="336">
        <v>1</v>
      </c>
      <c r="E280" s="336">
        <f>估驗單!F270</f>
        <v>1</v>
      </c>
      <c r="F280" s="390">
        <f t="shared" si="22"/>
        <v>0</v>
      </c>
      <c r="G280" s="336">
        <v>140.84</v>
      </c>
      <c r="H280" s="336"/>
      <c r="I280" s="336">
        <f t="shared" si="23"/>
        <v>140.84</v>
      </c>
      <c r="J280" s="336">
        <f t="shared" si="24"/>
        <v>140.84</v>
      </c>
      <c r="K280" s="546">
        <f t="shared" si="25"/>
        <v>0</v>
      </c>
      <c r="L280" s="502"/>
      <c r="M280" s="231" t="s">
        <v>242</v>
      </c>
      <c r="N280" s="11" t="s">
        <v>243</v>
      </c>
      <c r="O280" s="341"/>
      <c r="P280" s="339"/>
    </row>
    <row r="281" spans="1:16" s="325" customFormat="1" ht="33" hidden="1">
      <c r="A281" s="333" t="s">
        <v>2201</v>
      </c>
      <c r="B281" s="334" t="s">
        <v>797</v>
      </c>
      <c r="C281" s="335" t="s">
        <v>669</v>
      </c>
      <c r="D281" s="336">
        <v>1</v>
      </c>
      <c r="E281" s="336">
        <f>估驗單!F271</f>
        <v>1</v>
      </c>
      <c r="F281" s="390">
        <f t="shared" si="22"/>
        <v>0</v>
      </c>
      <c r="G281" s="336">
        <v>51.75</v>
      </c>
      <c r="H281" s="336"/>
      <c r="I281" s="336">
        <f t="shared" si="23"/>
        <v>51.75</v>
      </c>
      <c r="J281" s="336">
        <f t="shared" si="24"/>
        <v>51.75</v>
      </c>
      <c r="K281" s="546">
        <f t="shared" si="25"/>
        <v>0</v>
      </c>
      <c r="L281" s="502"/>
      <c r="M281" s="231" t="s">
        <v>2321</v>
      </c>
      <c r="N281" s="11" t="s">
        <v>243</v>
      </c>
      <c r="O281" s="341"/>
      <c r="P281" s="339"/>
    </row>
    <row r="282" spans="1:16" s="325" customFormat="1" ht="33" hidden="1">
      <c r="A282" s="333" t="s">
        <v>2202</v>
      </c>
      <c r="B282" s="334" t="s">
        <v>800</v>
      </c>
      <c r="C282" s="335" t="s">
        <v>669</v>
      </c>
      <c r="D282" s="336">
        <v>1</v>
      </c>
      <c r="E282" s="336">
        <f>估驗單!F272</f>
        <v>1</v>
      </c>
      <c r="F282" s="390">
        <f t="shared" si="22"/>
        <v>0</v>
      </c>
      <c r="G282" s="336">
        <v>35.01</v>
      </c>
      <c r="H282" s="336"/>
      <c r="I282" s="336">
        <f t="shared" si="23"/>
        <v>35.01</v>
      </c>
      <c r="J282" s="336">
        <f t="shared" si="24"/>
        <v>35.01</v>
      </c>
      <c r="K282" s="546">
        <f t="shared" si="25"/>
        <v>0</v>
      </c>
      <c r="L282" s="502"/>
      <c r="M282" s="231" t="s">
        <v>2321</v>
      </c>
      <c r="N282" s="11" t="s">
        <v>243</v>
      </c>
      <c r="O282" s="341"/>
      <c r="P282" s="339"/>
    </row>
    <row r="283" spans="1:16" s="325" customFormat="1" ht="33" hidden="1">
      <c r="A283" s="333" t="s">
        <v>2203</v>
      </c>
      <c r="B283" s="334" t="s">
        <v>803</v>
      </c>
      <c r="C283" s="335" t="s">
        <v>669</v>
      </c>
      <c r="D283" s="336">
        <v>1</v>
      </c>
      <c r="E283" s="336">
        <f>估驗單!F273</f>
        <v>1</v>
      </c>
      <c r="F283" s="390">
        <f t="shared" si="22"/>
        <v>0</v>
      </c>
      <c r="G283" s="336">
        <v>58.37</v>
      </c>
      <c r="H283" s="336"/>
      <c r="I283" s="336">
        <f t="shared" si="23"/>
        <v>58.37</v>
      </c>
      <c r="J283" s="336">
        <f t="shared" si="24"/>
        <v>58.37</v>
      </c>
      <c r="K283" s="546">
        <f t="shared" si="25"/>
        <v>0</v>
      </c>
      <c r="L283" s="502"/>
      <c r="M283" s="231" t="s">
        <v>2321</v>
      </c>
      <c r="N283" s="11" t="s">
        <v>243</v>
      </c>
      <c r="O283" s="341"/>
      <c r="P283" s="339"/>
    </row>
    <row r="284" spans="1:16" s="325" customFormat="1" ht="33" hidden="1">
      <c r="A284" s="333" t="s">
        <v>2204</v>
      </c>
      <c r="B284" s="334" t="s">
        <v>806</v>
      </c>
      <c r="C284" s="335" t="s">
        <v>669</v>
      </c>
      <c r="D284" s="336">
        <v>1</v>
      </c>
      <c r="E284" s="336">
        <f>估驗單!F274</f>
        <v>1</v>
      </c>
      <c r="F284" s="390">
        <f t="shared" si="22"/>
        <v>0</v>
      </c>
      <c r="G284" s="336">
        <v>79.040000000000006</v>
      </c>
      <c r="H284" s="336"/>
      <c r="I284" s="336">
        <f t="shared" si="23"/>
        <v>79.040000000000006</v>
      </c>
      <c r="J284" s="336">
        <f t="shared" si="24"/>
        <v>79.040000000000006</v>
      </c>
      <c r="K284" s="546">
        <f t="shared" si="25"/>
        <v>0</v>
      </c>
      <c r="L284" s="502"/>
      <c r="M284" s="231" t="s">
        <v>2321</v>
      </c>
      <c r="N284" s="11" t="s">
        <v>243</v>
      </c>
      <c r="O284" s="341"/>
      <c r="P284" s="339"/>
    </row>
    <row r="285" spans="1:16" s="325" customFormat="1" ht="33" hidden="1">
      <c r="A285" s="333" t="s">
        <v>2205</v>
      </c>
      <c r="B285" s="334" t="s">
        <v>809</v>
      </c>
      <c r="C285" s="335" t="s">
        <v>669</v>
      </c>
      <c r="D285" s="336">
        <v>1</v>
      </c>
      <c r="E285" s="336">
        <f>估驗單!F275</f>
        <v>1</v>
      </c>
      <c r="F285" s="390">
        <f t="shared" si="22"/>
        <v>0</v>
      </c>
      <c r="G285" s="336">
        <v>63.59</v>
      </c>
      <c r="H285" s="336"/>
      <c r="I285" s="336">
        <f t="shared" si="23"/>
        <v>63.59</v>
      </c>
      <c r="J285" s="336">
        <f t="shared" si="24"/>
        <v>63.59</v>
      </c>
      <c r="K285" s="546">
        <f t="shared" si="25"/>
        <v>0</v>
      </c>
      <c r="L285" s="502"/>
      <c r="M285" s="231" t="s">
        <v>2321</v>
      </c>
      <c r="N285" s="11" t="s">
        <v>243</v>
      </c>
      <c r="O285" s="341"/>
      <c r="P285" s="339"/>
    </row>
    <row r="286" spans="1:16" s="325" customFormat="1" ht="33" hidden="1">
      <c r="A286" s="333" t="s">
        <v>2206</v>
      </c>
      <c r="B286" s="334" t="s">
        <v>812</v>
      </c>
      <c r="C286" s="335" t="s">
        <v>669</v>
      </c>
      <c r="D286" s="336">
        <v>1</v>
      </c>
      <c r="E286" s="336">
        <f>估驗單!F276</f>
        <v>1</v>
      </c>
      <c r="F286" s="390">
        <f t="shared" si="22"/>
        <v>0</v>
      </c>
      <c r="G286" s="336">
        <v>94.49</v>
      </c>
      <c r="H286" s="336"/>
      <c r="I286" s="336">
        <f t="shared" si="23"/>
        <v>94.49</v>
      </c>
      <c r="J286" s="336">
        <f t="shared" si="24"/>
        <v>94.49</v>
      </c>
      <c r="K286" s="546">
        <f t="shared" si="25"/>
        <v>0</v>
      </c>
      <c r="L286" s="502"/>
      <c r="M286" s="231" t="s">
        <v>2321</v>
      </c>
      <c r="N286" s="11" t="s">
        <v>243</v>
      </c>
      <c r="O286" s="341"/>
      <c r="P286" s="339"/>
    </row>
    <row r="287" spans="1:16" s="325" customFormat="1" ht="33" hidden="1">
      <c r="A287" s="333" t="s">
        <v>2207</v>
      </c>
      <c r="B287" s="334" t="s">
        <v>815</v>
      </c>
      <c r="C287" s="335" t="s">
        <v>669</v>
      </c>
      <c r="D287" s="336">
        <v>1</v>
      </c>
      <c r="E287" s="336">
        <f>估驗單!F277</f>
        <v>1</v>
      </c>
      <c r="F287" s="390">
        <f t="shared" si="22"/>
        <v>0</v>
      </c>
      <c r="G287" s="336">
        <v>73.89</v>
      </c>
      <c r="H287" s="336"/>
      <c r="I287" s="336">
        <f t="shared" si="23"/>
        <v>73.89</v>
      </c>
      <c r="J287" s="336">
        <f t="shared" si="24"/>
        <v>73.89</v>
      </c>
      <c r="K287" s="546">
        <f t="shared" si="25"/>
        <v>0</v>
      </c>
      <c r="L287" s="502"/>
      <c r="M287" s="231" t="s">
        <v>2321</v>
      </c>
      <c r="N287" s="11" t="s">
        <v>243</v>
      </c>
      <c r="O287" s="341"/>
      <c r="P287" s="339"/>
    </row>
    <row r="288" spans="1:16" s="325" customFormat="1" ht="33" hidden="1">
      <c r="A288" s="333" t="s">
        <v>2208</v>
      </c>
      <c r="B288" s="334" t="s">
        <v>818</v>
      </c>
      <c r="C288" s="335" t="s">
        <v>669</v>
      </c>
      <c r="D288" s="336">
        <v>1</v>
      </c>
      <c r="E288" s="336">
        <f>估驗單!F278</f>
        <v>1</v>
      </c>
      <c r="F288" s="390">
        <f t="shared" ref="F288:F351" si="26">E288-D288</f>
        <v>0</v>
      </c>
      <c r="G288" s="336">
        <v>92.43</v>
      </c>
      <c r="H288" s="336"/>
      <c r="I288" s="336">
        <f t="shared" si="23"/>
        <v>92.43</v>
      </c>
      <c r="J288" s="336">
        <f t="shared" si="24"/>
        <v>92.43</v>
      </c>
      <c r="K288" s="546">
        <f t="shared" si="25"/>
        <v>0</v>
      </c>
      <c r="L288" s="502"/>
      <c r="M288" s="231" t="s">
        <v>2321</v>
      </c>
      <c r="N288" s="11" t="s">
        <v>243</v>
      </c>
      <c r="O288" s="341"/>
      <c r="P288" s="339"/>
    </row>
    <row r="289" spans="1:16" s="325" customFormat="1" ht="33" hidden="1">
      <c r="A289" s="333" t="s">
        <v>2209</v>
      </c>
      <c r="B289" s="334" t="s">
        <v>821</v>
      </c>
      <c r="C289" s="335" t="s">
        <v>669</v>
      </c>
      <c r="D289" s="336">
        <v>1</v>
      </c>
      <c r="E289" s="336">
        <f>估驗單!F279</f>
        <v>1</v>
      </c>
      <c r="F289" s="390">
        <f t="shared" si="26"/>
        <v>0</v>
      </c>
      <c r="G289" s="336">
        <v>61.98</v>
      </c>
      <c r="H289" s="336"/>
      <c r="I289" s="336">
        <f t="shared" si="23"/>
        <v>61.98</v>
      </c>
      <c r="J289" s="336">
        <f t="shared" si="24"/>
        <v>61.98</v>
      </c>
      <c r="K289" s="546">
        <f t="shared" si="25"/>
        <v>0</v>
      </c>
      <c r="L289" s="502"/>
      <c r="M289" s="231" t="s">
        <v>2321</v>
      </c>
      <c r="N289" s="11" t="s">
        <v>243</v>
      </c>
      <c r="O289" s="341"/>
      <c r="P289" s="339"/>
    </row>
    <row r="290" spans="1:16" s="325" customFormat="1" ht="33" hidden="1">
      <c r="A290" s="333" t="s">
        <v>2210</v>
      </c>
      <c r="B290" s="334" t="s">
        <v>824</v>
      </c>
      <c r="C290" s="335" t="s">
        <v>669</v>
      </c>
      <c r="D290" s="336">
        <v>1</v>
      </c>
      <c r="E290" s="336">
        <f>估驗單!F280</f>
        <v>1</v>
      </c>
      <c r="F290" s="390">
        <f t="shared" si="26"/>
        <v>0</v>
      </c>
      <c r="G290" s="336">
        <v>154.66</v>
      </c>
      <c r="H290" s="336"/>
      <c r="I290" s="336">
        <f t="shared" si="23"/>
        <v>154.66</v>
      </c>
      <c r="J290" s="336">
        <f t="shared" si="24"/>
        <v>154.66</v>
      </c>
      <c r="K290" s="546">
        <f t="shared" si="25"/>
        <v>0</v>
      </c>
      <c r="L290" s="502"/>
      <c r="M290" s="231" t="s">
        <v>2321</v>
      </c>
      <c r="N290" s="11" t="s">
        <v>243</v>
      </c>
      <c r="O290" s="341"/>
      <c r="P290" s="339"/>
    </row>
    <row r="291" spans="1:16" s="325" customFormat="1" ht="33" hidden="1">
      <c r="A291" s="333" t="s">
        <v>2211</v>
      </c>
      <c r="B291" s="334" t="s">
        <v>827</v>
      </c>
      <c r="C291" s="335" t="s">
        <v>669</v>
      </c>
      <c r="D291" s="336">
        <v>1</v>
      </c>
      <c r="E291" s="336">
        <f>估驗單!F281</f>
        <v>1</v>
      </c>
      <c r="F291" s="390">
        <f t="shared" si="26"/>
        <v>0</v>
      </c>
      <c r="G291" s="336">
        <v>67.709999999999994</v>
      </c>
      <c r="H291" s="336"/>
      <c r="I291" s="336">
        <f t="shared" si="23"/>
        <v>67.709999999999994</v>
      </c>
      <c r="J291" s="336">
        <f t="shared" si="24"/>
        <v>67.709999999999994</v>
      </c>
      <c r="K291" s="546">
        <f t="shared" si="25"/>
        <v>0</v>
      </c>
      <c r="L291" s="502"/>
      <c r="M291" s="231" t="s">
        <v>2321</v>
      </c>
      <c r="N291" s="11" t="s">
        <v>243</v>
      </c>
      <c r="O291" s="341"/>
      <c r="P291" s="339"/>
    </row>
    <row r="292" spans="1:16" s="325" customFormat="1" ht="33" hidden="1">
      <c r="A292" s="333" t="s">
        <v>2212</v>
      </c>
      <c r="B292" s="334" t="s">
        <v>830</v>
      </c>
      <c r="C292" s="335" t="s">
        <v>669</v>
      </c>
      <c r="D292" s="336">
        <v>1</v>
      </c>
      <c r="E292" s="336">
        <f>估驗單!F282</f>
        <v>1</v>
      </c>
      <c r="F292" s="390">
        <f t="shared" si="26"/>
        <v>0</v>
      </c>
      <c r="G292" s="336">
        <v>54.25</v>
      </c>
      <c r="H292" s="336"/>
      <c r="I292" s="336">
        <f t="shared" si="23"/>
        <v>54.25</v>
      </c>
      <c r="J292" s="336">
        <f t="shared" si="24"/>
        <v>54.25</v>
      </c>
      <c r="K292" s="546">
        <f t="shared" si="25"/>
        <v>0</v>
      </c>
      <c r="L292" s="502"/>
      <c r="M292" s="231" t="s">
        <v>2321</v>
      </c>
      <c r="N292" s="11" t="s">
        <v>243</v>
      </c>
      <c r="O292" s="341"/>
      <c r="P292" s="339"/>
    </row>
    <row r="293" spans="1:16" s="325" customFormat="1" ht="33" hidden="1">
      <c r="A293" s="333" t="s">
        <v>2213</v>
      </c>
      <c r="B293" s="334" t="s">
        <v>833</v>
      </c>
      <c r="C293" s="335" t="s">
        <v>669</v>
      </c>
      <c r="D293" s="336">
        <v>1</v>
      </c>
      <c r="E293" s="336">
        <f>估驗單!F283</f>
        <v>1</v>
      </c>
      <c r="F293" s="390">
        <f t="shared" si="26"/>
        <v>0</v>
      </c>
      <c r="G293" s="336">
        <v>90.3</v>
      </c>
      <c r="H293" s="336"/>
      <c r="I293" s="336">
        <f t="shared" si="23"/>
        <v>90.3</v>
      </c>
      <c r="J293" s="336">
        <f t="shared" si="24"/>
        <v>90.3</v>
      </c>
      <c r="K293" s="546">
        <f t="shared" si="25"/>
        <v>0</v>
      </c>
      <c r="L293" s="502"/>
      <c r="M293" s="231" t="s">
        <v>2321</v>
      </c>
      <c r="N293" s="11" t="s">
        <v>243</v>
      </c>
      <c r="O293" s="341"/>
      <c r="P293" s="339"/>
    </row>
    <row r="294" spans="1:16" s="325" customFormat="1" ht="33" hidden="1">
      <c r="A294" s="333" t="s">
        <v>2214</v>
      </c>
      <c r="B294" s="334" t="s">
        <v>836</v>
      </c>
      <c r="C294" s="335" t="s">
        <v>669</v>
      </c>
      <c r="D294" s="336">
        <v>1</v>
      </c>
      <c r="E294" s="336">
        <f>估驗單!F284</f>
        <v>1</v>
      </c>
      <c r="F294" s="390">
        <f t="shared" si="26"/>
        <v>0</v>
      </c>
      <c r="G294" s="336">
        <v>67.13</v>
      </c>
      <c r="H294" s="336"/>
      <c r="I294" s="336">
        <f t="shared" si="23"/>
        <v>67.13</v>
      </c>
      <c r="J294" s="336">
        <f t="shared" si="24"/>
        <v>67.13</v>
      </c>
      <c r="K294" s="546">
        <f t="shared" si="25"/>
        <v>0</v>
      </c>
      <c r="L294" s="502"/>
      <c r="M294" s="231" t="s">
        <v>2321</v>
      </c>
      <c r="N294" s="11" t="s">
        <v>243</v>
      </c>
      <c r="O294" s="341"/>
      <c r="P294" s="339"/>
    </row>
    <row r="295" spans="1:16" s="325" customFormat="1" ht="33" hidden="1">
      <c r="A295" s="333" t="s">
        <v>2215</v>
      </c>
      <c r="B295" s="334" t="s">
        <v>839</v>
      </c>
      <c r="C295" s="335" t="s">
        <v>669</v>
      </c>
      <c r="D295" s="336">
        <v>1</v>
      </c>
      <c r="E295" s="336">
        <f>估驗單!F285</f>
        <v>1</v>
      </c>
      <c r="F295" s="390">
        <f t="shared" si="26"/>
        <v>0</v>
      </c>
      <c r="G295" s="336">
        <v>56.83</v>
      </c>
      <c r="H295" s="336"/>
      <c r="I295" s="336">
        <f t="shared" si="23"/>
        <v>56.83</v>
      </c>
      <c r="J295" s="336">
        <f t="shared" si="24"/>
        <v>56.83</v>
      </c>
      <c r="K295" s="546">
        <f t="shared" si="25"/>
        <v>0</v>
      </c>
      <c r="L295" s="502"/>
      <c r="M295" s="231" t="s">
        <v>2321</v>
      </c>
      <c r="N295" s="11" t="s">
        <v>243</v>
      </c>
      <c r="O295" s="341"/>
      <c r="P295" s="339"/>
    </row>
    <row r="296" spans="1:16" s="325" customFormat="1" ht="33" hidden="1">
      <c r="A296" s="333" t="s">
        <v>2216</v>
      </c>
      <c r="B296" s="334" t="s">
        <v>842</v>
      </c>
      <c r="C296" s="335" t="s">
        <v>669</v>
      </c>
      <c r="D296" s="336">
        <v>1</v>
      </c>
      <c r="E296" s="336">
        <f>估驗單!F286</f>
        <v>1</v>
      </c>
      <c r="F296" s="390">
        <f t="shared" si="26"/>
        <v>0</v>
      </c>
      <c r="G296" s="336">
        <v>68.67</v>
      </c>
      <c r="H296" s="336"/>
      <c r="I296" s="336">
        <f t="shared" si="23"/>
        <v>68.67</v>
      </c>
      <c r="J296" s="336">
        <f t="shared" si="24"/>
        <v>68.67</v>
      </c>
      <c r="K296" s="546">
        <f t="shared" si="25"/>
        <v>0</v>
      </c>
      <c r="L296" s="502"/>
      <c r="M296" s="231" t="s">
        <v>2321</v>
      </c>
      <c r="N296" s="11" t="s">
        <v>243</v>
      </c>
      <c r="O296" s="341"/>
      <c r="P296" s="339"/>
    </row>
    <row r="297" spans="1:16" s="325" customFormat="1" ht="33" hidden="1">
      <c r="A297" s="333" t="s">
        <v>2217</v>
      </c>
      <c r="B297" s="334" t="s">
        <v>845</v>
      </c>
      <c r="C297" s="335" t="s">
        <v>669</v>
      </c>
      <c r="D297" s="336">
        <v>1</v>
      </c>
      <c r="E297" s="336">
        <f>估驗單!F287</f>
        <v>1</v>
      </c>
      <c r="F297" s="390">
        <f t="shared" si="26"/>
        <v>0</v>
      </c>
      <c r="G297" s="336">
        <v>59.92</v>
      </c>
      <c r="H297" s="336"/>
      <c r="I297" s="336">
        <f t="shared" si="23"/>
        <v>59.92</v>
      </c>
      <c r="J297" s="336">
        <f t="shared" si="24"/>
        <v>59.92</v>
      </c>
      <c r="K297" s="546">
        <f t="shared" si="25"/>
        <v>0</v>
      </c>
      <c r="L297" s="502"/>
      <c r="M297" s="231" t="s">
        <v>2321</v>
      </c>
      <c r="N297" s="11" t="s">
        <v>243</v>
      </c>
      <c r="O297" s="341"/>
      <c r="P297" s="339"/>
    </row>
    <row r="298" spans="1:16" s="325" customFormat="1" ht="33" hidden="1">
      <c r="A298" s="333" t="s">
        <v>2218</v>
      </c>
      <c r="B298" s="334" t="s">
        <v>848</v>
      </c>
      <c r="C298" s="335" t="s">
        <v>669</v>
      </c>
      <c r="D298" s="336">
        <v>1</v>
      </c>
      <c r="E298" s="336">
        <f>估驗單!F288</f>
        <v>1</v>
      </c>
      <c r="F298" s="390">
        <f t="shared" si="26"/>
        <v>0</v>
      </c>
      <c r="G298" s="336">
        <v>58.37</v>
      </c>
      <c r="H298" s="336"/>
      <c r="I298" s="336">
        <f t="shared" si="23"/>
        <v>58.37</v>
      </c>
      <c r="J298" s="336">
        <f t="shared" si="24"/>
        <v>58.37</v>
      </c>
      <c r="K298" s="546">
        <f t="shared" si="25"/>
        <v>0</v>
      </c>
      <c r="L298" s="502"/>
      <c r="M298" s="231" t="s">
        <v>2321</v>
      </c>
      <c r="N298" s="11" t="s">
        <v>243</v>
      </c>
      <c r="O298" s="341"/>
      <c r="P298" s="339"/>
    </row>
    <row r="299" spans="1:16" s="325" customFormat="1" ht="33" hidden="1">
      <c r="A299" s="333" t="s">
        <v>2219</v>
      </c>
      <c r="B299" s="334" t="s">
        <v>851</v>
      </c>
      <c r="C299" s="335" t="s">
        <v>669</v>
      </c>
      <c r="D299" s="336">
        <v>1</v>
      </c>
      <c r="E299" s="336">
        <f>估驗單!F289</f>
        <v>1</v>
      </c>
      <c r="F299" s="390">
        <f t="shared" si="26"/>
        <v>0</v>
      </c>
      <c r="G299" s="336">
        <v>68.209999999999994</v>
      </c>
      <c r="H299" s="336"/>
      <c r="I299" s="336">
        <f t="shared" si="23"/>
        <v>68.209999999999994</v>
      </c>
      <c r="J299" s="336">
        <f t="shared" si="24"/>
        <v>68.209999999999994</v>
      </c>
      <c r="K299" s="546">
        <f t="shared" si="25"/>
        <v>0</v>
      </c>
      <c r="L299" s="502"/>
      <c r="M299" s="231" t="s">
        <v>2321</v>
      </c>
      <c r="N299" s="11" t="s">
        <v>243</v>
      </c>
      <c r="O299" s="341"/>
      <c r="P299" s="339"/>
    </row>
    <row r="300" spans="1:16" s="325" customFormat="1" ht="33" hidden="1">
      <c r="A300" s="333" t="s">
        <v>2220</v>
      </c>
      <c r="B300" s="334" t="s">
        <v>854</v>
      </c>
      <c r="C300" s="335" t="s">
        <v>669</v>
      </c>
      <c r="D300" s="336">
        <v>1</v>
      </c>
      <c r="E300" s="336">
        <f>估驗單!F290</f>
        <v>1</v>
      </c>
      <c r="F300" s="390">
        <f t="shared" si="26"/>
        <v>0</v>
      </c>
      <c r="G300" s="336">
        <v>72.33</v>
      </c>
      <c r="H300" s="336"/>
      <c r="I300" s="336">
        <f t="shared" ref="I300:I312" si="27">ROUND(D300*G300,2)</f>
        <v>72.33</v>
      </c>
      <c r="J300" s="336">
        <f t="shared" ref="J300:J312" si="28">ROUND(E300*G300,2)</f>
        <v>72.33</v>
      </c>
      <c r="K300" s="546">
        <f t="shared" si="25"/>
        <v>0</v>
      </c>
      <c r="L300" s="502"/>
      <c r="M300" s="231" t="s">
        <v>2321</v>
      </c>
      <c r="N300" s="11" t="s">
        <v>243</v>
      </c>
      <c r="O300" s="341"/>
      <c r="P300" s="339"/>
    </row>
    <row r="301" spans="1:16" ht="33" hidden="1">
      <c r="A301" s="333" t="s">
        <v>2221</v>
      </c>
      <c r="B301" s="334" t="s">
        <v>857</v>
      </c>
      <c r="C301" s="335" t="s">
        <v>669</v>
      </c>
      <c r="D301" s="336">
        <v>1</v>
      </c>
      <c r="E301" s="336">
        <f>估驗單!F291</f>
        <v>1</v>
      </c>
      <c r="F301" s="390">
        <f t="shared" si="26"/>
        <v>0</v>
      </c>
      <c r="G301" s="336">
        <v>111.47</v>
      </c>
      <c r="H301" s="336"/>
      <c r="I301" s="336">
        <f t="shared" si="27"/>
        <v>111.47</v>
      </c>
      <c r="J301" s="336">
        <f t="shared" si="28"/>
        <v>111.47</v>
      </c>
      <c r="K301" s="546">
        <f t="shared" si="25"/>
        <v>0</v>
      </c>
      <c r="L301" s="502"/>
      <c r="M301" s="231" t="s">
        <v>2321</v>
      </c>
      <c r="N301" s="11" t="s">
        <v>243</v>
      </c>
      <c r="O301" s="341"/>
      <c r="P301" s="339"/>
    </row>
    <row r="302" spans="1:16" ht="33" hidden="1">
      <c r="A302" s="333" t="s">
        <v>2222</v>
      </c>
      <c r="B302" s="334" t="s">
        <v>860</v>
      </c>
      <c r="C302" s="335" t="s">
        <v>669</v>
      </c>
      <c r="D302" s="336">
        <v>1</v>
      </c>
      <c r="E302" s="336">
        <f>估驗單!F292</f>
        <v>1</v>
      </c>
      <c r="F302" s="390">
        <f t="shared" si="26"/>
        <v>0</v>
      </c>
      <c r="G302" s="336">
        <v>101.17</v>
      </c>
      <c r="H302" s="336"/>
      <c r="I302" s="336">
        <f t="shared" si="27"/>
        <v>101.17</v>
      </c>
      <c r="J302" s="336">
        <f t="shared" si="28"/>
        <v>101.17</v>
      </c>
      <c r="K302" s="546">
        <f t="shared" si="25"/>
        <v>0</v>
      </c>
      <c r="L302" s="502"/>
      <c r="M302" s="231" t="s">
        <v>2321</v>
      </c>
      <c r="N302" s="11" t="s">
        <v>243</v>
      </c>
      <c r="O302" s="341"/>
      <c r="P302" s="339"/>
    </row>
    <row r="303" spans="1:16" ht="33" hidden="1">
      <c r="A303" s="333" t="s">
        <v>2223</v>
      </c>
      <c r="B303" s="334" t="s">
        <v>863</v>
      </c>
      <c r="C303" s="335" t="s">
        <v>669</v>
      </c>
      <c r="D303" s="336">
        <v>1</v>
      </c>
      <c r="E303" s="336">
        <f>估驗單!F293</f>
        <v>1</v>
      </c>
      <c r="F303" s="390">
        <f t="shared" si="26"/>
        <v>0</v>
      </c>
      <c r="G303" s="336">
        <v>81.62</v>
      </c>
      <c r="H303" s="336"/>
      <c r="I303" s="336">
        <f t="shared" si="27"/>
        <v>81.62</v>
      </c>
      <c r="J303" s="336">
        <f t="shared" si="28"/>
        <v>81.62</v>
      </c>
      <c r="K303" s="546">
        <f t="shared" si="25"/>
        <v>0</v>
      </c>
      <c r="L303" s="502"/>
      <c r="M303" s="231" t="s">
        <v>242</v>
      </c>
      <c r="N303" s="11" t="s">
        <v>243</v>
      </c>
      <c r="O303" s="341"/>
      <c r="P303" s="339"/>
    </row>
    <row r="304" spans="1:16" ht="33" hidden="1">
      <c r="A304" s="333" t="s">
        <v>2224</v>
      </c>
      <c r="B304" s="334" t="s">
        <v>866</v>
      </c>
      <c r="C304" s="335" t="s">
        <v>669</v>
      </c>
      <c r="D304" s="336">
        <v>1</v>
      </c>
      <c r="E304" s="336">
        <f>估驗單!F294</f>
        <v>1</v>
      </c>
      <c r="F304" s="390">
        <f t="shared" si="26"/>
        <v>0</v>
      </c>
      <c r="G304" s="336">
        <v>79.040000000000006</v>
      </c>
      <c r="H304" s="336"/>
      <c r="I304" s="336">
        <f t="shared" si="27"/>
        <v>79.040000000000006</v>
      </c>
      <c r="J304" s="336">
        <f t="shared" si="28"/>
        <v>79.040000000000006</v>
      </c>
      <c r="K304" s="546">
        <f t="shared" si="25"/>
        <v>0</v>
      </c>
      <c r="L304" s="502"/>
      <c r="M304" s="231" t="s">
        <v>242</v>
      </c>
      <c r="N304" s="11" t="s">
        <v>243</v>
      </c>
      <c r="O304" s="341"/>
      <c r="P304" s="339"/>
    </row>
    <row r="305" spans="1:19" ht="33" hidden="1">
      <c r="A305" s="333" t="s">
        <v>2225</v>
      </c>
      <c r="B305" s="334" t="s">
        <v>869</v>
      </c>
      <c r="C305" s="335" t="s">
        <v>669</v>
      </c>
      <c r="D305" s="336">
        <v>1</v>
      </c>
      <c r="E305" s="336">
        <f>估驗單!F295</f>
        <v>1</v>
      </c>
      <c r="F305" s="390">
        <f t="shared" si="26"/>
        <v>0</v>
      </c>
      <c r="G305" s="336">
        <v>99.64</v>
      </c>
      <c r="H305" s="336"/>
      <c r="I305" s="336">
        <f t="shared" si="27"/>
        <v>99.64</v>
      </c>
      <c r="J305" s="336">
        <f t="shared" si="28"/>
        <v>99.64</v>
      </c>
      <c r="K305" s="546">
        <f t="shared" si="25"/>
        <v>0</v>
      </c>
      <c r="L305" s="502"/>
      <c r="M305" s="231" t="s">
        <v>242</v>
      </c>
      <c r="N305" s="11" t="s">
        <v>243</v>
      </c>
      <c r="O305" s="341"/>
      <c r="P305" s="339"/>
    </row>
    <row r="306" spans="1:19" ht="33" hidden="1">
      <c r="A306" s="333" t="s">
        <v>2226</v>
      </c>
      <c r="B306" s="334" t="s">
        <v>872</v>
      </c>
      <c r="C306" s="335" t="s">
        <v>669</v>
      </c>
      <c r="D306" s="336">
        <v>1</v>
      </c>
      <c r="E306" s="336">
        <f>估驗單!F296</f>
        <v>1</v>
      </c>
      <c r="F306" s="390">
        <f t="shared" si="26"/>
        <v>0</v>
      </c>
      <c r="G306" s="336">
        <v>74.92</v>
      </c>
      <c r="H306" s="336"/>
      <c r="I306" s="336">
        <f t="shared" si="27"/>
        <v>74.92</v>
      </c>
      <c r="J306" s="336">
        <f t="shared" si="28"/>
        <v>74.92</v>
      </c>
      <c r="K306" s="546">
        <f t="shared" si="25"/>
        <v>0</v>
      </c>
      <c r="L306" s="502"/>
      <c r="M306" s="231" t="s">
        <v>242</v>
      </c>
      <c r="N306" s="11" t="s">
        <v>243</v>
      </c>
      <c r="O306" s="341"/>
      <c r="P306" s="339"/>
    </row>
    <row r="307" spans="1:19" ht="33" hidden="1">
      <c r="A307" s="333" t="s">
        <v>2227</v>
      </c>
      <c r="B307" s="334" t="s">
        <v>875</v>
      </c>
      <c r="C307" s="335" t="s">
        <v>669</v>
      </c>
      <c r="D307" s="336">
        <v>1</v>
      </c>
      <c r="E307" s="336">
        <f>估驗單!F297</f>
        <v>1</v>
      </c>
      <c r="F307" s="390">
        <f t="shared" si="26"/>
        <v>0</v>
      </c>
      <c r="G307" s="336">
        <v>72.28</v>
      </c>
      <c r="H307" s="336"/>
      <c r="I307" s="336">
        <f t="shared" si="27"/>
        <v>72.28</v>
      </c>
      <c r="J307" s="336">
        <f t="shared" si="28"/>
        <v>72.28</v>
      </c>
      <c r="K307" s="546">
        <f t="shared" si="25"/>
        <v>0</v>
      </c>
      <c r="L307" s="502"/>
      <c r="M307" s="231" t="s">
        <v>242</v>
      </c>
      <c r="N307" s="11" t="s">
        <v>243</v>
      </c>
      <c r="O307" s="341"/>
      <c r="P307" s="339"/>
    </row>
    <row r="308" spans="1:19" ht="33" hidden="1">
      <c r="A308" s="333" t="s">
        <v>2228</v>
      </c>
      <c r="B308" s="334" t="s">
        <v>878</v>
      </c>
      <c r="C308" s="335" t="s">
        <v>13</v>
      </c>
      <c r="D308" s="336">
        <v>1</v>
      </c>
      <c r="E308" s="336">
        <f>估驗單!F298</f>
        <v>1</v>
      </c>
      <c r="F308" s="390">
        <f t="shared" si="26"/>
        <v>0</v>
      </c>
      <c r="G308" s="336">
        <v>43.77</v>
      </c>
      <c r="H308" s="336"/>
      <c r="I308" s="336">
        <f t="shared" si="27"/>
        <v>43.77</v>
      </c>
      <c r="J308" s="336">
        <f t="shared" si="28"/>
        <v>43.77</v>
      </c>
      <c r="K308" s="546">
        <f t="shared" si="25"/>
        <v>0</v>
      </c>
      <c r="L308" s="502"/>
      <c r="M308" s="231" t="s">
        <v>242</v>
      </c>
      <c r="N308" s="11" t="s">
        <v>243</v>
      </c>
      <c r="O308" s="341"/>
      <c r="P308" s="339"/>
    </row>
    <row r="309" spans="1:19" ht="33" hidden="1">
      <c r="A309" s="333" t="s">
        <v>2229</v>
      </c>
      <c r="B309" s="334" t="s">
        <v>881</v>
      </c>
      <c r="C309" s="335" t="s">
        <v>882</v>
      </c>
      <c r="D309" s="336">
        <v>1</v>
      </c>
      <c r="E309" s="336">
        <f>估驗單!F299</f>
        <v>1</v>
      </c>
      <c r="F309" s="390">
        <f t="shared" si="26"/>
        <v>0</v>
      </c>
      <c r="G309" s="336">
        <v>28.11</v>
      </c>
      <c r="H309" s="336"/>
      <c r="I309" s="336">
        <f t="shared" si="27"/>
        <v>28.11</v>
      </c>
      <c r="J309" s="336">
        <f t="shared" si="28"/>
        <v>28.11</v>
      </c>
      <c r="K309" s="546">
        <f t="shared" si="25"/>
        <v>0</v>
      </c>
      <c r="L309" s="502"/>
      <c r="M309" s="231" t="s">
        <v>242</v>
      </c>
      <c r="N309" s="11" t="s">
        <v>243</v>
      </c>
      <c r="O309" s="341"/>
      <c r="P309" s="339"/>
    </row>
    <row r="310" spans="1:19" ht="33" hidden="1">
      <c r="A310" s="333" t="s">
        <v>2230</v>
      </c>
      <c r="B310" s="334" t="s">
        <v>885</v>
      </c>
      <c r="C310" s="335" t="s">
        <v>13</v>
      </c>
      <c r="D310" s="336">
        <v>1</v>
      </c>
      <c r="E310" s="336">
        <f>估驗單!F300</f>
        <v>1</v>
      </c>
      <c r="F310" s="390">
        <f t="shared" si="26"/>
        <v>0</v>
      </c>
      <c r="G310" s="336">
        <v>239.86</v>
      </c>
      <c r="H310" s="336"/>
      <c r="I310" s="336">
        <f t="shared" si="27"/>
        <v>239.86</v>
      </c>
      <c r="J310" s="336">
        <f t="shared" si="28"/>
        <v>239.86</v>
      </c>
      <c r="K310" s="546">
        <f t="shared" si="25"/>
        <v>0</v>
      </c>
      <c r="L310" s="502"/>
      <c r="M310" s="231" t="s">
        <v>2410</v>
      </c>
      <c r="N310" s="11" t="s">
        <v>243</v>
      </c>
      <c r="O310" s="341"/>
      <c r="P310" s="339"/>
    </row>
    <row r="311" spans="1:19" s="352" customFormat="1" ht="45" hidden="1">
      <c r="A311" s="343">
        <v>76</v>
      </c>
      <c r="B311" s="344" t="s">
        <v>2411</v>
      </c>
      <c r="C311" s="345" t="s">
        <v>2386</v>
      </c>
      <c r="D311" s="340">
        <v>1305</v>
      </c>
      <c r="E311" s="336">
        <f>估驗單!F301</f>
        <v>1305</v>
      </c>
      <c r="F311" s="390">
        <f t="shared" si="26"/>
        <v>0</v>
      </c>
      <c r="G311" s="340">
        <v>1765.46</v>
      </c>
      <c r="H311" s="340"/>
      <c r="I311" s="336">
        <f t="shared" si="27"/>
        <v>2303925.2999999998</v>
      </c>
      <c r="J311" s="336">
        <f t="shared" si="28"/>
        <v>2303925.2999999998</v>
      </c>
      <c r="K311" s="546">
        <f t="shared" si="25"/>
        <v>0</v>
      </c>
      <c r="L311" s="502"/>
      <c r="M311" s="350" t="s">
        <v>2412</v>
      </c>
      <c r="N311" s="347"/>
      <c r="O311" s="348" t="s">
        <v>2413</v>
      </c>
      <c r="P311" s="349" t="s">
        <v>2414</v>
      </c>
      <c r="Q311" s="325" t="s">
        <v>2415</v>
      </c>
      <c r="S311" s="372" t="s">
        <v>2416</v>
      </c>
    </row>
    <row r="312" spans="1:19" s="363" customFormat="1" ht="31.5" hidden="1" customHeight="1">
      <c r="A312" s="343">
        <v>77</v>
      </c>
      <c r="B312" s="344" t="s">
        <v>1508</v>
      </c>
      <c r="C312" s="345" t="s">
        <v>1509</v>
      </c>
      <c r="D312" s="340">
        <f>9*1702</f>
        <v>15318</v>
      </c>
      <c r="E312" s="336">
        <f>估驗單!F302</f>
        <v>15318</v>
      </c>
      <c r="F312" s="418">
        <f t="shared" si="26"/>
        <v>0</v>
      </c>
      <c r="G312" s="340">
        <v>149.99</v>
      </c>
      <c r="H312" s="340"/>
      <c r="I312" s="336">
        <f t="shared" si="27"/>
        <v>2297546.8199999998</v>
      </c>
      <c r="J312" s="336">
        <f t="shared" si="28"/>
        <v>2297546.8199999998</v>
      </c>
      <c r="K312" s="546">
        <f t="shared" si="25"/>
        <v>0</v>
      </c>
      <c r="L312" s="453"/>
      <c r="M312" s="346"/>
      <c r="N312" s="347"/>
      <c r="O312" s="354" t="s">
        <v>2417</v>
      </c>
      <c r="P312" s="322" t="s">
        <v>2418</v>
      </c>
      <c r="Q312" s="325" t="s">
        <v>2400</v>
      </c>
    </row>
    <row r="313" spans="1:19" ht="33" hidden="1">
      <c r="A313" s="406" t="s">
        <v>2248</v>
      </c>
      <c r="B313" s="407" t="s">
        <v>888</v>
      </c>
      <c r="C313" s="408" t="s">
        <v>4</v>
      </c>
      <c r="D313" s="409">
        <v>1</v>
      </c>
      <c r="E313" s="409">
        <f>估驗單!F303</f>
        <v>1</v>
      </c>
      <c r="F313" s="410"/>
      <c r="G313" s="409">
        <f>I313</f>
        <v>5050770.370000001</v>
      </c>
      <c r="H313" s="409"/>
      <c r="I313" s="409">
        <f>SUM(I314:I346)</f>
        <v>5050770.370000001</v>
      </c>
      <c r="J313" s="409">
        <f>SUM(J314:J346)</f>
        <v>5050770.370000001</v>
      </c>
      <c r="K313" s="542">
        <f>SUM(K314:K346)</f>
        <v>0</v>
      </c>
      <c r="L313" s="534">
        <f>SUM(L314:L346)</f>
        <v>0</v>
      </c>
      <c r="M313" s="288" t="s">
        <v>242</v>
      </c>
      <c r="N313" s="11" t="s">
        <v>243</v>
      </c>
      <c r="O313" s="338"/>
      <c r="P313" s="339"/>
    </row>
    <row r="314" spans="1:19" ht="33" hidden="1">
      <c r="A314" s="333" t="s">
        <v>2154</v>
      </c>
      <c r="B314" s="334" t="s">
        <v>890</v>
      </c>
      <c r="C314" s="335" t="s">
        <v>4</v>
      </c>
      <c r="D314" s="336">
        <v>1</v>
      </c>
      <c r="E314" s="336">
        <f>估驗單!F304</f>
        <v>1</v>
      </c>
      <c r="F314" s="390">
        <f t="shared" si="26"/>
        <v>0</v>
      </c>
      <c r="G314" s="336">
        <v>88179.19</v>
      </c>
      <c r="H314" s="336"/>
      <c r="I314" s="336">
        <f t="shared" ref="I314:I346" si="29">ROUND(D314*G314,2)</f>
        <v>88179.19</v>
      </c>
      <c r="J314" s="336">
        <f t="shared" ref="J314:J346" si="30">ROUND(E314*G314,2)</f>
        <v>88179.19</v>
      </c>
      <c r="K314" s="546">
        <f t="shared" si="25"/>
        <v>0</v>
      </c>
      <c r="L314" s="502"/>
      <c r="M314" s="231" t="s">
        <v>242</v>
      </c>
      <c r="N314" s="11" t="s">
        <v>243</v>
      </c>
      <c r="O314" s="341"/>
      <c r="P314" s="339"/>
    </row>
    <row r="315" spans="1:19" ht="33" hidden="1">
      <c r="A315" s="333" t="s">
        <v>2155</v>
      </c>
      <c r="B315" s="334" t="s">
        <v>893</v>
      </c>
      <c r="C315" s="335" t="s">
        <v>4</v>
      </c>
      <c r="D315" s="336">
        <v>1</v>
      </c>
      <c r="E315" s="336">
        <f>估驗單!F305</f>
        <v>1</v>
      </c>
      <c r="F315" s="390">
        <f t="shared" si="26"/>
        <v>0</v>
      </c>
      <c r="G315" s="336">
        <v>149702.84</v>
      </c>
      <c r="H315" s="336"/>
      <c r="I315" s="336">
        <f t="shared" si="29"/>
        <v>149702.84</v>
      </c>
      <c r="J315" s="336">
        <f t="shared" si="30"/>
        <v>149702.84</v>
      </c>
      <c r="K315" s="546">
        <f t="shared" si="25"/>
        <v>0</v>
      </c>
      <c r="L315" s="502"/>
      <c r="M315" s="231" t="s">
        <v>242</v>
      </c>
      <c r="N315" s="11" t="s">
        <v>243</v>
      </c>
      <c r="O315" s="341"/>
      <c r="P315" s="339"/>
    </row>
    <row r="316" spans="1:19" ht="33" hidden="1">
      <c r="A316" s="333" t="s">
        <v>2156</v>
      </c>
      <c r="B316" s="334" t="s">
        <v>896</v>
      </c>
      <c r="C316" s="335" t="s">
        <v>4</v>
      </c>
      <c r="D316" s="336">
        <v>1</v>
      </c>
      <c r="E316" s="336">
        <f>估驗單!F306</f>
        <v>1</v>
      </c>
      <c r="F316" s="390">
        <f t="shared" si="26"/>
        <v>0</v>
      </c>
      <c r="G316" s="336">
        <v>168290.82</v>
      </c>
      <c r="H316" s="336"/>
      <c r="I316" s="336">
        <f t="shared" si="29"/>
        <v>168290.82</v>
      </c>
      <c r="J316" s="336">
        <f t="shared" si="30"/>
        <v>168290.82</v>
      </c>
      <c r="K316" s="546">
        <f t="shared" si="25"/>
        <v>0</v>
      </c>
      <c r="L316" s="502"/>
      <c r="M316" s="231" t="s">
        <v>242</v>
      </c>
      <c r="N316" s="11" t="s">
        <v>243</v>
      </c>
      <c r="O316" s="341"/>
      <c r="P316" s="339"/>
    </row>
    <row r="317" spans="1:19" ht="33" hidden="1">
      <c r="A317" s="333" t="s">
        <v>2157</v>
      </c>
      <c r="B317" s="334" t="s">
        <v>899</v>
      </c>
      <c r="C317" s="335" t="s">
        <v>4</v>
      </c>
      <c r="D317" s="336">
        <v>1</v>
      </c>
      <c r="E317" s="336">
        <f>估驗單!F307</f>
        <v>1</v>
      </c>
      <c r="F317" s="390">
        <f t="shared" si="26"/>
        <v>0</v>
      </c>
      <c r="G317" s="336">
        <v>23946.69</v>
      </c>
      <c r="H317" s="336"/>
      <c r="I317" s="336">
        <f t="shared" si="29"/>
        <v>23946.69</v>
      </c>
      <c r="J317" s="336">
        <f t="shared" si="30"/>
        <v>23946.69</v>
      </c>
      <c r="K317" s="546">
        <f t="shared" si="25"/>
        <v>0</v>
      </c>
      <c r="L317" s="502"/>
      <c r="M317" s="231" t="s">
        <v>242</v>
      </c>
      <c r="N317" s="11" t="s">
        <v>243</v>
      </c>
      <c r="O317" s="341"/>
      <c r="P317" s="339"/>
    </row>
    <row r="318" spans="1:19" s="325" customFormat="1" ht="33" hidden="1">
      <c r="A318" s="333" t="s">
        <v>2158</v>
      </c>
      <c r="B318" s="334" t="s">
        <v>902</v>
      </c>
      <c r="C318" s="335" t="s">
        <v>0</v>
      </c>
      <c r="D318" s="336">
        <v>11</v>
      </c>
      <c r="E318" s="336">
        <f>估驗單!F308</f>
        <v>11</v>
      </c>
      <c r="F318" s="390">
        <f t="shared" si="26"/>
        <v>0</v>
      </c>
      <c r="G318" s="336">
        <v>42797.67</v>
      </c>
      <c r="H318" s="336"/>
      <c r="I318" s="336">
        <f t="shared" si="29"/>
        <v>470774.37</v>
      </c>
      <c r="J318" s="336">
        <f t="shared" si="30"/>
        <v>470774.37</v>
      </c>
      <c r="K318" s="546">
        <f t="shared" si="25"/>
        <v>0</v>
      </c>
      <c r="L318" s="502"/>
      <c r="M318" s="231" t="s">
        <v>2419</v>
      </c>
      <c r="N318" s="11" t="s">
        <v>243</v>
      </c>
      <c r="O318" s="341"/>
      <c r="P318" s="339"/>
    </row>
    <row r="319" spans="1:19" s="325" customFormat="1" ht="33" hidden="1">
      <c r="A319" s="333" t="s">
        <v>2159</v>
      </c>
      <c r="B319" s="334" t="s">
        <v>905</v>
      </c>
      <c r="C319" s="335" t="s">
        <v>0</v>
      </c>
      <c r="D319" s="336">
        <v>9</v>
      </c>
      <c r="E319" s="336">
        <f>估驗單!F309</f>
        <v>9</v>
      </c>
      <c r="F319" s="390">
        <f t="shared" si="26"/>
        <v>0</v>
      </c>
      <c r="G319" s="336">
        <v>60396.71</v>
      </c>
      <c r="H319" s="336"/>
      <c r="I319" s="336">
        <f t="shared" si="29"/>
        <v>543570.39</v>
      </c>
      <c r="J319" s="336">
        <f t="shared" si="30"/>
        <v>543570.39</v>
      </c>
      <c r="K319" s="546">
        <f t="shared" si="25"/>
        <v>0</v>
      </c>
      <c r="L319" s="502"/>
      <c r="M319" s="231" t="s">
        <v>2321</v>
      </c>
      <c r="N319" s="11" t="s">
        <v>243</v>
      </c>
      <c r="O319" s="341"/>
      <c r="P319" s="339"/>
    </row>
    <row r="320" spans="1:19" s="325" customFormat="1" ht="33" hidden="1">
      <c r="A320" s="333" t="s">
        <v>2160</v>
      </c>
      <c r="B320" s="334" t="s">
        <v>908</v>
      </c>
      <c r="C320" s="335" t="s">
        <v>0</v>
      </c>
      <c r="D320" s="336">
        <v>10</v>
      </c>
      <c r="E320" s="336">
        <f>估驗單!F310</f>
        <v>10</v>
      </c>
      <c r="F320" s="390">
        <f t="shared" si="26"/>
        <v>0</v>
      </c>
      <c r="G320" s="336">
        <v>34998.089999999997</v>
      </c>
      <c r="H320" s="336"/>
      <c r="I320" s="336">
        <f t="shared" si="29"/>
        <v>349980.9</v>
      </c>
      <c r="J320" s="336">
        <f t="shared" si="30"/>
        <v>349980.9</v>
      </c>
      <c r="K320" s="546">
        <f t="shared" si="25"/>
        <v>0</v>
      </c>
      <c r="L320" s="502"/>
      <c r="M320" s="231" t="s">
        <v>2321</v>
      </c>
      <c r="N320" s="11" t="s">
        <v>243</v>
      </c>
      <c r="O320" s="341"/>
      <c r="P320" s="339"/>
    </row>
    <row r="321" spans="1:16" s="325" customFormat="1" ht="33" hidden="1">
      <c r="A321" s="333" t="s">
        <v>2161</v>
      </c>
      <c r="B321" s="334" t="s">
        <v>911</v>
      </c>
      <c r="C321" s="335" t="s">
        <v>0</v>
      </c>
      <c r="D321" s="336">
        <v>8</v>
      </c>
      <c r="E321" s="336">
        <f>估驗單!F311</f>
        <v>8</v>
      </c>
      <c r="F321" s="390">
        <f t="shared" si="26"/>
        <v>0</v>
      </c>
      <c r="G321" s="336">
        <v>9999.4500000000007</v>
      </c>
      <c r="H321" s="336"/>
      <c r="I321" s="336">
        <f t="shared" si="29"/>
        <v>79995.600000000006</v>
      </c>
      <c r="J321" s="336">
        <f t="shared" si="30"/>
        <v>79995.600000000006</v>
      </c>
      <c r="K321" s="546">
        <f t="shared" si="25"/>
        <v>0</v>
      </c>
      <c r="L321" s="502"/>
      <c r="M321" s="231" t="s">
        <v>2321</v>
      </c>
      <c r="N321" s="11" t="s">
        <v>243</v>
      </c>
      <c r="O321" s="341"/>
      <c r="P321" s="339"/>
    </row>
    <row r="322" spans="1:16" s="325" customFormat="1" ht="33" hidden="1">
      <c r="A322" s="333" t="s">
        <v>2162</v>
      </c>
      <c r="B322" s="334" t="s">
        <v>914</v>
      </c>
      <c r="C322" s="335" t="s">
        <v>15</v>
      </c>
      <c r="D322" s="336">
        <v>2</v>
      </c>
      <c r="E322" s="336">
        <f>估驗單!F312</f>
        <v>2</v>
      </c>
      <c r="F322" s="390">
        <f t="shared" si="26"/>
        <v>0</v>
      </c>
      <c r="G322" s="336">
        <v>1499.92</v>
      </c>
      <c r="H322" s="336"/>
      <c r="I322" s="336">
        <f t="shared" si="29"/>
        <v>2999.84</v>
      </c>
      <c r="J322" s="336">
        <f t="shared" si="30"/>
        <v>2999.84</v>
      </c>
      <c r="K322" s="546">
        <f t="shared" si="25"/>
        <v>0</v>
      </c>
      <c r="L322" s="502"/>
      <c r="M322" s="231" t="s">
        <v>242</v>
      </c>
      <c r="N322" s="11" t="s">
        <v>243</v>
      </c>
      <c r="O322" s="341"/>
      <c r="P322" s="339"/>
    </row>
    <row r="323" spans="1:16" s="325" customFormat="1" ht="33" hidden="1">
      <c r="A323" s="333" t="s">
        <v>2163</v>
      </c>
      <c r="B323" s="334" t="s">
        <v>917</v>
      </c>
      <c r="C323" s="335" t="s">
        <v>15</v>
      </c>
      <c r="D323" s="336">
        <v>2</v>
      </c>
      <c r="E323" s="336">
        <f>估驗單!F313</f>
        <v>2</v>
      </c>
      <c r="F323" s="390">
        <f t="shared" si="26"/>
        <v>0</v>
      </c>
      <c r="G323" s="336">
        <v>3999.78</v>
      </c>
      <c r="H323" s="336"/>
      <c r="I323" s="336">
        <f t="shared" si="29"/>
        <v>7999.56</v>
      </c>
      <c r="J323" s="336">
        <f t="shared" si="30"/>
        <v>7999.56</v>
      </c>
      <c r="K323" s="546">
        <f t="shared" si="25"/>
        <v>0</v>
      </c>
      <c r="L323" s="502"/>
      <c r="M323" s="231" t="s">
        <v>242</v>
      </c>
      <c r="N323" s="11" t="s">
        <v>243</v>
      </c>
      <c r="O323" s="341"/>
      <c r="P323" s="339"/>
    </row>
    <row r="324" spans="1:16" s="325" customFormat="1" ht="33" hidden="1">
      <c r="A324" s="333" t="s">
        <v>2164</v>
      </c>
      <c r="B324" s="334" t="s">
        <v>920</v>
      </c>
      <c r="C324" s="335" t="s">
        <v>8</v>
      </c>
      <c r="D324" s="336">
        <v>44.6</v>
      </c>
      <c r="E324" s="336">
        <f>估驗單!F314</f>
        <v>44.6</v>
      </c>
      <c r="F324" s="390">
        <f t="shared" si="26"/>
        <v>0</v>
      </c>
      <c r="G324" s="336">
        <v>799.96</v>
      </c>
      <c r="H324" s="336"/>
      <c r="I324" s="336">
        <f t="shared" si="29"/>
        <v>35678.22</v>
      </c>
      <c r="J324" s="336">
        <f t="shared" si="30"/>
        <v>35678.22</v>
      </c>
      <c r="K324" s="546">
        <f t="shared" si="25"/>
        <v>0</v>
      </c>
      <c r="L324" s="502"/>
      <c r="M324" s="231" t="s">
        <v>242</v>
      </c>
      <c r="N324" s="11" t="s">
        <v>243</v>
      </c>
      <c r="O324" s="341"/>
      <c r="P324" s="339"/>
    </row>
    <row r="325" spans="1:16" s="325" customFormat="1" ht="33" hidden="1">
      <c r="A325" s="333" t="s">
        <v>2165</v>
      </c>
      <c r="B325" s="334" t="s">
        <v>923</v>
      </c>
      <c r="C325" s="335" t="s">
        <v>15</v>
      </c>
      <c r="D325" s="336">
        <v>10</v>
      </c>
      <c r="E325" s="336">
        <f>估驗單!F315</f>
        <v>10</v>
      </c>
      <c r="F325" s="390">
        <f t="shared" si="26"/>
        <v>0</v>
      </c>
      <c r="G325" s="336">
        <v>11299.38</v>
      </c>
      <c r="H325" s="336"/>
      <c r="I325" s="336">
        <f t="shared" si="29"/>
        <v>112993.8</v>
      </c>
      <c r="J325" s="336">
        <f t="shared" si="30"/>
        <v>112993.8</v>
      </c>
      <c r="K325" s="546">
        <f t="shared" si="25"/>
        <v>0</v>
      </c>
      <c r="L325" s="502"/>
      <c r="M325" s="231" t="s">
        <v>242</v>
      </c>
      <c r="N325" s="11" t="s">
        <v>243</v>
      </c>
      <c r="O325" s="341"/>
      <c r="P325" s="339"/>
    </row>
    <row r="326" spans="1:16" s="325" customFormat="1" ht="33" hidden="1">
      <c r="A326" s="333" t="s">
        <v>2166</v>
      </c>
      <c r="B326" s="334" t="s">
        <v>926</v>
      </c>
      <c r="C326" s="335" t="s">
        <v>15</v>
      </c>
      <c r="D326" s="336">
        <v>5</v>
      </c>
      <c r="E326" s="336">
        <f>估驗單!F316</f>
        <v>5</v>
      </c>
      <c r="F326" s="390">
        <f t="shared" si="26"/>
        <v>0</v>
      </c>
      <c r="G326" s="336">
        <v>17999.02</v>
      </c>
      <c r="H326" s="336"/>
      <c r="I326" s="336">
        <f t="shared" si="29"/>
        <v>89995.1</v>
      </c>
      <c r="J326" s="336">
        <f t="shared" si="30"/>
        <v>89995.1</v>
      </c>
      <c r="K326" s="546">
        <f t="shared" si="25"/>
        <v>0</v>
      </c>
      <c r="L326" s="502"/>
      <c r="M326" s="231" t="s">
        <v>242</v>
      </c>
      <c r="N326" s="11" t="s">
        <v>243</v>
      </c>
      <c r="O326" s="341"/>
      <c r="P326" s="339"/>
    </row>
    <row r="327" spans="1:16" s="325" customFormat="1" ht="33" hidden="1">
      <c r="A327" s="333" t="s">
        <v>2167</v>
      </c>
      <c r="B327" s="334" t="s">
        <v>929</v>
      </c>
      <c r="C327" s="335" t="s">
        <v>15</v>
      </c>
      <c r="D327" s="336">
        <v>17</v>
      </c>
      <c r="E327" s="336">
        <f>估驗單!F317</f>
        <v>17</v>
      </c>
      <c r="F327" s="390">
        <f t="shared" si="26"/>
        <v>0</v>
      </c>
      <c r="G327" s="336">
        <v>4199.7700000000004</v>
      </c>
      <c r="H327" s="336"/>
      <c r="I327" s="336">
        <f t="shared" si="29"/>
        <v>71396.09</v>
      </c>
      <c r="J327" s="336">
        <f t="shared" si="30"/>
        <v>71396.09</v>
      </c>
      <c r="K327" s="546">
        <f t="shared" si="25"/>
        <v>0</v>
      </c>
      <c r="L327" s="502"/>
      <c r="M327" s="231" t="s">
        <v>242</v>
      </c>
      <c r="N327" s="11" t="s">
        <v>243</v>
      </c>
      <c r="O327" s="341"/>
      <c r="P327" s="339"/>
    </row>
    <row r="328" spans="1:16" s="325" customFormat="1" ht="33" hidden="1">
      <c r="A328" s="333" t="s">
        <v>2168</v>
      </c>
      <c r="B328" s="334" t="s">
        <v>932</v>
      </c>
      <c r="C328" s="335" t="s">
        <v>290</v>
      </c>
      <c r="D328" s="336">
        <v>1</v>
      </c>
      <c r="E328" s="336">
        <f>估驗單!F318</f>
        <v>1</v>
      </c>
      <c r="F328" s="390">
        <f t="shared" si="26"/>
        <v>0</v>
      </c>
      <c r="G328" s="336">
        <v>112957.32</v>
      </c>
      <c r="H328" s="336"/>
      <c r="I328" s="336">
        <f t="shared" si="29"/>
        <v>112957.32</v>
      </c>
      <c r="J328" s="336">
        <f t="shared" si="30"/>
        <v>112957.32</v>
      </c>
      <c r="K328" s="546">
        <f t="shared" si="25"/>
        <v>0</v>
      </c>
      <c r="L328" s="502"/>
      <c r="M328" s="231" t="s">
        <v>2420</v>
      </c>
      <c r="N328" s="11" t="s">
        <v>243</v>
      </c>
      <c r="O328" s="341"/>
      <c r="P328" s="339"/>
    </row>
    <row r="329" spans="1:16" s="325" customFormat="1" ht="57" hidden="1">
      <c r="A329" s="333" t="s">
        <v>2169</v>
      </c>
      <c r="B329" s="334" t="s">
        <v>935</v>
      </c>
      <c r="C329" s="335" t="s">
        <v>4</v>
      </c>
      <c r="D329" s="336">
        <v>1</v>
      </c>
      <c r="E329" s="336">
        <f>估驗單!F319</f>
        <v>1</v>
      </c>
      <c r="F329" s="390">
        <f t="shared" si="26"/>
        <v>0</v>
      </c>
      <c r="G329" s="336">
        <v>322482.40999999997</v>
      </c>
      <c r="H329" s="336"/>
      <c r="I329" s="336">
        <f t="shared" si="29"/>
        <v>322482.40999999997</v>
      </c>
      <c r="J329" s="336">
        <f t="shared" si="30"/>
        <v>322482.40999999997</v>
      </c>
      <c r="K329" s="546">
        <f t="shared" si="25"/>
        <v>0</v>
      </c>
      <c r="L329" s="502"/>
      <c r="M329" s="231" t="s">
        <v>2421</v>
      </c>
      <c r="N329" s="11" t="s">
        <v>243</v>
      </c>
      <c r="O329" s="341"/>
      <c r="P329" s="339"/>
    </row>
    <row r="330" spans="1:16" s="325" customFormat="1" ht="33" hidden="1">
      <c r="A330" s="333" t="s">
        <v>2170</v>
      </c>
      <c r="B330" s="334" t="s">
        <v>938</v>
      </c>
      <c r="C330" s="335" t="s">
        <v>15</v>
      </c>
      <c r="D330" s="336">
        <v>17</v>
      </c>
      <c r="E330" s="336">
        <f>估驗單!F320</f>
        <v>17</v>
      </c>
      <c r="F330" s="390">
        <f t="shared" si="26"/>
        <v>0</v>
      </c>
      <c r="G330" s="336">
        <v>99994.55</v>
      </c>
      <c r="H330" s="336"/>
      <c r="I330" s="336">
        <f t="shared" si="29"/>
        <v>1699907.35</v>
      </c>
      <c r="J330" s="336">
        <f t="shared" si="30"/>
        <v>1699907.35</v>
      </c>
      <c r="K330" s="546">
        <f t="shared" si="25"/>
        <v>0</v>
      </c>
      <c r="L330" s="502"/>
      <c r="M330" s="231" t="s">
        <v>242</v>
      </c>
      <c r="N330" s="11" t="s">
        <v>243</v>
      </c>
      <c r="O330" s="341"/>
      <c r="P330" s="339"/>
    </row>
    <row r="331" spans="1:16" s="325" customFormat="1" ht="33" hidden="1">
      <c r="A331" s="333" t="s">
        <v>2171</v>
      </c>
      <c r="B331" s="334" t="s">
        <v>941</v>
      </c>
      <c r="C331" s="335" t="s">
        <v>583</v>
      </c>
      <c r="D331" s="336">
        <v>2</v>
      </c>
      <c r="E331" s="336">
        <f>估驗單!F321</f>
        <v>2</v>
      </c>
      <c r="F331" s="390">
        <f t="shared" si="26"/>
        <v>0</v>
      </c>
      <c r="G331" s="336">
        <v>14999.18</v>
      </c>
      <c r="H331" s="336"/>
      <c r="I331" s="336">
        <f t="shared" si="29"/>
        <v>29998.36</v>
      </c>
      <c r="J331" s="336">
        <f t="shared" si="30"/>
        <v>29998.36</v>
      </c>
      <c r="K331" s="546">
        <f t="shared" si="25"/>
        <v>0</v>
      </c>
      <c r="L331" s="502"/>
      <c r="M331" s="231" t="s">
        <v>2321</v>
      </c>
      <c r="N331" s="11" t="s">
        <v>243</v>
      </c>
      <c r="O331" s="341"/>
      <c r="P331" s="339"/>
    </row>
    <row r="332" spans="1:16" s="325" customFormat="1" ht="33" hidden="1">
      <c r="A332" s="333" t="s">
        <v>2172</v>
      </c>
      <c r="B332" s="334" t="s">
        <v>944</v>
      </c>
      <c r="C332" s="335" t="s">
        <v>15</v>
      </c>
      <c r="D332" s="336">
        <v>1</v>
      </c>
      <c r="E332" s="336">
        <f>估驗單!F322</f>
        <v>1</v>
      </c>
      <c r="F332" s="390">
        <f t="shared" si="26"/>
        <v>0</v>
      </c>
      <c r="G332" s="336">
        <v>1499.92</v>
      </c>
      <c r="H332" s="336"/>
      <c r="I332" s="336">
        <f t="shared" si="29"/>
        <v>1499.92</v>
      </c>
      <c r="J332" s="336">
        <f t="shared" si="30"/>
        <v>1499.92</v>
      </c>
      <c r="K332" s="546">
        <f t="shared" si="25"/>
        <v>0</v>
      </c>
      <c r="L332" s="502"/>
      <c r="M332" s="231" t="s">
        <v>2422</v>
      </c>
      <c r="N332" s="11" t="s">
        <v>243</v>
      </c>
      <c r="O332" s="341"/>
      <c r="P332" s="339"/>
    </row>
    <row r="333" spans="1:16" s="325" customFormat="1" ht="33" hidden="1">
      <c r="A333" s="333" t="s">
        <v>2173</v>
      </c>
      <c r="B333" s="334" t="s">
        <v>947</v>
      </c>
      <c r="C333" s="335" t="s">
        <v>19</v>
      </c>
      <c r="D333" s="336">
        <v>2</v>
      </c>
      <c r="E333" s="336">
        <f>估驗單!F323</f>
        <v>2</v>
      </c>
      <c r="F333" s="390">
        <f t="shared" si="26"/>
        <v>0</v>
      </c>
      <c r="G333" s="336">
        <v>2599.86</v>
      </c>
      <c r="H333" s="336"/>
      <c r="I333" s="336">
        <f t="shared" si="29"/>
        <v>5199.72</v>
      </c>
      <c r="J333" s="336">
        <f t="shared" si="30"/>
        <v>5199.72</v>
      </c>
      <c r="K333" s="546">
        <f t="shared" si="25"/>
        <v>0</v>
      </c>
      <c r="L333" s="502"/>
      <c r="M333" s="231" t="s">
        <v>242</v>
      </c>
      <c r="N333" s="11" t="s">
        <v>243</v>
      </c>
      <c r="O333" s="341"/>
      <c r="P333" s="339"/>
    </row>
    <row r="334" spans="1:16" ht="33" hidden="1">
      <c r="A334" s="333" t="s">
        <v>2174</v>
      </c>
      <c r="B334" s="334" t="s">
        <v>950</v>
      </c>
      <c r="C334" s="335" t="s">
        <v>19</v>
      </c>
      <c r="D334" s="336">
        <v>9</v>
      </c>
      <c r="E334" s="336">
        <f>估驗單!F324</f>
        <v>9</v>
      </c>
      <c r="F334" s="390">
        <f t="shared" si="26"/>
        <v>0</v>
      </c>
      <c r="G334" s="336">
        <v>4459.76</v>
      </c>
      <c r="H334" s="336"/>
      <c r="I334" s="336">
        <f t="shared" si="29"/>
        <v>40137.839999999997</v>
      </c>
      <c r="J334" s="336">
        <f t="shared" si="30"/>
        <v>40137.839999999997</v>
      </c>
      <c r="K334" s="546">
        <f t="shared" si="25"/>
        <v>0</v>
      </c>
      <c r="L334" s="502"/>
      <c r="M334" s="231" t="s">
        <v>242</v>
      </c>
      <c r="N334" s="11" t="s">
        <v>243</v>
      </c>
      <c r="O334" s="341"/>
      <c r="P334" s="339"/>
    </row>
    <row r="335" spans="1:16" ht="33" hidden="1">
      <c r="A335" s="333" t="s">
        <v>2175</v>
      </c>
      <c r="B335" s="334" t="s">
        <v>953</v>
      </c>
      <c r="C335" s="335" t="s">
        <v>8</v>
      </c>
      <c r="D335" s="336">
        <v>180</v>
      </c>
      <c r="E335" s="336">
        <f>估驗單!F325</f>
        <v>180</v>
      </c>
      <c r="F335" s="390">
        <f t="shared" si="26"/>
        <v>0</v>
      </c>
      <c r="G335" s="336">
        <v>596.98</v>
      </c>
      <c r="H335" s="336"/>
      <c r="I335" s="336">
        <f t="shared" si="29"/>
        <v>107456.4</v>
      </c>
      <c r="J335" s="336">
        <f t="shared" si="30"/>
        <v>107456.4</v>
      </c>
      <c r="K335" s="546">
        <f t="shared" si="25"/>
        <v>0</v>
      </c>
      <c r="L335" s="502"/>
      <c r="M335" s="231" t="s">
        <v>242</v>
      </c>
      <c r="N335" s="11" t="s">
        <v>243</v>
      </c>
      <c r="O335" s="341"/>
      <c r="P335" s="339"/>
    </row>
    <row r="336" spans="1:16" ht="33" hidden="1">
      <c r="A336" s="333" t="s">
        <v>2177</v>
      </c>
      <c r="B336" s="334" t="s">
        <v>956</v>
      </c>
      <c r="C336" s="335" t="s">
        <v>8</v>
      </c>
      <c r="D336" s="336">
        <v>60</v>
      </c>
      <c r="E336" s="336">
        <f>估驗單!F326</f>
        <v>60</v>
      </c>
      <c r="F336" s="390">
        <f t="shared" si="26"/>
        <v>0</v>
      </c>
      <c r="G336" s="336">
        <v>67.42</v>
      </c>
      <c r="H336" s="336"/>
      <c r="I336" s="336">
        <f t="shared" si="29"/>
        <v>4045.2</v>
      </c>
      <c r="J336" s="336">
        <f t="shared" si="30"/>
        <v>4045.2</v>
      </c>
      <c r="K336" s="546">
        <f t="shared" ref="K336:K399" si="31">J336-I336</f>
        <v>0</v>
      </c>
      <c r="L336" s="502"/>
      <c r="M336" s="231" t="s">
        <v>2321</v>
      </c>
      <c r="N336" s="11" t="s">
        <v>243</v>
      </c>
      <c r="O336" s="341"/>
      <c r="P336" s="339"/>
    </row>
    <row r="337" spans="1:17" ht="33" hidden="1">
      <c r="A337" s="333" t="s">
        <v>2178</v>
      </c>
      <c r="B337" s="334" t="s">
        <v>959</v>
      </c>
      <c r="C337" s="335" t="s">
        <v>8</v>
      </c>
      <c r="D337" s="336">
        <v>1032</v>
      </c>
      <c r="E337" s="336">
        <f>估驗單!F327</f>
        <v>1032</v>
      </c>
      <c r="F337" s="390">
        <f t="shared" si="26"/>
        <v>0</v>
      </c>
      <c r="G337" s="336">
        <v>29.42</v>
      </c>
      <c r="H337" s="336"/>
      <c r="I337" s="336">
        <f t="shared" si="29"/>
        <v>30361.439999999999</v>
      </c>
      <c r="J337" s="336">
        <f t="shared" si="30"/>
        <v>30361.439999999999</v>
      </c>
      <c r="K337" s="546">
        <f t="shared" si="31"/>
        <v>0</v>
      </c>
      <c r="L337" s="502"/>
      <c r="M337" s="231" t="s">
        <v>242</v>
      </c>
      <c r="N337" s="11" t="s">
        <v>243</v>
      </c>
      <c r="O337" s="341"/>
      <c r="P337" s="339"/>
    </row>
    <row r="338" spans="1:17" ht="33" hidden="1">
      <c r="A338" s="333" t="s">
        <v>2179</v>
      </c>
      <c r="B338" s="334" t="s">
        <v>962</v>
      </c>
      <c r="C338" s="335" t="s">
        <v>8</v>
      </c>
      <c r="D338" s="336">
        <v>1103</v>
      </c>
      <c r="E338" s="336">
        <f>估驗單!F328</f>
        <v>1103</v>
      </c>
      <c r="F338" s="390">
        <f t="shared" si="26"/>
        <v>0</v>
      </c>
      <c r="G338" s="336">
        <v>147.1</v>
      </c>
      <c r="H338" s="336"/>
      <c r="I338" s="336">
        <f t="shared" si="29"/>
        <v>162251.29999999999</v>
      </c>
      <c r="J338" s="336">
        <f t="shared" si="30"/>
        <v>162251.29999999999</v>
      </c>
      <c r="K338" s="546">
        <f t="shared" si="31"/>
        <v>0</v>
      </c>
      <c r="L338" s="502"/>
      <c r="M338" s="231" t="s">
        <v>242</v>
      </c>
      <c r="N338" s="11" t="s">
        <v>243</v>
      </c>
      <c r="O338" s="341"/>
      <c r="P338" s="339"/>
    </row>
    <row r="339" spans="1:17" ht="42.75" hidden="1">
      <c r="A339" s="333" t="s">
        <v>2181</v>
      </c>
      <c r="B339" s="334" t="s">
        <v>219</v>
      </c>
      <c r="C339" s="335" t="s">
        <v>8</v>
      </c>
      <c r="D339" s="336">
        <v>2064</v>
      </c>
      <c r="E339" s="336">
        <f>估驗單!F329</f>
        <v>2064</v>
      </c>
      <c r="F339" s="390">
        <f t="shared" si="26"/>
        <v>0</v>
      </c>
      <c r="G339" s="336">
        <v>78.459999999999994</v>
      </c>
      <c r="H339" s="336"/>
      <c r="I339" s="336">
        <f t="shared" si="29"/>
        <v>161941.44</v>
      </c>
      <c r="J339" s="336">
        <f t="shared" si="30"/>
        <v>161941.44</v>
      </c>
      <c r="K339" s="546">
        <f t="shared" si="31"/>
        <v>0</v>
      </c>
      <c r="L339" s="502"/>
      <c r="M339" s="231" t="s">
        <v>242</v>
      </c>
      <c r="N339" s="11" t="s">
        <v>243</v>
      </c>
      <c r="O339" s="341"/>
      <c r="P339" s="339"/>
    </row>
    <row r="340" spans="1:17" ht="33" hidden="1">
      <c r="A340" s="333" t="s">
        <v>2182</v>
      </c>
      <c r="B340" s="334" t="s">
        <v>967</v>
      </c>
      <c r="C340" s="335" t="s">
        <v>4</v>
      </c>
      <c r="D340" s="336">
        <v>1</v>
      </c>
      <c r="E340" s="336">
        <f>估驗單!F330</f>
        <v>1</v>
      </c>
      <c r="F340" s="390">
        <f t="shared" si="26"/>
        <v>0</v>
      </c>
      <c r="G340" s="336">
        <v>24062.69</v>
      </c>
      <c r="H340" s="336"/>
      <c r="I340" s="336">
        <f t="shared" si="29"/>
        <v>24062.69</v>
      </c>
      <c r="J340" s="336">
        <f t="shared" si="30"/>
        <v>24062.69</v>
      </c>
      <c r="K340" s="546">
        <f t="shared" si="31"/>
        <v>0</v>
      </c>
      <c r="L340" s="502"/>
      <c r="M340" s="231" t="s">
        <v>2321</v>
      </c>
      <c r="N340" s="11" t="s">
        <v>243</v>
      </c>
      <c r="O340" s="341"/>
      <c r="P340" s="339"/>
    </row>
    <row r="341" spans="1:17" ht="33" hidden="1">
      <c r="A341" s="333" t="s">
        <v>2183</v>
      </c>
      <c r="B341" s="334" t="s">
        <v>970</v>
      </c>
      <c r="C341" s="335" t="s">
        <v>8</v>
      </c>
      <c r="D341" s="336">
        <v>1011</v>
      </c>
      <c r="E341" s="336">
        <f>估驗單!F331</f>
        <v>1011</v>
      </c>
      <c r="F341" s="390">
        <f t="shared" si="26"/>
        <v>0</v>
      </c>
      <c r="G341" s="336">
        <v>35.549999999999997</v>
      </c>
      <c r="H341" s="336"/>
      <c r="I341" s="336">
        <f t="shared" si="29"/>
        <v>35941.050000000003</v>
      </c>
      <c r="J341" s="336">
        <f t="shared" si="30"/>
        <v>35941.050000000003</v>
      </c>
      <c r="K341" s="546">
        <f t="shared" si="31"/>
        <v>0</v>
      </c>
      <c r="L341" s="502"/>
      <c r="M341" s="231" t="s">
        <v>242</v>
      </c>
      <c r="N341" s="11" t="s">
        <v>243</v>
      </c>
      <c r="O341" s="341"/>
      <c r="P341" s="339"/>
    </row>
    <row r="342" spans="1:17" ht="33" hidden="1">
      <c r="A342" s="333" t="s">
        <v>2184</v>
      </c>
      <c r="B342" s="334" t="s">
        <v>220</v>
      </c>
      <c r="C342" s="335" t="s">
        <v>8</v>
      </c>
      <c r="D342" s="336">
        <v>946</v>
      </c>
      <c r="E342" s="336">
        <f>估驗單!F332</f>
        <v>946</v>
      </c>
      <c r="F342" s="390">
        <f t="shared" si="26"/>
        <v>0</v>
      </c>
      <c r="G342" s="336">
        <v>60.07</v>
      </c>
      <c r="H342" s="336"/>
      <c r="I342" s="336">
        <f t="shared" si="29"/>
        <v>56826.22</v>
      </c>
      <c r="J342" s="336">
        <f t="shared" si="30"/>
        <v>56826.22</v>
      </c>
      <c r="K342" s="546">
        <f t="shared" si="31"/>
        <v>0</v>
      </c>
      <c r="L342" s="502"/>
      <c r="M342" s="231" t="s">
        <v>2321</v>
      </c>
      <c r="N342" s="11" t="s">
        <v>243</v>
      </c>
      <c r="O342" s="341"/>
      <c r="P342" s="339"/>
    </row>
    <row r="343" spans="1:17" ht="33" hidden="1">
      <c r="A343" s="333" t="s">
        <v>2185</v>
      </c>
      <c r="B343" s="334" t="s">
        <v>975</v>
      </c>
      <c r="C343" s="335" t="s">
        <v>8</v>
      </c>
      <c r="D343" s="336">
        <v>55</v>
      </c>
      <c r="E343" s="336">
        <f>估驗單!F333</f>
        <v>55</v>
      </c>
      <c r="F343" s="390">
        <f t="shared" si="26"/>
        <v>0</v>
      </c>
      <c r="G343" s="336">
        <v>125.03</v>
      </c>
      <c r="H343" s="336"/>
      <c r="I343" s="336">
        <f t="shared" si="29"/>
        <v>6876.65</v>
      </c>
      <c r="J343" s="336">
        <f t="shared" si="30"/>
        <v>6876.65</v>
      </c>
      <c r="K343" s="546">
        <f t="shared" si="31"/>
        <v>0</v>
      </c>
      <c r="L343" s="502"/>
      <c r="M343" s="231" t="s">
        <v>242</v>
      </c>
      <c r="N343" s="11" t="s">
        <v>243</v>
      </c>
      <c r="O343" s="341"/>
      <c r="P343" s="339"/>
    </row>
    <row r="344" spans="1:17" ht="33" hidden="1">
      <c r="A344" s="333" t="s">
        <v>2186</v>
      </c>
      <c r="B344" s="334" t="s">
        <v>978</v>
      </c>
      <c r="C344" s="335" t="s">
        <v>8</v>
      </c>
      <c r="D344" s="336">
        <v>22</v>
      </c>
      <c r="E344" s="336">
        <f>估驗單!F334</f>
        <v>22</v>
      </c>
      <c r="F344" s="390">
        <f t="shared" si="26"/>
        <v>0</v>
      </c>
      <c r="G344" s="336">
        <v>178.97</v>
      </c>
      <c r="H344" s="336"/>
      <c r="I344" s="336">
        <f t="shared" si="29"/>
        <v>3937.34</v>
      </c>
      <c r="J344" s="336">
        <f t="shared" si="30"/>
        <v>3937.34</v>
      </c>
      <c r="K344" s="546">
        <f t="shared" si="31"/>
        <v>0</v>
      </c>
      <c r="L344" s="502"/>
      <c r="M344" s="231" t="s">
        <v>242</v>
      </c>
      <c r="N344" s="11" t="s">
        <v>243</v>
      </c>
      <c r="O344" s="341"/>
      <c r="P344" s="339"/>
    </row>
    <row r="345" spans="1:17" ht="33" hidden="1">
      <c r="A345" s="333" t="s">
        <v>2187</v>
      </c>
      <c r="B345" s="334" t="s">
        <v>981</v>
      </c>
      <c r="C345" s="335" t="s">
        <v>4</v>
      </c>
      <c r="D345" s="336">
        <v>1</v>
      </c>
      <c r="E345" s="336">
        <f>估驗單!F335</f>
        <v>1</v>
      </c>
      <c r="F345" s="390">
        <f t="shared" si="26"/>
        <v>0</v>
      </c>
      <c r="G345" s="336">
        <v>19812.919999999998</v>
      </c>
      <c r="H345" s="336"/>
      <c r="I345" s="336">
        <f t="shared" si="29"/>
        <v>19812.919999999998</v>
      </c>
      <c r="J345" s="336">
        <f t="shared" si="30"/>
        <v>19812.919999999998</v>
      </c>
      <c r="K345" s="546">
        <f t="shared" si="31"/>
        <v>0</v>
      </c>
      <c r="L345" s="502"/>
      <c r="M345" s="231" t="s">
        <v>242</v>
      </c>
      <c r="N345" s="11" t="s">
        <v>243</v>
      </c>
      <c r="O345" s="341"/>
      <c r="P345" s="339"/>
    </row>
    <row r="346" spans="1:17" ht="33" hidden="1">
      <c r="A346" s="333" t="s">
        <v>2188</v>
      </c>
      <c r="B346" s="334" t="s">
        <v>984</v>
      </c>
      <c r="C346" s="335" t="s">
        <v>4</v>
      </c>
      <c r="D346" s="336">
        <v>1</v>
      </c>
      <c r="E346" s="336">
        <f>估驗單!F336</f>
        <v>1</v>
      </c>
      <c r="F346" s="390">
        <f t="shared" si="26"/>
        <v>0</v>
      </c>
      <c r="G346" s="336">
        <v>29571.39</v>
      </c>
      <c r="H346" s="336"/>
      <c r="I346" s="336">
        <f t="shared" si="29"/>
        <v>29571.39</v>
      </c>
      <c r="J346" s="336">
        <f t="shared" si="30"/>
        <v>29571.39</v>
      </c>
      <c r="K346" s="546">
        <f t="shared" si="31"/>
        <v>0</v>
      </c>
      <c r="L346" s="502"/>
      <c r="M346" s="231" t="s">
        <v>242</v>
      </c>
      <c r="N346" s="11" t="s">
        <v>243</v>
      </c>
      <c r="O346" s="341"/>
      <c r="P346" s="339"/>
    </row>
    <row r="347" spans="1:17" ht="33" hidden="1">
      <c r="A347" s="406" t="s">
        <v>2249</v>
      </c>
      <c r="B347" s="407" t="s">
        <v>987</v>
      </c>
      <c r="C347" s="408" t="s">
        <v>4</v>
      </c>
      <c r="D347" s="409"/>
      <c r="E347" s="409"/>
      <c r="F347" s="410">
        <f t="shared" si="26"/>
        <v>0</v>
      </c>
      <c r="G347" s="409">
        <f>I347</f>
        <v>11249747.310000001</v>
      </c>
      <c r="H347" s="409"/>
      <c r="I347" s="448">
        <f>SUM(I348:I356)</f>
        <v>11249747.310000001</v>
      </c>
      <c r="J347" s="448">
        <f>SUM(J348:J356)</f>
        <v>13193015.85</v>
      </c>
      <c r="K347" s="543">
        <f>SUM(K348:K356)</f>
        <v>1943268.5400000003</v>
      </c>
      <c r="L347" s="535">
        <f>SUM(L348:L356)</f>
        <v>0</v>
      </c>
      <c r="M347" s="288" t="s">
        <v>242</v>
      </c>
      <c r="N347" s="11" t="s">
        <v>243</v>
      </c>
      <c r="O347" s="341"/>
      <c r="P347" s="339"/>
    </row>
    <row r="348" spans="1:17" ht="33" hidden="1">
      <c r="A348" s="333" t="s">
        <v>2154</v>
      </c>
      <c r="B348" s="334" t="s">
        <v>989</v>
      </c>
      <c r="C348" s="335" t="s">
        <v>8</v>
      </c>
      <c r="D348" s="340">
        <f>估驗單!E338</f>
        <v>2576.8000000000002</v>
      </c>
      <c r="E348" s="336">
        <f>估驗單!F338</f>
        <v>2576.8000000000002</v>
      </c>
      <c r="F348" s="390">
        <f t="shared" si="26"/>
        <v>0</v>
      </c>
      <c r="G348" s="340">
        <v>247.19</v>
      </c>
      <c r="H348" s="340"/>
      <c r="I348" s="336">
        <f t="shared" ref="I348:I356" si="32">ROUND(D348*G348,2)</f>
        <v>636959.18999999994</v>
      </c>
      <c r="J348" s="336">
        <f t="shared" ref="J348:J356" si="33">ROUND(E348*G348,2)</f>
        <v>636959.18999999994</v>
      </c>
      <c r="K348" s="546">
        <f t="shared" si="31"/>
        <v>0</v>
      </c>
      <c r="L348" s="502"/>
      <c r="M348" s="231" t="s">
        <v>2423</v>
      </c>
      <c r="N348" s="11" t="s">
        <v>243</v>
      </c>
      <c r="O348" s="348" t="s">
        <v>2365</v>
      </c>
      <c r="P348" s="339" t="s">
        <v>2424</v>
      </c>
      <c r="Q348" s="342" t="s">
        <v>2341</v>
      </c>
    </row>
    <row r="349" spans="1:17" ht="33" hidden="1">
      <c r="A349" s="333" t="s">
        <v>2155</v>
      </c>
      <c r="B349" s="334" t="s">
        <v>992</v>
      </c>
      <c r="C349" s="335" t="s">
        <v>8</v>
      </c>
      <c r="D349" s="340">
        <f>估驗單!E339</f>
        <v>2576.8000000000002</v>
      </c>
      <c r="E349" s="336">
        <f>估驗單!F339</f>
        <v>2576.8000000000002</v>
      </c>
      <c r="F349" s="390">
        <f t="shared" si="26"/>
        <v>0</v>
      </c>
      <c r="G349" s="340">
        <v>236.89</v>
      </c>
      <c r="H349" s="340"/>
      <c r="I349" s="336">
        <f t="shared" si="32"/>
        <v>610418.15</v>
      </c>
      <c r="J349" s="336">
        <f t="shared" si="33"/>
        <v>610418.15</v>
      </c>
      <c r="K349" s="546">
        <f t="shared" si="31"/>
        <v>0</v>
      </c>
      <c r="L349" s="502"/>
      <c r="M349" s="231" t="s">
        <v>242</v>
      </c>
      <c r="N349" s="11" t="s">
        <v>243</v>
      </c>
      <c r="O349" s="348" t="s">
        <v>2365</v>
      </c>
      <c r="P349" s="339" t="s">
        <v>2424</v>
      </c>
      <c r="Q349" s="342" t="s">
        <v>2341</v>
      </c>
    </row>
    <row r="350" spans="1:17" s="325" customFormat="1" ht="45" hidden="1">
      <c r="A350" s="333" t="s">
        <v>2156</v>
      </c>
      <c r="B350" s="334" t="s">
        <v>995</v>
      </c>
      <c r="C350" s="335" t="s">
        <v>13</v>
      </c>
      <c r="D350" s="340">
        <f>估驗單!E340</f>
        <v>9215</v>
      </c>
      <c r="E350" s="336">
        <f>估驗單!F340</f>
        <v>9215</v>
      </c>
      <c r="F350" s="390">
        <f t="shared" si="26"/>
        <v>0</v>
      </c>
      <c r="G350" s="336">
        <v>252.34</v>
      </c>
      <c r="H350" s="336"/>
      <c r="I350" s="336">
        <f t="shared" si="32"/>
        <v>2325313.1</v>
      </c>
      <c r="J350" s="336">
        <f t="shared" si="33"/>
        <v>2325313.1</v>
      </c>
      <c r="K350" s="546">
        <f t="shared" si="31"/>
        <v>0</v>
      </c>
      <c r="L350" s="502"/>
      <c r="M350" s="231" t="s">
        <v>242</v>
      </c>
      <c r="N350" s="11" t="s">
        <v>243</v>
      </c>
      <c r="O350" s="341" t="s">
        <v>2425</v>
      </c>
      <c r="P350" s="339" t="s">
        <v>2426</v>
      </c>
      <c r="Q350" s="325" t="s">
        <v>2427</v>
      </c>
    </row>
    <row r="351" spans="1:17" s="325" customFormat="1" ht="42.75" hidden="1">
      <c r="A351" s="333" t="s">
        <v>2157</v>
      </c>
      <c r="B351" s="334" t="s">
        <v>998</v>
      </c>
      <c r="C351" s="335" t="s">
        <v>4</v>
      </c>
      <c r="D351" s="340">
        <f>估驗單!E341</f>
        <v>1</v>
      </c>
      <c r="E351" s="336">
        <f>估驗單!F341</f>
        <v>1</v>
      </c>
      <c r="F351" s="390">
        <f t="shared" si="26"/>
        <v>0</v>
      </c>
      <c r="G351" s="336">
        <v>349980.91</v>
      </c>
      <c r="H351" s="336"/>
      <c r="I351" s="336">
        <f t="shared" si="32"/>
        <v>349980.91</v>
      </c>
      <c r="J351" s="336">
        <f t="shared" si="33"/>
        <v>349980.91</v>
      </c>
      <c r="K351" s="546">
        <f t="shared" si="31"/>
        <v>0</v>
      </c>
      <c r="L351" s="502"/>
      <c r="M351" s="231" t="s">
        <v>2428</v>
      </c>
      <c r="N351" s="11" t="s">
        <v>243</v>
      </c>
      <c r="O351" s="341"/>
      <c r="P351" s="339"/>
    </row>
    <row r="352" spans="1:17" s="325" customFormat="1" ht="33" hidden="1">
      <c r="A352" s="503" t="s">
        <v>2158</v>
      </c>
      <c r="B352" s="504" t="s">
        <v>1001</v>
      </c>
      <c r="C352" s="505" t="s">
        <v>16</v>
      </c>
      <c r="D352" s="515">
        <f>估驗單!E342</f>
        <v>2052</v>
      </c>
      <c r="E352" s="506">
        <f>估驗單!F342</f>
        <v>2928</v>
      </c>
      <c r="F352" s="507">
        <f t="shared" ref="F352:F430" si="34">E352-D352</f>
        <v>876</v>
      </c>
      <c r="G352" s="506">
        <v>931.07</v>
      </c>
      <c r="H352" s="506"/>
      <c r="I352" s="506">
        <f t="shared" si="32"/>
        <v>1910555.64</v>
      </c>
      <c r="J352" s="506">
        <f t="shared" si="33"/>
        <v>2726172.96</v>
      </c>
      <c r="K352" s="547">
        <f t="shared" si="31"/>
        <v>815617.32000000007</v>
      </c>
      <c r="L352" s="510"/>
      <c r="M352" s="508" t="s">
        <v>2429</v>
      </c>
      <c r="N352" s="11" t="s">
        <v>243</v>
      </c>
      <c r="O352" s="341"/>
      <c r="P352" s="339"/>
    </row>
    <row r="353" spans="1:19" s="325" customFormat="1" ht="33.75" hidden="1">
      <c r="A353" s="503" t="s">
        <v>2159</v>
      </c>
      <c r="B353" s="504" t="s">
        <v>728</v>
      </c>
      <c r="C353" s="505" t="s">
        <v>6</v>
      </c>
      <c r="D353" s="515">
        <f>估驗單!E343</f>
        <v>720</v>
      </c>
      <c r="E353" s="506">
        <f>估驗單!F343</f>
        <v>1053</v>
      </c>
      <c r="F353" s="507">
        <f t="shared" si="34"/>
        <v>333</v>
      </c>
      <c r="G353" s="506">
        <v>3386.34</v>
      </c>
      <c r="H353" s="506"/>
      <c r="I353" s="506">
        <f t="shared" si="32"/>
        <v>2438164.7999999998</v>
      </c>
      <c r="J353" s="506">
        <f t="shared" si="33"/>
        <v>3565816.02</v>
      </c>
      <c r="K353" s="547">
        <f t="shared" si="31"/>
        <v>1127651.2200000002</v>
      </c>
      <c r="L353" s="510"/>
      <c r="M353" s="508" t="s">
        <v>242</v>
      </c>
      <c r="N353" s="11" t="s">
        <v>243</v>
      </c>
      <c r="O353" s="341" t="s">
        <v>2430</v>
      </c>
      <c r="P353" s="339" t="s">
        <v>2431</v>
      </c>
      <c r="Q353" s="342" t="s">
        <v>2341</v>
      </c>
    </row>
    <row r="354" spans="1:19" s="325" customFormat="1" ht="42.75" hidden="1">
      <c r="A354" s="333" t="s">
        <v>2160</v>
      </c>
      <c r="B354" s="334" t="s">
        <v>1515</v>
      </c>
      <c r="C354" s="335" t="s">
        <v>8</v>
      </c>
      <c r="D354" s="336">
        <v>132</v>
      </c>
      <c r="E354" s="336">
        <f>估驗單!F344</f>
        <v>132</v>
      </c>
      <c r="F354" s="390">
        <f t="shared" si="34"/>
        <v>0</v>
      </c>
      <c r="G354" s="336">
        <v>5107.6000000000004</v>
      </c>
      <c r="H354" s="336"/>
      <c r="I354" s="336">
        <f t="shared" si="32"/>
        <v>674203.2</v>
      </c>
      <c r="J354" s="336">
        <f t="shared" si="33"/>
        <v>674203.2</v>
      </c>
      <c r="K354" s="546">
        <f t="shared" si="31"/>
        <v>0</v>
      </c>
      <c r="L354" s="502"/>
      <c r="M354" s="231" t="s">
        <v>2432</v>
      </c>
      <c r="N354" s="11" t="s">
        <v>243</v>
      </c>
      <c r="O354" s="341"/>
      <c r="P354" s="339"/>
    </row>
    <row r="355" spans="1:19" s="325" customFormat="1" ht="42.75" hidden="1">
      <c r="A355" s="333" t="s">
        <v>2161</v>
      </c>
      <c r="B355" s="334" t="s">
        <v>1517</v>
      </c>
      <c r="C355" s="335" t="s">
        <v>8</v>
      </c>
      <c r="D355" s="336">
        <v>106</v>
      </c>
      <c r="E355" s="336">
        <f>估驗單!F345</f>
        <v>106</v>
      </c>
      <c r="F355" s="390">
        <f t="shared" si="34"/>
        <v>0</v>
      </c>
      <c r="G355" s="336">
        <v>7385.08</v>
      </c>
      <c r="H355" s="336"/>
      <c r="I355" s="336">
        <f t="shared" si="32"/>
        <v>782818.48</v>
      </c>
      <c r="J355" s="336">
        <f t="shared" si="33"/>
        <v>782818.48</v>
      </c>
      <c r="K355" s="546">
        <f t="shared" si="31"/>
        <v>0</v>
      </c>
      <c r="L355" s="502"/>
      <c r="M355" s="231" t="s">
        <v>2432</v>
      </c>
      <c r="N355" s="11" t="s">
        <v>243</v>
      </c>
      <c r="O355" s="341"/>
      <c r="P355" s="339"/>
    </row>
    <row r="356" spans="1:19" s="325" customFormat="1" ht="42.75" hidden="1">
      <c r="A356" s="333" t="s">
        <v>2162</v>
      </c>
      <c r="B356" s="334" t="s">
        <v>1519</v>
      </c>
      <c r="C356" s="335" t="s">
        <v>8</v>
      </c>
      <c r="D356" s="336">
        <v>156</v>
      </c>
      <c r="E356" s="336">
        <f>估驗單!F346</f>
        <v>156</v>
      </c>
      <c r="F356" s="390">
        <f t="shared" si="34"/>
        <v>0</v>
      </c>
      <c r="G356" s="336">
        <v>9752.14</v>
      </c>
      <c r="H356" s="336"/>
      <c r="I356" s="336">
        <f t="shared" si="32"/>
        <v>1521333.84</v>
      </c>
      <c r="J356" s="336">
        <f t="shared" si="33"/>
        <v>1521333.84</v>
      </c>
      <c r="K356" s="546">
        <f t="shared" si="31"/>
        <v>0</v>
      </c>
      <c r="L356" s="502"/>
      <c r="M356" s="231" t="s">
        <v>2433</v>
      </c>
      <c r="N356" s="11" t="s">
        <v>243</v>
      </c>
      <c r="O356" s="341"/>
      <c r="P356" s="339"/>
    </row>
    <row r="357" spans="1:19" s="325" customFormat="1" ht="33" hidden="1">
      <c r="A357" s="406" t="s">
        <v>2250</v>
      </c>
      <c r="B357" s="407" t="s">
        <v>11</v>
      </c>
      <c r="C357" s="408" t="s">
        <v>4</v>
      </c>
      <c r="D357" s="409"/>
      <c r="E357" s="409">
        <f>估驗單!F347</f>
        <v>0</v>
      </c>
      <c r="F357" s="410">
        <f t="shared" si="34"/>
        <v>0</v>
      </c>
      <c r="G357" s="409">
        <f>I357</f>
        <v>19449714.099999998</v>
      </c>
      <c r="H357" s="409"/>
      <c r="I357" s="409">
        <f>SUM(I358:I382)</f>
        <v>19449714.099999998</v>
      </c>
      <c r="J357" s="409">
        <f>SUM(J358:J382)</f>
        <v>19449714.099999998</v>
      </c>
      <c r="K357" s="542">
        <f>SUM(K358:K382)</f>
        <v>0</v>
      </c>
      <c r="L357" s="534">
        <f>SUM(L358:L367)</f>
        <v>0</v>
      </c>
      <c r="M357" s="288" t="s">
        <v>242</v>
      </c>
      <c r="N357" s="11" t="s">
        <v>243</v>
      </c>
      <c r="O357" s="341"/>
      <c r="P357" s="339"/>
    </row>
    <row r="358" spans="1:19" s="325" customFormat="1" ht="33" hidden="1">
      <c r="A358" s="333" t="s">
        <v>2154</v>
      </c>
      <c r="B358" s="334" t="s">
        <v>1004</v>
      </c>
      <c r="C358" s="335" t="s">
        <v>4</v>
      </c>
      <c r="D358" s="336">
        <v>1</v>
      </c>
      <c r="E358" s="336">
        <f>估驗單!F348</f>
        <v>1</v>
      </c>
      <c r="F358" s="390">
        <f t="shared" si="34"/>
        <v>0</v>
      </c>
      <c r="G358" s="336">
        <v>716633.92</v>
      </c>
      <c r="H358" s="336"/>
      <c r="I358" s="336">
        <f t="shared" ref="I358:I382" si="35">ROUND(D358*G358,2)</f>
        <v>716633.92</v>
      </c>
      <c r="J358" s="336">
        <f t="shared" ref="J358:J382" si="36">ROUND(E358*G358,2)</f>
        <v>716633.92</v>
      </c>
      <c r="K358" s="546">
        <f t="shared" si="31"/>
        <v>0</v>
      </c>
      <c r="L358" s="502"/>
      <c r="M358" s="231" t="s">
        <v>2321</v>
      </c>
      <c r="N358" s="11" t="s">
        <v>243</v>
      </c>
      <c r="O358" s="341"/>
      <c r="P358" s="339"/>
    </row>
    <row r="359" spans="1:19" s="325" customFormat="1" ht="33" hidden="1">
      <c r="A359" s="333" t="s">
        <v>2155</v>
      </c>
      <c r="B359" s="334" t="s">
        <v>1006</v>
      </c>
      <c r="C359" s="335" t="s">
        <v>1007</v>
      </c>
      <c r="D359" s="336">
        <v>7</v>
      </c>
      <c r="E359" s="336">
        <f>估驗單!F349</f>
        <v>7</v>
      </c>
      <c r="F359" s="390">
        <f t="shared" si="34"/>
        <v>0</v>
      </c>
      <c r="G359" s="336">
        <v>49997.27</v>
      </c>
      <c r="H359" s="336"/>
      <c r="I359" s="336">
        <f t="shared" si="35"/>
        <v>349980.89</v>
      </c>
      <c r="J359" s="336">
        <f t="shared" si="36"/>
        <v>349980.89</v>
      </c>
      <c r="K359" s="546">
        <f t="shared" si="31"/>
        <v>0</v>
      </c>
      <c r="L359" s="502"/>
      <c r="M359" s="231" t="s">
        <v>242</v>
      </c>
      <c r="N359" s="11" t="s">
        <v>243</v>
      </c>
      <c r="O359" s="341"/>
      <c r="P359" s="339"/>
    </row>
    <row r="360" spans="1:19" s="325" customFormat="1" ht="57" hidden="1">
      <c r="A360" s="333" t="s">
        <v>2156</v>
      </c>
      <c r="B360" s="334" t="s">
        <v>1009</v>
      </c>
      <c r="C360" s="335" t="s">
        <v>1010</v>
      </c>
      <c r="D360" s="336">
        <v>2230</v>
      </c>
      <c r="E360" s="336">
        <f>估驗單!F350</f>
        <v>2230</v>
      </c>
      <c r="F360" s="390">
        <f t="shared" si="34"/>
        <v>0</v>
      </c>
      <c r="G360" s="336">
        <v>805.95</v>
      </c>
      <c r="H360" s="336"/>
      <c r="I360" s="336">
        <f t="shared" si="35"/>
        <v>1797268.5</v>
      </c>
      <c r="J360" s="336">
        <f t="shared" si="36"/>
        <v>1797268.5</v>
      </c>
      <c r="K360" s="546">
        <f t="shared" si="31"/>
        <v>0</v>
      </c>
      <c r="L360" s="502"/>
      <c r="M360" s="231" t="s">
        <v>2434</v>
      </c>
      <c r="N360" s="11" t="s">
        <v>243</v>
      </c>
      <c r="O360" s="364" t="s">
        <v>2435</v>
      </c>
      <c r="P360" s="373"/>
      <c r="Q360" s="342" t="s">
        <v>2341</v>
      </c>
      <c r="S360" s="374"/>
    </row>
    <row r="361" spans="1:19" s="325" customFormat="1" ht="33" hidden="1">
      <c r="A361" s="333" t="s">
        <v>2157</v>
      </c>
      <c r="B361" s="334" t="s">
        <v>1012</v>
      </c>
      <c r="C361" s="335" t="s">
        <v>1007</v>
      </c>
      <c r="D361" s="336">
        <v>4</v>
      </c>
      <c r="E361" s="336">
        <f>估驗單!F351</f>
        <v>4</v>
      </c>
      <c r="F361" s="390">
        <f t="shared" si="34"/>
        <v>0</v>
      </c>
      <c r="G361" s="336">
        <v>49997.27</v>
      </c>
      <c r="H361" s="336"/>
      <c r="I361" s="336">
        <f t="shared" si="35"/>
        <v>199989.08</v>
      </c>
      <c r="J361" s="336">
        <f t="shared" si="36"/>
        <v>199989.08</v>
      </c>
      <c r="K361" s="546">
        <f t="shared" si="31"/>
        <v>0</v>
      </c>
      <c r="L361" s="502"/>
      <c r="M361" s="231" t="s">
        <v>242</v>
      </c>
      <c r="N361" s="11" t="s">
        <v>243</v>
      </c>
      <c r="O361" s="341"/>
      <c r="P361" s="339"/>
    </row>
    <row r="362" spans="1:19" s="325" customFormat="1" ht="33" hidden="1">
      <c r="A362" s="503" t="s">
        <v>2158</v>
      </c>
      <c r="B362" s="504" t="s">
        <v>1014</v>
      </c>
      <c r="C362" s="505" t="s">
        <v>1015</v>
      </c>
      <c r="D362" s="506">
        <v>19</v>
      </c>
      <c r="E362" s="506">
        <f>估驗單!F352</f>
        <v>19</v>
      </c>
      <c r="F362" s="507">
        <f t="shared" si="34"/>
        <v>0</v>
      </c>
      <c r="G362" s="506">
        <v>179990.18</v>
      </c>
      <c r="H362" s="506"/>
      <c r="I362" s="506">
        <f t="shared" si="35"/>
        <v>3419813.42</v>
      </c>
      <c r="J362" s="506">
        <f t="shared" si="36"/>
        <v>3419813.42</v>
      </c>
      <c r="K362" s="547">
        <f t="shared" si="31"/>
        <v>0</v>
      </c>
      <c r="L362" s="510"/>
      <c r="M362" s="520" t="s">
        <v>2632</v>
      </c>
      <c r="N362" s="11" t="s">
        <v>243</v>
      </c>
      <c r="O362" s="341"/>
      <c r="P362" s="339"/>
    </row>
    <row r="363" spans="1:19" s="325" customFormat="1" ht="33" hidden="1">
      <c r="A363" s="333" t="s">
        <v>2159</v>
      </c>
      <c r="B363" s="334" t="s">
        <v>1017</v>
      </c>
      <c r="C363" s="335" t="s">
        <v>4</v>
      </c>
      <c r="D363" s="336">
        <v>1</v>
      </c>
      <c r="E363" s="336">
        <f>估驗單!F353</f>
        <v>1</v>
      </c>
      <c r="F363" s="390">
        <f t="shared" si="34"/>
        <v>0</v>
      </c>
      <c r="G363" s="336">
        <v>205971.45</v>
      </c>
      <c r="H363" s="336"/>
      <c r="I363" s="336">
        <f t="shared" si="35"/>
        <v>205971.45</v>
      </c>
      <c r="J363" s="336">
        <f t="shared" si="36"/>
        <v>205971.45</v>
      </c>
      <c r="K363" s="546">
        <f t="shared" si="31"/>
        <v>0</v>
      </c>
      <c r="L363" s="502"/>
      <c r="M363" s="231" t="s">
        <v>2321</v>
      </c>
      <c r="N363" s="11" t="s">
        <v>243</v>
      </c>
      <c r="O363" s="341"/>
      <c r="P363" s="339"/>
    </row>
    <row r="364" spans="1:19" s="325" customFormat="1" ht="33" hidden="1">
      <c r="A364" s="333" t="s">
        <v>2160</v>
      </c>
      <c r="B364" s="334" t="s">
        <v>1019</v>
      </c>
      <c r="C364" s="335" t="s">
        <v>4</v>
      </c>
      <c r="D364" s="336">
        <v>1</v>
      </c>
      <c r="E364" s="336">
        <f>估驗單!F354</f>
        <v>1</v>
      </c>
      <c r="F364" s="390">
        <f t="shared" si="34"/>
        <v>0</v>
      </c>
      <c r="G364" s="336">
        <v>2424867.7599999998</v>
      </c>
      <c r="H364" s="336"/>
      <c r="I364" s="336">
        <f t="shared" si="35"/>
        <v>2424867.7599999998</v>
      </c>
      <c r="J364" s="336">
        <f t="shared" si="36"/>
        <v>2424867.7599999998</v>
      </c>
      <c r="K364" s="546">
        <f t="shared" si="31"/>
        <v>0</v>
      </c>
      <c r="L364" s="502"/>
      <c r="M364" s="231" t="s">
        <v>2321</v>
      </c>
      <c r="N364" s="11" t="s">
        <v>243</v>
      </c>
      <c r="O364" s="341"/>
      <c r="P364" s="339"/>
    </row>
    <row r="365" spans="1:19" s="325" customFormat="1" ht="33" hidden="1">
      <c r="A365" s="333" t="s">
        <v>2161</v>
      </c>
      <c r="B365" s="334" t="s">
        <v>1021</v>
      </c>
      <c r="C365" s="335" t="s">
        <v>4</v>
      </c>
      <c r="D365" s="336">
        <v>1</v>
      </c>
      <c r="E365" s="336">
        <f>估驗單!F355</f>
        <v>1</v>
      </c>
      <c r="F365" s="390">
        <f t="shared" si="34"/>
        <v>0</v>
      </c>
      <c r="G365" s="336">
        <v>349980.91</v>
      </c>
      <c r="H365" s="336"/>
      <c r="I365" s="336">
        <f t="shared" si="35"/>
        <v>349980.91</v>
      </c>
      <c r="J365" s="336">
        <f t="shared" si="36"/>
        <v>349980.91</v>
      </c>
      <c r="K365" s="546">
        <f t="shared" si="31"/>
        <v>0</v>
      </c>
      <c r="L365" s="502"/>
      <c r="M365" s="231" t="s">
        <v>242</v>
      </c>
      <c r="N365" s="11" t="s">
        <v>243</v>
      </c>
      <c r="O365" s="341"/>
      <c r="P365" s="339"/>
    </row>
    <row r="366" spans="1:19" s="375" customFormat="1" ht="33.75" hidden="1">
      <c r="A366" s="343" t="s">
        <v>2162</v>
      </c>
      <c r="B366" s="344" t="s">
        <v>1534</v>
      </c>
      <c r="C366" s="345" t="s">
        <v>13</v>
      </c>
      <c r="D366" s="340">
        <v>464</v>
      </c>
      <c r="E366" s="336">
        <f>估驗單!F356</f>
        <v>464</v>
      </c>
      <c r="F366" s="390">
        <f t="shared" si="34"/>
        <v>0</v>
      </c>
      <c r="G366" s="340">
        <v>15384.09</v>
      </c>
      <c r="H366" s="340"/>
      <c r="I366" s="336">
        <f t="shared" si="35"/>
        <v>7138217.7599999998</v>
      </c>
      <c r="J366" s="336">
        <f t="shared" si="36"/>
        <v>7138217.7599999998</v>
      </c>
      <c r="K366" s="546">
        <f t="shared" si="31"/>
        <v>0</v>
      </c>
      <c r="L366" s="502"/>
      <c r="M366" s="346" t="s">
        <v>242</v>
      </c>
      <c r="N366" s="347" t="s">
        <v>243</v>
      </c>
      <c r="O366" s="354"/>
      <c r="P366" s="349"/>
      <c r="Q366" s="375" t="s">
        <v>2436</v>
      </c>
    </row>
    <row r="367" spans="1:19" s="368" customFormat="1" ht="28.5" hidden="1" customHeight="1">
      <c r="A367" s="333">
        <v>10</v>
      </c>
      <c r="B367" s="334" t="s">
        <v>2437</v>
      </c>
      <c r="C367" s="335" t="s">
        <v>2353</v>
      </c>
      <c r="D367" s="336">
        <v>2</v>
      </c>
      <c r="E367" s="336">
        <f>估驗單!F357</f>
        <v>2</v>
      </c>
      <c r="F367" s="390">
        <f t="shared" si="34"/>
        <v>0</v>
      </c>
      <c r="G367" s="336">
        <v>60994.76</v>
      </c>
      <c r="H367" s="336"/>
      <c r="I367" s="336">
        <f t="shared" si="35"/>
        <v>121989.52</v>
      </c>
      <c r="J367" s="336">
        <f t="shared" si="36"/>
        <v>121989.52</v>
      </c>
      <c r="K367" s="546">
        <f t="shared" si="31"/>
        <v>0</v>
      </c>
      <c r="L367" s="502"/>
      <c r="M367" s="231" t="s">
        <v>2438</v>
      </c>
      <c r="N367" s="11"/>
      <c r="O367" s="364" t="s">
        <v>2439</v>
      </c>
      <c r="P367" s="373"/>
      <c r="Q367" s="342" t="s">
        <v>2341</v>
      </c>
    </row>
    <row r="368" spans="1:19" s="368" customFormat="1" ht="28.5" hidden="1" customHeight="1">
      <c r="A368" s="333">
        <v>11</v>
      </c>
      <c r="B368" s="428" t="s">
        <v>2567</v>
      </c>
      <c r="C368" s="429" t="s">
        <v>16</v>
      </c>
      <c r="D368" s="430">
        <v>129</v>
      </c>
      <c r="E368" s="430">
        <v>129</v>
      </c>
      <c r="F368" s="431"/>
      <c r="G368" s="500">
        <v>1159.8599999999999</v>
      </c>
      <c r="H368" s="500"/>
      <c r="I368" s="336">
        <f t="shared" si="35"/>
        <v>149621.94</v>
      </c>
      <c r="J368" s="336">
        <f t="shared" si="36"/>
        <v>149621.94</v>
      </c>
      <c r="K368" s="546">
        <f t="shared" si="31"/>
        <v>0</v>
      </c>
      <c r="L368" s="536"/>
      <c r="M368" s="432"/>
      <c r="N368" s="11"/>
      <c r="O368" s="364"/>
      <c r="P368" s="373"/>
      <c r="Q368" s="342"/>
    </row>
    <row r="369" spans="1:17" s="368" customFormat="1" ht="28.5" hidden="1" customHeight="1">
      <c r="A369" s="333">
        <v>12</v>
      </c>
      <c r="B369" s="428" t="s">
        <v>2568</v>
      </c>
      <c r="C369" s="429" t="s">
        <v>16</v>
      </c>
      <c r="D369" s="430">
        <v>282</v>
      </c>
      <c r="E369" s="430">
        <v>282</v>
      </c>
      <c r="F369" s="431"/>
      <c r="G369" s="501">
        <v>689.92</v>
      </c>
      <c r="H369" s="501"/>
      <c r="I369" s="336">
        <f t="shared" si="35"/>
        <v>194557.44</v>
      </c>
      <c r="J369" s="336">
        <f t="shared" si="36"/>
        <v>194557.44</v>
      </c>
      <c r="K369" s="546">
        <f t="shared" si="31"/>
        <v>0</v>
      </c>
      <c r="L369" s="536"/>
      <c r="M369" s="432"/>
      <c r="N369" s="11"/>
      <c r="O369" s="364"/>
      <c r="P369" s="373"/>
      <c r="Q369" s="342"/>
    </row>
    <row r="370" spans="1:17" s="368" customFormat="1" ht="28.5" hidden="1" customHeight="1">
      <c r="A370" s="333">
        <v>13</v>
      </c>
      <c r="B370" s="428" t="s">
        <v>2569</v>
      </c>
      <c r="C370" s="429" t="s">
        <v>16</v>
      </c>
      <c r="D370" s="430">
        <v>214.5</v>
      </c>
      <c r="E370" s="430">
        <v>214.5</v>
      </c>
      <c r="F370" s="431"/>
      <c r="G370" s="501">
        <v>899.89</v>
      </c>
      <c r="H370" s="501"/>
      <c r="I370" s="336">
        <f t="shared" si="35"/>
        <v>193026.41</v>
      </c>
      <c r="J370" s="336">
        <f t="shared" si="36"/>
        <v>193026.41</v>
      </c>
      <c r="K370" s="546">
        <f t="shared" si="31"/>
        <v>0</v>
      </c>
      <c r="L370" s="536"/>
      <c r="M370" s="432"/>
      <c r="N370" s="11"/>
      <c r="O370" s="364"/>
      <c r="P370" s="373"/>
      <c r="Q370" s="342"/>
    </row>
    <row r="371" spans="1:17" s="368" customFormat="1" ht="28.5" hidden="1" customHeight="1">
      <c r="A371" s="333">
        <v>14</v>
      </c>
      <c r="B371" s="428" t="s">
        <v>2570</v>
      </c>
      <c r="C371" s="429" t="s">
        <v>16</v>
      </c>
      <c r="D371" s="430">
        <v>47</v>
      </c>
      <c r="E371" s="430">
        <v>47</v>
      </c>
      <c r="F371" s="431"/>
      <c r="G371" s="501">
        <v>1499.82</v>
      </c>
      <c r="H371" s="501"/>
      <c r="I371" s="336">
        <f t="shared" si="35"/>
        <v>70491.539999999994</v>
      </c>
      <c r="J371" s="336">
        <f t="shared" si="36"/>
        <v>70491.539999999994</v>
      </c>
      <c r="K371" s="546">
        <f t="shared" si="31"/>
        <v>0</v>
      </c>
      <c r="L371" s="536"/>
      <c r="M371" s="432"/>
      <c r="N371" s="11"/>
      <c r="O371" s="364"/>
      <c r="P371" s="373"/>
      <c r="Q371" s="342"/>
    </row>
    <row r="372" spans="1:17" s="368" customFormat="1" ht="28.5" hidden="1" customHeight="1">
      <c r="A372" s="333">
        <v>15</v>
      </c>
      <c r="B372" s="428" t="s">
        <v>2571</v>
      </c>
      <c r="C372" s="429" t="s">
        <v>16</v>
      </c>
      <c r="D372" s="430">
        <v>73</v>
      </c>
      <c r="E372" s="430">
        <v>73</v>
      </c>
      <c r="F372" s="431"/>
      <c r="G372" s="501">
        <v>1419.83</v>
      </c>
      <c r="H372" s="501"/>
      <c r="I372" s="336">
        <f t="shared" si="35"/>
        <v>103647.59</v>
      </c>
      <c r="J372" s="336">
        <f t="shared" si="36"/>
        <v>103647.59</v>
      </c>
      <c r="K372" s="546">
        <f t="shared" si="31"/>
        <v>0</v>
      </c>
      <c r="L372" s="536"/>
      <c r="M372" s="432"/>
      <c r="N372" s="11"/>
      <c r="O372" s="364"/>
      <c r="P372" s="373"/>
      <c r="Q372" s="342"/>
    </row>
    <row r="373" spans="1:17" s="368" customFormat="1" ht="28.5" hidden="1" customHeight="1">
      <c r="A373" s="333">
        <v>16</v>
      </c>
      <c r="B373" s="428" t="s">
        <v>2572</v>
      </c>
      <c r="C373" s="429" t="s">
        <v>16</v>
      </c>
      <c r="D373" s="430">
        <v>174</v>
      </c>
      <c r="E373" s="430">
        <v>174</v>
      </c>
      <c r="F373" s="431"/>
      <c r="G373" s="501">
        <v>771.9</v>
      </c>
      <c r="H373" s="501"/>
      <c r="I373" s="336">
        <f t="shared" si="35"/>
        <v>134310.6</v>
      </c>
      <c r="J373" s="336">
        <f t="shared" si="36"/>
        <v>134310.6</v>
      </c>
      <c r="K373" s="546">
        <f t="shared" si="31"/>
        <v>0</v>
      </c>
      <c r="L373" s="536"/>
      <c r="M373" s="432"/>
      <c r="N373" s="11"/>
      <c r="O373" s="364"/>
      <c r="P373" s="373"/>
      <c r="Q373" s="342"/>
    </row>
    <row r="374" spans="1:17" s="368" customFormat="1" ht="28.5" hidden="1" customHeight="1">
      <c r="A374" s="333">
        <v>17</v>
      </c>
      <c r="B374" s="428" t="s">
        <v>2573</v>
      </c>
      <c r="C374" s="429" t="s">
        <v>16</v>
      </c>
      <c r="D374" s="430">
        <v>1695</v>
      </c>
      <c r="E374" s="430">
        <v>1695</v>
      </c>
      <c r="F374" s="431"/>
      <c r="G374" s="501">
        <v>400.95</v>
      </c>
      <c r="H374" s="501"/>
      <c r="I374" s="336">
        <f t="shared" si="35"/>
        <v>679610.25</v>
      </c>
      <c r="J374" s="336">
        <f t="shared" si="36"/>
        <v>679610.25</v>
      </c>
      <c r="K374" s="546">
        <f t="shared" si="31"/>
        <v>0</v>
      </c>
      <c r="L374" s="536"/>
      <c r="M374" s="432"/>
      <c r="N374" s="11"/>
      <c r="O374" s="364"/>
      <c r="P374" s="373"/>
      <c r="Q374" s="342"/>
    </row>
    <row r="375" spans="1:17" s="368" customFormat="1" ht="28.5" hidden="1" customHeight="1">
      <c r="A375" s="333">
        <v>18</v>
      </c>
      <c r="B375" s="428" t="s">
        <v>2574</v>
      </c>
      <c r="C375" s="429" t="s">
        <v>16</v>
      </c>
      <c r="D375" s="430">
        <v>310</v>
      </c>
      <c r="E375" s="430">
        <v>310</v>
      </c>
      <c r="F375" s="431"/>
      <c r="G375" s="501">
        <v>280.97000000000003</v>
      </c>
      <c r="H375" s="501"/>
      <c r="I375" s="336">
        <f t="shared" si="35"/>
        <v>87100.7</v>
      </c>
      <c r="J375" s="336">
        <f t="shared" si="36"/>
        <v>87100.7</v>
      </c>
      <c r="K375" s="546">
        <f t="shared" si="31"/>
        <v>0</v>
      </c>
      <c r="L375" s="536"/>
      <c r="M375" s="432"/>
      <c r="N375" s="11"/>
      <c r="O375" s="364"/>
      <c r="P375" s="373"/>
      <c r="Q375" s="342"/>
    </row>
    <row r="376" spans="1:17" s="368" customFormat="1" ht="28.5" hidden="1" customHeight="1">
      <c r="A376" s="333">
        <v>19</v>
      </c>
      <c r="B376" s="428" t="s">
        <v>2575</v>
      </c>
      <c r="C376" s="429" t="s">
        <v>16</v>
      </c>
      <c r="D376" s="430">
        <v>723.5</v>
      </c>
      <c r="E376" s="430">
        <v>723.5</v>
      </c>
      <c r="F376" s="431"/>
      <c r="G376" s="501">
        <v>800.9</v>
      </c>
      <c r="H376" s="501"/>
      <c r="I376" s="336">
        <f t="shared" si="35"/>
        <v>579451.15</v>
      </c>
      <c r="J376" s="336">
        <f t="shared" si="36"/>
        <v>579451.15</v>
      </c>
      <c r="K376" s="546">
        <f t="shared" si="31"/>
        <v>0</v>
      </c>
      <c r="L376" s="536"/>
      <c r="M376" s="432"/>
      <c r="N376" s="11"/>
      <c r="O376" s="364"/>
      <c r="P376" s="373"/>
      <c r="Q376" s="342"/>
    </row>
    <row r="377" spans="1:17" s="368" customFormat="1" ht="28.5" hidden="1" customHeight="1">
      <c r="A377" s="333">
        <v>20</v>
      </c>
      <c r="B377" s="428" t="s">
        <v>2576</v>
      </c>
      <c r="C377" s="429" t="s">
        <v>16</v>
      </c>
      <c r="D377" s="430">
        <v>122</v>
      </c>
      <c r="E377" s="430">
        <v>122</v>
      </c>
      <c r="F377" s="431"/>
      <c r="G377" s="501">
        <v>561.92999999999995</v>
      </c>
      <c r="H377" s="501"/>
      <c r="I377" s="336">
        <f t="shared" si="35"/>
        <v>68555.460000000006</v>
      </c>
      <c r="J377" s="336">
        <f t="shared" si="36"/>
        <v>68555.460000000006</v>
      </c>
      <c r="K377" s="546">
        <f t="shared" si="31"/>
        <v>0</v>
      </c>
      <c r="L377" s="536"/>
      <c r="M377" s="432"/>
      <c r="N377" s="11"/>
      <c r="O377" s="364"/>
      <c r="P377" s="373"/>
      <c r="Q377" s="342"/>
    </row>
    <row r="378" spans="1:17" s="368" customFormat="1" ht="28.5" hidden="1" customHeight="1">
      <c r="A378" s="333">
        <v>21</v>
      </c>
      <c r="B378" s="428" t="s">
        <v>2577</v>
      </c>
      <c r="C378" s="429" t="s">
        <v>16</v>
      </c>
      <c r="D378" s="430">
        <v>421</v>
      </c>
      <c r="E378" s="430">
        <v>421</v>
      </c>
      <c r="F378" s="431"/>
      <c r="G378" s="501">
        <v>519.94000000000005</v>
      </c>
      <c r="H378" s="501"/>
      <c r="I378" s="336">
        <f t="shared" si="35"/>
        <v>218894.74</v>
      </c>
      <c r="J378" s="336">
        <f t="shared" si="36"/>
        <v>218894.74</v>
      </c>
      <c r="K378" s="546">
        <f t="shared" si="31"/>
        <v>0</v>
      </c>
      <c r="L378" s="536"/>
      <c r="M378" s="432"/>
      <c r="N378" s="11"/>
      <c r="O378" s="364"/>
      <c r="P378" s="373"/>
      <c r="Q378" s="342"/>
    </row>
    <row r="379" spans="1:17" s="368" customFormat="1" ht="28.5" hidden="1" customHeight="1">
      <c r="A379" s="333">
        <v>22</v>
      </c>
      <c r="B379" s="428" t="s">
        <v>2578</v>
      </c>
      <c r="C379" s="429" t="s">
        <v>16</v>
      </c>
      <c r="D379" s="430">
        <v>28</v>
      </c>
      <c r="E379" s="430">
        <v>28</v>
      </c>
      <c r="F379" s="431"/>
      <c r="G379" s="501">
        <v>1579.81</v>
      </c>
      <c r="H379" s="501"/>
      <c r="I379" s="336">
        <f t="shared" si="35"/>
        <v>44234.68</v>
      </c>
      <c r="J379" s="336">
        <f t="shared" si="36"/>
        <v>44234.68</v>
      </c>
      <c r="K379" s="546">
        <f t="shared" si="31"/>
        <v>0</v>
      </c>
      <c r="L379" s="536"/>
      <c r="M379" s="432"/>
      <c r="N379" s="11"/>
      <c r="O379" s="364"/>
      <c r="P379" s="373"/>
      <c r="Q379" s="342"/>
    </row>
    <row r="380" spans="1:17" s="368" customFormat="1" ht="28.5" hidden="1" customHeight="1">
      <c r="A380" s="333">
        <v>23</v>
      </c>
      <c r="B380" s="428" t="s">
        <v>2579</v>
      </c>
      <c r="C380" s="429" t="s">
        <v>16</v>
      </c>
      <c r="D380" s="430">
        <v>442.5</v>
      </c>
      <c r="E380" s="430">
        <v>442.5</v>
      </c>
      <c r="F380" s="431"/>
      <c r="G380" s="501">
        <v>209.97</v>
      </c>
      <c r="H380" s="501"/>
      <c r="I380" s="336">
        <f t="shared" si="35"/>
        <v>92911.73</v>
      </c>
      <c r="J380" s="336">
        <f t="shared" si="36"/>
        <v>92911.73</v>
      </c>
      <c r="K380" s="546">
        <f t="shared" si="31"/>
        <v>0</v>
      </c>
      <c r="L380" s="536"/>
      <c r="M380" s="432"/>
      <c r="N380" s="11"/>
      <c r="O380" s="364"/>
      <c r="P380" s="373"/>
      <c r="Q380" s="342"/>
    </row>
    <row r="381" spans="1:17" s="368" customFormat="1" ht="28.5" hidden="1" customHeight="1">
      <c r="A381" s="333">
        <v>24</v>
      </c>
      <c r="B381" s="428" t="s">
        <v>2580</v>
      </c>
      <c r="C381" s="429" t="s">
        <v>14</v>
      </c>
      <c r="D381" s="430">
        <v>2</v>
      </c>
      <c r="E381" s="430">
        <v>2</v>
      </c>
      <c r="F381" s="431"/>
      <c r="G381" s="501">
        <v>10798.67</v>
      </c>
      <c r="H381" s="501"/>
      <c r="I381" s="336">
        <f t="shared" si="35"/>
        <v>21597.34</v>
      </c>
      <c r="J381" s="336">
        <f t="shared" si="36"/>
        <v>21597.34</v>
      </c>
      <c r="K381" s="546">
        <f t="shared" si="31"/>
        <v>0</v>
      </c>
      <c r="L381" s="536"/>
      <c r="M381" s="432"/>
      <c r="N381" s="11"/>
      <c r="O381" s="364"/>
      <c r="P381" s="373"/>
      <c r="Q381" s="342"/>
    </row>
    <row r="382" spans="1:17" s="368" customFormat="1" ht="28.5" hidden="1" customHeight="1">
      <c r="A382" s="333">
        <v>25</v>
      </c>
      <c r="B382" s="428" t="s">
        <v>2581</v>
      </c>
      <c r="C382" s="429" t="s">
        <v>14</v>
      </c>
      <c r="D382" s="430">
        <v>12</v>
      </c>
      <c r="E382" s="430">
        <v>12</v>
      </c>
      <c r="F382" s="431"/>
      <c r="G382" s="501">
        <v>7249.11</v>
      </c>
      <c r="H382" s="501"/>
      <c r="I382" s="336">
        <f t="shared" si="35"/>
        <v>86989.32</v>
      </c>
      <c r="J382" s="336">
        <f t="shared" si="36"/>
        <v>86989.32</v>
      </c>
      <c r="K382" s="546">
        <f t="shared" si="31"/>
        <v>0</v>
      </c>
      <c r="L382" s="536"/>
      <c r="M382" s="432"/>
      <c r="N382" s="11"/>
      <c r="O382" s="364"/>
      <c r="P382" s="373"/>
      <c r="Q382" s="342"/>
    </row>
    <row r="383" spans="1:17" s="325" customFormat="1" ht="33" hidden="1">
      <c r="A383" s="406" t="s">
        <v>2252</v>
      </c>
      <c r="B383" s="407" t="s">
        <v>25</v>
      </c>
      <c r="C383" s="408" t="s">
        <v>4</v>
      </c>
      <c r="D383" s="409"/>
      <c r="E383" s="409">
        <f>估驗單!F373</f>
        <v>0</v>
      </c>
      <c r="F383" s="410">
        <f t="shared" si="34"/>
        <v>0</v>
      </c>
      <c r="G383" s="409">
        <f>I383</f>
        <v>3537274.3800000008</v>
      </c>
      <c r="H383" s="409"/>
      <c r="I383" s="411">
        <f>SUM(I384:I422)</f>
        <v>3537274.3800000008</v>
      </c>
      <c r="J383" s="411">
        <f>SUM(J384:J422)</f>
        <v>3537274.3800000008</v>
      </c>
      <c r="K383" s="541">
        <f>SUM(K384:K422)</f>
        <v>0</v>
      </c>
      <c r="L383" s="454">
        <f>SUM(L384:L422)</f>
        <v>0</v>
      </c>
      <c r="M383" s="288" t="s">
        <v>242</v>
      </c>
      <c r="N383" s="11" t="s">
        <v>243</v>
      </c>
      <c r="O383" s="341"/>
      <c r="P383" s="339"/>
    </row>
    <row r="384" spans="1:17" s="325" customFormat="1" ht="42.75" hidden="1">
      <c r="A384" s="333" t="s">
        <v>2154</v>
      </c>
      <c r="B384" s="334" t="s">
        <v>1023</v>
      </c>
      <c r="C384" s="335" t="s">
        <v>7</v>
      </c>
      <c r="D384" s="336">
        <v>295</v>
      </c>
      <c r="E384" s="336">
        <f>估驗單!F374</f>
        <v>295</v>
      </c>
      <c r="F384" s="390">
        <f t="shared" si="34"/>
        <v>0</v>
      </c>
      <c r="G384" s="336">
        <v>299.98</v>
      </c>
      <c r="H384" s="336"/>
      <c r="I384" s="336">
        <f t="shared" ref="I384:I422" si="37">ROUND(D384*G384,2)</f>
        <v>88494.1</v>
      </c>
      <c r="J384" s="336">
        <f t="shared" ref="J384:J422" si="38">ROUND(E384*G384,2)</f>
        <v>88494.1</v>
      </c>
      <c r="K384" s="546">
        <f t="shared" si="31"/>
        <v>0</v>
      </c>
      <c r="L384" s="502"/>
      <c r="M384" s="231" t="s">
        <v>242</v>
      </c>
      <c r="N384" s="11" t="s">
        <v>243</v>
      </c>
      <c r="O384" s="341"/>
      <c r="P384" s="339"/>
    </row>
    <row r="385" spans="1:16" s="325" customFormat="1" ht="42.75" hidden="1">
      <c r="A385" s="333" t="s">
        <v>2155</v>
      </c>
      <c r="B385" s="334" t="s">
        <v>1025</v>
      </c>
      <c r="C385" s="335" t="s">
        <v>15</v>
      </c>
      <c r="D385" s="336">
        <v>59</v>
      </c>
      <c r="E385" s="336">
        <f>估驗單!F375</f>
        <v>59</v>
      </c>
      <c r="F385" s="390">
        <f t="shared" si="34"/>
        <v>0</v>
      </c>
      <c r="G385" s="336">
        <v>2999.84</v>
      </c>
      <c r="H385" s="336"/>
      <c r="I385" s="336">
        <f t="shared" si="37"/>
        <v>176990.56</v>
      </c>
      <c r="J385" s="336">
        <f t="shared" si="38"/>
        <v>176990.56</v>
      </c>
      <c r="K385" s="546">
        <f t="shared" si="31"/>
        <v>0</v>
      </c>
      <c r="L385" s="502"/>
      <c r="M385" s="231" t="s">
        <v>2321</v>
      </c>
      <c r="N385" s="11" t="s">
        <v>243</v>
      </c>
      <c r="O385" s="341"/>
      <c r="P385" s="339"/>
    </row>
    <row r="386" spans="1:16" s="325" customFormat="1" ht="33" hidden="1">
      <c r="A386" s="333" t="s">
        <v>2156</v>
      </c>
      <c r="B386" s="334" t="s">
        <v>1027</v>
      </c>
      <c r="C386" s="335" t="s">
        <v>15</v>
      </c>
      <c r="D386" s="336">
        <v>59</v>
      </c>
      <c r="E386" s="336">
        <f>估驗單!F376</f>
        <v>59</v>
      </c>
      <c r="F386" s="390">
        <f t="shared" si="34"/>
        <v>0</v>
      </c>
      <c r="G386" s="336">
        <v>149.99</v>
      </c>
      <c r="H386" s="336"/>
      <c r="I386" s="336">
        <f t="shared" si="37"/>
        <v>8849.41</v>
      </c>
      <c r="J386" s="336">
        <f t="shared" si="38"/>
        <v>8849.41</v>
      </c>
      <c r="K386" s="546">
        <f t="shared" si="31"/>
        <v>0</v>
      </c>
      <c r="L386" s="502"/>
      <c r="M386" s="231" t="s">
        <v>2321</v>
      </c>
      <c r="N386" s="11" t="s">
        <v>243</v>
      </c>
      <c r="O386" s="341"/>
      <c r="P386" s="339"/>
    </row>
    <row r="387" spans="1:16" s="325" customFormat="1" ht="42.75" hidden="1">
      <c r="A387" s="333" t="s">
        <v>2157</v>
      </c>
      <c r="B387" s="334" t="s">
        <v>1029</v>
      </c>
      <c r="C387" s="335" t="s">
        <v>1030</v>
      </c>
      <c r="D387" s="336">
        <v>9</v>
      </c>
      <c r="E387" s="336">
        <f>估驗單!F377</f>
        <v>9</v>
      </c>
      <c r="F387" s="390">
        <f t="shared" si="34"/>
        <v>0</v>
      </c>
      <c r="G387" s="336">
        <v>1199.93</v>
      </c>
      <c r="H387" s="336"/>
      <c r="I387" s="336">
        <f t="shared" si="37"/>
        <v>10799.37</v>
      </c>
      <c r="J387" s="336">
        <f t="shared" si="38"/>
        <v>10799.37</v>
      </c>
      <c r="K387" s="546">
        <f t="shared" si="31"/>
        <v>0</v>
      </c>
      <c r="L387" s="502"/>
      <c r="M387" s="231" t="s">
        <v>2321</v>
      </c>
      <c r="N387" s="11" t="s">
        <v>243</v>
      </c>
      <c r="O387" s="341"/>
      <c r="P387" s="339"/>
    </row>
    <row r="388" spans="1:16" s="325" customFormat="1" ht="42.75" hidden="1">
      <c r="A388" s="333" t="s">
        <v>2158</v>
      </c>
      <c r="B388" s="334" t="s">
        <v>1032</v>
      </c>
      <c r="C388" s="335" t="s">
        <v>15</v>
      </c>
      <c r="D388" s="336">
        <v>22</v>
      </c>
      <c r="E388" s="336">
        <f>估驗單!F378</f>
        <v>22</v>
      </c>
      <c r="F388" s="390">
        <f t="shared" si="34"/>
        <v>0</v>
      </c>
      <c r="G388" s="336">
        <v>649.96</v>
      </c>
      <c r="H388" s="336"/>
      <c r="I388" s="336">
        <f t="shared" si="37"/>
        <v>14299.12</v>
      </c>
      <c r="J388" s="336">
        <f t="shared" si="38"/>
        <v>14299.12</v>
      </c>
      <c r="K388" s="546">
        <f t="shared" si="31"/>
        <v>0</v>
      </c>
      <c r="L388" s="502"/>
      <c r="M388" s="231" t="s">
        <v>2440</v>
      </c>
      <c r="N388" s="11" t="s">
        <v>243</v>
      </c>
      <c r="O388" s="341"/>
      <c r="P388" s="339"/>
    </row>
    <row r="389" spans="1:16" s="325" customFormat="1" ht="42.75" hidden="1">
      <c r="A389" s="333" t="s">
        <v>2159</v>
      </c>
      <c r="B389" s="334" t="s">
        <v>1034</v>
      </c>
      <c r="C389" s="335" t="s">
        <v>15</v>
      </c>
      <c r="D389" s="336">
        <v>22</v>
      </c>
      <c r="E389" s="336">
        <f>估驗單!F379</f>
        <v>22</v>
      </c>
      <c r="F389" s="390">
        <f t="shared" si="34"/>
        <v>0</v>
      </c>
      <c r="G389" s="336">
        <v>1299.93</v>
      </c>
      <c r="H389" s="336"/>
      <c r="I389" s="336">
        <f t="shared" si="37"/>
        <v>28598.46</v>
      </c>
      <c r="J389" s="336">
        <f t="shared" si="38"/>
        <v>28598.46</v>
      </c>
      <c r="K389" s="546">
        <f t="shared" si="31"/>
        <v>0</v>
      </c>
      <c r="L389" s="502"/>
      <c r="M389" s="231" t="s">
        <v>2440</v>
      </c>
      <c r="N389" s="11" t="s">
        <v>243</v>
      </c>
      <c r="O389" s="341"/>
      <c r="P389" s="339"/>
    </row>
    <row r="390" spans="1:16" s="325" customFormat="1" ht="42.75" hidden="1">
      <c r="A390" s="333" t="s">
        <v>2160</v>
      </c>
      <c r="B390" s="334" t="s">
        <v>1036</v>
      </c>
      <c r="C390" s="335" t="s">
        <v>15</v>
      </c>
      <c r="D390" s="336">
        <v>5</v>
      </c>
      <c r="E390" s="336">
        <f>估驗單!F380</f>
        <v>5</v>
      </c>
      <c r="F390" s="390">
        <f t="shared" si="34"/>
        <v>0</v>
      </c>
      <c r="G390" s="336">
        <v>3499.81</v>
      </c>
      <c r="H390" s="336"/>
      <c r="I390" s="336">
        <f t="shared" si="37"/>
        <v>17499.05</v>
      </c>
      <c r="J390" s="336">
        <f t="shared" si="38"/>
        <v>17499.05</v>
      </c>
      <c r="K390" s="546">
        <f t="shared" si="31"/>
        <v>0</v>
      </c>
      <c r="L390" s="502"/>
      <c r="M390" s="231" t="s">
        <v>242</v>
      </c>
      <c r="N390" s="11" t="s">
        <v>243</v>
      </c>
      <c r="O390" s="341"/>
      <c r="P390" s="339"/>
    </row>
    <row r="391" spans="1:16" s="325" customFormat="1" ht="42.75" hidden="1">
      <c r="A391" s="333" t="s">
        <v>2161</v>
      </c>
      <c r="B391" s="334" t="s">
        <v>1038</v>
      </c>
      <c r="C391" s="335" t="s">
        <v>15</v>
      </c>
      <c r="D391" s="336">
        <v>5</v>
      </c>
      <c r="E391" s="336">
        <f>估驗單!F381</f>
        <v>5</v>
      </c>
      <c r="F391" s="390">
        <f t="shared" si="34"/>
        <v>0</v>
      </c>
      <c r="G391" s="336">
        <v>699.96</v>
      </c>
      <c r="H391" s="336"/>
      <c r="I391" s="336">
        <f t="shared" si="37"/>
        <v>3499.8</v>
      </c>
      <c r="J391" s="336">
        <f t="shared" si="38"/>
        <v>3499.8</v>
      </c>
      <c r="K391" s="546">
        <f t="shared" si="31"/>
        <v>0</v>
      </c>
      <c r="L391" s="502"/>
      <c r="M391" s="231" t="s">
        <v>242</v>
      </c>
      <c r="N391" s="11" t="s">
        <v>243</v>
      </c>
      <c r="O391" s="341"/>
      <c r="P391" s="339"/>
    </row>
    <row r="392" spans="1:16" s="325" customFormat="1" ht="42.75" hidden="1">
      <c r="A392" s="333" t="s">
        <v>2162</v>
      </c>
      <c r="B392" s="334" t="s">
        <v>1040</v>
      </c>
      <c r="C392" s="335" t="s">
        <v>14</v>
      </c>
      <c r="D392" s="336">
        <v>1</v>
      </c>
      <c r="E392" s="336">
        <f>估驗單!F382</f>
        <v>1</v>
      </c>
      <c r="F392" s="390">
        <f t="shared" si="34"/>
        <v>0</v>
      </c>
      <c r="G392" s="336">
        <v>14999.18</v>
      </c>
      <c r="H392" s="336"/>
      <c r="I392" s="336">
        <f t="shared" si="37"/>
        <v>14999.18</v>
      </c>
      <c r="J392" s="336">
        <f t="shared" si="38"/>
        <v>14999.18</v>
      </c>
      <c r="K392" s="546">
        <f t="shared" si="31"/>
        <v>0</v>
      </c>
      <c r="L392" s="502"/>
      <c r="M392" s="231" t="s">
        <v>242</v>
      </c>
      <c r="N392" s="11" t="s">
        <v>243</v>
      </c>
      <c r="O392" s="341"/>
      <c r="P392" s="339"/>
    </row>
    <row r="393" spans="1:16" s="325" customFormat="1" ht="42.75" hidden="1">
      <c r="A393" s="333" t="s">
        <v>2163</v>
      </c>
      <c r="B393" s="334" t="s">
        <v>1043</v>
      </c>
      <c r="C393" s="335" t="s">
        <v>15</v>
      </c>
      <c r="D393" s="336">
        <v>1</v>
      </c>
      <c r="E393" s="336">
        <f>估驗單!F383</f>
        <v>1</v>
      </c>
      <c r="F393" s="390">
        <f t="shared" si="34"/>
        <v>0</v>
      </c>
      <c r="G393" s="336">
        <v>5999.67</v>
      </c>
      <c r="H393" s="336"/>
      <c r="I393" s="336">
        <f t="shared" si="37"/>
        <v>5999.67</v>
      </c>
      <c r="J393" s="336">
        <f t="shared" si="38"/>
        <v>5999.67</v>
      </c>
      <c r="K393" s="546">
        <f t="shared" si="31"/>
        <v>0</v>
      </c>
      <c r="L393" s="502"/>
      <c r="M393" s="231" t="s">
        <v>2321</v>
      </c>
      <c r="N393" s="11" t="s">
        <v>243</v>
      </c>
      <c r="O393" s="341"/>
      <c r="P393" s="339"/>
    </row>
    <row r="394" spans="1:16" s="325" customFormat="1" ht="71.25" hidden="1">
      <c r="A394" s="333" t="s">
        <v>2164</v>
      </c>
      <c r="B394" s="334" t="s">
        <v>1046</v>
      </c>
      <c r="C394" s="335" t="s">
        <v>15</v>
      </c>
      <c r="D394" s="336">
        <v>1</v>
      </c>
      <c r="E394" s="336">
        <f>估驗單!F384</f>
        <v>1</v>
      </c>
      <c r="F394" s="390">
        <f t="shared" si="34"/>
        <v>0</v>
      </c>
      <c r="G394" s="336">
        <v>49497.3</v>
      </c>
      <c r="H394" s="336"/>
      <c r="I394" s="336">
        <f t="shared" si="37"/>
        <v>49497.3</v>
      </c>
      <c r="J394" s="336">
        <f t="shared" si="38"/>
        <v>49497.3</v>
      </c>
      <c r="K394" s="546">
        <f t="shared" si="31"/>
        <v>0</v>
      </c>
      <c r="L394" s="502"/>
      <c r="M394" s="231" t="s">
        <v>242</v>
      </c>
      <c r="N394" s="11" t="s">
        <v>243</v>
      </c>
      <c r="O394" s="341"/>
      <c r="P394" s="339"/>
    </row>
    <row r="395" spans="1:16" s="325" customFormat="1" ht="42.75" hidden="1">
      <c r="A395" s="333" t="s">
        <v>2165</v>
      </c>
      <c r="B395" s="334" t="s">
        <v>1049</v>
      </c>
      <c r="C395" s="335" t="s">
        <v>15</v>
      </c>
      <c r="D395" s="336">
        <v>6</v>
      </c>
      <c r="E395" s="336">
        <f>估驗單!F385</f>
        <v>6</v>
      </c>
      <c r="F395" s="390">
        <f t="shared" si="34"/>
        <v>0</v>
      </c>
      <c r="G395" s="336">
        <v>2999.84</v>
      </c>
      <c r="H395" s="336"/>
      <c r="I395" s="336">
        <f t="shared" si="37"/>
        <v>17999.04</v>
      </c>
      <c r="J395" s="336">
        <f t="shared" si="38"/>
        <v>17999.04</v>
      </c>
      <c r="K395" s="546">
        <f t="shared" si="31"/>
        <v>0</v>
      </c>
      <c r="L395" s="502"/>
      <c r="M395" s="231" t="s">
        <v>242</v>
      </c>
      <c r="N395" s="11" t="s">
        <v>243</v>
      </c>
      <c r="O395" s="341"/>
      <c r="P395" s="339"/>
    </row>
    <row r="396" spans="1:16" s="325" customFormat="1" ht="33" hidden="1">
      <c r="A396" s="333" t="s">
        <v>2166</v>
      </c>
      <c r="B396" s="334" t="s">
        <v>1052</v>
      </c>
      <c r="C396" s="335" t="s">
        <v>14</v>
      </c>
      <c r="D396" s="336">
        <v>75</v>
      </c>
      <c r="E396" s="336">
        <f>估驗單!F386</f>
        <v>75</v>
      </c>
      <c r="F396" s="390">
        <f t="shared" si="34"/>
        <v>0</v>
      </c>
      <c r="G396" s="336">
        <v>11999.35</v>
      </c>
      <c r="H396" s="336"/>
      <c r="I396" s="336">
        <f t="shared" si="37"/>
        <v>899951.25</v>
      </c>
      <c r="J396" s="336">
        <f t="shared" si="38"/>
        <v>899951.25</v>
      </c>
      <c r="K396" s="546">
        <f t="shared" si="31"/>
        <v>0</v>
      </c>
      <c r="L396" s="502"/>
      <c r="M396" s="231" t="s">
        <v>242</v>
      </c>
      <c r="N396" s="11" t="s">
        <v>243</v>
      </c>
      <c r="O396" s="341"/>
      <c r="P396" s="339"/>
    </row>
    <row r="397" spans="1:16" s="325" customFormat="1" ht="33" hidden="1">
      <c r="A397" s="333" t="s">
        <v>2167</v>
      </c>
      <c r="B397" s="334" t="s">
        <v>1055</v>
      </c>
      <c r="C397" s="335" t="s">
        <v>1007</v>
      </c>
      <c r="D397" s="336">
        <v>75</v>
      </c>
      <c r="E397" s="336">
        <f>估驗單!F387</f>
        <v>75</v>
      </c>
      <c r="F397" s="390">
        <f t="shared" si="34"/>
        <v>0</v>
      </c>
      <c r="G397" s="336">
        <v>1499.92</v>
      </c>
      <c r="H397" s="336"/>
      <c r="I397" s="336">
        <f t="shared" si="37"/>
        <v>112494</v>
      </c>
      <c r="J397" s="336">
        <f t="shared" si="38"/>
        <v>112494</v>
      </c>
      <c r="K397" s="546">
        <f t="shared" si="31"/>
        <v>0</v>
      </c>
      <c r="L397" s="502"/>
      <c r="M397" s="231" t="s">
        <v>242</v>
      </c>
      <c r="N397" s="11" t="s">
        <v>243</v>
      </c>
      <c r="O397" s="341"/>
      <c r="P397" s="339"/>
    </row>
    <row r="398" spans="1:16" s="325" customFormat="1" ht="42.75" hidden="1">
      <c r="A398" s="333" t="s">
        <v>2168</v>
      </c>
      <c r="B398" s="334" t="s">
        <v>1058</v>
      </c>
      <c r="C398" s="335" t="s">
        <v>15</v>
      </c>
      <c r="D398" s="336">
        <v>1</v>
      </c>
      <c r="E398" s="336">
        <f>估驗單!F388</f>
        <v>1</v>
      </c>
      <c r="F398" s="390">
        <f t="shared" si="34"/>
        <v>0</v>
      </c>
      <c r="G398" s="336">
        <v>11999.35</v>
      </c>
      <c r="H398" s="336"/>
      <c r="I398" s="336">
        <f t="shared" si="37"/>
        <v>11999.35</v>
      </c>
      <c r="J398" s="336">
        <f t="shared" si="38"/>
        <v>11999.35</v>
      </c>
      <c r="K398" s="546">
        <f t="shared" si="31"/>
        <v>0</v>
      </c>
      <c r="L398" s="502"/>
      <c r="M398" s="231" t="s">
        <v>2321</v>
      </c>
      <c r="N398" s="11" t="s">
        <v>243</v>
      </c>
      <c r="O398" s="341"/>
      <c r="P398" s="339"/>
    </row>
    <row r="399" spans="1:16" s="325" customFormat="1" ht="33" hidden="1">
      <c r="A399" s="333" t="s">
        <v>2169</v>
      </c>
      <c r="B399" s="334" t="s">
        <v>1061</v>
      </c>
      <c r="C399" s="335" t="s">
        <v>15</v>
      </c>
      <c r="D399" s="336">
        <v>1</v>
      </c>
      <c r="E399" s="336">
        <f>估驗單!F389</f>
        <v>1</v>
      </c>
      <c r="F399" s="390">
        <f t="shared" si="34"/>
        <v>0</v>
      </c>
      <c r="G399" s="336">
        <v>1999.89</v>
      </c>
      <c r="H399" s="336"/>
      <c r="I399" s="336">
        <f t="shared" si="37"/>
        <v>1999.89</v>
      </c>
      <c r="J399" s="336">
        <f t="shared" si="38"/>
        <v>1999.89</v>
      </c>
      <c r="K399" s="546">
        <f t="shared" si="31"/>
        <v>0</v>
      </c>
      <c r="L399" s="502"/>
      <c r="M399" s="231" t="s">
        <v>242</v>
      </c>
      <c r="N399" s="11" t="s">
        <v>243</v>
      </c>
      <c r="O399" s="341"/>
      <c r="P399" s="339"/>
    </row>
    <row r="400" spans="1:16" s="325" customFormat="1" ht="42.75" hidden="1">
      <c r="A400" s="333" t="s">
        <v>2170</v>
      </c>
      <c r="B400" s="334" t="s">
        <v>1064</v>
      </c>
      <c r="C400" s="335" t="s">
        <v>15</v>
      </c>
      <c r="D400" s="336">
        <v>11</v>
      </c>
      <c r="E400" s="336">
        <f>估驗單!F390</f>
        <v>11</v>
      </c>
      <c r="F400" s="390">
        <f t="shared" si="34"/>
        <v>0</v>
      </c>
      <c r="G400" s="336">
        <v>2999.84</v>
      </c>
      <c r="H400" s="336"/>
      <c r="I400" s="336">
        <f t="shared" si="37"/>
        <v>32998.239999999998</v>
      </c>
      <c r="J400" s="336">
        <f t="shared" si="38"/>
        <v>32998.239999999998</v>
      </c>
      <c r="K400" s="546">
        <f t="shared" ref="K400:K463" si="39">J400-I400</f>
        <v>0</v>
      </c>
      <c r="L400" s="502"/>
      <c r="M400" s="231" t="s">
        <v>2321</v>
      </c>
      <c r="N400" s="11" t="s">
        <v>243</v>
      </c>
      <c r="O400" s="341"/>
      <c r="P400" s="339"/>
    </row>
    <row r="401" spans="1:16" s="325" customFormat="1" ht="42.75" hidden="1">
      <c r="A401" s="333" t="s">
        <v>2171</v>
      </c>
      <c r="B401" s="334" t="s">
        <v>1067</v>
      </c>
      <c r="C401" s="335" t="s">
        <v>15</v>
      </c>
      <c r="D401" s="336">
        <v>3</v>
      </c>
      <c r="E401" s="336">
        <f>估驗單!F391</f>
        <v>3</v>
      </c>
      <c r="F401" s="390">
        <f t="shared" si="34"/>
        <v>0</v>
      </c>
      <c r="G401" s="336">
        <v>1399.92</v>
      </c>
      <c r="H401" s="336"/>
      <c r="I401" s="336">
        <f t="shared" si="37"/>
        <v>4199.76</v>
      </c>
      <c r="J401" s="336">
        <f t="shared" si="38"/>
        <v>4199.76</v>
      </c>
      <c r="K401" s="546">
        <f t="shared" si="39"/>
        <v>0</v>
      </c>
      <c r="L401" s="502"/>
      <c r="M401" s="231" t="s">
        <v>2321</v>
      </c>
      <c r="N401" s="11" t="s">
        <v>243</v>
      </c>
      <c r="O401" s="341"/>
      <c r="P401" s="339"/>
    </row>
    <row r="402" spans="1:16" s="325" customFormat="1" ht="42.75" hidden="1">
      <c r="A402" s="333" t="s">
        <v>2172</v>
      </c>
      <c r="B402" s="334" t="s">
        <v>1070</v>
      </c>
      <c r="C402" s="335" t="s">
        <v>14</v>
      </c>
      <c r="D402" s="336">
        <v>5</v>
      </c>
      <c r="E402" s="336">
        <f>估驗單!F392</f>
        <v>5</v>
      </c>
      <c r="F402" s="390">
        <f t="shared" si="34"/>
        <v>0</v>
      </c>
      <c r="G402" s="336">
        <v>17999.02</v>
      </c>
      <c r="H402" s="336"/>
      <c r="I402" s="336">
        <f t="shared" si="37"/>
        <v>89995.1</v>
      </c>
      <c r="J402" s="336">
        <f t="shared" si="38"/>
        <v>89995.1</v>
      </c>
      <c r="K402" s="546">
        <f t="shared" si="39"/>
        <v>0</v>
      </c>
      <c r="L402" s="502"/>
      <c r="M402" s="231" t="s">
        <v>242</v>
      </c>
      <c r="N402" s="11" t="s">
        <v>243</v>
      </c>
      <c r="O402" s="341"/>
      <c r="P402" s="339"/>
    </row>
    <row r="403" spans="1:16" s="325" customFormat="1" ht="33" hidden="1">
      <c r="A403" s="333" t="s">
        <v>2173</v>
      </c>
      <c r="B403" s="334" t="s">
        <v>1073</v>
      </c>
      <c r="C403" s="335" t="s">
        <v>14</v>
      </c>
      <c r="D403" s="336">
        <v>1</v>
      </c>
      <c r="E403" s="336">
        <f>估驗單!F393</f>
        <v>1</v>
      </c>
      <c r="F403" s="390">
        <f t="shared" si="34"/>
        <v>0</v>
      </c>
      <c r="G403" s="336">
        <v>8999.51</v>
      </c>
      <c r="H403" s="336"/>
      <c r="I403" s="336">
        <f t="shared" si="37"/>
        <v>8999.51</v>
      </c>
      <c r="J403" s="336">
        <f t="shared" si="38"/>
        <v>8999.51</v>
      </c>
      <c r="K403" s="546">
        <f t="shared" si="39"/>
        <v>0</v>
      </c>
      <c r="L403" s="502"/>
      <c r="M403" s="231" t="s">
        <v>242</v>
      </c>
      <c r="N403" s="11" t="s">
        <v>243</v>
      </c>
      <c r="O403" s="341"/>
      <c r="P403" s="339"/>
    </row>
    <row r="404" spans="1:16" s="325" customFormat="1" ht="33" hidden="1">
      <c r="A404" s="333" t="s">
        <v>2174</v>
      </c>
      <c r="B404" s="334" t="s">
        <v>1076</v>
      </c>
      <c r="C404" s="335" t="s">
        <v>15</v>
      </c>
      <c r="D404" s="336">
        <v>2</v>
      </c>
      <c r="E404" s="336">
        <f>估驗單!F394</f>
        <v>2</v>
      </c>
      <c r="F404" s="390">
        <f t="shared" si="34"/>
        <v>0</v>
      </c>
      <c r="G404" s="336">
        <v>5999.67</v>
      </c>
      <c r="H404" s="336"/>
      <c r="I404" s="336">
        <f t="shared" si="37"/>
        <v>11999.34</v>
      </c>
      <c r="J404" s="336">
        <f t="shared" si="38"/>
        <v>11999.34</v>
      </c>
      <c r="K404" s="546">
        <f t="shared" si="39"/>
        <v>0</v>
      </c>
      <c r="L404" s="502"/>
      <c r="M404" s="231" t="s">
        <v>242</v>
      </c>
      <c r="N404" s="11" t="s">
        <v>243</v>
      </c>
      <c r="O404" s="341"/>
      <c r="P404" s="339"/>
    </row>
    <row r="405" spans="1:16" s="325" customFormat="1" ht="33" hidden="1">
      <c r="A405" s="333" t="s">
        <v>2175</v>
      </c>
      <c r="B405" s="334" t="s">
        <v>1079</v>
      </c>
      <c r="C405" s="335" t="s">
        <v>14</v>
      </c>
      <c r="D405" s="336">
        <v>1</v>
      </c>
      <c r="E405" s="336">
        <f>估驗單!F395</f>
        <v>1</v>
      </c>
      <c r="F405" s="390">
        <f t="shared" si="34"/>
        <v>0</v>
      </c>
      <c r="G405" s="336">
        <v>2499.86</v>
      </c>
      <c r="H405" s="336"/>
      <c r="I405" s="336">
        <f t="shared" si="37"/>
        <v>2499.86</v>
      </c>
      <c r="J405" s="336">
        <f t="shared" si="38"/>
        <v>2499.86</v>
      </c>
      <c r="K405" s="546">
        <f t="shared" si="39"/>
        <v>0</v>
      </c>
      <c r="L405" s="502"/>
      <c r="M405" s="231" t="s">
        <v>242</v>
      </c>
      <c r="N405" s="11" t="s">
        <v>243</v>
      </c>
      <c r="O405" s="341"/>
      <c r="P405" s="339"/>
    </row>
    <row r="406" spans="1:16" s="325" customFormat="1" ht="33" hidden="1">
      <c r="A406" s="333" t="s">
        <v>2177</v>
      </c>
      <c r="B406" s="334" t="s">
        <v>1082</v>
      </c>
      <c r="C406" s="335" t="s">
        <v>14</v>
      </c>
      <c r="D406" s="336">
        <v>1</v>
      </c>
      <c r="E406" s="336">
        <f>估驗單!F396</f>
        <v>1</v>
      </c>
      <c r="F406" s="390">
        <f t="shared" si="34"/>
        <v>0</v>
      </c>
      <c r="G406" s="336">
        <v>2499.86</v>
      </c>
      <c r="H406" s="336"/>
      <c r="I406" s="336">
        <f t="shared" si="37"/>
        <v>2499.86</v>
      </c>
      <c r="J406" s="336">
        <f t="shared" si="38"/>
        <v>2499.86</v>
      </c>
      <c r="K406" s="546">
        <f t="shared" si="39"/>
        <v>0</v>
      </c>
      <c r="L406" s="502"/>
      <c r="M406" s="231" t="s">
        <v>242</v>
      </c>
      <c r="N406" s="11" t="s">
        <v>243</v>
      </c>
      <c r="O406" s="341"/>
      <c r="P406" s="339"/>
    </row>
    <row r="407" spans="1:16" s="325" customFormat="1" ht="42.75" hidden="1">
      <c r="A407" s="333" t="s">
        <v>2178</v>
      </c>
      <c r="B407" s="334" t="s">
        <v>1085</v>
      </c>
      <c r="C407" s="335" t="s">
        <v>15</v>
      </c>
      <c r="D407" s="336">
        <v>4</v>
      </c>
      <c r="E407" s="336">
        <f>估驗單!F397</f>
        <v>4</v>
      </c>
      <c r="F407" s="390">
        <f t="shared" si="34"/>
        <v>0</v>
      </c>
      <c r="G407" s="336">
        <v>2999.84</v>
      </c>
      <c r="H407" s="336"/>
      <c r="I407" s="336">
        <f t="shared" si="37"/>
        <v>11999.36</v>
      </c>
      <c r="J407" s="336">
        <f t="shared" si="38"/>
        <v>11999.36</v>
      </c>
      <c r="K407" s="546">
        <f t="shared" si="39"/>
        <v>0</v>
      </c>
      <c r="L407" s="502"/>
      <c r="M407" s="231" t="s">
        <v>242</v>
      </c>
      <c r="N407" s="11" t="s">
        <v>243</v>
      </c>
      <c r="O407" s="341"/>
      <c r="P407" s="339"/>
    </row>
    <row r="408" spans="1:16" s="325" customFormat="1" ht="57" hidden="1">
      <c r="A408" s="333" t="s">
        <v>2179</v>
      </c>
      <c r="B408" s="334" t="s">
        <v>1088</v>
      </c>
      <c r="C408" s="335" t="s">
        <v>15</v>
      </c>
      <c r="D408" s="336">
        <v>2</v>
      </c>
      <c r="E408" s="336">
        <f>估驗單!F398</f>
        <v>2</v>
      </c>
      <c r="F408" s="390">
        <f t="shared" si="34"/>
        <v>0</v>
      </c>
      <c r="G408" s="336">
        <v>19998.91</v>
      </c>
      <c r="H408" s="336"/>
      <c r="I408" s="336">
        <f t="shared" si="37"/>
        <v>39997.82</v>
      </c>
      <c r="J408" s="336">
        <f t="shared" si="38"/>
        <v>39997.82</v>
      </c>
      <c r="K408" s="546">
        <f t="shared" si="39"/>
        <v>0</v>
      </c>
      <c r="L408" s="502"/>
      <c r="M408" s="231" t="s">
        <v>2321</v>
      </c>
      <c r="N408" s="11" t="s">
        <v>243</v>
      </c>
      <c r="O408" s="341"/>
      <c r="P408" s="339"/>
    </row>
    <row r="409" spans="1:16" s="325" customFormat="1" ht="42.75" hidden="1">
      <c r="A409" s="333" t="s">
        <v>2181</v>
      </c>
      <c r="B409" s="334" t="s">
        <v>1091</v>
      </c>
      <c r="C409" s="335" t="s">
        <v>14</v>
      </c>
      <c r="D409" s="336">
        <v>1</v>
      </c>
      <c r="E409" s="336">
        <f>估驗單!F399</f>
        <v>1</v>
      </c>
      <c r="F409" s="390">
        <f t="shared" si="34"/>
        <v>0</v>
      </c>
      <c r="G409" s="336">
        <v>14999.18</v>
      </c>
      <c r="H409" s="336"/>
      <c r="I409" s="336">
        <f t="shared" si="37"/>
        <v>14999.18</v>
      </c>
      <c r="J409" s="336">
        <f t="shared" si="38"/>
        <v>14999.18</v>
      </c>
      <c r="K409" s="546">
        <f t="shared" si="39"/>
        <v>0</v>
      </c>
      <c r="L409" s="502"/>
      <c r="M409" s="231" t="s">
        <v>242</v>
      </c>
      <c r="N409" s="11" t="s">
        <v>243</v>
      </c>
      <c r="O409" s="341"/>
      <c r="P409" s="339"/>
    </row>
    <row r="410" spans="1:16" s="325" customFormat="1" ht="42.75" hidden="1">
      <c r="A410" s="333" t="s">
        <v>2182</v>
      </c>
      <c r="B410" s="334" t="s">
        <v>1094</v>
      </c>
      <c r="C410" s="335" t="s">
        <v>1095</v>
      </c>
      <c r="D410" s="336">
        <v>3</v>
      </c>
      <c r="E410" s="336">
        <f>估驗單!F400</f>
        <v>3</v>
      </c>
      <c r="F410" s="390">
        <f t="shared" si="34"/>
        <v>0</v>
      </c>
      <c r="G410" s="336">
        <v>1299.93</v>
      </c>
      <c r="H410" s="336"/>
      <c r="I410" s="336">
        <f t="shared" si="37"/>
        <v>3899.79</v>
      </c>
      <c r="J410" s="336">
        <f t="shared" si="38"/>
        <v>3899.79</v>
      </c>
      <c r="K410" s="546">
        <f t="shared" si="39"/>
        <v>0</v>
      </c>
      <c r="L410" s="502"/>
      <c r="M410" s="231" t="s">
        <v>242</v>
      </c>
      <c r="N410" s="11" t="s">
        <v>243</v>
      </c>
      <c r="O410" s="341"/>
      <c r="P410" s="339"/>
    </row>
    <row r="411" spans="1:16" s="325" customFormat="1" ht="33" hidden="1">
      <c r="A411" s="333" t="s">
        <v>2183</v>
      </c>
      <c r="B411" s="334" t="s">
        <v>1098</v>
      </c>
      <c r="C411" s="335" t="s">
        <v>1095</v>
      </c>
      <c r="D411" s="336">
        <v>4</v>
      </c>
      <c r="E411" s="336">
        <f>估驗單!F401</f>
        <v>4</v>
      </c>
      <c r="F411" s="390">
        <f t="shared" si="34"/>
        <v>0</v>
      </c>
      <c r="G411" s="336">
        <v>999.95</v>
      </c>
      <c r="H411" s="336"/>
      <c r="I411" s="336">
        <f t="shared" si="37"/>
        <v>3999.8</v>
      </c>
      <c r="J411" s="336">
        <f t="shared" si="38"/>
        <v>3999.8</v>
      </c>
      <c r="K411" s="546">
        <f t="shared" si="39"/>
        <v>0</v>
      </c>
      <c r="L411" s="502"/>
      <c r="M411" s="231" t="s">
        <v>242</v>
      </c>
      <c r="N411" s="11" t="s">
        <v>243</v>
      </c>
      <c r="O411" s="341"/>
      <c r="P411" s="339"/>
    </row>
    <row r="412" spans="1:16" s="325" customFormat="1" ht="33" hidden="1">
      <c r="A412" s="333" t="s">
        <v>2184</v>
      </c>
      <c r="B412" s="334" t="s">
        <v>1101</v>
      </c>
      <c r="C412" s="335" t="s">
        <v>15</v>
      </c>
      <c r="D412" s="336">
        <v>2</v>
      </c>
      <c r="E412" s="336">
        <f>估驗單!F402</f>
        <v>2</v>
      </c>
      <c r="F412" s="390">
        <f t="shared" si="34"/>
        <v>0</v>
      </c>
      <c r="G412" s="336">
        <v>8999.51</v>
      </c>
      <c r="H412" s="336"/>
      <c r="I412" s="336">
        <f t="shared" si="37"/>
        <v>17999.02</v>
      </c>
      <c r="J412" s="336">
        <f t="shared" si="38"/>
        <v>17999.02</v>
      </c>
      <c r="K412" s="546">
        <f t="shared" si="39"/>
        <v>0</v>
      </c>
      <c r="L412" s="502"/>
      <c r="M412" s="231" t="s">
        <v>2321</v>
      </c>
      <c r="N412" s="11" t="s">
        <v>243</v>
      </c>
      <c r="O412" s="341"/>
      <c r="P412" s="339"/>
    </row>
    <row r="413" spans="1:16" s="325" customFormat="1" ht="42.75" hidden="1">
      <c r="A413" s="333" t="s">
        <v>2185</v>
      </c>
      <c r="B413" s="334" t="s">
        <v>1104</v>
      </c>
      <c r="C413" s="335" t="s">
        <v>15</v>
      </c>
      <c r="D413" s="336">
        <v>4</v>
      </c>
      <c r="E413" s="336">
        <f>估驗單!F403</f>
        <v>4</v>
      </c>
      <c r="F413" s="390">
        <f t="shared" si="34"/>
        <v>0</v>
      </c>
      <c r="G413" s="336">
        <v>4199.7700000000004</v>
      </c>
      <c r="H413" s="336"/>
      <c r="I413" s="336">
        <f t="shared" si="37"/>
        <v>16799.080000000002</v>
      </c>
      <c r="J413" s="336">
        <f t="shared" si="38"/>
        <v>16799.080000000002</v>
      </c>
      <c r="K413" s="546">
        <f t="shared" si="39"/>
        <v>0</v>
      </c>
      <c r="L413" s="502"/>
      <c r="M413" s="231" t="s">
        <v>242</v>
      </c>
      <c r="N413" s="11" t="s">
        <v>243</v>
      </c>
      <c r="O413" s="341"/>
      <c r="P413" s="339"/>
    </row>
    <row r="414" spans="1:16" ht="33" hidden="1">
      <c r="A414" s="333" t="s">
        <v>2186</v>
      </c>
      <c r="B414" s="334" t="s">
        <v>1107</v>
      </c>
      <c r="C414" s="335" t="s">
        <v>14</v>
      </c>
      <c r="D414" s="336">
        <v>2</v>
      </c>
      <c r="E414" s="336">
        <f>估驗單!F404</f>
        <v>2</v>
      </c>
      <c r="F414" s="390">
        <f t="shared" si="34"/>
        <v>0</v>
      </c>
      <c r="G414" s="336">
        <v>999.95</v>
      </c>
      <c r="H414" s="336"/>
      <c r="I414" s="336">
        <f t="shared" si="37"/>
        <v>1999.9</v>
      </c>
      <c r="J414" s="336">
        <f t="shared" si="38"/>
        <v>1999.9</v>
      </c>
      <c r="K414" s="546">
        <f t="shared" si="39"/>
        <v>0</v>
      </c>
      <c r="L414" s="502"/>
      <c r="M414" s="231" t="s">
        <v>242</v>
      </c>
      <c r="N414" s="11" t="s">
        <v>243</v>
      </c>
      <c r="O414" s="341"/>
      <c r="P414" s="339"/>
    </row>
    <row r="415" spans="1:16" ht="33" hidden="1">
      <c r="A415" s="333" t="s">
        <v>2187</v>
      </c>
      <c r="B415" s="334" t="s">
        <v>224</v>
      </c>
      <c r="C415" s="335" t="s">
        <v>15</v>
      </c>
      <c r="D415" s="336">
        <v>12</v>
      </c>
      <c r="E415" s="336">
        <f>估驗單!F405</f>
        <v>12</v>
      </c>
      <c r="F415" s="390">
        <f t="shared" si="34"/>
        <v>0</v>
      </c>
      <c r="G415" s="336">
        <v>4499.75</v>
      </c>
      <c r="H415" s="336"/>
      <c r="I415" s="336">
        <f t="shared" si="37"/>
        <v>53997</v>
      </c>
      <c r="J415" s="336">
        <f t="shared" si="38"/>
        <v>53997</v>
      </c>
      <c r="K415" s="546">
        <f t="shared" si="39"/>
        <v>0</v>
      </c>
      <c r="L415" s="502"/>
      <c r="M415" s="231" t="s">
        <v>242</v>
      </c>
      <c r="N415" s="11" t="s">
        <v>243</v>
      </c>
      <c r="O415" s="341"/>
      <c r="P415" s="339"/>
    </row>
    <row r="416" spans="1:16" ht="33" hidden="1">
      <c r="A416" s="333" t="s">
        <v>2188</v>
      </c>
      <c r="B416" s="334" t="s">
        <v>1112</v>
      </c>
      <c r="C416" s="335" t="s">
        <v>15</v>
      </c>
      <c r="D416" s="336">
        <v>2</v>
      </c>
      <c r="E416" s="336">
        <f>估驗單!F406</f>
        <v>2</v>
      </c>
      <c r="F416" s="390">
        <f t="shared" si="34"/>
        <v>0</v>
      </c>
      <c r="G416" s="336">
        <v>636265.30000000005</v>
      </c>
      <c r="H416" s="336"/>
      <c r="I416" s="336">
        <f t="shared" si="37"/>
        <v>1272530.6000000001</v>
      </c>
      <c r="J416" s="336">
        <f t="shared" si="38"/>
        <v>1272530.6000000001</v>
      </c>
      <c r="K416" s="546">
        <f t="shared" si="39"/>
        <v>0</v>
      </c>
      <c r="L416" s="502"/>
      <c r="M416" s="231" t="s">
        <v>242</v>
      </c>
      <c r="N416" s="11" t="s">
        <v>243</v>
      </c>
      <c r="O416" s="341"/>
      <c r="P416" s="339"/>
    </row>
    <row r="417" spans="1:21" ht="42.75" hidden="1">
      <c r="A417" s="333" t="s">
        <v>2189</v>
      </c>
      <c r="B417" s="334" t="s">
        <v>1115</v>
      </c>
      <c r="C417" s="335" t="s">
        <v>1116</v>
      </c>
      <c r="D417" s="336">
        <v>4</v>
      </c>
      <c r="E417" s="336">
        <f>估驗單!F407</f>
        <v>4</v>
      </c>
      <c r="F417" s="390">
        <f t="shared" si="34"/>
        <v>0</v>
      </c>
      <c r="G417" s="336">
        <v>1999.89</v>
      </c>
      <c r="H417" s="336"/>
      <c r="I417" s="336">
        <f t="shared" si="37"/>
        <v>7999.56</v>
      </c>
      <c r="J417" s="336">
        <f t="shared" si="38"/>
        <v>7999.56</v>
      </c>
      <c r="K417" s="546">
        <f t="shared" si="39"/>
        <v>0</v>
      </c>
      <c r="L417" s="502"/>
      <c r="M417" s="231" t="s">
        <v>2321</v>
      </c>
      <c r="N417" s="11" t="s">
        <v>243</v>
      </c>
      <c r="O417" s="341"/>
      <c r="P417" s="339"/>
    </row>
    <row r="418" spans="1:21" ht="33" hidden="1">
      <c r="A418" s="333" t="s">
        <v>2190</v>
      </c>
      <c r="B418" s="334" t="s">
        <v>1542</v>
      </c>
      <c r="C418" s="335" t="s">
        <v>15</v>
      </c>
      <c r="D418" s="336">
        <v>1</v>
      </c>
      <c r="E418" s="336">
        <f>估驗單!F408</f>
        <v>1</v>
      </c>
      <c r="F418" s="390">
        <f t="shared" si="34"/>
        <v>0</v>
      </c>
      <c r="G418" s="336">
        <v>119722.49</v>
      </c>
      <c r="H418" s="336"/>
      <c r="I418" s="336">
        <f t="shared" si="37"/>
        <v>119722.49</v>
      </c>
      <c r="J418" s="336">
        <f t="shared" si="38"/>
        <v>119722.49</v>
      </c>
      <c r="K418" s="546">
        <f t="shared" si="39"/>
        <v>0</v>
      </c>
      <c r="L418" s="502"/>
      <c r="M418" s="231" t="s">
        <v>242</v>
      </c>
      <c r="N418" s="11" t="s">
        <v>243</v>
      </c>
      <c r="O418" s="341"/>
      <c r="P418" s="339"/>
    </row>
    <row r="419" spans="1:21" s="352" customFormat="1" ht="33.75" hidden="1">
      <c r="A419" s="343">
        <v>36</v>
      </c>
      <c r="B419" s="344" t="s">
        <v>2441</v>
      </c>
      <c r="C419" s="345" t="s">
        <v>2353</v>
      </c>
      <c r="D419" s="340">
        <v>1</v>
      </c>
      <c r="E419" s="336">
        <f>估驗單!F409</f>
        <v>1</v>
      </c>
      <c r="F419" s="390">
        <f t="shared" si="34"/>
        <v>0</v>
      </c>
      <c r="G419" s="340">
        <v>74993.56</v>
      </c>
      <c r="H419" s="340"/>
      <c r="I419" s="336">
        <f t="shared" si="37"/>
        <v>74993.56</v>
      </c>
      <c r="J419" s="336">
        <f t="shared" si="38"/>
        <v>74993.56</v>
      </c>
      <c r="K419" s="546">
        <f t="shared" si="39"/>
        <v>0</v>
      </c>
      <c r="L419" s="502"/>
      <c r="M419" s="350" t="s">
        <v>2442</v>
      </c>
      <c r="N419" s="347" t="s">
        <v>243</v>
      </c>
      <c r="O419" s="348" t="s">
        <v>2443</v>
      </c>
      <c r="P419" s="349"/>
      <c r="Q419" s="362" t="s">
        <v>2356</v>
      </c>
    </row>
    <row r="420" spans="1:21" s="352" customFormat="1" ht="42.75" hidden="1">
      <c r="A420" s="423">
        <v>37</v>
      </c>
      <c r="B420" s="424" t="s">
        <v>1546</v>
      </c>
      <c r="C420" s="425" t="s">
        <v>15</v>
      </c>
      <c r="D420" s="419">
        <v>2</v>
      </c>
      <c r="E420" s="419">
        <f>估驗單!F410</f>
        <v>2</v>
      </c>
      <c r="F420" s="426">
        <f t="shared" si="34"/>
        <v>0</v>
      </c>
      <c r="G420" s="419">
        <v>83492.83</v>
      </c>
      <c r="H420" s="419"/>
      <c r="I420" s="336">
        <f t="shared" si="37"/>
        <v>166985.66</v>
      </c>
      <c r="J420" s="336">
        <f t="shared" si="38"/>
        <v>166985.66</v>
      </c>
      <c r="K420" s="546">
        <f t="shared" si="39"/>
        <v>0</v>
      </c>
      <c r="L420" s="502"/>
      <c r="M420" s="376"/>
      <c r="N420" s="357"/>
      <c r="O420" s="377"/>
      <c r="P420" s="360"/>
      <c r="Q420" s="353" t="s">
        <v>2356</v>
      </c>
    </row>
    <row r="421" spans="1:21" s="352" customFormat="1" ht="42.75" hidden="1">
      <c r="A421" s="423">
        <v>38</v>
      </c>
      <c r="B421" s="424" t="s">
        <v>1548</v>
      </c>
      <c r="C421" s="425" t="s">
        <v>15</v>
      </c>
      <c r="D421" s="419">
        <v>1</v>
      </c>
      <c r="E421" s="419">
        <f>估驗單!F411</f>
        <v>1</v>
      </c>
      <c r="F421" s="426">
        <f t="shared" si="34"/>
        <v>0</v>
      </c>
      <c r="G421" s="419">
        <v>76193.42</v>
      </c>
      <c r="H421" s="419"/>
      <c r="I421" s="336">
        <f t="shared" si="37"/>
        <v>76193.42</v>
      </c>
      <c r="J421" s="336">
        <f t="shared" si="38"/>
        <v>76193.42</v>
      </c>
      <c r="K421" s="546">
        <f t="shared" si="39"/>
        <v>0</v>
      </c>
      <c r="L421" s="502"/>
      <c r="M421" s="376"/>
      <c r="N421" s="357"/>
      <c r="O421" s="377"/>
      <c r="P421" s="360"/>
      <c r="Q421" s="353" t="s">
        <v>2356</v>
      </c>
    </row>
    <row r="422" spans="1:21" s="352" customFormat="1" ht="28.5" hidden="1">
      <c r="A422" s="423">
        <v>39</v>
      </c>
      <c r="B422" s="424" t="s">
        <v>1550</v>
      </c>
      <c r="C422" s="425" t="s">
        <v>15</v>
      </c>
      <c r="D422" s="419">
        <v>2</v>
      </c>
      <c r="E422" s="419">
        <f>估驗單!F412</f>
        <v>2</v>
      </c>
      <c r="F422" s="426">
        <f t="shared" si="34"/>
        <v>0</v>
      </c>
      <c r="G422" s="419">
        <v>17998.46</v>
      </c>
      <c r="H422" s="419"/>
      <c r="I422" s="336">
        <f t="shared" si="37"/>
        <v>35996.92</v>
      </c>
      <c r="J422" s="336">
        <f t="shared" si="38"/>
        <v>35996.92</v>
      </c>
      <c r="K422" s="546">
        <f t="shared" si="39"/>
        <v>0</v>
      </c>
      <c r="L422" s="502"/>
      <c r="M422" s="376"/>
      <c r="N422" s="357"/>
      <c r="O422" s="377"/>
      <c r="P422" s="360"/>
      <c r="Q422" s="353" t="s">
        <v>2356</v>
      </c>
    </row>
    <row r="423" spans="1:21" ht="33" hidden="1">
      <c r="A423" s="406" t="s">
        <v>2253</v>
      </c>
      <c r="B423" s="407" t="s">
        <v>1118</v>
      </c>
      <c r="C423" s="408" t="s">
        <v>4</v>
      </c>
      <c r="D423" s="409"/>
      <c r="E423" s="409"/>
      <c r="F423" s="410">
        <f t="shared" si="34"/>
        <v>0</v>
      </c>
      <c r="G423" s="409">
        <f>I423</f>
        <v>3983954.6799999997</v>
      </c>
      <c r="H423" s="409"/>
      <c r="I423" s="409">
        <f>SUM(I424:I426)</f>
        <v>3983954.6799999997</v>
      </c>
      <c r="J423" s="409">
        <f>SUM(J424:J426)</f>
        <v>3983954.6799999997</v>
      </c>
      <c r="K423" s="542">
        <f>SUM(K424:K426)</f>
        <v>0</v>
      </c>
      <c r="L423" s="534"/>
      <c r="M423" s="288" t="s">
        <v>242</v>
      </c>
      <c r="N423" s="11" t="s">
        <v>243</v>
      </c>
      <c r="O423" s="341"/>
      <c r="P423" s="339"/>
    </row>
    <row r="424" spans="1:21" ht="33" hidden="1">
      <c r="A424" s="333" t="s">
        <v>2154</v>
      </c>
      <c r="B424" s="334" t="s">
        <v>26</v>
      </c>
      <c r="C424" s="335" t="s">
        <v>20</v>
      </c>
      <c r="D424" s="336">
        <v>48</v>
      </c>
      <c r="E424" s="336">
        <f>估驗單!F414</f>
        <v>48</v>
      </c>
      <c r="F424" s="390">
        <f t="shared" si="34"/>
        <v>0</v>
      </c>
      <c r="G424" s="336">
        <v>13067.55</v>
      </c>
      <c r="H424" s="336"/>
      <c r="I424" s="336">
        <f>ROUND(D424*G424,2)</f>
        <v>627242.4</v>
      </c>
      <c r="J424" s="336">
        <f>ROUND(E424*G424,2)</f>
        <v>627242.4</v>
      </c>
      <c r="K424" s="546">
        <f t="shared" si="39"/>
        <v>0</v>
      </c>
      <c r="L424" s="502"/>
      <c r="M424" s="231" t="s">
        <v>242</v>
      </c>
      <c r="N424" s="11" t="s">
        <v>243</v>
      </c>
      <c r="O424" s="341"/>
      <c r="P424" s="339"/>
    </row>
    <row r="425" spans="1:21" ht="33.75" hidden="1">
      <c r="A425" s="333" t="s">
        <v>2155</v>
      </c>
      <c r="B425" s="334" t="s">
        <v>27</v>
      </c>
      <c r="C425" s="335" t="s">
        <v>21</v>
      </c>
      <c r="D425" s="336">
        <v>28448</v>
      </c>
      <c r="E425" s="336">
        <f>估驗單!F415</f>
        <v>28448</v>
      </c>
      <c r="F425" s="390">
        <f t="shared" si="34"/>
        <v>0</v>
      </c>
      <c r="G425" s="336">
        <v>54.56</v>
      </c>
      <c r="H425" s="336"/>
      <c r="I425" s="336">
        <f>ROUND(D425*G425,2)</f>
        <v>1552122.8799999999</v>
      </c>
      <c r="J425" s="336">
        <f>ROUND(E425*G425,2)</f>
        <v>1552122.8799999999</v>
      </c>
      <c r="K425" s="546">
        <f t="shared" si="39"/>
        <v>0</v>
      </c>
      <c r="L425" s="502"/>
      <c r="M425" s="231" t="s">
        <v>2444</v>
      </c>
      <c r="N425" s="11" t="s">
        <v>243</v>
      </c>
      <c r="O425" s="341" t="s">
        <v>2445</v>
      </c>
      <c r="P425" s="339" t="s">
        <v>2446</v>
      </c>
      <c r="Q425" s="362" t="s">
        <v>2356</v>
      </c>
      <c r="S425" s="378" t="s">
        <v>2447</v>
      </c>
      <c r="U425" s="379"/>
    </row>
    <row r="426" spans="1:21" s="363" customFormat="1" ht="67.5" hidden="1">
      <c r="A426" s="343" t="s">
        <v>2156</v>
      </c>
      <c r="B426" s="344" t="s">
        <v>1553</v>
      </c>
      <c r="C426" s="345" t="s">
        <v>2448</v>
      </c>
      <c r="D426" s="340">
        <v>1570</v>
      </c>
      <c r="E426" s="336">
        <f>估驗單!F416</f>
        <v>1570</v>
      </c>
      <c r="F426" s="390">
        <f t="shared" si="34"/>
        <v>0</v>
      </c>
      <c r="G426" s="340">
        <v>1149.42</v>
      </c>
      <c r="H426" s="340"/>
      <c r="I426" s="336">
        <f>ROUND(D426*G426,2)</f>
        <v>1804589.4</v>
      </c>
      <c r="J426" s="336">
        <f>ROUND(E426*G426,2)</f>
        <v>1804589.4</v>
      </c>
      <c r="K426" s="546">
        <f t="shared" si="39"/>
        <v>0</v>
      </c>
      <c r="L426" s="502"/>
      <c r="M426" s="346" t="s">
        <v>242</v>
      </c>
      <c r="N426" s="347" t="s">
        <v>243</v>
      </c>
      <c r="O426" s="354" t="s">
        <v>2449</v>
      </c>
      <c r="P426" s="349" t="s">
        <v>2450</v>
      </c>
      <c r="Q426" s="358" t="s">
        <v>2341</v>
      </c>
    </row>
    <row r="427" spans="1:21" ht="33" hidden="1">
      <c r="A427" s="406" t="s">
        <v>2254</v>
      </c>
      <c r="B427" s="407" t="s">
        <v>1121</v>
      </c>
      <c r="C427" s="408" t="s">
        <v>4</v>
      </c>
      <c r="D427" s="409"/>
      <c r="E427" s="409"/>
      <c r="F427" s="410">
        <f t="shared" si="34"/>
        <v>0</v>
      </c>
      <c r="G427" s="409">
        <f>I427</f>
        <v>10146417.939999999</v>
      </c>
      <c r="H427" s="409"/>
      <c r="I427" s="411">
        <f>SUM(I428:I446)</f>
        <v>10146417.939999999</v>
      </c>
      <c r="J427" s="411">
        <f>SUM(J428:J446)</f>
        <v>10761887.789999999</v>
      </c>
      <c r="K427" s="541">
        <f>SUM(K428:K446)</f>
        <v>615469.85</v>
      </c>
      <c r="L427" s="454">
        <f>SUM(L428:L445)</f>
        <v>0</v>
      </c>
      <c r="M427" s="288" t="s">
        <v>242</v>
      </c>
      <c r="N427" s="11" t="s">
        <v>243</v>
      </c>
      <c r="O427" s="341"/>
      <c r="P427" s="339"/>
    </row>
    <row r="428" spans="1:21" ht="33" hidden="1">
      <c r="A428" s="333" t="s">
        <v>2154</v>
      </c>
      <c r="B428" s="334" t="s">
        <v>1122</v>
      </c>
      <c r="C428" s="335" t="s">
        <v>8</v>
      </c>
      <c r="D428" s="336">
        <v>1294.97</v>
      </c>
      <c r="E428" s="336">
        <f>估驗單!F418</f>
        <v>1294.97</v>
      </c>
      <c r="F428" s="390">
        <f t="shared" si="34"/>
        <v>0</v>
      </c>
      <c r="G428" s="336">
        <v>3662.03</v>
      </c>
      <c r="H428" s="336"/>
      <c r="I428" s="336">
        <f t="shared" ref="I428:I446" si="40">ROUND(D428*G428,2)</f>
        <v>4742218.99</v>
      </c>
      <c r="J428" s="336">
        <f t="shared" ref="J428:J446" si="41">ROUND(E428*G428,2)</f>
        <v>4742218.99</v>
      </c>
      <c r="K428" s="546">
        <f t="shared" si="39"/>
        <v>0</v>
      </c>
      <c r="L428" s="502"/>
      <c r="M428" s="231" t="s">
        <v>2451</v>
      </c>
      <c r="N428" s="11" t="s">
        <v>243</v>
      </c>
      <c r="O428" s="341"/>
      <c r="P428" s="339"/>
    </row>
    <row r="429" spans="1:21" ht="33" hidden="1">
      <c r="A429" s="333" t="s">
        <v>2155</v>
      </c>
      <c r="B429" s="334" t="s">
        <v>1124</v>
      </c>
      <c r="C429" s="335" t="s">
        <v>13</v>
      </c>
      <c r="D429" s="336">
        <v>1840.93</v>
      </c>
      <c r="E429" s="336">
        <f>估驗單!F419</f>
        <v>1840.93</v>
      </c>
      <c r="F429" s="390">
        <f t="shared" si="34"/>
        <v>0</v>
      </c>
      <c r="G429" s="336">
        <v>352.98</v>
      </c>
      <c r="H429" s="336"/>
      <c r="I429" s="336">
        <f t="shared" si="40"/>
        <v>649811.47</v>
      </c>
      <c r="J429" s="336">
        <f t="shared" si="41"/>
        <v>649811.47</v>
      </c>
      <c r="K429" s="546">
        <f t="shared" si="39"/>
        <v>0</v>
      </c>
      <c r="L429" s="502"/>
      <c r="M429" s="231" t="s">
        <v>2452</v>
      </c>
      <c r="N429" s="11" t="s">
        <v>243</v>
      </c>
      <c r="O429" s="341"/>
      <c r="P429" s="339"/>
    </row>
    <row r="430" spans="1:21" ht="33" hidden="1">
      <c r="A430" s="333" t="s">
        <v>2156</v>
      </c>
      <c r="B430" s="334" t="s">
        <v>32</v>
      </c>
      <c r="C430" s="335" t="s">
        <v>7</v>
      </c>
      <c r="D430" s="336">
        <v>59</v>
      </c>
      <c r="E430" s="336">
        <f>估驗單!F420</f>
        <v>59</v>
      </c>
      <c r="F430" s="390">
        <f t="shared" si="34"/>
        <v>0</v>
      </c>
      <c r="G430" s="336">
        <v>217.01</v>
      </c>
      <c r="H430" s="336"/>
      <c r="I430" s="336">
        <f t="shared" si="40"/>
        <v>12803.59</v>
      </c>
      <c r="J430" s="336">
        <f t="shared" si="41"/>
        <v>12803.59</v>
      </c>
      <c r="K430" s="546">
        <f t="shared" si="39"/>
        <v>0</v>
      </c>
      <c r="L430" s="502"/>
      <c r="M430" s="231" t="s">
        <v>242</v>
      </c>
      <c r="N430" s="11" t="s">
        <v>243</v>
      </c>
      <c r="O430" s="341"/>
      <c r="P430" s="339"/>
    </row>
    <row r="431" spans="1:21" ht="33" hidden="1">
      <c r="A431" s="333" t="s">
        <v>2157</v>
      </c>
      <c r="B431" s="334" t="s">
        <v>33</v>
      </c>
      <c r="C431" s="335" t="s">
        <v>5</v>
      </c>
      <c r="D431" s="336">
        <v>30</v>
      </c>
      <c r="E431" s="336">
        <f>估驗單!F421</f>
        <v>30</v>
      </c>
      <c r="F431" s="390">
        <f t="shared" ref="F431:F474" si="42">E431-D431</f>
        <v>0</v>
      </c>
      <c r="G431" s="336">
        <v>50</v>
      </c>
      <c r="H431" s="336"/>
      <c r="I431" s="336">
        <f t="shared" si="40"/>
        <v>1500</v>
      </c>
      <c r="J431" s="336">
        <f t="shared" si="41"/>
        <v>1500</v>
      </c>
      <c r="K431" s="546">
        <f t="shared" si="39"/>
        <v>0</v>
      </c>
      <c r="L431" s="502"/>
      <c r="M431" s="231" t="s">
        <v>242</v>
      </c>
      <c r="N431" s="11" t="s">
        <v>243</v>
      </c>
      <c r="O431" s="341"/>
      <c r="P431" s="339"/>
    </row>
    <row r="432" spans="1:21" ht="33" hidden="1">
      <c r="A432" s="333" t="s">
        <v>2158</v>
      </c>
      <c r="B432" s="334" t="s">
        <v>1128</v>
      </c>
      <c r="C432" s="335" t="s">
        <v>0</v>
      </c>
      <c r="D432" s="336">
        <v>19</v>
      </c>
      <c r="E432" s="336">
        <f>估驗單!F422</f>
        <v>19</v>
      </c>
      <c r="F432" s="390">
        <f t="shared" si="42"/>
        <v>0</v>
      </c>
      <c r="G432" s="336">
        <v>1900.88</v>
      </c>
      <c r="H432" s="336"/>
      <c r="I432" s="336">
        <f t="shared" si="40"/>
        <v>36116.720000000001</v>
      </c>
      <c r="J432" s="336">
        <f t="shared" si="41"/>
        <v>36116.720000000001</v>
      </c>
      <c r="K432" s="546">
        <f t="shared" si="39"/>
        <v>0</v>
      </c>
      <c r="L432" s="502"/>
      <c r="M432" s="231" t="s">
        <v>242</v>
      </c>
      <c r="N432" s="11" t="s">
        <v>243</v>
      </c>
      <c r="O432" s="341"/>
      <c r="P432" s="339"/>
    </row>
    <row r="433" spans="1:17" ht="33" hidden="1">
      <c r="A433" s="333" t="s">
        <v>2159</v>
      </c>
      <c r="B433" s="334" t="s">
        <v>1130</v>
      </c>
      <c r="C433" s="335" t="s">
        <v>0</v>
      </c>
      <c r="D433" s="336">
        <v>10</v>
      </c>
      <c r="E433" s="336">
        <f>估驗單!F423</f>
        <v>10</v>
      </c>
      <c r="F433" s="390">
        <f t="shared" si="42"/>
        <v>0</v>
      </c>
      <c r="G433" s="336">
        <v>1230.67</v>
      </c>
      <c r="H433" s="336"/>
      <c r="I433" s="336">
        <f t="shared" si="40"/>
        <v>12306.7</v>
      </c>
      <c r="J433" s="336">
        <f t="shared" si="41"/>
        <v>12306.7</v>
      </c>
      <c r="K433" s="546">
        <f t="shared" si="39"/>
        <v>0</v>
      </c>
      <c r="L433" s="502"/>
      <c r="M433" s="231" t="s">
        <v>242</v>
      </c>
      <c r="N433" s="11" t="s">
        <v>243</v>
      </c>
      <c r="O433" s="341"/>
      <c r="P433" s="339"/>
    </row>
    <row r="434" spans="1:17" ht="33" hidden="1">
      <c r="A434" s="333" t="s">
        <v>2160</v>
      </c>
      <c r="B434" s="334" t="s">
        <v>30</v>
      </c>
      <c r="C434" s="335" t="s">
        <v>0</v>
      </c>
      <c r="D434" s="336">
        <v>577</v>
      </c>
      <c r="E434" s="336">
        <f>估驗單!F424</f>
        <v>577</v>
      </c>
      <c r="F434" s="390">
        <f t="shared" si="42"/>
        <v>0</v>
      </c>
      <c r="G434" s="336">
        <v>1666.03</v>
      </c>
      <c r="H434" s="336"/>
      <c r="I434" s="336">
        <f t="shared" si="40"/>
        <v>961299.31</v>
      </c>
      <c r="J434" s="336">
        <f t="shared" si="41"/>
        <v>961299.31</v>
      </c>
      <c r="K434" s="546">
        <f t="shared" si="39"/>
        <v>0</v>
      </c>
      <c r="L434" s="502"/>
      <c r="M434" s="231" t="s">
        <v>242</v>
      </c>
      <c r="N434" s="11" t="s">
        <v>243</v>
      </c>
      <c r="O434" s="341"/>
      <c r="P434" s="339"/>
    </row>
    <row r="435" spans="1:17" ht="33" hidden="1">
      <c r="A435" s="503" t="s">
        <v>2161</v>
      </c>
      <c r="B435" s="504" t="s">
        <v>1133</v>
      </c>
      <c r="C435" s="505" t="s">
        <v>0</v>
      </c>
      <c r="D435" s="506">
        <v>2</v>
      </c>
      <c r="E435" s="506">
        <f>估驗單!F425</f>
        <v>3</v>
      </c>
      <c r="F435" s="507">
        <f t="shared" si="42"/>
        <v>1</v>
      </c>
      <c r="G435" s="506">
        <v>48510.35</v>
      </c>
      <c r="H435" s="506"/>
      <c r="I435" s="506">
        <f t="shared" si="40"/>
        <v>97020.7</v>
      </c>
      <c r="J435" s="506">
        <f t="shared" si="41"/>
        <v>145531.04999999999</v>
      </c>
      <c r="K435" s="547">
        <f t="shared" si="39"/>
        <v>48510.349999999991</v>
      </c>
      <c r="L435" s="510"/>
      <c r="M435" s="508" t="s">
        <v>242</v>
      </c>
      <c r="N435" s="11" t="s">
        <v>243</v>
      </c>
      <c r="O435" s="341" t="s">
        <v>2626</v>
      </c>
      <c r="P435" s="339"/>
    </row>
    <row r="436" spans="1:17" ht="71.25" hidden="1">
      <c r="A436" s="333" t="s">
        <v>2162</v>
      </c>
      <c r="B436" s="334" t="s">
        <v>28</v>
      </c>
      <c r="C436" s="335" t="s">
        <v>22</v>
      </c>
      <c r="D436" s="336">
        <v>19</v>
      </c>
      <c r="E436" s="336">
        <f>估驗單!F426</f>
        <v>19</v>
      </c>
      <c r="F436" s="390">
        <f t="shared" si="42"/>
        <v>0</v>
      </c>
      <c r="G436" s="336">
        <v>587.07000000000005</v>
      </c>
      <c r="H436" s="336"/>
      <c r="I436" s="336">
        <f t="shared" si="40"/>
        <v>11154.33</v>
      </c>
      <c r="J436" s="336">
        <f t="shared" si="41"/>
        <v>11154.33</v>
      </c>
      <c r="K436" s="546">
        <f t="shared" si="39"/>
        <v>0</v>
      </c>
      <c r="L436" s="502"/>
      <c r="M436" s="231" t="s">
        <v>2453</v>
      </c>
      <c r="N436" s="11" t="s">
        <v>243</v>
      </c>
      <c r="O436" s="341"/>
      <c r="P436" s="339"/>
    </row>
    <row r="437" spans="1:17" ht="33" hidden="1">
      <c r="A437" s="333" t="s">
        <v>2163</v>
      </c>
      <c r="B437" s="334" t="s">
        <v>1136</v>
      </c>
      <c r="C437" s="335" t="s">
        <v>7</v>
      </c>
      <c r="D437" s="336">
        <v>19</v>
      </c>
      <c r="E437" s="336">
        <f>估驗單!F427</f>
        <v>19</v>
      </c>
      <c r="F437" s="390">
        <f t="shared" si="42"/>
        <v>0</v>
      </c>
      <c r="G437" s="336">
        <v>664.14</v>
      </c>
      <c r="H437" s="336"/>
      <c r="I437" s="336">
        <f t="shared" si="40"/>
        <v>12618.66</v>
      </c>
      <c r="J437" s="336">
        <f t="shared" si="41"/>
        <v>12618.66</v>
      </c>
      <c r="K437" s="546">
        <f t="shared" si="39"/>
        <v>0</v>
      </c>
      <c r="L437" s="502"/>
      <c r="M437" s="231" t="s">
        <v>242</v>
      </c>
      <c r="N437" s="11" t="s">
        <v>243</v>
      </c>
      <c r="O437" s="341"/>
      <c r="P437" s="339"/>
    </row>
    <row r="438" spans="1:17" ht="33" hidden="1">
      <c r="A438" s="333" t="s">
        <v>2164</v>
      </c>
      <c r="B438" s="334" t="s">
        <v>1138</v>
      </c>
      <c r="C438" s="335" t="s">
        <v>1139</v>
      </c>
      <c r="D438" s="336">
        <v>2</v>
      </c>
      <c r="E438" s="336">
        <f>估驗單!F428</f>
        <v>2</v>
      </c>
      <c r="F438" s="390">
        <f t="shared" si="42"/>
        <v>0</v>
      </c>
      <c r="G438" s="336">
        <v>9999.4500000000007</v>
      </c>
      <c r="H438" s="336"/>
      <c r="I438" s="336">
        <f t="shared" si="40"/>
        <v>19998.900000000001</v>
      </c>
      <c r="J438" s="336">
        <f t="shared" si="41"/>
        <v>19998.900000000001</v>
      </c>
      <c r="K438" s="546">
        <f t="shared" si="39"/>
        <v>0</v>
      </c>
      <c r="L438" s="502"/>
      <c r="M438" s="231" t="s">
        <v>242</v>
      </c>
      <c r="N438" s="11" t="s">
        <v>243</v>
      </c>
      <c r="O438" s="341"/>
      <c r="P438" s="339"/>
    </row>
    <row r="439" spans="1:17" ht="33" hidden="1">
      <c r="A439" s="333" t="s">
        <v>2165</v>
      </c>
      <c r="B439" s="334" t="s">
        <v>1142</v>
      </c>
      <c r="C439" s="335" t="s">
        <v>8</v>
      </c>
      <c r="D439" s="336">
        <v>698.15</v>
      </c>
      <c r="E439" s="336">
        <f>估驗單!F429</f>
        <v>698.15</v>
      </c>
      <c r="F439" s="390">
        <f t="shared" si="42"/>
        <v>0</v>
      </c>
      <c r="G439" s="336">
        <v>209.99</v>
      </c>
      <c r="H439" s="336"/>
      <c r="I439" s="336">
        <f t="shared" si="40"/>
        <v>146604.51999999999</v>
      </c>
      <c r="J439" s="336">
        <f t="shared" si="41"/>
        <v>146604.51999999999</v>
      </c>
      <c r="K439" s="546">
        <f t="shared" si="39"/>
        <v>0</v>
      </c>
      <c r="L439" s="502"/>
      <c r="M439" s="231" t="s">
        <v>2454</v>
      </c>
      <c r="N439" s="11" t="s">
        <v>243</v>
      </c>
      <c r="O439" s="341"/>
      <c r="P439" s="339"/>
    </row>
    <row r="440" spans="1:17" ht="33" hidden="1">
      <c r="A440" s="333" t="s">
        <v>2166</v>
      </c>
      <c r="B440" s="334" t="s">
        <v>1145</v>
      </c>
      <c r="C440" s="335" t="s">
        <v>8</v>
      </c>
      <c r="D440" s="336">
        <v>2498.77</v>
      </c>
      <c r="E440" s="336">
        <f>估驗單!F430</f>
        <v>2498.77</v>
      </c>
      <c r="F440" s="390">
        <f t="shared" si="42"/>
        <v>0</v>
      </c>
      <c r="G440" s="336">
        <v>299.98</v>
      </c>
      <c r="H440" s="336"/>
      <c r="I440" s="336">
        <f t="shared" si="40"/>
        <v>749581.02</v>
      </c>
      <c r="J440" s="336">
        <f t="shared" si="41"/>
        <v>749581.02</v>
      </c>
      <c r="K440" s="546">
        <f t="shared" si="39"/>
        <v>0</v>
      </c>
      <c r="L440" s="502"/>
      <c r="M440" s="231" t="s">
        <v>242</v>
      </c>
      <c r="N440" s="11" t="s">
        <v>243</v>
      </c>
      <c r="O440" s="341"/>
      <c r="P440" s="339"/>
    </row>
    <row r="441" spans="1:17" ht="33" hidden="1">
      <c r="A441" s="333" t="s">
        <v>2167</v>
      </c>
      <c r="B441" s="334" t="s">
        <v>1148</v>
      </c>
      <c r="C441" s="335" t="s">
        <v>8</v>
      </c>
      <c r="D441" s="336">
        <v>1396.3</v>
      </c>
      <c r="E441" s="336">
        <f>估驗單!F431</f>
        <v>1396.3</v>
      </c>
      <c r="F441" s="390">
        <f t="shared" si="42"/>
        <v>0</v>
      </c>
      <c r="G441" s="336">
        <v>199.99</v>
      </c>
      <c r="H441" s="336"/>
      <c r="I441" s="336">
        <f t="shared" si="40"/>
        <v>279246.03999999998</v>
      </c>
      <c r="J441" s="336">
        <f t="shared" si="41"/>
        <v>279246.03999999998</v>
      </c>
      <c r="K441" s="546">
        <f t="shared" si="39"/>
        <v>0</v>
      </c>
      <c r="L441" s="502"/>
      <c r="M441" s="231" t="s">
        <v>242</v>
      </c>
      <c r="N441" s="11" t="s">
        <v>243</v>
      </c>
      <c r="O441" s="341"/>
      <c r="P441" s="339"/>
    </row>
    <row r="442" spans="1:17" ht="33" hidden="1">
      <c r="A442" s="333" t="s">
        <v>2168</v>
      </c>
      <c r="B442" s="334" t="s">
        <v>1151</v>
      </c>
      <c r="C442" s="335" t="s">
        <v>4</v>
      </c>
      <c r="D442" s="336">
        <v>1</v>
      </c>
      <c r="E442" s="336">
        <f>估驗單!F432</f>
        <v>1</v>
      </c>
      <c r="F442" s="390">
        <f t="shared" si="42"/>
        <v>0</v>
      </c>
      <c r="G442" s="336">
        <v>21835.68</v>
      </c>
      <c r="H442" s="336"/>
      <c r="I442" s="336">
        <f t="shared" si="40"/>
        <v>21835.68</v>
      </c>
      <c r="J442" s="336">
        <f t="shared" si="41"/>
        <v>21835.68</v>
      </c>
      <c r="K442" s="546">
        <f t="shared" si="39"/>
        <v>0</v>
      </c>
      <c r="L442" s="502"/>
      <c r="M442" s="231" t="s">
        <v>242</v>
      </c>
      <c r="N442" s="11" t="s">
        <v>243</v>
      </c>
      <c r="O442" s="341"/>
      <c r="P442" s="339"/>
    </row>
    <row r="443" spans="1:17" ht="42.75" hidden="1">
      <c r="A443" s="333" t="s">
        <v>2169</v>
      </c>
      <c r="B443" s="334" t="s">
        <v>1556</v>
      </c>
      <c r="C443" s="335" t="s">
        <v>8</v>
      </c>
      <c r="D443" s="336">
        <v>355</v>
      </c>
      <c r="E443" s="336">
        <f>估驗單!F433</f>
        <v>355</v>
      </c>
      <c r="F443" s="390">
        <f t="shared" si="42"/>
        <v>0</v>
      </c>
      <c r="G443" s="336">
        <v>1859.79</v>
      </c>
      <c r="H443" s="336"/>
      <c r="I443" s="336">
        <f t="shared" si="40"/>
        <v>660225.44999999995</v>
      </c>
      <c r="J443" s="336">
        <f t="shared" si="41"/>
        <v>660225.44999999995</v>
      </c>
      <c r="K443" s="546">
        <f t="shared" si="39"/>
        <v>0</v>
      </c>
      <c r="L443" s="502"/>
      <c r="M443" s="231" t="s">
        <v>2455</v>
      </c>
      <c r="N443" s="11" t="s">
        <v>243</v>
      </c>
      <c r="O443" s="341"/>
      <c r="P443" s="339"/>
    </row>
    <row r="444" spans="1:17" s="352" customFormat="1" ht="114" hidden="1">
      <c r="A444" s="343">
        <v>17</v>
      </c>
      <c r="B444" s="344" t="s">
        <v>29</v>
      </c>
      <c r="C444" s="345" t="s">
        <v>8</v>
      </c>
      <c r="D444" s="340">
        <v>465</v>
      </c>
      <c r="E444" s="336">
        <f>估驗單!F434</f>
        <v>465</v>
      </c>
      <c r="F444" s="390">
        <f t="shared" si="42"/>
        <v>0</v>
      </c>
      <c r="G444" s="340">
        <v>293.70999999999998</v>
      </c>
      <c r="H444" s="340"/>
      <c r="I444" s="336">
        <f t="shared" si="40"/>
        <v>136575.15</v>
      </c>
      <c r="J444" s="336">
        <f t="shared" si="41"/>
        <v>136575.15</v>
      </c>
      <c r="K444" s="546">
        <f t="shared" si="39"/>
        <v>0</v>
      </c>
      <c r="L444" s="502"/>
      <c r="M444" s="346" t="s">
        <v>2456</v>
      </c>
      <c r="N444" s="347" t="s">
        <v>243</v>
      </c>
      <c r="O444" s="348" t="s">
        <v>2457</v>
      </c>
      <c r="P444" s="349" t="s">
        <v>2458</v>
      </c>
      <c r="Q444" s="342" t="s">
        <v>2318</v>
      </c>
    </row>
    <row r="445" spans="1:17" s="352" customFormat="1" ht="78.75" hidden="1">
      <c r="A445" s="512" t="s">
        <v>2171</v>
      </c>
      <c r="B445" s="513" t="s">
        <v>2459</v>
      </c>
      <c r="C445" s="514" t="s">
        <v>16</v>
      </c>
      <c r="D445" s="515">
        <v>4920</v>
      </c>
      <c r="E445" s="506">
        <f>估驗單!F435</f>
        <v>6945</v>
      </c>
      <c r="F445" s="507">
        <f t="shared" si="42"/>
        <v>2025</v>
      </c>
      <c r="G445" s="515">
        <v>279.98</v>
      </c>
      <c r="H445" s="515"/>
      <c r="I445" s="506">
        <f t="shared" si="40"/>
        <v>1377501.6</v>
      </c>
      <c r="J445" s="506">
        <f t="shared" si="41"/>
        <v>1944461.1</v>
      </c>
      <c r="K445" s="547">
        <f t="shared" si="39"/>
        <v>566959.5</v>
      </c>
      <c r="L445" s="510"/>
      <c r="M445" s="528" t="s">
        <v>2460</v>
      </c>
      <c r="N445" s="347" t="s">
        <v>243</v>
      </c>
      <c r="O445" s="348" t="s">
        <v>2461</v>
      </c>
      <c r="P445" s="349" t="s">
        <v>2462</v>
      </c>
      <c r="Q445" s="342" t="s">
        <v>2318</v>
      </c>
    </row>
    <row r="446" spans="1:17" s="352" customFormat="1" ht="28.5" hidden="1" customHeight="1">
      <c r="A446" s="495">
        <v>19</v>
      </c>
      <c r="B446" s="496" t="s">
        <v>2585</v>
      </c>
      <c r="C446" s="497" t="s">
        <v>4</v>
      </c>
      <c r="D446" s="498">
        <v>1</v>
      </c>
      <c r="E446" s="430">
        <v>1</v>
      </c>
      <c r="F446" s="431"/>
      <c r="G446" s="498">
        <v>217999.11</v>
      </c>
      <c r="H446" s="498"/>
      <c r="I446" s="336">
        <f t="shared" si="40"/>
        <v>217999.11</v>
      </c>
      <c r="J446" s="336">
        <f t="shared" si="41"/>
        <v>217999.11</v>
      </c>
      <c r="K446" s="546">
        <f t="shared" si="39"/>
        <v>0</v>
      </c>
      <c r="L446" s="536"/>
      <c r="M446" s="499"/>
      <c r="N446" s="347"/>
      <c r="O446" s="348"/>
      <c r="P446" s="349"/>
      <c r="Q446" s="342"/>
    </row>
    <row r="447" spans="1:17" ht="33" hidden="1">
      <c r="A447" s="406" t="s">
        <v>2255</v>
      </c>
      <c r="B447" s="407" t="s">
        <v>34</v>
      </c>
      <c r="C447" s="408" t="s">
        <v>4</v>
      </c>
      <c r="D447" s="409"/>
      <c r="E447" s="409"/>
      <c r="F447" s="410">
        <f t="shared" si="42"/>
        <v>0</v>
      </c>
      <c r="G447" s="409">
        <f>I447</f>
        <v>3112577.47</v>
      </c>
      <c r="H447" s="409"/>
      <c r="I447" s="409">
        <f>SUM(I448:I466)</f>
        <v>3112577.47</v>
      </c>
      <c r="J447" s="409">
        <f>SUM(J448:J466)</f>
        <v>3112577.47</v>
      </c>
      <c r="K447" s="542">
        <f>SUM(K448:K466)</f>
        <v>0</v>
      </c>
      <c r="L447" s="452">
        <f>SUM(L448:L466)</f>
        <v>0</v>
      </c>
      <c r="M447" s="288"/>
      <c r="N447" s="11" t="s">
        <v>243</v>
      </c>
      <c r="O447" s="341"/>
      <c r="P447" s="339"/>
    </row>
    <row r="448" spans="1:17" ht="33" hidden="1">
      <c r="A448" s="333" t="s">
        <v>2154</v>
      </c>
      <c r="B448" s="334" t="s">
        <v>146</v>
      </c>
      <c r="C448" s="335" t="s">
        <v>1007</v>
      </c>
      <c r="D448" s="336">
        <v>10</v>
      </c>
      <c r="E448" s="336">
        <f>估驗單!F438</f>
        <v>10</v>
      </c>
      <c r="F448" s="390">
        <f t="shared" si="42"/>
        <v>0</v>
      </c>
      <c r="G448" s="336">
        <v>770</v>
      </c>
      <c r="H448" s="336"/>
      <c r="I448" s="336">
        <f t="shared" ref="I448:I466" si="43">ROUND(D448*G448,2)</f>
        <v>7700</v>
      </c>
      <c r="J448" s="336">
        <f t="shared" ref="J448:J466" si="44">ROUND(E448*G448,2)</f>
        <v>7700</v>
      </c>
      <c r="K448" s="546">
        <f t="shared" si="39"/>
        <v>0</v>
      </c>
      <c r="L448" s="502"/>
      <c r="M448" s="231" t="s">
        <v>242</v>
      </c>
      <c r="N448" s="11" t="s">
        <v>243</v>
      </c>
      <c r="O448" s="341"/>
      <c r="P448" s="339"/>
    </row>
    <row r="449" spans="1:16" ht="33" hidden="1">
      <c r="A449" s="333" t="s">
        <v>2155</v>
      </c>
      <c r="B449" s="334" t="s">
        <v>145</v>
      </c>
      <c r="C449" s="335" t="s">
        <v>1</v>
      </c>
      <c r="D449" s="336">
        <v>100</v>
      </c>
      <c r="E449" s="336">
        <f>估驗單!F439</f>
        <v>100</v>
      </c>
      <c r="F449" s="390">
        <f t="shared" si="42"/>
        <v>0</v>
      </c>
      <c r="G449" s="336">
        <v>201</v>
      </c>
      <c r="H449" s="336"/>
      <c r="I449" s="336">
        <f t="shared" si="43"/>
        <v>20100</v>
      </c>
      <c r="J449" s="336">
        <f t="shared" si="44"/>
        <v>20100</v>
      </c>
      <c r="K449" s="546">
        <f t="shared" si="39"/>
        <v>0</v>
      </c>
      <c r="L449" s="502"/>
      <c r="M449" s="231" t="s">
        <v>242</v>
      </c>
      <c r="N449" s="11" t="s">
        <v>243</v>
      </c>
      <c r="O449" s="341"/>
      <c r="P449" s="339"/>
    </row>
    <row r="450" spans="1:16" ht="33" hidden="1">
      <c r="A450" s="333" t="s">
        <v>2156</v>
      </c>
      <c r="B450" s="334" t="s">
        <v>144</v>
      </c>
      <c r="C450" s="335" t="s">
        <v>9</v>
      </c>
      <c r="D450" s="336">
        <v>50</v>
      </c>
      <c r="E450" s="336">
        <f>估驗單!F440</f>
        <v>50</v>
      </c>
      <c r="F450" s="390">
        <f t="shared" si="42"/>
        <v>0</v>
      </c>
      <c r="G450" s="336">
        <v>300</v>
      </c>
      <c r="H450" s="336"/>
      <c r="I450" s="336">
        <f t="shared" si="43"/>
        <v>15000</v>
      </c>
      <c r="J450" s="336">
        <f t="shared" si="44"/>
        <v>15000</v>
      </c>
      <c r="K450" s="546">
        <f t="shared" si="39"/>
        <v>0</v>
      </c>
      <c r="L450" s="502"/>
      <c r="M450" s="231" t="s">
        <v>242</v>
      </c>
      <c r="N450" s="11" t="s">
        <v>243</v>
      </c>
      <c r="O450" s="341"/>
      <c r="P450" s="339"/>
    </row>
    <row r="451" spans="1:16" s="325" customFormat="1" ht="33" hidden="1">
      <c r="A451" s="333" t="s">
        <v>2157</v>
      </c>
      <c r="B451" s="334" t="s">
        <v>35</v>
      </c>
      <c r="C451" s="335" t="s">
        <v>15</v>
      </c>
      <c r="D451" s="336">
        <v>75</v>
      </c>
      <c r="E451" s="336">
        <f>估驗單!F441</f>
        <v>75</v>
      </c>
      <c r="F451" s="390">
        <f t="shared" si="42"/>
        <v>0</v>
      </c>
      <c r="G451" s="336">
        <v>650</v>
      </c>
      <c r="H451" s="336"/>
      <c r="I451" s="336">
        <f t="shared" si="43"/>
        <v>48750</v>
      </c>
      <c r="J451" s="336">
        <f t="shared" si="44"/>
        <v>48750</v>
      </c>
      <c r="K451" s="546">
        <f t="shared" si="39"/>
        <v>0</v>
      </c>
      <c r="L451" s="502"/>
      <c r="M451" s="231" t="s">
        <v>242</v>
      </c>
      <c r="N451" s="11" t="s">
        <v>243</v>
      </c>
      <c r="O451" s="341"/>
      <c r="P451" s="339"/>
    </row>
    <row r="452" spans="1:16" s="325" customFormat="1" ht="33" hidden="1">
      <c r="A452" s="333" t="s">
        <v>2158</v>
      </c>
      <c r="B452" s="334" t="s">
        <v>2479</v>
      </c>
      <c r="C452" s="335" t="s">
        <v>3</v>
      </c>
      <c r="D452" s="336">
        <v>200</v>
      </c>
      <c r="E452" s="336">
        <f>估驗單!F442</f>
        <v>200</v>
      </c>
      <c r="F452" s="390">
        <f t="shared" si="42"/>
        <v>0</v>
      </c>
      <c r="G452" s="336">
        <v>28</v>
      </c>
      <c r="H452" s="336"/>
      <c r="I452" s="336">
        <f t="shared" si="43"/>
        <v>5600</v>
      </c>
      <c r="J452" s="336">
        <f t="shared" si="44"/>
        <v>5600</v>
      </c>
      <c r="K452" s="546">
        <f t="shared" si="39"/>
        <v>0</v>
      </c>
      <c r="L452" s="502"/>
      <c r="M452" s="231"/>
      <c r="N452" s="11" t="s">
        <v>243</v>
      </c>
      <c r="O452" s="341" t="s">
        <v>2627</v>
      </c>
      <c r="P452" s="339"/>
    </row>
    <row r="453" spans="1:16" s="325" customFormat="1" ht="33" hidden="1">
      <c r="A453" s="333" t="s">
        <v>2159</v>
      </c>
      <c r="B453" s="334" t="s">
        <v>36</v>
      </c>
      <c r="C453" s="335" t="s">
        <v>3</v>
      </c>
      <c r="D453" s="336">
        <v>100</v>
      </c>
      <c r="E453" s="336">
        <f>估驗單!F443</f>
        <v>100</v>
      </c>
      <c r="F453" s="390">
        <f t="shared" si="42"/>
        <v>0</v>
      </c>
      <c r="G453" s="336">
        <v>500</v>
      </c>
      <c r="H453" s="336"/>
      <c r="I453" s="336">
        <f t="shared" si="43"/>
        <v>50000</v>
      </c>
      <c r="J453" s="336">
        <f t="shared" si="44"/>
        <v>50000</v>
      </c>
      <c r="K453" s="546">
        <f t="shared" si="39"/>
        <v>0</v>
      </c>
      <c r="L453" s="502"/>
      <c r="M453" s="231" t="s">
        <v>242</v>
      </c>
      <c r="N453" s="11" t="s">
        <v>243</v>
      </c>
      <c r="O453" s="341"/>
      <c r="P453" s="339"/>
    </row>
    <row r="454" spans="1:16" s="325" customFormat="1" ht="33" hidden="1">
      <c r="A454" s="333" t="s">
        <v>2160</v>
      </c>
      <c r="B454" s="334" t="s">
        <v>2478</v>
      </c>
      <c r="C454" s="335" t="s">
        <v>18</v>
      </c>
      <c r="D454" s="336">
        <v>75</v>
      </c>
      <c r="E454" s="336">
        <f>估驗單!F444</f>
        <v>75</v>
      </c>
      <c r="F454" s="418">
        <f t="shared" si="42"/>
        <v>0</v>
      </c>
      <c r="G454" s="336">
        <v>280</v>
      </c>
      <c r="H454" s="336"/>
      <c r="I454" s="336">
        <f t="shared" si="43"/>
        <v>21000</v>
      </c>
      <c r="J454" s="336">
        <f t="shared" si="44"/>
        <v>21000</v>
      </c>
      <c r="K454" s="546">
        <f t="shared" si="39"/>
        <v>0</v>
      </c>
      <c r="L454" s="453"/>
      <c r="M454" s="231" t="s">
        <v>242</v>
      </c>
      <c r="N454" s="11" t="s">
        <v>243</v>
      </c>
      <c r="O454" s="341"/>
      <c r="P454" s="339"/>
    </row>
    <row r="455" spans="1:16" s="325" customFormat="1" ht="42.75" hidden="1">
      <c r="A455" s="333" t="s">
        <v>2161</v>
      </c>
      <c r="B455" s="334" t="s">
        <v>37</v>
      </c>
      <c r="C455" s="335" t="s">
        <v>18</v>
      </c>
      <c r="D455" s="336">
        <v>50</v>
      </c>
      <c r="E455" s="336">
        <f>估驗單!F445</f>
        <v>50</v>
      </c>
      <c r="F455" s="390">
        <f t="shared" si="42"/>
        <v>0</v>
      </c>
      <c r="G455" s="336">
        <v>350</v>
      </c>
      <c r="H455" s="336"/>
      <c r="I455" s="336">
        <f t="shared" si="43"/>
        <v>17500</v>
      </c>
      <c r="J455" s="336">
        <f t="shared" si="44"/>
        <v>17500</v>
      </c>
      <c r="K455" s="546">
        <f t="shared" si="39"/>
        <v>0</v>
      </c>
      <c r="L455" s="502"/>
      <c r="M455" s="231" t="s">
        <v>242</v>
      </c>
      <c r="N455" s="11" t="s">
        <v>243</v>
      </c>
      <c r="O455" s="341"/>
      <c r="P455" s="339"/>
    </row>
    <row r="456" spans="1:16" s="325" customFormat="1" ht="33" hidden="1">
      <c r="A456" s="333" t="s">
        <v>2162</v>
      </c>
      <c r="B456" s="334" t="s">
        <v>1162</v>
      </c>
      <c r="C456" s="335" t="s">
        <v>15</v>
      </c>
      <c r="D456" s="336">
        <v>10</v>
      </c>
      <c r="E456" s="336">
        <f>估驗單!F446</f>
        <v>10</v>
      </c>
      <c r="F456" s="390">
        <f t="shared" si="42"/>
        <v>0</v>
      </c>
      <c r="G456" s="336">
        <v>560</v>
      </c>
      <c r="H456" s="336"/>
      <c r="I456" s="336">
        <f t="shared" si="43"/>
        <v>5600</v>
      </c>
      <c r="J456" s="336">
        <f t="shared" si="44"/>
        <v>5600</v>
      </c>
      <c r="K456" s="546">
        <f t="shared" si="39"/>
        <v>0</v>
      </c>
      <c r="L456" s="502"/>
      <c r="M456" s="231" t="s">
        <v>242</v>
      </c>
      <c r="N456" s="11" t="s">
        <v>243</v>
      </c>
      <c r="O456" s="341"/>
      <c r="P456" s="339"/>
    </row>
    <row r="457" spans="1:16" s="325" customFormat="1" ht="33" hidden="1">
      <c r="A457" s="333" t="s">
        <v>2163</v>
      </c>
      <c r="B457" s="334" t="s">
        <v>38</v>
      </c>
      <c r="C457" s="335" t="s">
        <v>7</v>
      </c>
      <c r="D457" s="336">
        <v>4</v>
      </c>
      <c r="E457" s="336">
        <f>估驗單!F447</f>
        <v>4</v>
      </c>
      <c r="F457" s="390">
        <f t="shared" si="42"/>
        <v>0</v>
      </c>
      <c r="G457" s="336">
        <v>250</v>
      </c>
      <c r="H457" s="336"/>
      <c r="I457" s="336">
        <f t="shared" si="43"/>
        <v>1000</v>
      </c>
      <c r="J457" s="336">
        <f t="shared" si="44"/>
        <v>1000</v>
      </c>
      <c r="K457" s="546">
        <f t="shared" si="39"/>
        <v>0</v>
      </c>
      <c r="L457" s="502"/>
      <c r="M457" s="231" t="s">
        <v>242</v>
      </c>
      <c r="N457" s="11" t="s">
        <v>243</v>
      </c>
      <c r="O457" s="341"/>
      <c r="P457" s="339"/>
    </row>
    <row r="458" spans="1:16" s="325" customFormat="1" ht="33" hidden="1">
      <c r="A458" s="333" t="s">
        <v>2164</v>
      </c>
      <c r="B458" s="334" t="s">
        <v>1165</v>
      </c>
      <c r="C458" s="335" t="s">
        <v>15</v>
      </c>
      <c r="D458" s="336">
        <v>5</v>
      </c>
      <c r="E458" s="336">
        <f>估驗單!F448</f>
        <v>5</v>
      </c>
      <c r="F458" s="390">
        <f t="shared" si="42"/>
        <v>0</v>
      </c>
      <c r="G458" s="336">
        <v>8300</v>
      </c>
      <c r="H458" s="336"/>
      <c r="I458" s="336">
        <f t="shared" si="43"/>
        <v>41500</v>
      </c>
      <c r="J458" s="336">
        <f t="shared" si="44"/>
        <v>41500</v>
      </c>
      <c r="K458" s="546">
        <f t="shared" si="39"/>
        <v>0</v>
      </c>
      <c r="L458" s="502"/>
      <c r="M458" s="231" t="s">
        <v>242</v>
      </c>
      <c r="N458" s="11" t="s">
        <v>243</v>
      </c>
      <c r="O458" s="341"/>
      <c r="P458" s="339"/>
    </row>
    <row r="459" spans="1:16" s="325" customFormat="1" ht="33" hidden="1">
      <c r="A459" s="333" t="s">
        <v>2165</v>
      </c>
      <c r="B459" s="334" t="s">
        <v>1168</v>
      </c>
      <c r="C459" s="335" t="s">
        <v>15</v>
      </c>
      <c r="D459" s="336">
        <v>5</v>
      </c>
      <c r="E459" s="336">
        <f>估驗單!F449</f>
        <v>5</v>
      </c>
      <c r="F459" s="390">
        <f t="shared" si="42"/>
        <v>0</v>
      </c>
      <c r="G459" s="336">
        <v>1160</v>
      </c>
      <c r="H459" s="336"/>
      <c r="I459" s="336">
        <f t="shared" si="43"/>
        <v>5800</v>
      </c>
      <c r="J459" s="336">
        <f t="shared" si="44"/>
        <v>5800</v>
      </c>
      <c r="K459" s="546">
        <f t="shared" si="39"/>
        <v>0</v>
      </c>
      <c r="L459" s="502"/>
      <c r="M459" s="231" t="s">
        <v>242</v>
      </c>
      <c r="N459" s="11" t="s">
        <v>243</v>
      </c>
      <c r="O459" s="341"/>
      <c r="P459" s="339"/>
    </row>
    <row r="460" spans="1:16" s="325" customFormat="1" ht="33" hidden="1">
      <c r="A460" s="333" t="s">
        <v>2166</v>
      </c>
      <c r="B460" s="334" t="s">
        <v>1171</v>
      </c>
      <c r="C460" s="335" t="s">
        <v>15</v>
      </c>
      <c r="D460" s="336">
        <v>5</v>
      </c>
      <c r="E460" s="336">
        <f>估驗單!F450</f>
        <v>5</v>
      </c>
      <c r="F460" s="390">
        <f t="shared" si="42"/>
        <v>0</v>
      </c>
      <c r="G460" s="336">
        <v>600</v>
      </c>
      <c r="H460" s="336"/>
      <c r="I460" s="336">
        <f t="shared" si="43"/>
        <v>3000</v>
      </c>
      <c r="J460" s="336">
        <f t="shared" si="44"/>
        <v>3000</v>
      </c>
      <c r="K460" s="546">
        <f t="shared" si="39"/>
        <v>0</v>
      </c>
      <c r="L460" s="502"/>
      <c r="M460" s="231" t="s">
        <v>242</v>
      </c>
      <c r="N460" s="11" t="s">
        <v>243</v>
      </c>
      <c r="O460" s="341"/>
      <c r="P460" s="339"/>
    </row>
    <row r="461" spans="1:16" s="325" customFormat="1" ht="33" hidden="1">
      <c r="A461" s="333" t="s">
        <v>2167</v>
      </c>
      <c r="B461" s="334" t="s">
        <v>1174</v>
      </c>
      <c r="C461" s="335" t="s">
        <v>15</v>
      </c>
      <c r="D461" s="336">
        <v>5</v>
      </c>
      <c r="E461" s="336">
        <f>估驗單!F451</f>
        <v>5</v>
      </c>
      <c r="F461" s="390">
        <f t="shared" si="42"/>
        <v>0</v>
      </c>
      <c r="G461" s="336">
        <v>1800</v>
      </c>
      <c r="H461" s="336"/>
      <c r="I461" s="336">
        <f t="shared" si="43"/>
        <v>9000</v>
      </c>
      <c r="J461" s="336">
        <f t="shared" si="44"/>
        <v>9000</v>
      </c>
      <c r="K461" s="546">
        <f t="shared" si="39"/>
        <v>0</v>
      </c>
      <c r="L461" s="502"/>
      <c r="M461" s="231" t="s">
        <v>242</v>
      </c>
      <c r="N461" s="11" t="s">
        <v>243</v>
      </c>
      <c r="O461" s="341"/>
      <c r="P461" s="339"/>
    </row>
    <row r="462" spans="1:16" s="325" customFormat="1" ht="33" hidden="1">
      <c r="A462" s="333" t="s">
        <v>2168</v>
      </c>
      <c r="B462" s="334" t="s">
        <v>1177</v>
      </c>
      <c r="C462" s="335" t="s">
        <v>15</v>
      </c>
      <c r="D462" s="336">
        <v>80</v>
      </c>
      <c r="E462" s="336">
        <f>估驗單!F452</f>
        <v>80</v>
      </c>
      <c r="F462" s="390">
        <f t="shared" si="42"/>
        <v>0</v>
      </c>
      <c r="G462" s="336">
        <v>2200</v>
      </c>
      <c r="H462" s="336"/>
      <c r="I462" s="336">
        <f t="shared" si="43"/>
        <v>176000</v>
      </c>
      <c r="J462" s="336">
        <f t="shared" si="44"/>
        <v>176000</v>
      </c>
      <c r="K462" s="546">
        <f t="shared" si="39"/>
        <v>0</v>
      </c>
      <c r="L462" s="502"/>
      <c r="M462" s="231" t="s">
        <v>242</v>
      </c>
      <c r="N462" s="11" t="s">
        <v>243</v>
      </c>
      <c r="O462" s="341"/>
      <c r="P462" s="339"/>
    </row>
    <row r="463" spans="1:16" s="325" customFormat="1" ht="33" hidden="1">
      <c r="A463" s="333" t="s">
        <v>2169</v>
      </c>
      <c r="B463" s="334" t="s">
        <v>39</v>
      </c>
      <c r="C463" s="335" t="s">
        <v>4</v>
      </c>
      <c r="D463" s="336">
        <v>1</v>
      </c>
      <c r="E463" s="336">
        <f>估驗單!F453</f>
        <v>1</v>
      </c>
      <c r="F463" s="390">
        <f t="shared" si="42"/>
        <v>0</v>
      </c>
      <c r="G463" s="336">
        <v>232697.98</v>
      </c>
      <c r="H463" s="336"/>
      <c r="I463" s="336">
        <f t="shared" si="43"/>
        <v>232697.98</v>
      </c>
      <c r="J463" s="336">
        <f t="shared" si="44"/>
        <v>232697.98</v>
      </c>
      <c r="K463" s="546">
        <f t="shared" si="39"/>
        <v>0</v>
      </c>
      <c r="L463" s="502"/>
      <c r="M463" s="231" t="s">
        <v>242</v>
      </c>
      <c r="N463" s="11" t="s">
        <v>243</v>
      </c>
      <c r="O463" s="341"/>
      <c r="P463" s="339"/>
    </row>
    <row r="464" spans="1:16" s="325" customFormat="1" ht="33" hidden="1">
      <c r="A464" s="333" t="s">
        <v>2170</v>
      </c>
      <c r="B464" s="334" t="s">
        <v>1182</v>
      </c>
      <c r="C464" s="335" t="s">
        <v>8</v>
      </c>
      <c r="D464" s="336">
        <v>5000</v>
      </c>
      <c r="E464" s="336">
        <f>估驗單!F454</f>
        <v>5000</v>
      </c>
      <c r="F464" s="390">
        <f t="shared" si="42"/>
        <v>0</v>
      </c>
      <c r="G464" s="336">
        <v>13</v>
      </c>
      <c r="H464" s="336"/>
      <c r="I464" s="336">
        <f t="shared" si="43"/>
        <v>65000</v>
      </c>
      <c r="J464" s="336">
        <f t="shared" si="44"/>
        <v>65000</v>
      </c>
      <c r="K464" s="546">
        <f t="shared" ref="K464:K470" si="45">J464-I464</f>
        <v>0</v>
      </c>
      <c r="L464" s="502"/>
      <c r="M464" s="231" t="s">
        <v>242</v>
      </c>
      <c r="N464" s="11" t="s">
        <v>243</v>
      </c>
      <c r="O464" s="341"/>
      <c r="P464" s="339"/>
    </row>
    <row r="465" spans="1:16" s="325" customFormat="1" ht="33" hidden="1">
      <c r="A465" s="333" t="s">
        <v>2171</v>
      </c>
      <c r="B465" s="334" t="s">
        <v>225</v>
      </c>
      <c r="C465" s="335" t="s">
        <v>226</v>
      </c>
      <c r="D465" s="336">
        <v>48</v>
      </c>
      <c r="E465" s="336">
        <f>估驗單!F455</f>
        <v>48</v>
      </c>
      <c r="F465" s="390">
        <f t="shared" si="42"/>
        <v>0</v>
      </c>
      <c r="G465" s="336">
        <v>47468</v>
      </c>
      <c r="H465" s="336"/>
      <c r="I465" s="336">
        <f t="shared" si="43"/>
        <v>2278464</v>
      </c>
      <c r="J465" s="336">
        <f t="shared" si="44"/>
        <v>2278464</v>
      </c>
      <c r="K465" s="546">
        <f t="shared" si="45"/>
        <v>0</v>
      </c>
      <c r="L465" s="502"/>
      <c r="M465" s="231" t="s">
        <v>2463</v>
      </c>
      <c r="N465" s="11" t="s">
        <v>243</v>
      </c>
      <c r="O465" s="341"/>
      <c r="P465" s="339"/>
    </row>
    <row r="466" spans="1:16" s="325" customFormat="1" ht="33" hidden="1">
      <c r="A466" s="333" t="s">
        <v>2172</v>
      </c>
      <c r="B466" s="334" t="s">
        <v>1187</v>
      </c>
      <c r="C466" s="335" t="s">
        <v>4</v>
      </c>
      <c r="D466" s="336">
        <v>1</v>
      </c>
      <c r="E466" s="336">
        <f>估驗單!F456</f>
        <v>1</v>
      </c>
      <c r="F466" s="390">
        <f t="shared" si="42"/>
        <v>0</v>
      </c>
      <c r="G466" s="336">
        <v>108865.49</v>
      </c>
      <c r="H466" s="336"/>
      <c r="I466" s="336">
        <f t="shared" si="43"/>
        <v>108865.49</v>
      </c>
      <c r="J466" s="336">
        <f t="shared" si="44"/>
        <v>108865.49</v>
      </c>
      <c r="K466" s="546">
        <f t="shared" si="45"/>
        <v>0</v>
      </c>
      <c r="L466" s="502"/>
      <c r="M466" s="231" t="s">
        <v>2464</v>
      </c>
      <c r="N466" s="11" t="s">
        <v>243</v>
      </c>
      <c r="O466" s="341"/>
      <c r="P466" s="339"/>
    </row>
    <row r="467" spans="1:16" s="325" customFormat="1" ht="33" hidden="1">
      <c r="A467" s="406" t="s">
        <v>2256</v>
      </c>
      <c r="B467" s="407" t="s">
        <v>227</v>
      </c>
      <c r="C467" s="408" t="s">
        <v>4</v>
      </c>
      <c r="D467" s="409"/>
      <c r="E467" s="409"/>
      <c r="F467" s="410">
        <f t="shared" si="42"/>
        <v>0</v>
      </c>
      <c r="G467" s="409">
        <f>I467</f>
        <v>2769229.16</v>
      </c>
      <c r="H467" s="409"/>
      <c r="I467" s="409">
        <f>SUM(I468:I469)</f>
        <v>2769229.16</v>
      </c>
      <c r="J467" s="409">
        <f>SUM(J468:J469)</f>
        <v>2769229.16</v>
      </c>
      <c r="K467" s="542">
        <f>SUM(K468:K469)</f>
        <v>0</v>
      </c>
      <c r="L467" s="534">
        <f>SUM(L468:L469)</f>
        <v>0</v>
      </c>
      <c r="M467" s="288" t="s">
        <v>242</v>
      </c>
      <c r="N467" s="11" t="s">
        <v>243</v>
      </c>
      <c r="O467" s="341"/>
      <c r="P467" s="339"/>
    </row>
    <row r="468" spans="1:16" s="325" customFormat="1" ht="33" hidden="1">
      <c r="A468" s="333" t="s">
        <v>2154</v>
      </c>
      <c r="B468" s="334" t="s">
        <v>228</v>
      </c>
      <c r="C468" s="335" t="s">
        <v>226</v>
      </c>
      <c r="D468" s="336">
        <v>48</v>
      </c>
      <c r="E468" s="336">
        <f>估驗單!F458</f>
        <v>48</v>
      </c>
      <c r="F468" s="390">
        <f t="shared" si="42"/>
        <v>0</v>
      </c>
      <c r="G468" s="336">
        <v>47468</v>
      </c>
      <c r="H468" s="336"/>
      <c r="I468" s="336">
        <f>ROUND(D468*G468,2)</f>
        <v>2278464</v>
      </c>
      <c r="J468" s="336">
        <f>ROUND(E468*G468,2)</f>
        <v>2278464</v>
      </c>
      <c r="K468" s="546">
        <f t="shared" si="45"/>
        <v>0</v>
      </c>
      <c r="L468" s="502"/>
      <c r="M468" s="231" t="s">
        <v>2463</v>
      </c>
      <c r="N468" s="11" t="s">
        <v>243</v>
      </c>
      <c r="O468" s="341"/>
      <c r="P468" s="339"/>
    </row>
    <row r="469" spans="1:16" s="325" customFormat="1" ht="33" hidden="1">
      <c r="A469" s="333" t="s">
        <v>2155</v>
      </c>
      <c r="B469" s="334" t="s">
        <v>1193</v>
      </c>
      <c r="C469" s="335" t="s">
        <v>4</v>
      </c>
      <c r="D469" s="336">
        <v>1</v>
      </c>
      <c r="E469" s="336">
        <f>估驗單!F459</f>
        <v>1</v>
      </c>
      <c r="F469" s="390">
        <f t="shared" si="42"/>
        <v>0</v>
      </c>
      <c r="G469" s="336">
        <v>490765.16</v>
      </c>
      <c r="H469" s="336"/>
      <c r="I469" s="336">
        <f>ROUND(D469*G469,2)</f>
        <v>490765.16</v>
      </c>
      <c r="J469" s="336">
        <f>ROUND(E469*G469,2)</f>
        <v>490765.16</v>
      </c>
      <c r="K469" s="546">
        <f t="shared" si="45"/>
        <v>0</v>
      </c>
      <c r="L469" s="502"/>
      <c r="M469" s="231" t="s">
        <v>2465</v>
      </c>
      <c r="N469" s="11" t="s">
        <v>243</v>
      </c>
      <c r="O469" s="341"/>
      <c r="P469" s="339"/>
    </row>
    <row r="470" spans="1:16" s="325" customFormat="1" ht="33" hidden="1">
      <c r="A470" s="503" t="s">
        <v>2257</v>
      </c>
      <c r="B470" s="504" t="s">
        <v>1196</v>
      </c>
      <c r="C470" s="505" t="s">
        <v>4</v>
      </c>
      <c r="D470" s="506">
        <v>1</v>
      </c>
      <c r="E470" s="506">
        <f>估驗單!F460</f>
        <v>1</v>
      </c>
      <c r="F470" s="507">
        <f t="shared" si="42"/>
        <v>0</v>
      </c>
      <c r="G470" s="506">
        <f>I470</f>
        <v>30205923.059999999</v>
      </c>
      <c r="H470" s="506"/>
      <c r="I470" s="530">
        <v>30205923.059999999</v>
      </c>
      <c r="J470" s="506" t="e">
        <f>ROUND((J10+J357+J383+J423+J427+J447+J467)*10.94944113%,2)</f>
        <v>#VALUE!</v>
      </c>
      <c r="K470" s="547" t="e">
        <f t="shared" si="45"/>
        <v>#VALUE!</v>
      </c>
      <c r="L470" s="510"/>
      <c r="M470" s="508" t="s">
        <v>2258</v>
      </c>
      <c r="N470" s="11" t="s">
        <v>243</v>
      </c>
      <c r="O470" s="338" t="e">
        <f>ROUND((J467+J447+J427+J423+J383+J357+J10)*10.94944113%,2)</f>
        <v>#VALUE!</v>
      </c>
      <c r="P470" s="339"/>
    </row>
    <row r="471" spans="1:16" s="325" customFormat="1" ht="99.75" hidden="1">
      <c r="A471" s="406" t="s">
        <v>2259</v>
      </c>
      <c r="B471" s="407" t="s">
        <v>1199</v>
      </c>
      <c r="C471" s="408" t="s">
        <v>4</v>
      </c>
      <c r="D471" s="409">
        <v>1</v>
      </c>
      <c r="E471" s="409">
        <f>估驗單!F461</f>
        <v>1</v>
      </c>
      <c r="F471" s="410">
        <f t="shared" si="42"/>
        <v>0</v>
      </c>
      <c r="G471" s="409">
        <v>1987650</v>
      </c>
      <c r="H471" s="409"/>
      <c r="I471" s="409">
        <f>ROUND(D471*G471,2)</f>
        <v>1987650</v>
      </c>
      <c r="J471" s="409">
        <f>ROUND(E471*G471,2)</f>
        <v>1987650</v>
      </c>
      <c r="K471" s="542"/>
      <c r="L471" s="534"/>
      <c r="M471" s="288" t="s">
        <v>1200</v>
      </c>
      <c r="N471" s="11" t="s">
        <v>243</v>
      </c>
      <c r="O471" s="341"/>
      <c r="P471" s="339"/>
    </row>
    <row r="472" spans="1:16" s="325" customFormat="1" ht="33" hidden="1">
      <c r="A472" s="333" t="s">
        <v>2154</v>
      </c>
      <c r="B472" s="334" t="s">
        <v>1199</v>
      </c>
      <c r="C472" s="335" t="s">
        <v>6</v>
      </c>
      <c r="D472" s="336">
        <v>13251</v>
      </c>
      <c r="E472" s="336">
        <f>估驗單!F462</f>
        <v>18245</v>
      </c>
      <c r="F472" s="390">
        <f t="shared" si="42"/>
        <v>4994</v>
      </c>
      <c r="G472" s="336">
        <v>150</v>
      </c>
      <c r="H472" s="336"/>
      <c r="I472" s="336">
        <v>1987650</v>
      </c>
      <c r="J472" s="336">
        <f>ROUND(E472*G472,2)</f>
        <v>2736750</v>
      </c>
      <c r="K472" s="544"/>
      <c r="L472" s="502"/>
      <c r="M472" s="231" t="s">
        <v>242</v>
      </c>
      <c r="N472" s="11" t="s">
        <v>243</v>
      </c>
      <c r="O472" s="341"/>
      <c r="P472" s="339"/>
    </row>
    <row r="473" spans="1:16" s="325" customFormat="1" ht="114" hidden="1">
      <c r="A473" s="406" t="s">
        <v>2260</v>
      </c>
      <c r="B473" s="407" t="s">
        <v>1204</v>
      </c>
      <c r="C473" s="408" t="s">
        <v>4</v>
      </c>
      <c r="D473" s="409">
        <v>1</v>
      </c>
      <c r="E473" s="409">
        <v>1</v>
      </c>
      <c r="F473" s="410">
        <f t="shared" si="42"/>
        <v>0</v>
      </c>
      <c r="G473" s="409">
        <v>179691.68</v>
      </c>
      <c r="H473" s="409"/>
      <c r="I473" s="409">
        <v>179691.68</v>
      </c>
      <c r="J473" s="409">
        <f>ROUND(E473*G473,2)</f>
        <v>179691.68</v>
      </c>
      <c r="K473" s="542"/>
      <c r="L473" s="534"/>
      <c r="M473" s="288" t="s">
        <v>1205</v>
      </c>
      <c r="N473" s="11" t="s">
        <v>243</v>
      </c>
      <c r="O473" s="341"/>
      <c r="P473" s="339"/>
    </row>
    <row r="474" spans="1:16" s="325" customFormat="1" ht="33" hidden="1">
      <c r="A474" s="427" t="s">
        <v>2154</v>
      </c>
      <c r="B474" s="428" t="s">
        <v>1207</v>
      </c>
      <c r="C474" s="429" t="s">
        <v>13</v>
      </c>
      <c r="D474" s="430">
        <v>3208.78</v>
      </c>
      <c r="E474" s="430">
        <f>估驗單!F464</f>
        <v>3208.78</v>
      </c>
      <c r="F474" s="390">
        <f t="shared" si="42"/>
        <v>0</v>
      </c>
      <c r="G474" s="430">
        <v>56</v>
      </c>
      <c r="H474" s="430"/>
      <c r="I474" s="430">
        <v>179691.68</v>
      </c>
      <c r="J474" s="336">
        <f>ROUND(E474*G474,2)</f>
        <v>179691.68</v>
      </c>
      <c r="K474" s="544"/>
      <c r="L474" s="502"/>
      <c r="M474" s="432" t="s">
        <v>242</v>
      </c>
      <c r="N474" s="11" t="s">
        <v>243</v>
      </c>
      <c r="O474" s="380"/>
      <c r="P474" s="381"/>
    </row>
    <row r="475" spans="1:16" ht="32.25" hidden="1" customHeight="1">
      <c r="A475" s="307"/>
      <c r="B475" s="307"/>
      <c r="C475" s="307"/>
      <c r="D475" s="307"/>
      <c r="E475" s="307"/>
      <c r="F475" s="605">
        <f>F176+F207+F229</f>
        <v>91702.685743700014</v>
      </c>
      <c r="G475" s="506">
        <v>36.4</v>
      </c>
      <c r="H475" s="307"/>
      <c r="I475" s="307"/>
      <c r="J475" s="506"/>
      <c r="K475" s="605">
        <f>K176+K207+K229</f>
        <v>3337977.7600000002</v>
      </c>
      <c r="L475" s="606"/>
      <c r="M475" s="307"/>
    </row>
    <row r="476" spans="1:16" ht="24" customHeight="1">
      <c r="F476" s="607">
        <f>F176+F177+F207+F208+F229</f>
        <v>152831.59068120003</v>
      </c>
    </row>
    <row r="477" spans="1:16">
      <c r="E477" s="82" t="s">
        <v>1754</v>
      </c>
      <c r="F477" s="604">
        <f>F176+F207+F229</f>
        <v>91702.685743700014</v>
      </c>
    </row>
    <row r="478" spans="1:16">
      <c r="E478" s="82" t="s">
        <v>1755</v>
      </c>
      <c r="F478" s="604">
        <f>F177+F208</f>
        <v>61128.90493750001</v>
      </c>
    </row>
  </sheetData>
  <autoFilter ref="B1:B475" xr:uid="{F2620A91-C958-41AC-9677-501FD2802CA1}">
    <filterColumn colId="0">
      <filters>
        <filter val="鋼筋，SD280W"/>
        <filter val="鋼筋，SD420W"/>
      </filters>
    </filterColumn>
  </autoFilter>
  <mergeCells count="56">
    <mergeCell ref="A4:I4"/>
    <mergeCell ref="L4:M4"/>
    <mergeCell ref="C1:K1"/>
    <mergeCell ref="A2:B2"/>
    <mergeCell ref="C2:K2"/>
    <mergeCell ref="A3:J3"/>
    <mergeCell ref="L3:M3"/>
    <mergeCell ref="A5:I5"/>
    <mergeCell ref="L5:M5"/>
    <mergeCell ref="A6:I6"/>
    <mergeCell ref="L6:M6"/>
    <mergeCell ref="A7:A8"/>
    <mergeCell ref="B7:B8"/>
    <mergeCell ref="C7:C8"/>
    <mergeCell ref="D7:D8"/>
    <mergeCell ref="E7:E8"/>
    <mergeCell ref="F7:F8"/>
    <mergeCell ref="M7:M8"/>
    <mergeCell ref="O7:O8"/>
    <mergeCell ref="P7:P8"/>
    <mergeCell ref="Q7:Q8"/>
    <mergeCell ref="A40:A41"/>
    <mergeCell ref="B40:B41"/>
    <mergeCell ref="C40:C41"/>
    <mergeCell ref="D40:D41"/>
    <mergeCell ref="E40:E41"/>
    <mergeCell ref="F40:F41"/>
    <mergeCell ref="G7:G8"/>
    <mergeCell ref="H7:H8"/>
    <mergeCell ref="I7:I8"/>
    <mergeCell ref="J7:J8"/>
    <mergeCell ref="K7:K8"/>
    <mergeCell ref="L7:L8"/>
    <mergeCell ref="M40:M41"/>
    <mergeCell ref="A132:A133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G40:G41"/>
    <mergeCell ref="H40:H41"/>
    <mergeCell ref="I40:I41"/>
    <mergeCell ref="J40:J41"/>
    <mergeCell ref="K40:K41"/>
    <mergeCell ref="L40:L41"/>
    <mergeCell ref="Q132:Q133"/>
    <mergeCell ref="J132:J133"/>
    <mergeCell ref="K132:K133"/>
    <mergeCell ref="L132:L133"/>
    <mergeCell ref="M132:M133"/>
    <mergeCell ref="O132:O133"/>
    <mergeCell ref="P132:P133"/>
  </mergeCells>
  <phoneticPr fontId="1" type="noConversion"/>
  <printOptions horizontalCentered="1"/>
  <pageMargins left="0.51181102362204722" right="0.51181102362204722" top="0.15748031496062992" bottom="0.15748031496062992" header="0.31496062992125984" footer="0.31496062992125984"/>
  <pageSetup paperSize="9" scale="80" orientation="landscape" r:id="rId1"/>
  <colBreaks count="1" manualBreakCount="1">
    <brk id="13" max="45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1D336-24C6-4CB2-8425-B0784093958B}">
  <dimension ref="A1:T926"/>
  <sheetViews>
    <sheetView view="pageBreakPreview" zoomScale="96" zoomScaleNormal="115" zoomScaleSheetLayoutView="96" workbookViewId="0">
      <pane ySplit="4" topLeftCell="A449" activePane="bottomLeft" state="frozen"/>
      <selection pane="bottomLeft" activeCell="F462" sqref="F462"/>
    </sheetView>
  </sheetViews>
  <sheetFormatPr defaultColWidth="9.140625" defaultRowHeight="12.75"/>
  <cols>
    <col min="1" max="1" width="4.85546875" style="89" customWidth="1"/>
    <col min="2" max="2" width="36.28515625" style="82" customWidth="1"/>
    <col min="3" max="3" width="6.5703125" style="82" customWidth="1"/>
    <col min="4" max="4" width="9.140625" style="82"/>
    <col min="5" max="7" width="10.7109375" style="82" customWidth="1"/>
    <col min="8" max="9" width="14.5703125" style="82" customWidth="1"/>
    <col min="10" max="11" width="14.5703125" style="306" customWidth="1"/>
    <col min="12" max="12" width="12.42578125" style="82" customWidth="1"/>
    <col min="13" max="13" width="13" style="82" hidden="1" customWidth="1"/>
    <col min="14" max="14" width="13.42578125" style="82" customWidth="1"/>
    <col min="15" max="15" width="14.7109375" style="82" hidden="1" customWidth="1"/>
    <col min="16" max="16" width="13.7109375" style="82" customWidth="1"/>
    <col min="17" max="17" width="17.28515625" style="82" customWidth="1"/>
    <col min="18" max="18" width="1" style="82" customWidth="1"/>
    <col min="19" max="19" width="6.140625" style="82" customWidth="1"/>
    <col min="20" max="20" width="9.42578125" style="82" bestFit="1" customWidth="1"/>
    <col min="21" max="16384" width="9.140625" style="82"/>
  </cols>
  <sheetData>
    <row r="1" spans="1:18" ht="36.75" customHeight="1">
      <c r="A1" s="985" t="s">
        <v>230</v>
      </c>
      <c r="B1" s="986"/>
      <c r="C1" s="986"/>
      <c r="D1" s="986"/>
      <c r="E1" s="986"/>
      <c r="F1" s="986"/>
      <c r="G1" s="986"/>
      <c r="H1" s="986"/>
      <c r="I1" s="986"/>
      <c r="J1" s="986"/>
      <c r="K1" s="986"/>
      <c r="L1" s="986"/>
      <c r="M1" s="986"/>
      <c r="N1" s="986"/>
      <c r="O1" s="986"/>
      <c r="P1" s="986"/>
      <c r="Q1" s="986"/>
    </row>
    <row r="2" spans="1:18" ht="30" customHeight="1">
      <c r="A2" s="987" t="s">
        <v>2297</v>
      </c>
      <c r="B2" s="986"/>
      <c r="C2" s="986"/>
      <c r="D2" s="986"/>
      <c r="E2" s="986"/>
      <c r="F2" s="986"/>
      <c r="G2" s="986"/>
      <c r="H2" s="986"/>
      <c r="I2" s="986"/>
      <c r="J2" s="986"/>
      <c r="K2" s="986"/>
      <c r="L2" s="986"/>
      <c r="M2" s="986"/>
      <c r="N2" s="986"/>
      <c r="O2" s="986"/>
      <c r="P2" s="986"/>
      <c r="Q2" s="986"/>
    </row>
    <row r="3" spans="1:18" ht="27.75" customHeight="1" thickBot="1">
      <c r="A3" s="988" t="s">
        <v>2140</v>
      </c>
      <c r="B3" s="989"/>
      <c r="C3" s="989"/>
      <c r="D3" s="989"/>
      <c r="E3" s="989"/>
      <c r="F3" s="989"/>
      <c r="G3" s="989"/>
      <c r="H3" s="989"/>
      <c r="I3" s="989"/>
      <c r="J3" s="989"/>
      <c r="K3" s="989"/>
      <c r="L3" s="989"/>
      <c r="M3" s="989"/>
      <c r="N3" s="989"/>
      <c r="O3" s="289" t="s">
        <v>2141</v>
      </c>
      <c r="P3" s="990">
        <v>45596</v>
      </c>
      <c r="Q3" s="991"/>
    </row>
    <row r="4" spans="1:18" ht="33">
      <c r="A4" s="290" t="s">
        <v>235</v>
      </c>
      <c r="B4" s="291" t="s">
        <v>2142</v>
      </c>
      <c r="C4" s="291" t="s">
        <v>237</v>
      </c>
      <c r="D4" s="291" t="s">
        <v>2143</v>
      </c>
      <c r="E4" s="291" t="s">
        <v>2582</v>
      </c>
      <c r="F4" s="291" t="s">
        <v>2583</v>
      </c>
      <c r="G4" s="299" t="s">
        <v>2514</v>
      </c>
      <c r="H4" s="299" t="s">
        <v>2144</v>
      </c>
      <c r="I4" s="299" t="s">
        <v>2145</v>
      </c>
      <c r="J4" s="304" t="s">
        <v>2270</v>
      </c>
      <c r="K4" s="304" t="s">
        <v>2271</v>
      </c>
      <c r="L4" s="291" t="s">
        <v>2146</v>
      </c>
      <c r="M4" s="291" t="s">
        <v>2147</v>
      </c>
      <c r="N4" s="291" t="s">
        <v>2148</v>
      </c>
      <c r="O4" s="291" t="s">
        <v>2149</v>
      </c>
      <c r="P4" s="291" t="s">
        <v>2150</v>
      </c>
      <c r="Q4" s="292" t="s">
        <v>2151</v>
      </c>
      <c r="R4" s="293"/>
    </row>
    <row r="5" spans="1:18" ht="36.75" customHeight="1">
      <c r="A5" s="294" t="s">
        <v>10</v>
      </c>
      <c r="B5" s="295" t="s">
        <v>12</v>
      </c>
      <c r="C5" s="296" t="s">
        <v>4</v>
      </c>
      <c r="D5" s="297">
        <v>1</v>
      </c>
      <c r="E5" s="297"/>
      <c r="F5" s="297"/>
      <c r="G5" s="297"/>
      <c r="H5" s="297"/>
      <c r="I5" s="297"/>
      <c r="J5" s="305"/>
      <c r="K5" s="305"/>
      <c r="L5" s="297">
        <v>304975279</v>
      </c>
      <c r="M5" s="297">
        <v>1</v>
      </c>
      <c r="N5" s="297">
        <v>1</v>
      </c>
      <c r="O5" s="297">
        <v>7397700</v>
      </c>
      <c r="P5" s="297">
        <v>191886300</v>
      </c>
      <c r="Q5" s="298" t="s">
        <v>242</v>
      </c>
      <c r="R5" s="293" t="s">
        <v>243</v>
      </c>
    </row>
    <row r="6" spans="1:18" ht="36.75" customHeight="1">
      <c r="A6" s="294" t="s">
        <v>2152</v>
      </c>
      <c r="B6" s="295" t="s">
        <v>2</v>
      </c>
      <c r="C6" s="296" t="s">
        <v>4</v>
      </c>
      <c r="D6" s="297">
        <v>1</v>
      </c>
      <c r="E6" s="297"/>
      <c r="F6" s="297"/>
      <c r="G6" s="297"/>
      <c r="H6" s="297"/>
      <c r="I6" s="297"/>
      <c r="J6" s="305"/>
      <c r="K6" s="305"/>
      <c r="L6" s="297">
        <v>232868088.53</v>
      </c>
      <c r="M6" s="297">
        <v>1</v>
      </c>
      <c r="N6" s="297">
        <v>1</v>
      </c>
      <c r="O6" s="297">
        <v>5673978.8499999996</v>
      </c>
      <c r="P6" s="297">
        <v>140200014.53999999</v>
      </c>
      <c r="Q6" s="298" t="s">
        <v>242</v>
      </c>
      <c r="R6" s="293" t="s">
        <v>243</v>
      </c>
    </row>
    <row r="7" spans="1:18" ht="36.75" customHeight="1">
      <c r="A7" s="294" t="s">
        <v>2153</v>
      </c>
      <c r="B7" s="295" t="s">
        <v>244</v>
      </c>
      <c r="C7" s="296" t="s">
        <v>4</v>
      </c>
      <c r="D7" s="297">
        <v>1</v>
      </c>
      <c r="E7" s="297"/>
      <c r="F7" s="297"/>
      <c r="G7" s="297"/>
      <c r="H7" s="297"/>
      <c r="I7" s="297"/>
      <c r="J7" s="305"/>
      <c r="K7" s="305"/>
      <c r="L7" s="297">
        <v>61233815.539999999</v>
      </c>
      <c r="M7" s="297">
        <v>1</v>
      </c>
      <c r="N7" s="297">
        <v>1</v>
      </c>
      <c r="O7" s="297">
        <v>927832.41</v>
      </c>
      <c r="P7" s="297">
        <v>44630848.060000002</v>
      </c>
      <c r="Q7" s="298" t="s">
        <v>242</v>
      </c>
      <c r="R7" s="293" t="s">
        <v>243</v>
      </c>
    </row>
    <row r="8" spans="1:18" ht="36.75" customHeight="1">
      <c r="A8" s="294" t="s">
        <v>2154</v>
      </c>
      <c r="B8" s="295" t="s">
        <v>245</v>
      </c>
      <c r="C8" s="296" t="s">
        <v>6</v>
      </c>
      <c r="D8" s="297">
        <v>720.24</v>
      </c>
      <c r="E8" s="297"/>
      <c r="F8" s="297">
        <v>720.24</v>
      </c>
      <c r="G8" s="297"/>
      <c r="H8" s="297"/>
      <c r="I8" s="297"/>
      <c r="J8" s="305"/>
      <c r="K8" s="305"/>
      <c r="L8" s="297">
        <v>193.11</v>
      </c>
      <c r="M8" s="297">
        <v>18.75</v>
      </c>
      <c r="N8" s="297">
        <v>148.93</v>
      </c>
      <c r="O8" s="297">
        <v>3620.81</v>
      </c>
      <c r="P8" s="297">
        <v>28759.87</v>
      </c>
      <c r="Q8" s="298" t="s">
        <v>242</v>
      </c>
      <c r="R8" s="293" t="s">
        <v>243</v>
      </c>
    </row>
    <row r="9" spans="1:18" ht="36.75" customHeight="1">
      <c r="A9" s="294" t="s">
        <v>2155</v>
      </c>
      <c r="B9" s="295" t="s">
        <v>247</v>
      </c>
      <c r="C9" s="296" t="s">
        <v>6</v>
      </c>
      <c r="D9" s="297">
        <v>4813.4399999999996</v>
      </c>
      <c r="E9" s="297"/>
      <c r="F9" s="297">
        <v>4813.4399999999996</v>
      </c>
      <c r="G9" s="297"/>
      <c r="H9" s="297"/>
      <c r="I9" s="297"/>
      <c r="J9" s="305"/>
      <c r="K9" s="305"/>
      <c r="L9" s="297">
        <v>1046.1600000000001</v>
      </c>
      <c r="M9" s="297">
        <v>0</v>
      </c>
      <c r="N9" s="297">
        <v>4091.17</v>
      </c>
      <c r="O9" s="297">
        <v>0</v>
      </c>
      <c r="P9" s="297">
        <v>4280018.41</v>
      </c>
      <c r="Q9" s="298" t="s">
        <v>242</v>
      </c>
      <c r="R9" s="293" t="s">
        <v>243</v>
      </c>
    </row>
    <row r="10" spans="1:18" ht="36.75" customHeight="1">
      <c r="A10" s="294" t="s">
        <v>2156</v>
      </c>
      <c r="B10" s="295" t="s">
        <v>249</v>
      </c>
      <c r="C10" s="296" t="s">
        <v>8</v>
      </c>
      <c r="D10" s="297">
        <v>1743</v>
      </c>
      <c r="E10" s="297"/>
      <c r="F10" s="297">
        <v>1743</v>
      </c>
      <c r="G10" s="297"/>
      <c r="H10" s="297"/>
      <c r="I10" s="297"/>
      <c r="J10" s="305"/>
      <c r="K10" s="305"/>
      <c r="L10" s="297">
        <v>6199.66</v>
      </c>
      <c r="M10" s="297">
        <v>0</v>
      </c>
      <c r="N10" s="297">
        <v>1741.3</v>
      </c>
      <c r="O10" s="297">
        <v>0</v>
      </c>
      <c r="P10" s="297">
        <v>10795467.960000001</v>
      </c>
      <c r="Q10" s="298" t="s">
        <v>242</v>
      </c>
      <c r="R10" s="293" t="s">
        <v>243</v>
      </c>
    </row>
    <row r="11" spans="1:18" ht="36.75" customHeight="1">
      <c r="A11" s="294" t="s">
        <v>2157</v>
      </c>
      <c r="B11" s="295" t="s">
        <v>194</v>
      </c>
      <c r="C11" s="296" t="s">
        <v>23</v>
      </c>
      <c r="D11" s="297">
        <v>26370</v>
      </c>
      <c r="E11" s="297">
        <v>28009.56</v>
      </c>
      <c r="F11" s="297">
        <f>'數量計算(FOR4變)'!I39</f>
        <v>28009.56</v>
      </c>
      <c r="G11" s="297"/>
      <c r="H11" s="297"/>
      <c r="I11" s="297"/>
      <c r="J11" s="305"/>
      <c r="K11" s="305"/>
      <c r="L11" s="297">
        <v>48.28</v>
      </c>
      <c r="M11" s="297">
        <v>75</v>
      </c>
      <c r="N11" s="297">
        <v>26684</v>
      </c>
      <c r="O11" s="297">
        <v>3621</v>
      </c>
      <c r="P11" s="297">
        <v>1288303.52</v>
      </c>
      <c r="Q11" s="298" t="s">
        <v>242</v>
      </c>
      <c r="R11" s="293" t="s">
        <v>243</v>
      </c>
    </row>
    <row r="12" spans="1:18" ht="36.75" customHeight="1">
      <c r="A12" s="294" t="s">
        <v>2158</v>
      </c>
      <c r="B12" s="295" t="s">
        <v>252</v>
      </c>
      <c r="C12" s="296" t="s">
        <v>6</v>
      </c>
      <c r="D12" s="297">
        <v>4726.67</v>
      </c>
      <c r="E12" s="297"/>
      <c r="F12" s="297">
        <v>4726.67</v>
      </c>
      <c r="G12" s="297"/>
      <c r="H12" s="297"/>
      <c r="I12" s="297"/>
      <c r="J12" s="305"/>
      <c r="K12" s="305"/>
      <c r="L12" s="297">
        <v>599.71</v>
      </c>
      <c r="M12" s="297">
        <v>0</v>
      </c>
      <c r="N12" s="297">
        <v>569.4</v>
      </c>
      <c r="O12" s="297">
        <v>0</v>
      </c>
      <c r="P12" s="297">
        <v>341474.87</v>
      </c>
      <c r="Q12" s="298" t="s">
        <v>242</v>
      </c>
      <c r="R12" s="293" t="s">
        <v>243</v>
      </c>
    </row>
    <row r="13" spans="1:18" ht="36.75" customHeight="1">
      <c r="A13" s="294" t="s">
        <v>2159</v>
      </c>
      <c r="B13" s="295" t="s">
        <v>255</v>
      </c>
      <c r="C13" s="296" t="s">
        <v>6</v>
      </c>
      <c r="D13" s="297">
        <v>13120</v>
      </c>
      <c r="E13" s="297"/>
      <c r="F13" s="297">
        <f>'數量計算(FOR4變)'!I47</f>
        <v>13120</v>
      </c>
      <c r="G13" s="297"/>
      <c r="H13" s="297"/>
      <c r="I13" s="297"/>
      <c r="J13" s="305"/>
      <c r="K13" s="305"/>
      <c r="L13" s="297">
        <v>104.64</v>
      </c>
      <c r="M13" s="297">
        <v>864</v>
      </c>
      <c r="N13" s="297">
        <v>8670.2199999999993</v>
      </c>
      <c r="O13" s="297">
        <v>90408.960000000006</v>
      </c>
      <c r="P13" s="297">
        <v>907251.82</v>
      </c>
      <c r="Q13" s="298" t="s">
        <v>242</v>
      </c>
      <c r="R13" s="293" t="s">
        <v>243</v>
      </c>
    </row>
    <row r="14" spans="1:18" ht="36.75" customHeight="1">
      <c r="A14" s="294" t="s">
        <v>2160</v>
      </c>
      <c r="B14" s="295" t="s">
        <v>258</v>
      </c>
      <c r="C14" s="296" t="s">
        <v>23</v>
      </c>
      <c r="D14" s="297">
        <v>13251</v>
      </c>
      <c r="E14" s="297"/>
      <c r="F14" s="297">
        <f>'數量計算(FOR4變)'!J54</f>
        <v>4994</v>
      </c>
      <c r="G14" s="297"/>
      <c r="H14" s="297"/>
      <c r="I14" s="297"/>
      <c r="J14" s="305"/>
      <c r="K14" s="305"/>
      <c r="L14" s="297">
        <v>1027.3699999999999</v>
      </c>
      <c r="M14" s="297">
        <v>156</v>
      </c>
      <c r="N14" s="297">
        <v>10560</v>
      </c>
      <c r="O14" s="297">
        <v>160269.72</v>
      </c>
      <c r="P14" s="297">
        <v>10849027.199999999</v>
      </c>
      <c r="Q14" s="298" t="s">
        <v>242</v>
      </c>
      <c r="R14" s="293" t="s">
        <v>243</v>
      </c>
    </row>
    <row r="15" spans="1:18" ht="36.75" customHeight="1">
      <c r="A15" s="294" t="s">
        <v>2161</v>
      </c>
      <c r="B15" s="295" t="s">
        <v>261</v>
      </c>
      <c r="C15" s="296" t="s">
        <v>6</v>
      </c>
      <c r="D15" s="297">
        <v>4601.4399999999996</v>
      </c>
      <c r="E15" s="297"/>
      <c r="F15" s="297" t="str">
        <f>'數量計算(FOR4變)'!I59</f>
        <v>0_x000D_</v>
      </c>
      <c r="G15" s="297"/>
      <c r="H15" s="300"/>
      <c r="I15" s="300"/>
      <c r="J15" s="305"/>
      <c r="K15" s="305"/>
      <c r="L15" s="297">
        <v>1084.98</v>
      </c>
      <c r="M15" s="297">
        <v>0</v>
      </c>
      <c r="N15" s="297">
        <v>0</v>
      </c>
      <c r="O15" s="297">
        <v>0</v>
      </c>
      <c r="P15" s="297">
        <v>0</v>
      </c>
      <c r="Q15" s="298" t="s">
        <v>242</v>
      </c>
      <c r="R15" s="293" t="s">
        <v>243</v>
      </c>
    </row>
    <row r="16" spans="1:18" ht="36.75" customHeight="1">
      <c r="A16" s="294" t="s">
        <v>2162</v>
      </c>
      <c r="B16" s="295" t="s">
        <v>264</v>
      </c>
      <c r="C16" s="296" t="s">
        <v>13</v>
      </c>
      <c r="D16" s="297">
        <v>2588.5</v>
      </c>
      <c r="E16" s="297"/>
      <c r="F16" s="297">
        <v>2588.5</v>
      </c>
      <c r="G16" s="297"/>
      <c r="H16" s="297"/>
      <c r="I16" s="297"/>
      <c r="J16" s="305"/>
      <c r="K16" s="305"/>
      <c r="L16" s="297">
        <v>30.45</v>
      </c>
      <c r="M16" s="297">
        <v>0</v>
      </c>
      <c r="N16" s="297">
        <v>0</v>
      </c>
      <c r="O16" s="297">
        <v>0</v>
      </c>
      <c r="P16" s="297">
        <v>0</v>
      </c>
      <c r="Q16" s="298" t="s">
        <v>242</v>
      </c>
      <c r="R16" s="293" t="s">
        <v>243</v>
      </c>
    </row>
    <row r="17" spans="1:18" ht="36.75" customHeight="1">
      <c r="A17" s="294" t="s">
        <v>2163</v>
      </c>
      <c r="B17" s="295" t="s">
        <v>267</v>
      </c>
      <c r="C17" s="296" t="s">
        <v>13</v>
      </c>
      <c r="D17" s="297">
        <v>9177</v>
      </c>
      <c r="E17" s="297"/>
      <c r="F17" s="297">
        <v>9177</v>
      </c>
      <c r="G17" s="297"/>
      <c r="H17" s="297"/>
      <c r="I17" s="297"/>
      <c r="J17" s="305"/>
      <c r="K17" s="305"/>
      <c r="L17" s="297">
        <v>28.48</v>
      </c>
      <c r="M17" s="297">
        <v>0</v>
      </c>
      <c r="N17" s="297">
        <v>4745</v>
      </c>
      <c r="O17" s="297">
        <v>0</v>
      </c>
      <c r="P17" s="297">
        <v>135137.60000000001</v>
      </c>
      <c r="Q17" s="298" t="s">
        <v>242</v>
      </c>
      <c r="R17" s="293" t="s">
        <v>243</v>
      </c>
    </row>
    <row r="18" spans="1:18" ht="36.75" customHeight="1">
      <c r="A18" s="294" t="s">
        <v>2164</v>
      </c>
      <c r="B18" s="295" t="s">
        <v>270</v>
      </c>
      <c r="C18" s="296" t="s">
        <v>8</v>
      </c>
      <c r="D18" s="297">
        <v>162.5</v>
      </c>
      <c r="E18" s="297"/>
      <c r="F18" s="297">
        <v>162.5</v>
      </c>
      <c r="G18" s="297"/>
      <c r="H18" s="297"/>
      <c r="I18" s="297"/>
      <c r="J18" s="305"/>
      <c r="K18" s="305"/>
      <c r="L18" s="297">
        <v>65.400000000000006</v>
      </c>
      <c r="M18" s="297">
        <v>0</v>
      </c>
      <c r="N18" s="297">
        <v>52.1</v>
      </c>
      <c r="O18" s="297">
        <v>0</v>
      </c>
      <c r="P18" s="297">
        <v>3407.34</v>
      </c>
      <c r="Q18" s="298" t="s">
        <v>242</v>
      </c>
      <c r="R18" s="293" t="s">
        <v>243</v>
      </c>
    </row>
    <row r="19" spans="1:18" ht="36.75" customHeight="1">
      <c r="A19" s="294" t="s">
        <v>2165</v>
      </c>
      <c r="B19" s="295" t="s">
        <v>273</v>
      </c>
      <c r="C19" s="296" t="s">
        <v>13</v>
      </c>
      <c r="D19" s="297">
        <v>5217.7</v>
      </c>
      <c r="E19" s="297"/>
      <c r="F19" s="297">
        <v>5217.7</v>
      </c>
      <c r="G19" s="297"/>
      <c r="H19" s="297"/>
      <c r="I19" s="297"/>
      <c r="J19" s="305"/>
      <c r="K19" s="305"/>
      <c r="L19" s="297">
        <v>20.190000000000001</v>
      </c>
      <c r="M19" s="297">
        <v>0</v>
      </c>
      <c r="N19" s="297">
        <v>3717</v>
      </c>
      <c r="O19" s="297">
        <v>0</v>
      </c>
      <c r="P19" s="297">
        <v>75046.23</v>
      </c>
      <c r="Q19" s="298" t="s">
        <v>242</v>
      </c>
      <c r="R19" s="293" t="s">
        <v>243</v>
      </c>
    </row>
    <row r="20" spans="1:18" ht="36.75" customHeight="1">
      <c r="A20" s="294" t="s">
        <v>2166</v>
      </c>
      <c r="B20" s="295" t="s">
        <v>276</v>
      </c>
      <c r="C20" s="296" t="s">
        <v>6</v>
      </c>
      <c r="D20" s="297">
        <v>782.66</v>
      </c>
      <c r="E20" s="297"/>
      <c r="F20" s="297">
        <v>782.66</v>
      </c>
      <c r="G20" s="297"/>
      <c r="H20" s="297"/>
      <c r="I20" s="297"/>
      <c r="J20" s="305"/>
      <c r="K20" s="305"/>
      <c r="L20" s="297">
        <v>2286.6799999999998</v>
      </c>
      <c r="M20" s="297">
        <v>0</v>
      </c>
      <c r="N20" s="297">
        <v>108</v>
      </c>
      <c r="O20" s="297">
        <v>0</v>
      </c>
      <c r="P20" s="297">
        <v>246961.44</v>
      </c>
      <c r="Q20" s="298" t="s">
        <v>242</v>
      </c>
      <c r="R20" s="293" t="s">
        <v>243</v>
      </c>
    </row>
    <row r="21" spans="1:18" ht="36.75" customHeight="1">
      <c r="A21" s="294" t="s">
        <v>2167</v>
      </c>
      <c r="B21" s="295" t="s">
        <v>279</v>
      </c>
      <c r="C21" s="296" t="s">
        <v>14</v>
      </c>
      <c r="D21" s="297">
        <v>425</v>
      </c>
      <c r="E21" s="297"/>
      <c r="F21" s="297">
        <v>425</v>
      </c>
      <c r="G21" s="297"/>
      <c r="H21" s="297"/>
      <c r="I21" s="297"/>
      <c r="J21" s="305"/>
      <c r="K21" s="305"/>
      <c r="L21" s="297">
        <v>521.15</v>
      </c>
      <c r="M21" s="297">
        <v>0</v>
      </c>
      <c r="N21" s="297">
        <v>425</v>
      </c>
      <c r="O21" s="297">
        <v>0</v>
      </c>
      <c r="P21" s="297">
        <v>221488.75</v>
      </c>
      <c r="Q21" s="298" t="s">
        <v>242</v>
      </c>
      <c r="R21" s="293" t="s">
        <v>243</v>
      </c>
    </row>
    <row r="22" spans="1:18" s="240" customFormat="1" ht="36.75" customHeight="1">
      <c r="A22" s="393" t="s">
        <v>2168</v>
      </c>
      <c r="B22" s="394" t="s">
        <v>282</v>
      </c>
      <c r="C22" s="395" t="s">
        <v>8</v>
      </c>
      <c r="D22" s="396">
        <v>255.5</v>
      </c>
      <c r="E22" s="396"/>
      <c r="F22" s="396">
        <f>G22</f>
        <v>415.08000000000004</v>
      </c>
      <c r="G22" s="396">
        <f>'數量計算(FOR4變)'!I70</f>
        <v>415.08000000000004</v>
      </c>
      <c r="H22" s="396">
        <f>G22-D22</f>
        <v>159.58000000000004</v>
      </c>
      <c r="I22" s="396">
        <f>ROUND(H22*L22,2)</f>
        <v>46225.54</v>
      </c>
      <c r="J22" s="397"/>
      <c r="K22" s="397"/>
      <c r="L22" s="396">
        <v>289.67</v>
      </c>
      <c r="M22" s="396">
        <v>0</v>
      </c>
      <c r="N22" s="396">
        <v>255.5</v>
      </c>
      <c r="O22" s="396">
        <v>0</v>
      </c>
      <c r="P22" s="396">
        <v>74010.69</v>
      </c>
      <c r="Q22" s="398" t="s">
        <v>242</v>
      </c>
      <c r="R22" s="399" t="s">
        <v>243</v>
      </c>
    </row>
    <row r="23" spans="1:18" ht="36.75" customHeight="1">
      <c r="A23" s="294" t="s">
        <v>2169</v>
      </c>
      <c r="B23" s="295" t="s">
        <v>285</v>
      </c>
      <c r="C23" s="296" t="s">
        <v>286</v>
      </c>
      <c r="D23" s="297">
        <v>2204</v>
      </c>
      <c r="E23" s="297"/>
      <c r="F23" s="297">
        <v>2204</v>
      </c>
      <c r="G23" s="297"/>
      <c r="H23" s="297"/>
      <c r="I23" s="297"/>
      <c r="J23" s="305"/>
      <c r="K23" s="305"/>
      <c r="L23" s="297">
        <v>3082.11</v>
      </c>
      <c r="M23" s="297">
        <v>72</v>
      </c>
      <c r="N23" s="297">
        <v>2107</v>
      </c>
      <c r="O23" s="297">
        <v>221911.92</v>
      </c>
      <c r="P23" s="297">
        <v>6494005.7699999996</v>
      </c>
      <c r="Q23" s="298" t="s">
        <v>242</v>
      </c>
      <c r="R23" s="293" t="s">
        <v>243</v>
      </c>
    </row>
    <row r="24" spans="1:18" ht="36.75" customHeight="1">
      <c r="A24" s="294" t="s">
        <v>2170</v>
      </c>
      <c r="B24" s="295" t="s">
        <v>289</v>
      </c>
      <c r="C24" s="296" t="s">
        <v>290</v>
      </c>
      <c r="D24" s="297">
        <v>66</v>
      </c>
      <c r="E24" s="297"/>
      <c r="F24" s="297">
        <v>66</v>
      </c>
      <c r="G24" s="297"/>
      <c r="H24" s="297"/>
      <c r="I24" s="297"/>
      <c r="J24" s="305"/>
      <c r="K24" s="305"/>
      <c r="L24" s="297">
        <v>3311.26</v>
      </c>
      <c r="M24" s="297">
        <v>0</v>
      </c>
      <c r="N24" s="297">
        <v>65</v>
      </c>
      <c r="O24" s="297">
        <v>0</v>
      </c>
      <c r="P24" s="297">
        <v>215231.9</v>
      </c>
      <c r="Q24" s="298" t="s">
        <v>242</v>
      </c>
      <c r="R24" s="293" t="s">
        <v>243</v>
      </c>
    </row>
    <row r="25" spans="1:18" ht="36.75" customHeight="1">
      <c r="A25" s="294" t="s">
        <v>2171</v>
      </c>
      <c r="B25" s="295" t="s">
        <v>293</v>
      </c>
      <c r="C25" s="296" t="s">
        <v>0</v>
      </c>
      <c r="D25" s="297">
        <v>18</v>
      </c>
      <c r="E25" s="297"/>
      <c r="F25" s="297">
        <v>18</v>
      </c>
      <c r="G25" s="297"/>
      <c r="H25" s="297"/>
      <c r="I25" s="297"/>
      <c r="J25" s="305"/>
      <c r="K25" s="305"/>
      <c r="L25" s="297">
        <v>1199.93</v>
      </c>
      <c r="M25" s="297">
        <v>0</v>
      </c>
      <c r="N25" s="297">
        <v>18</v>
      </c>
      <c r="O25" s="297">
        <v>0</v>
      </c>
      <c r="P25" s="297">
        <v>21598.74</v>
      </c>
      <c r="Q25" s="298" t="s">
        <v>242</v>
      </c>
      <c r="R25" s="293" t="s">
        <v>243</v>
      </c>
    </row>
    <row r="26" spans="1:18" ht="36.75" customHeight="1">
      <c r="A26" s="294" t="s">
        <v>2172</v>
      </c>
      <c r="B26" s="295" t="s">
        <v>296</v>
      </c>
      <c r="C26" s="296" t="s">
        <v>0</v>
      </c>
      <c r="D26" s="297">
        <v>4</v>
      </c>
      <c r="E26" s="297"/>
      <c r="F26" s="297">
        <v>4</v>
      </c>
      <c r="G26" s="297"/>
      <c r="H26" s="297"/>
      <c r="I26" s="297"/>
      <c r="J26" s="305"/>
      <c r="K26" s="305"/>
      <c r="L26" s="297">
        <v>2999.84</v>
      </c>
      <c r="M26" s="297">
        <v>0</v>
      </c>
      <c r="N26" s="297">
        <v>4</v>
      </c>
      <c r="O26" s="297">
        <v>0</v>
      </c>
      <c r="P26" s="297">
        <v>11999.36</v>
      </c>
      <c r="Q26" s="298" t="s">
        <v>242</v>
      </c>
      <c r="R26" s="293" t="s">
        <v>243</v>
      </c>
    </row>
    <row r="27" spans="1:18" ht="36.75" customHeight="1">
      <c r="A27" s="294" t="s">
        <v>2173</v>
      </c>
      <c r="B27" s="295" t="s">
        <v>299</v>
      </c>
      <c r="C27" s="296" t="s">
        <v>0</v>
      </c>
      <c r="D27" s="297">
        <v>20</v>
      </c>
      <c r="E27" s="297"/>
      <c r="F27" s="297">
        <v>20</v>
      </c>
      <c r="G27" s="297"/>
      <c r="H27" s="297"/>
      <c r="I27" s="297"/>
      <c r="J27" s="305"/>
      <c r="K27" s="305"/>
      <c r="L27" s="297">
        <v>2999.84</v>
      </c>
      <c r="M27" s="297">
        <v>0</v>
      </c>
      <c r="N27" s="297">
        <v>20</v>
      </c>
      <c r="O27" s="297">
        <v>0</v>
      </c>
      <c r="P27" s="297">
        <v>59996.800000000003</v>
      </c>
      <c r="Q27" s="298" t="s">
        <v>242</v>
      </c>
      <c r="R27" s="293" t="s">
        <v>243</v>
      </c>
    </row>
    <row r="28" spans="1:18" ht="36.75" customHeight="1">
      <c r="A28" s="294" t="s">
        <v>2174</v>
      </c>
      <c r="B28" s="295" t="s">
        <v>302</v>
      </c>
      <c r="C28" s="296" t="s">
        <v>0</v>
      </c>
      <c r="D28" s="297">
        <v>15</v>
      </c>
      <c r="E28" s="297"/>
      <c r="F28" s="297">
        <v>15</v>
      </c>
      <c r="G28" s="297"/>
      <c r="H28" s="297"/>
      <c r="I28" s="297"/>
      <c r="J28" s="305"/>
      <c r="K28" s="305"/>
      <c r="L28" s="297">
        <v>2999.84</v>
      </c>
      <c r="M28" s="297">
        <v>0</v>
      </c>
      <c r="N28" s="297">
        <v>15</v>
      </c>
      <c r="O28" s="297">
        <v>0</v>
      </c>
      <c r="P28" s="297">
        <v>44997.599999999999</v>
      </c>
      <c r="Q28" s="298" t="s">
        <v>242</v>
      </c>
      <c r="R28" s="293" t="s">
        <v>243</v>
      </c>
    </row>
    <row r="29" spans="1:18" ht="36.75" customHeight="1">
      <c r="A29" s="294" t="s">
        <v>2175</v>
      </c>
      <c r="B29" s="295" t="s">
        <v>305</v>
      </c>
      <c r="C29" s="296" t="s">
        <v>4</v>
      </c>
      <c r="D29" s="297">
        <v>1</v>
      </c>
      <c r="E29" s="297"/>
      <c r="F29" s="297">
        <v>1</v>
      </c>
      <c r="G29" s="297"/>
      <c r="H29" s="297"/>
      <c r="I29" s="297"/>
      <c r="J29" s="305"/>
      <c r="K29" s="305"/>
      <c r="L29" s="297">
        <v>399978.19</v>
      </c>
      <c r="M29" s="297">
        <v>0</v>
      </c>
      <c r="N29" s="297">
        <v>1</v>
      </c>
      <c r="O29" s="297">
        <v>0</v>
      </c>
      <c r="P29" s="297">
        <v>399978.19</v>
      </c>
      <c r="Q29" s="298" t="s">
        <v>2176</v>
      </c>
      <c r="R29" s="293" t="s">
        <v>243</v>
      </c>
    </row>
    <row r="30" spans="1:18" ht="36.75" customHeight="1">
      <c r="A30" s="294" t="s">
        <v>2177</v>
      </c>
      <c r="B30" s="295" t="s">
        <v>31</v>
      </c>
      <c r="C30" s="296" t="s">
        <v>16</v>
      </c>
      <c r="D30" s="297">
        <v>30800</v>
      </c>
      <c r="E30" s="297"/>
      <c r="F30" s="297">
        <v>30800</v>
      </c>
      <c r="G30" s="297"/>
      <c r="H30" s="297"/>
      <c r="I30" s="297"/>
      <c r="J30" s="305"/>
      <c r="K30" s="305"/>
      <c r="L30" s="297">
        <v>280</v>
      </c>
      <c r="M30" s="297">
        <v>1600</v>
      </c>
      <c r="N30" s="297">
        <v>21303.5</v>
      </c>
      <c r="O30" s="297">
        <v>448000</v>
      </c>
      <c r="P30" s="297">
        <v>5964980</v>
      </c>
      <c r="Q30" s="298" t="s">
        <v>242</v>
      </c>
      <c r="R30" s="293" t="s">
        <v>243</v>
      </c>
    </row>
    <row r="31" spans="1:18" ht="36.75" customHeight="1">
      <c r="A31" s="294" t="s">
        <v>2178</v>
      </c>
      <c r="B31" s="295" t="s">
        <v>1312</v>
      </c>
      <c r="C31" s="296" t="s">
        <v>13</v>
      </c>
      <c r="D31" s="297">
        <v>0</v>
      </c>
      <c r="E31" s="297">
        <v>2150</v>
      </c>
      <c r="F31" s="297">
        <v>2150</v>
      </c>
      <c r="G31" s="297"/>
      <c r="H31" s="297"/>
      <c r="I31" s="297"/>
      <c r="J31" s="305"/>
      <c r="K31" s="305"/>
      <c r="L31" s="297">
        <v>70.56</v>
      </c>
      <c r="M31" s="297">
        <v>0</v>
      </c>
      <c r="N31" s="297">
        <v>2150</v>
      </c>
      <c r="O31" s="297">
        <v>0</v>
      </c>
      <c r="P31" s="297">
        <v>151704</v>
      </c>
      <c r="Q31" s="298" t="s">
        <v>242</v>
      </c>
      <c r="R31" s="293" t="s">
        <v>243</v>
      </c>
    </row>
    <row r="32" spans="1:18" ht="36.75" customHeight="1">
      <c r="A32" s="294" t="s">
        <v>2179</v>
      </c>
      <c r="B32" s="295" t="s">
        <v>1314</v>
      </c>
      <c r="C32" s="296" t="s">
        <v>1315</v>
      </c>
      <c r="D32" s="297">
        <v>0</v>
      </c>
      <c r="E32" s="297">
        <v>111</v>
      </c>
      <c r="F32" s="297">
        <v>111</v>
      </c>
      <c r="G32" s="297"/>
      <c r="H32" s="297"/>
      <c r="I32" s="297"/>
      <c r="J32" s="305"/>
      <c r="K32" s="305"/>
      <c r="L32" s="297">
        <v>20000</v>
      </c>
      <c r="M32" s="297">
        <v>0</v>
      </c>
      <c r="N32" s="297">
        <v>101</v>
      </c>
      <c r="O32" s="297">
        <v>0</v>
      </c>
      <c r="P32" s="297">
        <v>2020000</v>
      </c>
      <c r="Q32" s="298" t="s">
        <v>242</v>
      </c>
      <c r="R32" s="293" t="s">
        <v>243</v>
      </c>
    </row>
    <row r="33" spans="1:19" ht="36.75" customHeight="1">
      <c r="A33" s="294" t="s">
        <v>2180</v>
      </c>
      <c r="B33" s="295" t="s">
        <v>309</v>
      </c>
      <c r="C33" s="296" t="s">
        <v>4</v>
      </c>
      <c r="D33" s="297">
        <v>1</v>
      </c>
      <c r="E33" s="297"/>
      <c r="F33" s="297"/>
      <c r="G33" s="297"/>
      <c r="H33" s="297"/>
      <c r="I33" s="297"/>
      <c r="J33" s="305"/>
      <c r="K33" s="305"/>
      <c r="L33" s="297">
        <v>30807124.300000001</v>
      </c>
      <c r="M33" s="297">
        <v>1</v>
      </c>
      <c r="N33" s="297">
        <v>1</v>
      </c>
      <c r="O33" s="297">
        <v>140646.04</v>
      </c>
      <c r="P33" s="297">
        <v>1083872.94</v>
      </c>
      <c r="Q33" s="298" t="s">
        <v>242</v>
      </c>
      <c r="R33" s="293" t="s">
        <v>243</v>
      </c>
    </row>
    <row r="34" spans="1:19" ht="36.75" customHeight="1">
      <c r="A34" s="294" t="s">
        <v>2154</v>
      </c>
      <c r="B34" s="295" t="s">
        <v>310</v>
      </c>
      <c r="C34" s="296" t="s">
        <v>223</v>
      </c>
      <c r="D34" s="297">
        <v>1887.64</v>
      </c>
      <c r="E34" s="297"/>
      <c r="F34" s="297">
        <f>D34</f>
        <v>1887.64</v>
      </c>
      <c r="G34" s="297"/>
      <c r="H34" s="297"/>
      <c r="I34" s="297"/>
      <c r="J34" s="305"/>
      <c r="K34" s="305"/>
      <c r="L34" s="297">
        <v>320.72000000000003</v>
      </c>
      <c r="M34" s="297">
        <v>0</v>
      </c>
      <c r="N34" s="297">
        <v>0</v>
      </c>
      <c r="O34" s="297">
        <v>0</v>
      </c>
      <c r="P34" s="297">
        <v>0</v>
      </c>
      <c r="Q34" s="298" t="s">
        <v>242</v>
      </c>
      <c r="R34" s="293" t="s">
        <v>243</v>
      </c>
    </row>
    <row r="35" spans="1:19" ht="36.75" customHeight="1">
      <c r="A35" s="294" t="s">
        <v>2155</v>
      </c>
      <c r="B35" s="295" t="s">
        <v>312</v>
      </c>
      <c r="C35" s="296" t="s">
        <v>223</v>
      </c>
      <c r="D35" s="297">
        <v>402.21</v>
      </c>
      <c r="E35" s="297"/>
      <c r="F35" s="297">
        <f t="shared" ref="F35:F69" si="0">D35</f>
        <v>402.21</v>
      </c>
      <c r="G35" s="297"/>
      <c r="H35" s="297"/>
      <c r="I35" s="297"/>
      <c r="J35" s="305"/>
      <c r="K35" s="305"/>
      <c r="L35" s="297">
        <v>346.06</v>
      </c>
      <c r="M35" s="297">
        <v>0</v>
      </c>
      <c r="N35" s="297">
        <v>0</v>
      </c>
      <c r="O35" s="297">
        <v>0</v>
      </c>
      <c r="P35" s="297">
        <v>0</v>
      </c>
      <c r="Q35" s="298" t="s">
        <v>242</v>
      </c>
      <c r="R35" s="293" t="s">
        <v>243</v>
      </c>
    </row>
    <row r="36" spans="1:19" ht="36.75" customHeight="1">
      <c r="A36" s="294" t="s">
        <v>2156</v>
      </c>
      <c r="B36" s="295" t="s">
        <v>192</v>
      </c>
      <c r="C36" s="296" t="s">
        <v>17</v>
      </c>
      <c r="D36" s="297">
        <v>18865.759999999998</v>
      </c>
      <c r="E36" s="297"/>
      <c r="F36" s="297">
        <f t="shared" si="0"/>
        <v>18865.759999999998</v>
      </c>
      <c r="G36" s="297"/>
      <c r="H36" s="297"/>
      <c r="I36" s="297"/>
      <c r="J36" s="305"/>
      <c r="K36" s="305"/>
      <c r="L36" s="297">
        <v>36.4</v>
      </c>
      <c r="M36" s="297">
        <v>0</v>
      </c>
      <c r="N36" s="297">
        <v>5167.4399999999996</v>
      </c>
      <c r="O36" s="297">
        <v>0</v>
      </c>
      <c r="P36" s="297">
        <v>188094.82</v>
      </c>
      <c r="Q36" s="298" t="s">
        <v>242</v>
      </c>
      <c r="R36" s="293" t="s">
        <v>243</v>
      </c>
    </row>
    <row r="37" spans="1:19" ht="36.75" customHeight="1">
      <c r="A37" s="294" t="s">
        <v>2157</v>
      </c>
      <c r="B37" s="295" t="s">
        <v>315</v>
      </c>
      <c r="C37" s="296" t="s">
        <v>6</v>
      </c>
      <c r="D37" s="297">
        <v>107.91</v>
      </c>
      <c r="E37" s="297"/>
      <c r="F37" s="297">
        <f t="shared" si="0"/>
        <v>107.91</v>
      </c>
      <c r="G37" s="297"/>
      <c r="H37" s="297"/>
      <c r="I37" s="297"/>
      <c r="J37" s="305"/>
      <c r="K37" s="305"/>
      <c r="L37" s="297">
        <v>3114.97</v>
      </c>
      <c r="M37" s="297">
        <v>0</v>
      </c>
      <c r="N37" s="297">
        <v>4.7300000000000004</v>
      </c>
      <c r="O37" s="297">
        <v>0</v>
      </c>
      <c r="P37" s="297">
        <v>14733.81</v>
      </c>
      <c r="Q37" s="298" t="s">
        <v>242</v>
      </c>
      <c r="R37" s="293" t="s">
        <v>243</v>
      </c>
    </row>
    <row r="38" spans="1:19" ht="36.75" customHeight="1">
      <c r="A38" s="294" t="s">
        <v>2158</v>
      </c>
      <c r="B38" s="295" t="s">
        <v>24</v>
      </c>
      <c r="C38" s="296" t="s">
        <v>6</v>
      </c>
      <c r="D38" s="297">
        <v>564.01</v>
      </c>
      <c r="E38" s="297"/>
      <c r="F38" s="297">
        <f t="shared" si="0"/>
        <v>564.01</v>
      </c>
      <c r="G38" s="297"/>
      <c r="H38" s="297"/>
      <c r="I38" s="297"/>
      <c r="J38" s="305"/>
      <c r="K38" s="305"/>
      <c r="L38" s="297">
        <v>3320.96</v>
      </c>
      <c r="M38" s="297">
        <v>0</v>
      </c>
      <c r="N38" s="297">
        <v>59.94</v>
      </c>
      <c r="O38" s="297">
        <v>0</v>
      </c>
      <c r="P38" s="297">
        <v>199058.34</v>
      </c>
      <c r="Q38" s="298" t="s">
        <v>242</v>
      </c>
      <c r="R38" s="293" t="s">
        <v>243</v>
      </c>
    </row>
    <row r="39" spans="1:19" ht="36.75" customHeight="1">
      <c r="A39" s="294" t="s">
        <v>2159</v>
      </c>
      <c r="B39" s="295" t="s">
        <v>193</v>
      </c>
      <c r="C39" s="296" t="s">
        <v>13</v>
      </c>
      <c r="D39" s="297">
        <v>1926.87</v>
      </c>
      <c r="E39" s="297"/>
      <c r="F39" s="297">
        <f t="shared" si="0"/>
        <v>1926.87</v>
      </c>
      <c r="G39" s="297"/>
      <c r="H39" s="297"/>
      <c r="I39" s="297"/>
      <c r="J39" s="305"/>
      <c r="K39" s="305"/>
      <c r="L39" s="297">
        <v>533.61</v>
      </c>
      <c r="M39" s="297">
        <v>0</v>
      </c>
      <c r="N39" s="297">
        <v>374.32</v>
      </c>
      <c r="O39" s="297">
        <v>0</v>
      </c>
      <c r="P39" s="297">
        <v>199740.9</v>
      </c>
      <c r="Q39" s="298" t="s">
        <v>242</v>
      </c>
      <c r="R39" s="293" t="s">
        <v>243</v>
      </c>
    </row>
    <row r="40" spans="1:19" ht="36.75" customHeight="1">
      <c r="A40" s="294" t="s">
        <v>2160</v>
      </c>
      <c r="B40" s="295" t="s">
        <v>319</v>
      </c>
      <c r="C40" s="296" t="s">
        <v>13</v>
      </c>
      <c r="D40" s="297">
        <v>301.33</v>
      </c>
      <c r="E40" s="297"/>
      <c r="F40" s="297">
        <f t="shared" si="0"/>
        <v>301.33</v>
      </c>
      <c r="G40" s="297"/>
      <c r="H40" s="297"/>
      <c r="I40" s="297"/>
      <c r="J40" s="305"/>
      <c r="K40" s="305"/>
      <c r="L40" s="297">
        <v>1299.82</v>
      </c>
      <c r="M40" s="297">
        <v>0</v>
      </c>
      <c r="N40" s="297">
        <v>0</v>
      </c>
      <c r="O40" s="297">
        <v>0</v>
      </c>
      <c r="P40" s="297">
        <v>0</v>
      </c>
      <c r="Q40" s="298" t="s">
        <v>242</v>
      </c>
      <c r="R40" s="293" t="s">
        <v>243</v>
      </c>
    </row>
    <row r="41" spans="1:19" ht="36.75" customHeight="1">
      <c r="A41" s="294" t="s">
        <v>2161</v>
      </c>
      <c r="B41" s="295" t="s">
        <v>321</v>
      </c>
      <c r="C41" s="296" t="s">
        <v>17</v>
      </c>
      <c r="D41" s="297">
        <v>5991.34</v>
      </c>
      <c r="E41" s="297"/>
      <c r="F41" s="297">
        <f>D41</f>
        <v>5991.34</v>
      </c>
      <c r="G41" s="297">
        <f>'數量計算(FOR4變)'!I100</f>
        <v>32931.474399999999</v>
      </c>
      <c r="H41" s="297">
        <f>G41-D41</f>
        <v>26940.134399999999</v>
      </c>
      <c r="I41" s="297"/>
      <c r="J41" s="305"/>
      <c r="K41" s="305"/>
      <c r="L41" s="297">
        <v>60</v>
      </c>
      <c r="M41" s="297">
        <v>0</v>
      </c>
      <c r="N41" s="297">
        <v>0</v>
      </c>
      <c r="O41" s="297">
        <v>0</v>
      </c>
      <c r="P41" s="297">
        <v>0</v>
      </c>
      <c r="Q41" s="298" t="s">
        <v>242</v>
      </c>
      <c r="R41" s="293" t="s">
        <v>243</v>
      </c>
      <c r="S41" s="433" t="s">
        <v>2993</v>
      </c>
    </row>
    <row r="42" spans="1:19" ht="36.75" customHeight="1">
      <c r="A42" s="294" t="s">
        <v>2162</v>
      </c>
      <c r="B42" s="295" t="s">
        <v>323</v>
      </c>
      <c r="C42" s="296" t="s">
        <v>17</v>
      </c>
      <c r="D42" s="297">
        <v>5991.34</v>
      </c>
      <c r="E42" s="297"/>
      <c r="F42" s="297">
        <f>D42</f>
        <v>5991.34</v>
      </c>
      <c r="G42" s="297">
        <f>'數量計算(FOR4變)'!I106</f>
        <v>32931.474399999999</v>
      </c>
      <c r="H42" s="297">
        <f>G42-D42</f>
        <v>26940.134399999999</v>
      </c>
      <c r="I42" s="297"/>
      <c r="J42" s="305"/>
      <c r="K42" s="305"/>
      <c r="L42" s="297">
        <v>31.9</v>
      </c>
      <c r="M42" s="297">
        <v>0</v>
      </c>
      <c r="N42" s="297">
        <v>0</v>
      </c>
      <c r="O42" s="297">
        <v>0</v>
      </c>
      <c r="P42" s="297">
        <v>0</v>
      </c>
      <c r="Q42" s="298" t="s">
        <v>242</v>
      </c>
      <c r="R42" s="293" t="s">
        <v>243</v>
      </c>
      <c r="S42" s="433" t="s">
        <v>2993</v>
      </c>
    </row>
    <row r="43" spans="1:19" ht="36.75" customHeight="1">
      <c r="A43" s="294" t="s">
        <v>2163</v>
      </c>
      <c r="B43" s="295" t="s">
        <v>325</v>
      </c>
      <c r="C43" s="296" t="s">
        <v>17</v>
      </c>
      <c r="D43" s="297">
        <v>1180.03</v>
      </c>
      <c r="E43" s="297"/>
      <c r="F43" s="297">
        <f t="shared" si="0"/>
        <v>1180.03</v>
      </c>
      <c r="G43" s="297"/>
      <c r="H43" s="297"/>
      <c r="I43" s="297"/>
      <c r="J43" s="305"/>
      <c r="K43" s="305"/>
      <c r="L43" s="297">
        <v>107.3</v>
      </c>
      <c r="M43" s="297">
        <v>0</v>
      </c>
      <c r="N43" s="297">
        <v>0</v>
      </c>
      <c r="O43" s="297">
        <v>0</v>
      </c>
      <c r="P43" s="297">
        <v>0</v>
      </c>
      <c r="Q43" s="298" t="s">
        <v>242</v>
      </c>
      <c r="R43" s="293" t="s">
        <v>243</v>
      </c>
    </row>
    <row r="44" spans="1:19" ht="36.75" customHeight="1">
      <c r="A44" s="294" t="s">
        <v>2164</v>
      </c>
      <c r="B44" s="295" t="s">
        <v>327</v>
      </c>
      <c r="C44" s="296" t="s">
        <v>13</v>
      </c>
      <c r="D44" s="297">
        <v>3879.21</v>
      </c>
      <c r="E44" s="297"/>
      <c r="F44" s="297">
        <f t="shared" si="0"/>
        <v>3879.21</v>
      </c>
      <c r="G44" s="297"/>
      <c r="H44" s="297"/>
      <c r="I44" s="297"/>
      <c r="J44" s="305"/>
      <c r="K44" s="305"/>
      <c r="L44" s="297">
        <v>3092.69</v>
      </c>
      <c r="M44" s="297">
        <v>0</v>
      </c>
      <c r="N44" s="297">
        <v>0</v>
      </c>
      <c r="O44" s="297">
        <v>0</v>
      </c>
      <c r="P44" s="297">
        <v>0</v>
      </c>
      <c r="Q44" s="298" t="s">
        <v>242</v>
      </c>
      <c r="R44" s="293" t="s">
        <v>243</v>
      </c>
    </row>
    <row r="45" spans="1:19" ht="36.75" customHeight="1">
      <c r="A45" s="294" t="s">
        <v>2165</v>
      </c>
      <c r="B45" s="295" t="s">
        <v>329</v>
      </c>
      <c r="C45" s="296" t="s">
        <v>13</v>
      </c>
      <c r="D45" s="297">
        <v>462.9</v>
      </c>
      <c r="E45" s="297"/>
      <c r="F45" s="297">
        <f t="shared" si="0"/>
        <v>462.9</v>
      </c>
      <c r="G45" s="297"/>
      <c r="H45" s="297"/>
      <c r="I45" s="297"/>
      <c r="J45" s="305"/>
      <c r="K45" s="305"/>
      <c r="L45" s="297">
        <v>3961.37</v>
      </c>
      <c r="M45" s="297">
        <v>0</v>
      </c>
      <c r="N45" s="297">
        <v>0</v>
      </c>
      <c r="O45" s="297">
        <v>0</v>
      </c>
      <c r="P45" s="297">
        <v>0</v>
      </c>
      <c r="Q45" s="298" t="s">
        <v>242</v>
      </c>
      <c r="R45" s="293" t="s">
        <v>243</v>
      </c>
    </row>
    <row r="46" spans="1:19" ht="36.75" customHeight="1">
      <c r="A46" s="294" t="s">
        <v>2166</v>
      </c>
      <c r="B46" s="295" t="s">
        <v>331</v>
      </c>
      <c r="C46" s="296" t="s">
        <v>13</v>
      </c>
      <c r="D46" s="297">
        <v>5.09</v>
      </c>
      <c r="E46" s="297"/>
      <c r="F46" s="297">
        <v>5.09</v>
      </c>
      <c r="G46" s="297"/>
      <c r="H46" s="297">
        <f>F46-D46</f>
        <v>0</v>
      </c>
      <c r="I46" s="297"/>
      <c r="J46" s="305"/>
      <c r="K46" s="305"/>
      <c r="L46" s="297">
        <v>3965.59</v>
      </c>
      <c r="M46" s="297">
        <v>0</v>
      </c>
      <c r="N46" s="297">
        <v>0</v>
      </c>
      <c r="O46" s="297">
        <v>0</v>
      </c>
      <c r="P46" s="297">
        <v>0</v>
      </c>
      <c r="Q46" s="298" t="s">
        <v>242</v>
      </c>
      <c r="R46" s="293" t="s">
        <v>243</v>
      </c>
    </row>
    <row r="47" spans="1:19" ht="36.75" customHeight="1">
      <c r="A47" s="294" t="s">
        <v>2167</v>
      </c>
      <c r="B47" s="295" t="s">
        <v>333</v>
      </c>
      <c r="C47" s="296" t="s">
        <v>13</v>
      </c>
      <c r="D47" s="297">
        <v>18.760000000000002</v>
      </c>
      <c r="E47" s="297"/>
      <c r="F47" s="297">
        <f t="shared" si="0"/>
        <v>18.760000000000002</v>
      </c>
      <c r="G47" s="297"/>
      <c r="H47" s="297"/>
      <c r="I47" s="297"/>
      <c r="J47" s="305"/>
      <c r="K47" s="305"/>
      <c r="L47" s="297">
        <v>3391.22</v>
      </c>
      <c r="M47" s="297">
        <v>0</v>
      </c>
      <c r="N47" s="297">
        <v>0</v>
      </c>
      <c r="O47" s="297">
        <v>0</v>
      </c>
      <c r="P47" s="297">
        <v>0</v>
      </c>
      <c r="Q47" s="298" t="s">
        <v>242</v>
      </c>
      <c r="R47" s="293" t="s">
        <v>243</v>
      </c>
    </row>
    <row r="48" spans="1:19" ht="36.75" customHeight="1">
      <c r="A48" s="294" t="s">
        <v>2168</v>
      </c>
      <c r="B48" s="295" t="s">
        <v>335</v>
      </c>
      <c r="C48" s="296" t="s">
        <v>13</v>
      </c>
      <c r="D48" s="297">
        <v>118.92</v>
      </c>
      <c r="E48" s="297"/>
      <c r="F48" s="297">
        <f t="shared" si="0"/>
        <v>118.92</v>
      </c>
      <c r="G48" s="297"/>
      <c r="H48" s="297"/>
      <c r="I48" s="297"/>
      <c r="J48" s="305"/>
      <c r="K48" s="305"/>
      <c r="L48" s="297">
        <v>773.85</v>
      </c>
      <c r="M48" s="297">
        <v>0</v>
      </c>
      <c r="N48" s="297">
        <v>0</v>
      </c>
      <c r="O48" s="297">
        <v>0</v>
      </c>
      <c r="P48" s="297">
        <v>0</v>
      </c>
      <c r="Q48" s="298" t="s">
        <v>242</v>
      </c>
      <c r="R48" s="293" t="s">
        <v>243</v>
      </c>
    </row>
    <row r="49" spans="1:18" ht="36.75" customHeight="1">
      <c r="A49" s="294" t="s">
        <v>2169</v>
      </c>
      <c r="B49" s="295" t="s">
        <v>337</v>
      </c>
      <c r="C49" s="296" t="s">
        <v>13</v>
      </c>
      <c r="D49" s="297">
        <v>173.3</v>
      </c>
      <c r="E49" s="297"/>
      <c r="F49" s="297">
        <f t="shared" si="0"/>
        <v>173.3</v>
      </c>
      <c r="G49" s="297"/>
      <c r="H49" s="297"/>
      <c r="I49" s="297"/>
      <c r="J49" s="305"/>
      <c r="K49" s="305"/>
      <c r="L49" s="297">
        <v>948.34</v>
      </c>
      <c r="M49" s="297">
        <v>0</v>
      </c>
      <c r="N49" s="297">
        <v>0</v>
      </c>
      <c r="O49" s="297">
        <v>0</v>
      </c>
      <c r="P49" s="297">
        <v>0</v>
      </c>
      <c r="Q49" s="298" t="s">
        <v>242</v>
      </c>
      <c r="R49" s="293" t="s">
        <v>243</v>
      </c>
    </row>
    <row r="50" spans="1:18" ht="36.75" customHeight="1">
      <c r="A50" s="294" t="s">
        <v>2170</v>
      </c>
      <c r="B50" s="295" t="s">
        <v>339</v>
      </c>
      <c r="C50" s="296" t="s">
        <v>0</v>
      </c>
      <c r="D50" s="297">
        <v>1</v>
      </c>
      <c r="E50" s="297"/>
      <c r="F50" s="297">
        <f t="shared" si="0"/>
        <v>1</v>
      </c>
      <c r="G50" s="297"/>
      <c r="H50" s="297"/>
      <c r="I50" s="297"/>
      <c r="J50" s="305"/>
      <c r="K50" s="305"/>
      <c r="L50" s="297">
        <v>144378.63</v>
      </c>
      <c r="M50" s="297">
        <v>0</v>
      </c>
      <c r="N50" s="297">
        <v>0</v>
      </c>
      <c r="O50" s="297">
        <v>0</v>
      </c>
      <c r="P50" s="297">
        <v>0</v>
      </c>
      <c r="Q50" s="298" t="s">
        <v>242</v>
      </c>
      <c r="R50" s="293" t="s">
        <v>243</v>
      </c>
    </row>
    <row r="51" spans="1:18" ht="36.75" customHeight="1">
      <c r="A51" s="294" t="s">
        <v>2171</v>
      </c>
      <c r="B51" s="295" t="s">
        <v>341</v>
      </c>
      <c r="C51" s="296" t="s">
        <v>223</v>
      </c>
      <c r="D51" s="297">
        <v>156.68</v>
      </c>
      <c r="E51" s="297"/>
      <c r="F51" s="297">
        <f t="shared" si="0"/>
        <v>156.68</v>
      </c>
      <c r="G51" s="297"/>
      <c r="H51" s="297"/>
      <c r="I51" s="297"/>
      <c r="J51" s="305"/>
      <c r="K51" s="305"/>
      <c r="L51" s="297">
        <v>145.21</v>
      </c>
      <c r="M51" s="297">
        <v>0</v>
      </c>
      <c r="N51" s="297">
        <v>0</v>
      </c>
      <c r="O51" s="297">
        <v>0</v>
      </c>
      <c r="P51" s="297">
        <v>0</v>
      </c>
      <c r="Q51" s="298" t="s">
        <v>242</v>
      </c>
      <c r="R51" s="293" t="s">
        <v>243</v>
      </c>
    </row>
    <row r="52" spans="1:18" ht="36.75" customHeight="1">
      <c r="A52" s="294" t="s">
        <v>2172</v>
      </c>
      <c r="B52" s="295" t="s">
        <v>343</v>
      </c>
      <c r="C52" s="296" t="s">
        <v>8</v>
      </c>
      <c r="D52" s="297">
        <v>689.86</v>
      </c>
      <c r="E52" s="297"/>
      <c r="F52" s="297">
        <f t="shared" si="0"/>
        <v>689.86</v>
      </c>
      <c r="G52" s="297"/>
      <c r="H52" s="297"/>
      <c r="I52" s="297"/>
      <c r="J52" s="305"/>
      <c r="K52" s="305"/>
      <c r="L52" s="297">
        <v>2755.78</v>
      </c>
      <c r="M52" s="297">
        <v>0</v>
      </c>
      <c r="N52" s="297">
        <v>0</v>
      </c>
      <c r="O52" s="297">
        <v>0</v>
      </c>
      <c r="P52" s="297">
        <v>0</v>
      </c>
      <c r="Q52" s="298" t="s">
        <v>242</v>
      </c>
      <c r="R52" s="293" t="s">
        <v>243</v>
      </c>
    </row>
    <row r="53" spans="1:18" ht="36.75" customHeight="1">
      <c r="A53" s="294" t="s">
        <v>2173</v>
      </c>
      <c r="B53" s="295" t="s">
        <v>345</v>
      </c>
      <c r="C53" s="296" t="s">
        <v>8</v>
      </c>
      <c r="D53" s="297">
        <v>12.91</v>
      </c>
      <c r="E53" s="297"/>
      <c r="F53" s="297">
        <f t="shared" si="0"/>
        <v>12.91</v>
      </c>
      <c r="G53" s="297"/>
      <c r="H53" s="297"/>
      <c r="I53" s="297"/>
      <c r="J53" s="305"/>
      <c r="K53" s="305"/>
      <c r="L53" s="297">
        <v>576.77</v>
      </c>
      <c r="M53" s="297">
        <v>0</v>
      </c>
      <c r="N53" s="297">
        <v>0</v>
      </c>
      <c r="O53" s="297">
        <v>0</v>
      </c>
      <c r="P53" s="297">
        <v>0</v>
      </c>
      <c r="Q53" s="298" t="s">
        <v>242</v>
      </c>
      <c r="R53" s="293" t="s">
        <v>243</v>
      </c>
    </row>
    <row r="54" spans="1:18" ht="36.75" customHeight="1">
      <c r="A54" s="294" t="s">
        <v>2174</v>
      </c>
      <c r="B54" s="295" t="s">
        <v>347</v>
      </c>
      <c r="C54" s="296" t="s">
        <v>8</v>
      </c>
      <c r="D54" s="297">
        <v>56.09</v>
      </c>
      <c r="E54" s="297"/>
      <c r="F54" s="297">
        <f t="shared" si="0"/>
        <v>56.09</v>
      </c>
      <c r="G54" s="297"/>
      <c r="H54" s="297"/>
      <c r="I54" s="297"/>
      <c r="J54" s="305"/>
      <c r="K54" s="305"/>
      <c r="L54" s="297">
        <v>615.30999999999995</v>
      </c>
      <c r="M54" s="297">
        <v>0</v>
      </c>
      <c r="N54" s="297">
        <v>0</v>
      </c>
      <c r="O54" s="297">
        <v>0</v>
      </c>
      <c r="P54" s="297">
        <v>0</v>
      </c>
      <c r="Q54" s="298" t="s">
        <v>242</v>
      </c>
      <c r="R54" s="293" t="s">
        <v>243</v>
      </c>
    </row>
    <row r="55" spans="1:18" ht="36.75" customHeight="1">
      <c r="A55" s="294" t="s">
        <v>2175</v>
      </c>
      <c r="B55" s="295" t="s">
        <v>349</v>
      </c>
      <c r="C55" s="296" t="s">
        <v>8</v>
      </c>
      <c r="D55" s="297">
        <v>656.91</v>
      </c>
      <c r="E55" s="297"/>
      <c r="F55" s="297">
        <f t="shared" si="0"/>
        <v>656.91</v>
      </c>
      <c r="G55" s="297"/>
      <c r="H55" s="297"/>
      <c r="I55" s="297"/>
      <c r="J55" s="305"/>
      <c r="K55" s="305"/>
      <c r="L55" s="297">
        <v>685.27</v>
      </c>
      <c r="M55" s="297">
        <v>0</v>
      </c>
      <c r="N55" s="297">
        <v>0</v>
      </c>
      <c r="O55" s="297">
        <v>0</v>
      </c>
      <c r="P55" s="297">
        <v>0</v>
      </c>
      <c r="Q55" s="298" t="s">
        <v>242</v>
      </c>
      <c r="R55" s="293" t="s">
        <v>243</v>
      </c>
    </row>
    <row r="56" spans="1:18" ht="36.75" customHeight="1">
      <c r="A56" s="294" t="s">
        <v>2177</v>
      </c>
      <c r="B56" s="295" t="s">
        <v>351</v>
      </c>
      <c r="C56" s="296" t="s">
        <v>8</v>
      </c>
      <c r="D56" s="297">
        <v>1254.1300000000001</v>
      </c>
      <c r="E56" s="297"/>
      <c r="F56" s="297">
        <f t="shared" si="0"/>
        <v>1254.1300000000001</v>
      </c>
      <c r="G56" s="297"/>
      <c r="H56" s="297"/>
      <c r="I56" s="297"/>
      <c r="J56" s="305"/>
      <c r="K56" s="305"/>
      <c r="L56" s="297">
        <v>699.69</v>
      </c>
      <c r="M56" s="297">
        <v>35</v>
      </c>
      <c r="N56" s="297">
        <v>35</v>
      </c>
      <c r="O56" s="297">
        <v>24489.15</v>
      </c>
      <c r="P56" s="297">
        <v>24489.15</v>
      </c>
      <c r="Q56" s="298" t="s">
        <v>242</v>
      </c>
      <c r="R56" s="293" t="s">
        <v>243</v>
      </c>
    </row>
    <row r="57" spans="1:18" ht="36.75" customHeight="1">
      <c r="A57" s="294" t="s">
        <v>2178</v>
      </c>
      <c r="B57" s="295" t="s">
        <v>353</v>
      </c>
      <c r="C57" s="296" t="s">
        <v>8</v>
      </c>
      <c r="D57" s="297">
        <v>44.64</v>
      </c>
      <c r="E57" s="297"/>
      <c r="F57" s="297">
        <f t="shared" si="0"/>
        <v>44.64</v>
      </c>
      <c r="G57" s="297"/>
      <c r="H57" s="297"/>
      <c r="I57" s="297"/>
      <c r="J57" s="305"/>
      <c r="K57" s="305"/>
      <c r="L57" s="297">
        <v>1199.27</v>
      </c>
      <c r="M57" s="297">
        <v>0</v>
      </c>
      <c r="N57" s="297">
        <v>0</v>
      </c>
      <c r="O57" s="297">
        <v>0</v>
      </c>
      <c r="P57" s="297">
        <v>0</v>
      </c>
      <c r="Q57" s="298" t="s">
        <v>242</v>
      </c>
      <c r="R57" s="293" t="s">
        <v>243</v>
      </c>
    </row>
    <row r="58" spans="1:18" ht="36.75" customHeight="1">
      <c r="A58" s="294" t="s">
        <v>2179</v>
      </c>
      <c r="B58" s="295" t="s">
        <v>355</v>
      </c>
      <c r="C58" s="296" t="s">
        <v>8</v>
      </c>
      <c r="D58" s="297">
        <v>142.26</v>
      </c>
      <c r="E58" s="297"/>
      <c r="F58" s="297">
        <f t="shared" si="0"/>
        <v>142.26</v>
      </c>
      <c r="G58" s="297"/>
      <c r="H58" s="297"/>
      <c r="I58" s="297"/>
      <c r="J58" s="305"/>
      <c r="K58" s="305"/>
      <c r="L58" s="297">
        <v>57.68</v>
      </c>
      <c r="M58" s="297">
        <v>0</v>
      </c>
      <c r="N58" s="297">
        <v>0</v>
      </c>
      <c r="O58" s="297">
        <v>0</v>
      </c>
      <c r="P58" s="297">
        <v>0</v>
      </c>
      <c r="Q58" s="298" t="s">
        <v>242</v>
      </c>
      <c r="R58" s="293" t="s">
        <v>243</v>
      </c>
    </row>
    <row r="59" spans="1:18" ht="36.75" customHeight="1">
      <c r="A59" s="294" t="s">
        <v>2181</v>
      </c>
      <c r="B59" s="295" t="s">
        <v>357</v>
      </c>
      <c r="C59" s="296" t="s">
        <v>8</v>
      </c>
      <c r="D59" s="297">
        <v>8.5</v>
      </c>
      <c r="E59" s="297"/>
      <c r="F59" s="297">
        <f t="shared" si="0"/>
        <v>8.5</v>
      </c>
      <c r="G59" s="297"/>
      <c r="H59" s="297"/>
      <c r="I59" s="297"/>
      <c r="J59" s="305"/>
      <c r="K59" s="305"/>
      <c r="L59" s="297">
        <v>138.84</v>
      </c>
      <c r="M59" s="297">
        <v>0</v>
      </c>
      <c r="N59" s="297">
        <v>0</v>
      </c>
      <c r="O59" s="297">
        <v>0</v>
      </c>
      <c r="P59" s="297">
        <v>0</v>
      </c>
      <c r="Q59" s="298" t="s">
        <v>242</v>
      </c>
      <c r="R59" s="293" t="s">
        <v>243</v>
      </c>
    </row>
    <row r="60" spans="1:18" ht="36.75" customHeight="1">
      <c r="A60" s="294" t="s">
        <v>2182</v>
      </c>
      <c r="B60" s="295" t="s">
        <v>359</v>
      </c>
      <c r="C60" s="296" t="s">
        <v>13</v>
      </c>
      <c r="D60" s="297">
        <v>20.48</v>
      </c>
      <c r="E60" s="297"/>
      <c r="F60" s="297">
        <f t="shared" si="0"/>
        <v>20.48</v>
      </c>
      <c r="G60" s="297"/>
      <c r="H60" s="297"/>
      <c r="I60" s="297"/>
      <c r="J60" s="305"/>
      <c r="K60" s="305"/>
      <c r="L60" s="297">
        <v>2145.31</v>
      </c>
      <c r="M60" s="297">
        <v>0</v>
      </c>
      <c r="N60" s="297">
        <v>0</v>
      </c>
      <c r="O60" s="297">
        <v>0</v>
      </c>
      <c r="P60" s="297">
        <v>0</v>
      </c>
      <c r="Q60" s="298" t="s">
        <v>242</v>
      </c>
      <c r="R60" s="293" t="s">
        <v>243</v>
      </c>
    </row>
    <row r="61" spans="1:18" ht="36.75" customHeight="1">
      <c r="A61" s="294" t="s">
        <v>2183</v>
      </c>
      <c r="B61" s="295" t="s">
        <v>361</v>
      </c>
      <c r="C61" s="296" t="s">
        <v>8</v>
      </c>
      <c r="D61" s="297">
        <v>56.1</v>
      </c>
      <c r="E61" s="297"/>
      <c r="F61" s="297">
        <f t="shared" si="0"/>
        <v>56.1</v>
      </c>
      <c r="G61" s="297"/>
      <c r="H61" s="297"/>
      <c r="I61" s="297"/>
      <c r="J61" s="305"/>
      <c r="K61" s="305"/>
      <c r="L61" s="297">
        <v>511.36</v>
      </c>
      <c r="M61" s="297">
        <v>0</v>
      </c>
      <c r="N61" s="297">
        <v>0</v>
      </c>
      <c r="O61" s="297">
        <v>0</v>
      </c>
      <c r="P61" s="297">
        <v>0</v>
      </c>
      <c r="Q61" s="298" t="s">
        <v>242</v>
      </c>
      <c r="R61" s="293" t="s">
        <v>243</v>
      </c>
    </row>
    <row r="62" spans="1:18" ht="36.75" customHeight="1">
      <c r="A62" s="294" t="s">
        <v>2184</v>
      </c>
      <c r="B62" s="295" t="s">
        <v>363</v>
      </c>
      <c r="C62" s="296" t="s">
        <v>8</v>
      </c>
      <c r="D62" s="297">
        <v>16.600000000000001</v>
      </c>
      <c r="E62" s="297"/>
      <c r="F62" s="297">
        <f t="shared" si="0"/>
        <v>16.600000000000001</v>
      </c>
      <c r="G62" s="297"/>
      <c r="H62" s="297"/>
      <c r="I62" s="297"/>
      <c r="J62" s="305"/>
      <c r="K62" s="305"/>
      <c r="L62" s="297">
        <v>829.1</v>
      </c>
      <c r="M62" s="297">
        <v>0</v>
      </c>
      <c r="N62" s="297">
        <v>0</v>
      </c>
      <c r="O62" s="297">
        <v>0</v>
      </c>
      <c r="P62" s="297">
        <v>0</v>
      </c>
      <c r="Q62" s="298" t="s">
        <v>242</v>
      </c>
      <c r="R62" s="293" t="s">
        <v>243</v>
      </c>
    </row>
    <row r="63" spans="1:18" ht="36.75" customHeight="1">
      <c r="A63" s="294" t="s">
        <v>2185</v>
      </c>
      <c r="B63" s="295" t="s">
        <v>365</v>
      </c>
      <c r="C63" s="296" t="s">
        <v>8</v>
      </c>
      <c r="D63" s="297">
        <v>2</v>
      </c>
      <c r="E63" s="297"/>
      <c r="F63" s="297">
        <f t="shared" si="0"/>
        <v>2</v>
      </c>
      <c r="G63" s="297"/>
      <c r="H63" s="297"/>
      <c r="I63" s="297"/>
      <c r="J63" s="305"/>
      <c r="K63" s="305"/>
      <c r="L63" s="297">
        <v>443.91</v>
      </c>
      <c r="M63" s="297">
        <v>0</v>
      </c>
      <c r="N63" s="297">
        <v>0</v>
      </c>
      <c r="O63" s="297">
        <v>0</v>
      </c>
      <c r="P63" s="297">
        <v>0</v>
      </c>
      <c r="Q63" s="298" t="s">
        <v>242</v>
      </c>
      <c r="R63" s="293" t="s">
        <v>243</v>
      </c>
    </row>
    <row r="64" spans="1:18" ht="36.75" customHeight="1">
      <c r="A64" s="294" t="s">
        <v>2186</v>
      </c>
      <c r="B64" s="295" t="s">
        <v>367</v>
      </c>
      <c r="C64" s="296" t="s">
        <v>0</v>
      </c>
      <c r="D64" s="297">
        <v>7</v>
      </c>
      <c r="E64" s="297"/>
      <c r="F64" s="297">
        <f t="shared" si="0"/>
        <v>7</v>
      </c>
      <c r="G64" s="297"/>
      <c r="H64" s="297"/>
      <c r="I64" s="297"/>
      <c r="J64" s="305"/>
      <c r="K64" s="305"/>
      <c r="L64" s="297">
        <v>26450.3</v>
      </c>
      <c r="M64" s="297">
        <v>0</v>
      </c>
      <c r="N64" s="297">
        <v>0</v>
      </c>
      <c r="O64" s="297">
        <v>0</v>
      </c>
      <c r="P64" s="297">
        <v>0</v>
      </c>
      <c r="Q64" s="298" t="s">
        <v>242</v>
      </c>
      <c r="R64" s="293" t="s">
        <v>243</v>
      </c>
    </row>
    <row r="65" spans="1:18" ht="36.75" customHeight="1">
      <c r="A65" s="294" t="s">
        <v>2187</v>
      </c>
      <c r="B65" s="295" t="s">
        <v>369</v>
      </c>
      <c r="C65" s="296" t="s">
        <v>8</v>
      </c>
      <c r="D65" s="297">
        <v>19.2</v>
      </c>
      <c r="E65" s="297"/>
      <c r="F65" s="297">
        <f t="shared" si="0"/>
        <v>19.2</v>
      </c>
      <c r="G65" s="297"/>
      <c r="H65" s="297"/>
      <c r="I65" s="297"/>
      <c r="J65" s="305"/>
      <c r="K65" s="305"/>
      <c r="L65" s="297">
        <v>443.91</v>
      </c>
      <c r="M65" s="297">
        <v>0</v>
      </c>
      <c r="N65" s="297">
        <v>0</v>
      </c>
      <c r="O65" s="297">
        <v>0</v>
      </c>
      <c r="P65" s="297">
        <v>0</v>
      </c>
      <c r="Q65" s="298" t="s">
        <v>242</v>
      </c>
      <c r="R65" s="293" t="s">
        <v>243</v>
      </c>
    </row>
    <row r="66" spans="1:18" ht="36.75" customHeight="1">
      <c r="A66" s="294" t="s">
        <v>2188</v>
      </c>
      <c r="B66" s="295" t="s">
        <v>372</v>
      </c>
      <c r="C66" s="296" t="s">
        <v>0</v>
      </c>
      <c r="D66" s="297">
        <v>2</v>
      </c>
      <c r="E66" s="297"/>
      <c r="F66" s="297">
        <f t="shared" si="0"/>
        <v>2</v>
      </c>
      <c r="G66" s="297"/>
      <c r="H66" s="297"/>
      <c r="I66" s="297"/>
      <c r="J66" s="305"/>
      <c r="K66" s="305"/>
      <c r="L66" s="297">
        <v>23899.56</v>
      </c>
      <c r="M66" s="297">
        <v>0</v>
      </c>
      <c r="N66" s="297">
        <v>0</v>
      </c>
      <c r="O66" s="297">
        <v>0</v>
      </c>
      <c r="P66" s="297">
        <v>0</v>
      </c>
      <c r="Q66" s="298" t="s">
        <v>242</v>
      </c>
      <c r="R66" s="293" t="s">
        <v>243</v>
      </c>
    </row>
    <row r="67" spans="1:18" ht="36.75" customHeight="1">
      <c r="A67" s="294" t="s">
        <v>2189</v>
      </c>
      <c r="B67" s="295" t="s">
        <v>374</v>
      </c>
      <c r="C67" s="296" t="s">
        <v>0</v>
      </c>
      <c r="D67" s="297">
        <v>8</v>
      </c>
      <c r="E67" s="297"/>
      <c r="F67" s="297">
        <f t="shared" si="0"/>
        <v>8</v>
      </c>
      <c r="G67" s="297"/>
      <c r="H67" s="297"/>
      <c r="I67" s="297"/>
      <c r="J67" s="305"/>
      <c r="K67" s="305"/>
      <c r="L67" s="297">
        <v>25125.57</v>
      </c>
      <c r="M67" s="297">
        <v>0</v>
      </c>
      <c r="N67" s="297">
        <v>0</v>
      </c>
      <c r="O67" s="297">
        <v>0</v>
      </c>
      <c r="P67" s="297">
        <v>0</v>
      </c>
      <c r="Q67" s="298" t="s">
        <v>242</v>
      </c>
      <c r="R67" s="293" t="s">
        <v>243</v>
      </c>
    </row>
    <row r="68" spans="1:18" ht="36.75" customHeight="1">
      <c r="A68" s="294" t="s">
        <v>2190</v>
      </c>
      <c r="B68" s="295" t="s">
        <v>376</v>
      </c>
      <c r="C68" s="296" t="s">
        <v>0</v>
      </c>
      <c r="D68" s="297">
        <v>3</v>
      </c>
      <c r="E68" s="297"/>
      <c r="F68" s="297">
        <f t="shared" si="0"/>
        <v>3</v>
      </c>
      <c r="G68" s="297"/>
      <c r="H68" s="297"/>
      <c r="I68" s="297"/>
      <c r="J68" s="305"/>
      <c r="K68" s="305"/>
      <c r="L68" s="297">
        <v>24022.04</v>
      </c>
      <c r="M68" s="297">
        <v>0</v>
      </c>
      <c r="N68" s="297">
        <v>0</v>
      </c>
      <c r="O68" s="297">
        <v>0</v>
      </c>
      <c r="P68" s="297">
        <v>0</v>
      </c>
      <c r="Q68" s="298" t="s">
        <v>242</v>
      </c>
      <c r="R68" s="293" t="s">
        <v>243</v>
      </c>
    </row>
    <row r="69" spans="1:18" ht="36.75" customHeight="1">
      <c r="A69" s="294" t="s">
        <v>2191</v>
      </c>
      <c r="B69" s="295" t="s">
        <v>378</v>
      </c>
      <c r="C69" s="296" t="s">
        <v>8</v>
      </c>
      <c r="D69" s="297">
        <v>30.1</v>
      </c>
      <c r="E69" s="297"/>
      <c r="F69" s="297">
        <f t="shared" si="0"/>
        <v>30.1</v>
      </c>
      <c r="G69" s="297"/>
      <c r="H69" s="297"/>
      <c r="I69" s="297"/>
      <c r="J69" s="305"/>
      <c r="K69" s="305"/>
      <c r="L69" s="297">
        <v>545.1</v>
      </c>
      <c r="M69" s="297">
        <v>0</v>
      </c>
      <c r="N69" s="297">
        <v>0</v>
      </c>
      <c r="O69" s="297">
        <v>0</v>
      </c>
      <c r="P69" s="297">
        <v>0</v>
      </c>
      <c r="Q69" s="298" t="s">
        <v>242</v>
      </c>
      <c r="R69" s="293" t="s">
        <v>243</v>
      </c>
    </row>
    <row r="70" spans="1:18" s="240" customFormat="1" ht="36.75" customHeight="1">
      <c r="A70" s="393" t="s">
        <v>2192</v>
      </c>
      <c r="B70" s="394" t="s">
        <v>380</v>
      </c>
      <c r="C70" s="395" t="s">
        <v>8</v>
      </c>
      <c r="D70" s="396">
        <v>31.2</v>
      </c>
      <c r="E70" s="396"/>
      <c r="F70" s="396">
        <f>'數量計算(FOR4變)'!H139</f>
        <v>35.200000000000003</v>
      </c>
      <c r="G70" s="396">
        <f>'數量計算(FOR4變)'!I139</f>
        <v>35.200000000000003</v>
      </c>
      <c r="H70" s="396">
        <f>G70-D70</f>
        <v>4.0000000000000036</v>
      </c>
      <c r="I70" s="396">
        <f>ROUND(H70*L70,2)</f>
        <v>33420.44</v>
      </c>
      <c r="J70" s="397"/>
      <c r="K70" s="397"/>
      <c r="L70" s="396">
        <v>8355.11</v>
      </c>
      <c r="M70" s="396">
        <v>0</v>
      </c>
      <c r="N70" s="396">
        <v>31.2</v>
      </c>
      <c r="O70" s="396">
        <v>0</v>
      </c>
      <c r="P70" s="396">
        <v>260679.43</v>
      </c>
      <c r="Q70" s="398" t="s">
        <v>242</v>
      </c>
      <c r="R70" s="399" t="s">
        <v>243</v>
      </c>
    </row>
    <row r="71" spans="1:18" s="240" customFormat="1" ht="36.75" customHeight="1">
      <c r="A71" s="393" t="s">
        <v>2193</v>
      </c>
      <c r="B71" s="394" t="s">
        <v>383</v>
      </c>
      <c r="C71" s="395" t="s">
        <v>8</v>
      </c>
      <c r="D71" s="396">
        <v>17.899999999999999</v>
      </c>
      <c r="E71" s="396"/>
      <c r="F71" s="396">
        <f>'數量計算(FOR4變)'!H140</f>
        <v>24.3</v>
      </c>
      <c r="G71" s="396">
        <f>'數量計算(FOR4變)'!I140</f>
        <v>24.3</v>
      </c>
      <c r="H71" s="396">
        <f>G71-D71</f>
        <v>6.4000000000000021</v>
      </c>
      <c r="I71" s="396">
        <f>ROUND(H71*L71,2)</f>
        <v>34525.699999999997</v>
      </c>
      <c r="J71" s="397"/>
      <c r="K71" s="397"/>
      <c r="L71" s="396">
        <v>5394.64</v>
      </c>
      <c r="M71" s="396">
        <v>2.9</v>
      </c>
      <c r="N71" s="396">
        <v>17.899999999999999</v>
      </c>
      <c r="O71" s="396">
        <v>15644.46</v>
      </c>
      <c r="P71" s="396">
        <v>96564.06</v>
      </c>
      <c r="Q71" s="398" t="s">
        <v>242</v>
      </c>
      <c r="R71" s="399" t="s">
        <v>243</v>
      </c>
    </row>
    <row r="72" spans="1:18" ht="36.75" customHeight="1">
      <c r="A72" s="294" t="s">
        <v>2194</v>
      </c>
      <c r="B72" s="295" t="s">
        <v>386</v>
      </c>
      <c r="C72" s="296" t="s">
        <v>8</v>
      </c>
      <c r="D72" s="297">
        <v>19.600000000000001</v>
      </c>
      <c r="E72" s="297"/>
      <c r="F72" s="297">
        <f>D72</f>
        <v>19.600000000000001</v>
      </c>
      <c r="G72" s="297"/>
      <c r="H72" s="297"/>
      <c r="I72" s="297"/>
      <c r="J72" s="305"/>
      <c r="K72" s="305"/>
      <c r="L72" s="297">
        <v>432.57</v>
      </c>
      <c r="M72" s="297">
        <v>0</v>
      </c>
      <c r="N72" s="297">
        <v>0</v>
      </c>
      <c r="O72" s="297">
        <v>0</v>
      </c>
      <c r="P72" s="297">
        <v>0</v>
      </c>
      <c r="Q72" s="298" t="s">
        <v>242</v>
      </c>
      <c r="R72" s="293" t="s">
        <v>243</v>
      </c>
    </row>
    <row r="73" spans="1:18" ht="36.75" customHeight="1">
      <c r="A73" s="294" t="s">
        <v>2195</v>
      </c>
      <c r="B73" s="295" t="s">
        <v>389</v>
      </c>
      <c r="C73" s="296" t="s">
        <v>8</v>
      </c>
      <c r="D73" s="297">
        <v>24.9</v>
      </c>
      <c r="E73" s="297"/>
      <c r="F73" s="297">
        <f t="shared" ref="F73:F103" si="1">D73</f>
        <v>24.9</v>
      </c>
      <c r="G73" s="297"/>
      <c r="H73" s="297"/>
      <c r="I73" s="297"/>
      <c r="J73" s="305"/>
      <c r="K73" s="305"/>
      <c r="L73" s="297">
        <v>1224.22</v>
      </c>
      <c r="M73" s="297">
        <v>0</v>
      </c>
      <c r="N73" s="297">
        <v>0</v>
      </c>
      <c r="O73" s="297">
        <v>0</v>
      </c>
      <c r="P73" s="297">
        <v>0</v>
      </c>
      <c r="Q73" s="298" t="s">
        <v>242</v>
      </c>
      <c r="R73" s="293" t="s">
        <v>243</v>
      </c>
    </row>
    <row r="74" spans="1:18" ht="36.75" customHeight="1">
      <c r="A74" s="294" t="s">
        <v>2196</v>
      </c>
      <c r="B74" s="295" t="s">
        <v>392</v>
      </c>
      <c r="C74" s="296" t="s">
        <v>8</v>
      </c>
      <c r="D74" s="297">
        <v>3.5</v>
      </c>
      <c r="E74" s="297"/>
      <c r="F74" s="297">
        <f t="shared" si="1"/>
        <v>3.5</v>
      </c>
      <c r="G74" s="297"/>
      <c r="H74" s="297"/>
      <c r="I74" s="297"/>
      <c r="J74" s="305"/>
      <c r="K74" s="305"/>
      <c r="L74" s="297">
        <v>1148.6300000000001</v>
      </c>
      <c r="M74" s="297">
        <v>0</v>
      </c>
      <c r="N74" s="297">
        <v>0</v>
      </c>
      <c r="O74" s="297">
        <v>0</v>
      </c>
      <c r="P74" s="297">
        <v>0</v>
      </c>
      <c r="Q74" s="298" t="s">
        <v>242</v>
      </c>
      <c r="R74" s="293" t="s">
        <v>243</v>
      </c>
    </row>
    <row r="75" spans="1:18" ht="36.75" customHeight="1">
      <c r="A75" s="294" t="s">
        <v>2197</v>
      </c>
      <c r="B75" s="295" t="s">
        <v>395</v>
      </c>
      <c r="C75" s="296" t="s">
        <v>0</v>
      </c>
      <c r="D75" s="297">
        <v>1</v>
      </c>
      <c r="E75" s="297"/>
      <c r="F75" s="297">
        <f t="shared" si="1"/>
        <v>1</v>
      </c>
      <c r="G75" s="297"/>
      <c r="H75" s="297"/>
      <c r="I75" s="297"/>
      <c r="J75" s="305"/>
      <c r="K75" s="305"/>
      <c r="L75" s="297">
        <v>5698.63</v>
      </c>
      <c r="M75" s="297">
        <v>0</v>
      </c>
      <c r="N75" s="297">
        <v>0</v>
      </c>
      <c r="O75" s="297">
        <v>0</v>
      </c>
      <c r="P75" s="297">
        <v>0</v>
      </c>
      <c r="Q75" s="298" t="s">
        <v>242</v>
      </c>
      <c r="R75" s="293" t="s">
        <v>243</v>
      </c>
    </row>
    <row r="76" spans="1:18" ht="36.75" customHeight="1">
      <c r="A76" s="294" t="s">
        <v>2198</v>
      </c>
      <c r="B76" s="295" t="s">
        <v>398</v>
      </c>
      <c r="C76" s="296" t="s">
        <v>0</v>
      </c>
      <c r="D76" s="297">
        <v>1</v>
      </c>
      <c r="E76" s="297"/>
      <c r="F76" s="297">
        <f t="shared" si="1"/>
        <v>1</v>
      </c>
      <c r="G76" s="297"/>
      <c r="H76" s="297"/>
      <c r="I76" s="297"/>
      <c r="J76" s="305"/>
      <c r="K76" s="305"/>
      <c r="L76" s="297">
        <v>5963.22</v>
      </c>
      <c r="M76" s="297">
        <v>0</v>
      </c>
      <c r="N76" s="297">
        <v>0</v>
      </c>
      <c r="O76" s="297">
        <v>0</v>
      </c>
      <c r="P76" s="297">
        <v>0</v>
      </c>
      <c r="Q76" s="298" t="s">
        <v>242</v>
      </c>
      <c r="R76" s="293" t="s">
        <v>243</v>
      </c>
    </row>
    <row r="77" spans="1:18" ht="36.75" customHeight="1">
      <c r="A77" s="294" t="s">
        <v>2199</v>
      </c>
      <c r="B77" s="295" t="s">
        <v>401</v>
      </c>
      <c r="C77" s="296" t="s">
        <v>0</v>
      </c>
      <c r="D77" s="297">
        <v>1</v>
      </c>
      <c r="E77" s="297"/>
      <c r="F77" s="297">
        <f t="shared" si="1"/>
        <v>1</v>
      </c>
      <c r="G77" s="297"/>
      <c r="H77" s="297"/>
      <c r="I77" s="297"/>
      <c r="J77" s="305"/>
      <c r="K77" s="305"/>
      <c r="L77" s="297">
        <v>1421.11</v>
      </c>
      <c r="M77" s="297">
        <v>0</v>
      </c>
      <c r="N77" s="297">
        <v>0</v>
      </c>
      <c r="O77" s="297">
        <v>0</v>
      </c>
      <c r="P77" s="297">
        <v>0</v>
      </c>
      <c r="Q77" s="298" t="s">
        <v>242</v>
      </c>
      <c r="R77" s="293" t="s">
        <v>243</v>
      </c>
    </row>
    <row r="78" spans="1:18" ht="36.75" customHeight="1">
      <c r="A78" s="294" t="s">
        <v>2200</v>
      </c>
      <c r="B78" s="295" t="s">
        <v>404</v>
      </c>
      <c r="C78" s="296" t="s">
        <v>0</v>
      </c>
      <c r="D78" s="297">
        <v>1</v>
      </c>
      <c r="E78" s="297"/>
      <c r="F78" s="297">
        <f t="shared" si="1"/>
        <v>1</v>
      </c>
      <c r="G78" s="297"/>
      <c r="H78" s="297"/>
      <c r="I78" s="297"/>
      <c r="J78" s="305"/>
      <c r="K78" s="305"/>
      <c r="L78" s="297">
        <v>4031.83</v>
      </c>
      <c r="M78" s="297">
        <v>0</v>
      </c>
      <c r="N78" s="297">
        <v>0</v>
      </c>
      <c r="O78" s="297">
        <v>0</v>
      </c>
      <c r="P78" s="297">
        <v>0</v>
      </c>
      <c r="Q78" s="298" t="s">
        <v>242</v>
      </c>
      <c r="R78" s="293" t="s">
        <v>243</v>
      </c>
    </row>
    <row r="79" spans="1:18" ht="36.75" customHeight="1">
      <c r="A79" s="294" t="s">
        <v>2201</v>
      </c>
      <c r="B79" s="295" t="s">
        <v>407</v>
      </c>
      <c r="C79" s="296" t="s">
        <v>0</v>
      </c>
      <c r="D79" s="297">
        <v>1</v>
      </c>
      <c r="E79" s="297"/>
      <c r="F79" s="297">
        <f t="shared" si="1"/>
        <v>1</v>
      </c>
      <c r="G79" s="297"/>
      <c r="H79" s="297"/>
      <c r="I79" s="297"/>
      <c r="J79" s="305"/>
      <c r="K79" s="305"/>
      <c r="L79" s="297">
        <v>3313.67</v>
      </c>
      <c r="M79" s="297">
        <v>0</v>
      </c>
      <c r="N79" s="297">
        <v>0</v>
      </c>
      <c r="O79" s="297">
        <v>0</v>
      </c>
      <c r="P79" s="297">
        <v>0</v>
      </c>
      <c r="Q79" s="298" t="s">
        <v>242</v>
      </c>
      <c r="R79" s="293" t="s">
        <v>243</v>
      </c>
    </row>
    <row r="80" spans="1:18" ht="36.75" customHeight="1">
      <c r="A80" s="294" t="s">
        <v>2202</v>
      </c>
      <c r="B80" s="295" t="s">
        <v>410</v>
      </c>
      <c r="C80" s="296" t="s">
        <v>8</v>
      </c>
      <c r="D80" s="297">
        <v>149.5</v>
      </c>
      <c r="E80" s="297"/>
      <c r="F80" s="297">
        <f t="shared" si="1"/>
        <v>149.5</v>
      </c>
      <c r="G80" s="297"/>
      <c r="H80" s="297"/>
      <c r="I80" s="297"/>
      <c r="J80" s="305"/>
      <c r="K80" s="305"/>
      <c r="L80" s="297">
        <v>1975.94</v>
      </c>
      <c r="M80" s="297">
        <v>0</v>
      </c>
      <c r="N80" s="297">
        <v>0</v>
      </c>
      <c r="O80" s="297">
        <v>0</v>
      </c>
      <c r="P80" s="297">
        <v>0</v>
      </c>
      <c r="Q80" s="298" t="s">
        <v>242</v>
      </c>
      <c r="R80" s="293" t="s">
        <v>243</v>
      </c>
    </row>
    <row r="81" spans="1:18" ht="36.75" customHeight="1">
      <c r="A81" s="294" t="s">
        <v>2203</v>
      </c>
      <c r="B81" s="295" t="s">
        <v>413</v>
      </c>
      <c r="C81" s="296" t="s">
        <v>8</v>
      </c>
      <c r="D81" s="297">
        <v>39.299999999999997</v>
      </c>
      <c r="E81" s="297"/>
      <c r="F81" s="297">
        <f t="shared" si="1"/>
        <v>39.299999999999997</v>
      </c>
      <c r="G81" s="297"/>
      <c r="H81" s="297"/>
      <c r="I81" s="297"/>
      <c r="J81" s="305"/>
      <c r="K81" s="305"/>
      <c r="L81" s="297">
        <v>4874.2299999999996</v>
      </c>
      <c r="M81" s="297">
        <v>0</v>
      </c>
      <c r="N81" s="297">
        <v>0</v>
      </c>
      <c r="O81" s="297">
        <v>0</v>
      </c>
      <c r="P81" s="297">
        <v>0</v>
      </c>
      <c r="Q81" s="298" t="s">
        <v>242</v>
      </c>
      <c r="R81" s="293" t="s">
        <v>243</v>
      </c>
    </row>
    <row r="82" spans="1:18" ht="36.75" customHeight="1">
      <c r="A82" s="294" t="s">
        <v>2204</v>
      </c>
      <c r="B82" s="295" t="s">
        <v>416</v>
      </c>
      <c r="C82" s="296" t="s">
        <v>8</v>
      </c>
      <c r="D82" s="297">
        <v>51.3</v>
      </c>
      <c r="E82" s="297"/>
      <c r="F82" s="297">
        <f t="shared" si="1"/>
        <v>51.3</v>
      </c>
      <c r="G82" s="297"/>
      <c r="H82" s="297"/>
      <c r="I82" s="297"/>
      <c r="J82" s="305"/>
      <c r="K82" s="305"/>
      <c r="L82" s="297">
        <v>2938.96</v>
      </c>
      <c r="M82" s="297">
        <v>34.200000000000003</v>
      </c>
      <c r="N82" s="297">
        <v>34.200000000000003</v>
      </c>
      <c r="O82" s="297">
        <v>100512.43</v>
      </c>
      <c r="P82" s="297">
        <v>100512.43</v>
      </c>
      <c r="Q82" s="298" t="s">
        <v>242</v>
      </c>
      <c r="R82" s="293" t="s">
        <v>243</v>
      </c>
    </row>
    <row r="83" spans="1:18" ht="36.75" customHeight="1">
      <c r="A83" s="294" t="s">
        <v>2205</v>
      </c>
      <c r="B83" s="295" t="s">
        <v>419</v>
      </c>
      <c r="C83" s="296" t="s">
        <v>0</v>
      </c>
      <c r="D83" s="297">
        <v>1</v>
      </c>
      <c r="E83" s="297"/>
      <c r="F83" s="297">
        <f t="shared" si="1"/>
        <v>1</v>
      </c>
      <c r="G83" s="297"/>
      <c r="H83" s="297"/>
      <c r="I83" s="297"/>
      <c r="J83" s="305"/>
      <c r="K83" s="305"/>
      <c r="L83" s="297">
        <v>23029.53</v>
      </c>
      <c r="M83" s="297">
        <v>0</v>
      </c>
      <c r="N83" s="297">
        <v>0</v>
      </c>
      <c r="O83" s="297">
        <v>0</v>
      </c>
      <c r="P83" s="297">
        <v>0</v>
      </c>
      <c r="Q83" s="298" t="s">
        <v>242</v>
      </c>
      <c r="R83" s="293" t="s">
        <v>243</v>
      </c>
    </row>
    <row r="84" spans="1:18" ht="36.75" customHeight="1">
      <c r="A84" s="294" t="s">
        <v>2206</v>
      </c>
      <c r="B84" s="295" t="s">
        <v>422</v>
      </c>
      <c r="C84" s="296" t="s">
        <v>0</v>
      </c>
      <c r="D84" s="297">
        <v>2</v>
      </c>
      <c r="E84" s="297"/>
      <c r="F84" s="297">
        <f t="shared" si="1"/>
        <v>2</v>
      </c>
      <c r="G84" s="297"/>
      <c r="H84" s="297"/>
      <c r="I84" s="297"/>
      <c r="J84" s="305"/>
      <c r="K84" s="305"/>
      <c r="L84" s="297">
        <v>18604.87</v>
      </c>
      <c r="M84" s="297">
        <v>0</v>
      </c>
      <c r="N84" s="297">
        <v>0</v>
      </c>
      <c r="O84" s="297">
        <v>0</v>
      </c>
      <c r="P84" s="297">
        <v>0</v>
      </c>
      <c r="Q84" s="298" t="s">
        <v>242</v>
      </c>
      <c r="R84" s="293" t="s">
        <v>243</v>
      </c>
    </row>
    <row r="85" spans="1:18" ht="36.75" customHeight="1">
      <c r="A85" s="294" t="s">
        <v>2207</v>
      </c>
      <c r="B85" s="295" t="s">
        <v>425</v>
      </c>
      <c r="C85" s="296" t="s">
        <v>0</v>
      </c>
      <c r="D85" s="297">
        <v>1</v>
      </c>
      <c r="E85" s="297"/>
      <c r="F85" s="297">
        <f t="shared" si="1"/>
        <v>1</v>
      </c>
      <c r="G85" s="297"/>
      <c r="H85" s="297"/>
      <c r="I85" s="297"/>
      <c r="J85" s="305"/>
      <c r="K85" s="305"/>
      <c r="L85" s="297">
        <v>18604.87</v>
      </c>
      <c r="M85" s="297">
        <v>0</v>
      </c>
      <c r="N85" s="297">
        <v>0</v>
      </c>
      <c r="O85" s="297">
        <v>0</v>
      </c>
      <c r="P85" s="297">
        <v>0</v>
      </c>
      <c r="Q85" s="298" t="s">
        <v>242</v>
      </c>
      <c r="R85" s="293" t="s">
        <v>243</v>
      </c>
    </row>
    <row r="86" spans="1:18" ht="36.75" customHeight="1">
      <c r="A86" s="294" t="s">
        <v>2208</v>
      </c>
      <c r="B86" s="295" t="s">
        <v>428</v>
      </c>
      <c r="C86" s="296" t="s">
        <v>0</v>
      </c>
      <c r="D86" s="297">
        <v>2</v>
      </c>
      <c r="E86" s="297"/>
      <c r="F86" s="297">
        <f t="shared" si="1"/>
        <v>2</v>
      </c>
      <c r="G86" s="297"/>
      <c r="H86" s="297"/>
      <c r="I86" s="297"/>
      <c r="J86" s="305"/>
      <c r="K86" s="305"/>
      <c r="L86" s="297">
        <v>11654.82</v>
      </c>
      <c r="M86" s="297">
        <v>0</v>
      </c>
      <c r="N86" s="297">
        <v>0</v>
      </c>
      <c r="O86" s="297">
        <v>0</v>
      </c>
      <c r="P86" s="297">
        <v>0</v>
      </c>
      <c r="Q86" s="298" t="s">
        <v>242</v>
      </c>
      <c r="R86" s="293" t="s">
        <v>243</v>
      </c>
    </row>
    <row r="87" spans="1:18" ht="36.75" customHeight="1">
      <c r="A87" s="294" t="s">
        <v>2209</v>
      </c>
      <c r="B87" s="295" t="s">
        <v>431</v>
      </c>
      <c r="C87" s="296" t="s">
        <v>0</v>
      </c>
      <c r="D87" s="297">
        <v>2</v>
      </c>
      <c r="E87" s="297"/>
      <c r="F87" s="297">
        <f t="shared" si="1"/>
        <v>2</v>
      </c>
      <c r="G87" s="297"/>
      <c r="H87" s="297"/>
      <c r="I87" s="297"/>
      <c r="J87" s="305"/>
      <c r="K87" s="305"/>
      <c r="L87" s="297">
        <v>25107.48</v>
      </c>
      <c r="M87" s="297">
        <v>0</v>
      </c>
      <c r="N87" s="297">
        <v>0</v>
      </c>
      <c r="O87" s="297">
        <v>0</v>
      </c>
      <c r="P87" s="297">
        <v>0</v>
      </c>
      <c r="Q87" s="298" t="s">
        <v>242</v>
      </c>
      <c r="R87" s="293" t="s">
        <v>243</v>
      </c>
    </row>
    <row r="88" spans="1:18" ht="36.75" customHeight="1">
      <c r="A88" s="294" t="s">
        <v>2210</v>
      </c>
      <c r="B88" s="295" t="s">
        <v>434</v>
      </c>
      <c r="C88" s="296" t="s">
        <v>0</v>
      </c>
      <c r="D88" s="297">
        <v>1</v>
      </c>
      <c r="E88" s="297"/>
      <c r="F88" s="297">
        <f t="shared" si="1"/>
        <v>1</v>
      </c>
      <c r="G88" s="297"/>
      <c r="H88" s="297"/>
      <c r="I88" s="297"/>
      <c r="J88" s="305"/>
      <c r="K88" s="305"/>
      <c r="L88" s="297">
        <v>22415.66</v>
      </c>
      <c r="M88" s="297">
        <v>0</v>
      </c>
      <c r="N88" s="297">
        <v>0</v>
      </c>
      <c r="O88" s="297">
        <v>0</v>
      </c>
      <c r="P88" s="297">
        <v>0</v>
      </c>
      <c r="Q88" s="298" t="s">
        <v>242</v>
      </c>
      <c r="R88" s="293" t="s">
        <v>243</v>
      </c>
    </row>
    <row r="89" spans="1:18" ht="36.75" customHeight="1">
      <c r="A89" s="294" t="s">
        <v>2211</v>
      </c>
      <c r="B89" s="295" t="s">
        <v>437</v>
      </c>
      <c r="C89" s="296" t="s">
        <v>0</v>
      </c>
      <c r="D89" s="297">
        <v>1</v>
      </c>
      <c r="E89" s="297"/>
      <c r="F89" s="297">
        <f t="shared" si="1"/>
        <v>1</v>
      </c>
      <c r="G89" s="297"/>
      <c r="H89" s="297"/>
      <c r="I89" s="297"/>
      <c r="J89" s="305"/>
      <c r="K89" s="305"/>
      <c r="L89" s="297">
        <v>21723.54</v>
      </c>
      <c r="M89" s="297">
        <v>0</v>
      </c>
      <c r="N89" s="297">
        <v>0</v>
      </c>
      <c r="O89" s="297">
        <v>0</v>
      </c>
      <c r="P89" s="297">
        <v>0</v>
      </c>
      <c r="Q89" s="298" t="s">
        <v>242</v>
      </c>
      <c r="R89" s="293" t="s">
        <v>243</v>
      </c>
    </row>
    <row r="90" spans="1:18" ht="36.75" customHeight="1">
      <c r="A90" s="294" t="s">
        <v>2212</v>
      </c>
      <c r="B90" s="295" t="s">
        <v>440</v>
      </c>
      <c r="C90" s="296" t="s">
        <v>0</v>
      </c>
      <c r="D90" s="297">
        <v>1</v>
      </c>
      <c r="E90" s="297"/>
      <c r="F90" s="297">
        <f t="shared" si="1"/>
        <v>1</v>
      </c>
      <c r="G90" s="297"/>
      <c r="H90" s="297"/>
      <c r="I90" s="297"/>
      <c r="J90" s="305"/>
      <c r="K90" s="305"/>
      <c r="L90" s="297">
        <v>22646.36</v>
      </c>
      <c r="M90" s="297">
        <v>0</v>
      </c>
      <c r="N90" s="297">
        <v>0</v>
      </c>
      <c r="O90" s="297">
        <v>0</v>
      </c>
      <c r="P90" s="297">
        <v>0</v>
      </c>
      <c r="Q90" s="298" t="s">
        <v>242</v>
      </c>
      <c r="R90" s="293" t="s">
        <v>243</v>
      </c>
    </row>
    <row r="91" spans="1:18" ht="36.75" customHeight="1">
      <c r="A91" s="294" t="s">
        <v>2213</v>
      </c>
      <c r="B91" s="295" t="s">
        <v>443</v>
      </c>
      <c r="C91" s="296" t="s">
        <v>0</v>
      </c>
      <c r="D91" s="297">
        <v>4</v>
      </c>
      <c r="E91" s="297"/>
      <c r="F91" s="297">
        <f t="shared" si="1"/>
        <v>4</v>
      </c>
      <c r="G91" s="297"/>
      <c r="H91" s="297"/>
      <c r="I91" s="297"/>
      <c r="J91" s="305"/>
      <c r="K91" s="305"/>
      <c r="L91" s="297">
        <v>17340.05</v>
      </c>
      <c r="M91" s="297">
        <v>0</v>
      </c>
      <c r="N91" s="297">
        <v>0</v>
      </c>
      <c r="O91" s="297">
        <v>0</v>
      </c>
      <c r="P91" s="297">
        <v>0</v>
      </c>
      <c r="Q91" s="298" t="s">
        <v>242</v>
      </c>
      <c r="R91" s="293" t="s">
        <v>243</v>
      </c>
    </row>
    <row r="92" spans="1:18" ht="36.75" customHeight="1">
      <c r="A92" s="294" t="s">
        <v>2214</v>
      </c>
      <c r="B92" s="295" t="s">
        <v>446</v>
      </c>
      <c r="C92" s="296" t="s">
        <v>0</v>
      </c>
      <c r="D92" s="297">
        <v>6</v>
      </c>
      <c r="E92" s="297"/>
      <c r="F92" s="297">
        <f t="shared" si="1"/>
        <v>6</v>
      </c>
      <c r="G92" s="297"/>
      <c r="H92" s="297"/>
      <c r="I92" s="297"/>
      <c r="J92" s="305"/>
      <c r="K92" s="305"/>
      <c r="L92" s="297">
        <v>17340.05</v>
      </c>
      <c r="M92" s="297">
        <v>0</v>
      </c>
      <c r="N92" s="297">
        <v>0</v>
      </c>
      <c r="O92" s="297">
        <v>0</v>
      </c>
      <c r="P92" s="297">
        <v>0</v>
      </c>
      <c r="Q92" s="298" t="s">
        <v>242</v>
      </c>
      <c r="R92" s="293" t="s">
        <v>243</v>
      </c>
    </row>
    <row r="93" spans="1:18" ht="36.75" customHeight="1">
      <c r="A93" s="294" t="s">
        <v>2215</v>
      </c>
      <c r="B93" s="295" t="s">
        <v>449</v>
      </c>
      <c r="C93" s="296" t="s">
        <v>0</v>
      </c>
      <c r="D93" s="297">
        <v>1</v>
      </c>
      <c r="E93" s="297"/>
      <c r="F93" s="297">
        <f t="shared" si="1"/>
        <v>1</v>
      </c>
      <c r="G93" s="297"/>
      <c r="H93" s="297"/>
      <c r="I93" s="297"/>
      <c r="J93" s="305"/>
      <c r="K93" s="305"/>
      <c r="L93" s="297">
        <v>17496.650000000001</v>
      </c>
      <c r="M93" s="297">
        <v>0</v>
      </c>
      <c r="N93" s="297">
        <v>0</v>
      </c>
      <c r="O93" s="297">
        <v>0</v>
      </c>
      <c r="P93" s="297">
        <v>0</v>
      </c>
      <c r="Q93" s="298" t="s">
        <v>242</v>
      </c>
      <c r="R93" s="293" t="s">
        <v>243</v>
      </c>
    </row>
    <row r="94" spans="1:18" ht="36.75" customHeight="1">
      <c r="A94" s="294" t="s">
        <v>2216</v>
      </c>
      <c r="B94" s="295" t="s">
        <v>452</v>
      </c>
      <c r="C94" s="296" t="s">
        <v>0</v>
      </c>
      <c r="D94" s="297">
        <v>1</v>
      </c>
      <c r="E94" s="297"/>
      <c r="F94" s="297">
        <f t="shared" si="1"/>
        <v>1</v>
      </c>
      <c r="G94" s="297"/>
      <c r="H94" s="297"/>
      <c r="I94" s="297"/>
      <c r="J94" s="305"/>
      <c r="K94" s="305"/>
      <c r="L94" s="297">
        <v>1501.66</v>
      </c>
      <c r="M94" s="297">
        <v>0</v>
      </c>
      <c r="N94" s="297">
        <v>0</v>
      </c>
      <c r="O94" s="297">
        <v>0</v>
      </c>
      <c r="P94" s="297">
        <v>0</v>
      </c>
      <c r="Q94" s="298" t="s">
        <v>242</v>
      </c>
      <c r="R94" s="293" t="s">
        <v>243</v>
      </c>
    </row>
    <row r="95" spans="1:18" ht="36.75" customHeight="1">
      <c r="A95" s="294" t="s">
        <v>2217</v>
      </c>
      <c r="B95" s="295" t="s">
        <v>455</v>
      </c>
      <c r="C95" s="296" t="s">
        <v>0</v>
      </c>
      <c r="D95" s="297">
        <v>1</v>
      </c>
      <c r="E95" s="297"/>
      <c r="F95" s="297">
        <f t="shared" si="1"/>
        <v>1</v>
      </c>
      <c r="G95" s="297"/>
      <c r="H95" s="297"/>
      <c r="I95" s="297"/>
      <c r="J95" s="305"/>
      <c r="K95" s="305"/>
      <c r="L95" s="297">
        <v>1240.05</v>
      </c>
      <c r="M95" s="297">
        <v>0</v>
      </c>
      <c r="N95" s="297">
        <v>0</v>
      </c>
      <c r="O95" s="297">
        <v>0</v>
      </c>
      <c r="P95" s="297">
        <v>0</v>
      </c>
      <c r="Q95" s="298" t="s">
        <v>242</v>
      </c>
      <c r="R95" s="293" t="s">
        <v>243</v>
      </c>
    </row>
    <row r="96" spans="1:18" ht="36.75" customHeight="1">
      <c r="A96" s="294" t="s">
        <v>2218</v>
      </c>
      <c r="B96" s="295" t="s">
        <v>458</v>
      </c>
      <c r="C96" s="296" t="s">
        <v>0</v>
      </c>
      <c r="D96" s="297">
        <v>1</v>
      </c>
      <c r="E96" s="297"/>
      <c r="F96" s="297">
        <f t="shared" si="1"/>
        <v>1</v>
      </c>
      <c r="G96" s="297"/>
      <c r="H96" s="297"/>
      <c r="I96" s="297"/>
      <c r="J96" s="305"/>
      <c r="K96" s="305"/>
      <c r="L96" s="297">
        <v>1470.75</v>
      </c>
      <c r="M96" s="297">
        <v>0</v>
      </c>
      <c r="N96" s="297">
        <v>0</v>
      </c>
      <c r="O96" s="297">
        <v>0</v>
      </c>
      <c r="P96" s="297">
        <v>0</v>
      </c>
      <c r="Q96" s="298" t="s">
        <v>242</v>
      </c>
      <c r="R96" s="293" t="s">
        <v>243</v>
      </c>
    </row>
    <row r="97" spans="1:18" ht="36.75" customHeight="1">
      <c r="A97" s="294" t="s">
        <v>2219</v>
      </c>
      <c r="B97" s="295" t="s">
        <v>461</v>
      </c>
      <c r="C97" s="296" t="s">
        <v>0</v>
      </c>
      <c r="D97" s="297">
        <v>1</v>
      </c>
      <c r="E97" s="297"/>
      <c r="F97" s="297">
        <f t="shared" si="1"/>
        <v>1</v>
      </c>
      <c r="G97" s="297"/>
      <c r="H97" s="297"/>
      <c r="I97" s="297"/>
      <c r="J97" s="305"/>
      <c r="K97" s="305"/>
      <c r="L97" s="297">
        <v>1326.56</v>
      </c>
      <c r="M97" s="297">
        <v>0</v>
      </c>
      <c r="N97" s="297">
        <v>0</v>
      </c>
      <c r="O97" s="297">
        <v>0</v>
      </c>
      <c r="P97" s="297">
        <v>0</v>
      </c>
      <c r="Q97" s="298" t="s">
        <v>242</v>
      </c>
      <c r="R97" s="293" t="s">
        <v>243</v>
      </c>
    </row>
    <row r="98" spans="1:18" ht="36.75" customHeight="1">
      <c r="A98" s="294" t="s">
        <v>2220</v>
      </c>
      <c r="B98" s="295" t="s">
        <v>464</v>
      </c>
      <c r="C98" s="296" t="s">
        <v>0</v>
      </c>
      <c r="D98" s="297">
        <v>3</v>
      </c>
      <c r="E98" s="297"/>
      <c r="F98" s="297">
        <f t="shared" si="1"/>
        <v>3</v>
      </c>
      <c r="G98" s="297"/>
      <c r="H98" s="297"/>
      <c r="I98" s="297"/>
      <c r="J98" s="305"/>
      <c r="K98" s="305"/>
      <c r="L98" s="297">
        <v>331.64</v>
      </c>
      <c r="M98" s="297">
        <v>0</v>
      </c>
      <c r="N98" s="297">
        <v>0</v>
      </c>
      <c r="O98" s="297">
        <v>0</v>
      </c>
      <c r="P98" s="297">
        <v>0</v>
      </c>
      <c r="Q98" s="298" t="s">
        <v>242</v>
      </c>
      <c r="R98" s="293" t="s">
        <v>243</v>
      </c>
    </row>
    <row r="99" spans="1:18" ht="36.75" customHeight="1">
      <c r="A99" s="294" t="s">
        <v>2221</v>
      </c>
      <c r="B99" s="295" t="s">
        <v>467</v>
      </c>
      <c r="C99" s="296" t="s">
        <v>0</v>
      </c>
      <c r="D99" s="297">
        <v>7</v>
      </c>
      <c r="E99" s="297"/>
      <c r="F99" s="297">
        <f t="shared" si="1"/>
        <v>7</v>
      </c>
      <c r="G99" s="297"/>
      <c r="H99" s="297"/>
      <c r="I99" s="297"/>
      <c r="J99" s="305"/>
      <c r="K99" s="305"/>
      <c r="L99" s="297">
        <v>952.18</v>
      </c>
      <c r="M99" s="297">
        <v>0</v>
      </c>
      <c r="N99" s="297">
        <v>0</v>
      </c>
      <c r="O99" s="297">
        <v>0</v>
      </c>
      <c r="P99" s="297">
        <v>0</v>
      </c>
      <c r="Q99" s="298" t="s">
        <v>242</v>
      </c>
      <c r="R99" s="293" t="s">
        <v>243</v>
      </c>
    </row>
    <row r="100" spans="1:18" ht="36.75" customHeight="1">
      <c r="A100" s="294" t="s">
        <v>2222</v>
      </c>
      <c r="B100" s="295" t="s">
        <v>470</v>
      </c>
      <c r="C100" s="296" t="s">
        <v>0</v>
      </c>
      <c r="D100" s="297">
        <v>1</v>
      </c>
      <c r="E100" s="297"/>
      <c r="F100" s="297">
        <f t="shared" si="1"/>
        <v>1</v>
      </c>
      <c r="G100" s="297"/>
      <c r="H100" s="297"/>
      <c r="I100" s="297"/>
      <c r="J100" s="305"/>
      <c r="K100" s="305"/>
      <c r="L100" s="297">
        <v>272825.21000000002</v>
      </c>
      <c r="M100" s="297">
        <v>0</v>
      </c>
      <c r="N100" s="297">
        <v>0</v>
      </c>
      <c r="O100" s="297">
        <v>0</v>
      </c>
      <c r="P100" s="297">
        <v>0</v>
      </c>
      <c r="Q100" s="298" t="s">
        <v>242</v>
      </c>
      <c r="R100" s="293" t="s">
        <v>243</v>
      </c>
    </row>
    <row r="101" spans="1:18" ht="36.75" customHeight="1">
      <c r="A101" s="294" t="s">
        <v>2223</v>
      </c>
      <c r="B101" s="295" t="s">
        <v>473</v>
      </c>
      <c r="C101" s="296" t="s">
        <v>13</v>
      </c>
      <c r="D101" s="297">
        <v>759.43</v>
      </c>
      <c r="E101" s="297"/>
      <c r="F101" s="297">
        <f t="shared" si="1"/>
        <v>759.43</v>
      </c>
      <c r="G101" s="297"/>
      <c r="H101" s="297"/>
      <c r="I101" s="297"/>
      <c r="J101" s="305"/>
      <c r="K101" s="305"/>
      <c r="L101" s="297">
        <v>647.65</v>
      </c>
      <c r="M101" s="297">
        <v>0</v>
      </c>
      <c r="N101" s="297">
        <v>0</v>
      </c>
      <c r="O101" s="297">
        <v>0</v>
      </c>
      <c r="P101" s="297">
        <v>0</v>
      </c>
      <c r="Q101" s="298" t="s">
        <v>242</v>
      </c>
      <c r="R101" s="293" t="s">
        <v>243</v>
      </c>
    </row>
    <row r="102" spans="1:18" ht="36.75" customHeight="1">
      <c r="A102" s="294" t="s">
        <v>2224</v>
      </c>
      <c r="B102" s="295" t="s">
        <v>476</v>
      </c>
      <c r="C102" s="296" t="s">
        <v>15</v>
      </c>
      <c r="D102" s="297">
        <v>1</v>
      </c>
      <c r="E102" s="297"/>
      <c r="F102" s="297">
        <f t="shared" si="1"/>
        <v>1</v>
      </c>
      <c r="G102" s="297"/>
      <c r="H102" s="297"/>
      <c r="I102" s="297"/>
      <c r="J102" s="305"/>
      <c r="K102" s="305"/>
      <c r="L102" s="297">
        <v>10412.73</v>
      </c>
      <c r="M102" s="297">
        <v>0</v>
      </c>
      <c r="N102" s="297">
        <v>0</v>
      </c>
      <c r="O102" s="297">
        <v>0</v>
      </c>
      <c r="P102" s="297">
        <v>0</v>
      </c>
      <c r="Q102" s="298" t="s">
        <v>242</v>
      </c>
      <c r="R102" s="293" t="s">
        <v>243</v>
      </c>
    </row>
    <row r="103" spans="1:18" ht="36.75" customHeight="1">
      <c r="A103" s="294" t="s">
        <v>2225</v>
      </c>
      <c r="B103" s="295" t="s">
        <v>479</v>
      </c>
      <c r="C103" s="296" t="s">
        <v>15</v>
      </c>
      <c r="D103" s="297">
        <v>3</v>
      </c>
      <c r="E103" s="297"/>
      <c r="F103" s="297">
        <f t="shared" si="1"/>
        <v>3</v>
      </c>
      <c r="G103" s="297"/>
      <c r="H103" s="297"/>
      <c r="I103" s="297"/>
      <c r="J103" s="305"/>
      <c r="K103" s="305"/>
      <c r="L103" s="297">
        <v>4575.03</v>
      </c>
      <c r="M103" s="297">
        <v>0</v>
      </c>
      <c r="N103" s="297">
        <v>0</v>
      </c>
      <c r="O103" s="297">
        <v>0</v>
      </c>
      <c r="P103" s="297">
        <v>0</v>
      </c>
      <c r="Q103" s="298" t="s">
        <v>242</v>
      </c>
      <c r="R103" s="293" t="s">
        <v>243</v>
      </c>
    </row>
    <row r="104" spans="1:18" s="240" customFormat="1" ht="36.75" customHeight="1">
      <c r="A104" s="393" t="s">
        <v>2226</v>
      </c>
      <c r="B104" s="394" t="s">
        <v>482</v>
      </c>
      <c r="C104" s="395" t="s">
        <v>483</v>
      </c>
      <c r="D104" s="396">
        <v>88.17</v>
      </c>
      <c r="E104" s="396"/>
      <c r="F104" s="396">
        <f>G104</f>
        <v>88.17</v>
      </c>
      <c r="G104" s="396">
        <f>'數量計算(FOR4變)'!I173</f>
        <v>88.17</v>
      </c>
      <c r="H104" s="396">
        <f>G104-D104</f>
        <v>0</v>
      </c>
      <c r="I104" s="396">
        <f>ROUND(H104*L104,2)</f>
        <v>0</v>
      </c>
      <c r="J104" s="397"/>
      <c r="K104" s="397"/>
      <c r="L104" s="396">
        <v>15299.17</v>
      </c>
      <c r="M104" s="396">
        <v>0</v>
      </c>
      <c r="N104" s="396">
        <v>0</v>
      </c>
      <c r="O104" s="396">
        <v>0</v>
      </c>
      <c r="P104" s="396">
        <v>0</v>
      </c>
      <c r="Q104" s="400" t="s">
        <v>2278</v>
      </c>
      <c r="R104" s="399" t="s">
        <v>243</v>
      </c>
    </row>
    <row r="105" spans="1:18" ht="36.75" customHeight="1">
      <c r="A105" s="294" t="s">
        <v>2227</v>
      </c>
      <c r="B105" s="295" t="s">
        <v>486</v>
      </c>
      <c r="C105" s="296" t="s">
        <v>0</v>
      </c>
      <c r="D105" s="297">
        <v>25</v>
      </c>
      <c r="E105" s="297"/>
      <c r="F105" s="297">
        <f>D105</f>
        <v>25</v>
      </c>
      <c r="G105" s="297"/>
      <c r="H105" s="297"/>
      <c r="I105" s="297"/>
      <c r="J105" s="305"/>
      <c r="K105" s="305"/>
      <c r="L105" s="297">
        <v>4498.3100000000004</v>
      </c>
      <c r="M105" s="297">
        <v>0</v>
      </c>
      <c r="N105" s="297">
        <v>0</v>
      </c>
      <c r="O105" s="297">
        <v>0</v>
      </c>
      <c r="P105" s="297">
        <v>0</v>
      </c>
      <c r="Q105" s="298" t="s">
        <v>242</v>
      </c>
      <c r="R105" s="293" t="s">
        <v>243</v>
      </c>
    </row>
    <row r="106" spans="1:18" ht="36.75" customHeight="1">
      <c r="A106" s="294" t="s">
        <v>2228</v>
      </c>
      <c r="B106" s="295" t="s">
        <v>489</v>
      </c>
      <c r="C106" s="296" t="s">
        <v>0</v>
      </c>
      <c r="D106" s="297">
        <v>13</v>
      </c>
      <c r="E106" s="297"/>
      <c r="F106" s="297">
        <f t="shared" ref="F106:F117" si="2">D106</f>
        <v>13</v>
      </c>
      <c r="G106" s="297"/>
      <c r="H106" s="297"/>
      <c r="I106" s="297"/>
      <c r="J106" s="305"/>
      <c r="K106" s="305"/>
      <c r="L106" s="297">
        <v>3353.5</v>
      </c>
      <c r="M106" s="297">
        <v>0</v>
      </c>
      <c r="N106" s="297">
        <v>0</v>
      </c>
      <c r="O106" s="297">
        <v>0</v>
      </c>
      <c r="P106" s="297">
        <v>0</v>
      </c>
      <c r="Q106" s="298" t="s">
        <v>242</v>
      </c>
      <c r="R106" s="293" t="s">
        <v>243</v>
      </c>
    </row>
    <row r="107" spans="1:18" ht="36.75" customHeight="1">
      <c r="A107" s="294" t="s">
        <v>2229</v>
      </c>
      <c r="B107" s="295" t="s">
        <v>492</v>
      </c>
      <c r="C107" s="296" t="s">
        <v>8</v>
      </c>
      <c r="D107" s="297">
        <v>9.8000000000000007</v>
      </c>
      <c r="E107" s="297"/>
      <c r="F107" s="297">
        <f t="shared" si="2"/>
        <v>9.8000000000000007</v>
      </c>
      <c r="G107" s="297"/>
      <c r="H107" s="297"/>
      <c r="I107" s="297"/>
      <c r="J107" s="305"/>
      <c r="K107" s="305"/>
      <c r="L107" s="297">
        <v>9873.85</v>
      </c>
      <c r="M107" s="297">
        <v>0</v>
      </c>
      <c r="N107" s="297">
        <v>0</v>
      </c>
      <c r="O107" s="297">
        <v>0</v>
      </c>
      <c r="P107" s="297">
        <v>0</v>
      </c>
      <c r="Q107" s="298" t="s">
        <v>242</v>
      </c>
      <c r="R107" s="293" t="s">
        <v>243</v>
      </c>
    </row>
    <row r="108" spans="1:18" ht="36.75" customHeight="1">
      <c r="A108" s="294" t="s">
        <v>2230</v>
      </c>
      <c r="B108" s="295" t="s">
        <v>495</v>
      </c>
      <c r="C108" s="296" t="s">
        <v>8</v>
      </c>
      <c r="D108" s="297">
        <v>6.2</v>
      </c>
      <c r="E108" s="297"/>
      <c r="F108" s="297">
        <f t="shared" si="2"/>
        <v>6.2</v>
      </c>
      <c r="G108" s="297"/>
      <c r="H108" s="297"/>
      <c r="I108" s="297"/>
      <c r="J108" s="305"/>
      <c r="K108" s="305"/>
      <c r="L108" s="297">
        <v>6554</v>
      </c>
      <c r="M108" s="297">
        <v>0</v>
      </c>
      <c r="N108" s="297">
        <v>0</v>
      </c>
      <c r="O108" s="297">
        <v>0</v>
      </c>
      <c r="P108" s="297">
        <v>0</v>
      </c>
      <c r="Q108" s="298" t="s">
        <v>242</v>
      </c>
      <c r="R108" s="293" t="s">
        <v>243</v>
      </c>
    </row>
    <row r="109" spans="1:18" ht="36.75" customHeight="1">
      <c r="A109" s="294" t="s">
        <v>2231</v>
      </c>
      <c r="B109" s="295" t="s">
        <v>498</v>
      </c>
      <c r="C109" s="296" t="s">
        <v>8</v>
      </c>
      <c r="D109" s="297">
        <v>3.3</v>
      </c>
      <c r="E109" s="297"/>
      <c r="F109" s="297">
        <f t="shared" si="2"/>
        <v>3.3</v>
      </c>
      <c r="G109" s="297"/>
      <c r="H109" s="297"/>
      <c r="I109" s="297"/>
      <c r="J109" s="305"/>
      <c r="K109" s="305"/>
      <c r="L109" s="297">
        <v>8390.27</v>
      </c>
      <c r="M109" s="297">
        <v>0</v>
      </c>
      <c r="N109" s="297">
        <v>0</v>
      </c>
      <c r="O109" s="297">
        <v>0</v>
      </c>
      <c r="P109" s="297">
        <v>0</v>
      </c>
      <c r="Q109" s="298" t="s">
        <v>242</v>
      </c>
      <c r="R109" s="293" t="s">
        <v>243</v>
      </c>
    </row>
    <row r="110" spans="1:18" ht="36.75" customHeight="1">
      <c r="A110" s="294" t="s">
        <v>2232</v>
      </c>
      <c r="B110" s="295" t="s">
        <v>501</v>
      </c>
      <c r="C110" s="296" t="s">
        <v>8</v>
      </c>
      <c r="D110" s="297">
        <v>40.6</v>
      </c>
      <c r="E110" s="297"/>
      <c r="F110" s="297">
        <f t="shared" si="2"/>
        <v>40.6</v>
      </c>
      <c r="G110" s="297"/>
      <c r="H110" s="297"/>
      <c r="I110" s="297"/>
      <c r="J110" s="305"/>
      <c r="K110" s="305"/>
      <c r="L110" s="297">
        <v>671.95</v>
      </c>
      <c r="M110" s="297">
        <v>0</v>
      </c>
      <c r="N110" s="297">
        <v>0</v>
      </c>
      <c r="O110" s="297">
        <v>0</v>
      </c>
      <c r="P110" s="297">
        <v>0</v>
      </c>
      <c r="Q110" s="298" t="s">
        <v>242</v>
      </c>
      <c r="R110" s="293" t="s">
        <v>243</v>
      </c>
    </row>
    <row r="111" spans="1:18" ht="36.75" customHeight="1">
      <c r="A111" s="294" t="s">
        <v>2233</v>
      </c>
      <c r="B111" s="295" t="s">
        <v>504</v>
      </c>
      <c r="C111" s="296" t="s">
        <v>8</v>
      </c>
      <c r="D111" s="297">
        <v>176.7</v>
      </c>
      <c r="E111" s="297"/>
      <c r="F111" s="297">
        <f t="shared" si="2"/>
        <v>176.7</v>
      </c>
      <c r="G111" s="297"/>
      <c r="H111" s="297"/>
      <c r="I111" s="297"/>
      <c r="J111" s="305"/>
      <c r="K111" s="305"/>
      <c r="L111" s="297">
        <v>658.27</v>
      </c>
      <c r="M111" s="297">
        <v>0</v>
      </c>
      <c r="N111" s="297">
        <v>0</v>
      </c>
      <c r="O111" s="297">
        <v>0</v>
      </c>
      <c r="P111" s="297">
        <v>0</v>
      </c>
      <c r="Q111" s="298" t="s">
        <v>242</v>
      </c>
      <c r="R111" s="293" t="s">
        <v>243</v>
      </c>
    </row>
    <row r="112" spans="1:18" ht="36.75" customHeight="1">
      <c r="A112" s="294" t="s">
        <v>2234</v>
      </c>
      <c r="B112" s="295" t="s">
        <v>507</v>
      </c>
      <c r="C112" s="296" t="s">
        <v>8</v>
      </c>
      <c r="D112" s="297">
        <v>251.7</v>
      </c>
      <c r="E112" s="297"/>
      <c r="F112" s="297">
        <f t="shared" si="2"/>
        <v>251.7</v>
      </c>
      <c r="G112" s="297"/>
      <c r="H112" s="297"/>
      <c r="I112" s="297"/>
      <c r="J112" s="305"/>
      <c r="K112" s="305"/>
      <c r="L112" s="297">
        <v>730.37</v>
      </c>
      <c r="M112" s="297">
        <v>0</v>
      </c>
      <c r="N112" s="297">
        <v>0</v>
      </c>
      <c r="O112" s="297">
        <v>0</v>
      </c>
      <c r="P112" s="297">
        <v>0</v>
      </c>
      <c r="Q112" s="298" t="s">
        <v>242</v>
      </c>
      <c r="R112" s="293" t="s">
        <v>243</v>
      </c>
    </row>
    <row r="113" spans="1:18" ht="36.75" customHeight="1">
      <c r="A113" s="294" t="s">
        <v>2235</v>
      </c>
      <c r="B113" s="295" t="s">
        <v>510</v>
      </c>
      <c r="C113" s="296" t="s">
        <v>8</v>
      </c>
      <c r="D113" s="297">
        <v>6.8</v>
      </c>
      <c r="E113" s="297"/>
      <c r="F113" s="297">
        <f t="shared" si="2"/>
        <v>6.8</v>
      </c>
      <c r="G113" s="297"/>
      <c r="H113" s="297"/>
      <c r="I113" s="297"/>
      <c r="J113" s="305"/>
      <c r="K113" s="305"/>
      <c r="L113" s="297">
        <v>406.38</v>
      </c>
      <c r="M113" s="297">
        <v>0</v>
      </c>
      <c r="N113" s="297">
        <v>0</v>
      </c>
      <c r="O113" s="297">
        <v>0</v>
      </c>
      <c r="P113" s="297">
        <v>0</v>
      </c>
      <c r="Q113" s="298" t="s">
        <v>242</v>
      </c>
      <c r="R113" s="293" t="s">
        <v>243</v>
      </c>
    </row>
    <row r="114" spans="1:18" ht="36.75" customHeight="1">
      <c r="A114" s="294" t="s">
        <v>2236</v>
      </c>
      <c r="B114" s="295" t="s">
        <v>513</v>
      </c>
      <c r="C114" s="296" t="s">
        <v>8</v>
      </c>
      <c r="D114" s="297">
        <v>44.2</v>
      </c>
      <c r="E114" s="297"/>
      <c r="F114" s="297">
        <f t="shared" si="2"/>
        <v>44.2</v>
      </c>
      <c r="G114" s="297"/>
      <c r="H114" s="297"/>
      <c r="I114" s="297"/>
      <c r="J114" s="305"/>
      <c r="K114" s="305"/>
      <c r="L114" s="297">
        <v>457.88</v>
      </c>
      <c r="M114" s="297">
        <v>0</v>
      </c>
      <c r="N114" s="297">
        <v>0</v>
      </c>
      <c r="O114" s="297">
        <v>0</v>
      </c>
      <c r="P114" s="297">
        <v>0</v>
      </c>
      <c r="Q114" s="298" t="s">
        <v>242</v>
      </c>
      <c r="R114" s="293" t="s">
        <v>243</v>
      </c>
    </row>
    <row r="115" spans="1:18" ht="36.75" customHeight="1">
      <c r="A115" s="294" t="s">
        <v>2237</v>
      </c>
      <c r="B115" s="295" t="s">
        <v>516</v>
      </c>
      <c r="C115" s="296" t="s">
        <v>8</v>
      </c>
      <c r="D115" s="297">
        <v>10.7</v>
      </c>
      <c r="E115" s="297"/>
      <c r="F115" s="297">
        <f t="shared" si="2"/>
        <v>10.7</v>
      </c>
      <c r="G115" s="297"/>
      <c r="H115" s="297"/>
      <c r="I115" s="297"/>
      <c r="J115" s="305"/>
      <c r="K115" s="305"/>
      <c r="L115" s="297">
        <v>499.08</v>
      </c>
      <c r="M115" s="297">
        <v>0</v>
      </c>
      <c r="N115" s="297">
        <v>0</v>
      </c>
      <c r="O115" s="297">
        <v>0</v>
      </c>
      <c r="P115" s="297">
        <v>0</v>
      </c>
      <c r="Q115" s="298" t="s">
        <v>242</v>
      </c>
      <c r="R115" s="293" t="s">
        <v>243</v>
      </c>
    </row>
    <row r="116" spans="1:18" ht="36.75" customHeight="1">
      <c r="A116" s="294" t="s">
        <v>2238</v>
      </c>
      <c r="B116" s="295" t="s">
        <v>519</v>
      </c>
      <c r="C116" s="296" t="s">
        <v>8</v>
      </c>
      <c r="D116" s="297">
        <v>62.5</v>
      </c>
      <c r="E116" s="297"/>
      <c r="F116" s="297">
        <f t="shared" si="2"/>
        <v>62.5</v>
      </c>
      <c r="G116" s="297"/>
      <c r="H116" s="297"/>
      <c r="I116" s="297"/>
      <c r="J116" s="305"/>
      <c r="K116" s="305"/>
      <c r="L116" s="297">
        <v>545.82000000000005</v>
      </c>
      <c r="M116" s="297">
        <v>0</v>
      </c>
      <c r="N116" s="297">
        <v>0</v>
      </c>
      <c r="O116" s="297">
        <v>0</v>
      </c>
      <c r="P116" s="297">
        <v>0</v>
      </c>
      <c r="Q116" s="298" t="s">
        <v>242</v>
      </c>
      <c r="R116" s="293" t="s">
        <v>243</v>
      </c>
    </row>
    <row r="117" spans="1:18" ht="36.75" customHeight="1">
      <c r="A117" s="294" t="s">
        <v>2239</v>
      </c>
      <c r="B117" s="295" t="s">
        <v>522</v>
      </c>
      <c r="C117" s="296" t="s">
        <v>8</v>
      </c>
      <c r="D117" s="297">
        <v>84.8</v>
      </c>
      <c r="E117" s="297"/>
      <c r="F117" s="297">
        <f t="shared" si="2"/>
        <v>84.8</v>
      </c>
      <c r="G117" s="297"/>
      <c r="H117" s="297"/>
      <c r="I117" s="297"/>
      <c r="J117" s="305"/>
      <c r="K117" s="305"/>
      <c r="L117" s="297">
        <v>7340.02</v>
      </c>
      <c r="M117" s="297">
        <v>0</v>
      </c>
      <c r="N117" s="297">
        <v>0</v>
      </c>
      <c r="O117" s="297">
        <v>0</v>
      </c>
      <c r="P117" s="297">
        <v>0</v>
      </c>
      <c r="Q117" s="298" t="s">
        <v>242</v>
      </c>
      <c r="R117" s="293" t="s">
        <v>243</v>
      </c>
    </row>
    <row r="118" spans="1:18" ht="36.75" customHeight="1">
      <c r="A118" s="294" t="s">
        <v>2240</v>
      </c>
      <c r="B118" s="295" t="s">
        <v>525</v>
      </c>
      <c r="C118" s="296" t="s">
        <v>0</v>
      </c>
      <c r="D118" s="297">
        <v>2</v>
      </c>
      <c r="E118" s="297"/>
      <c r="F118" s="297">
        <v>2</v>
      </c>
      <c r="G118" s="297">
        <f>'數量計算(FOR4變)'!I187</f>
        <v>3</v>
      </c>
      <c r="H118" s="297">
        <f>G118-D118</f>
        <v>1</v>
      </c>
      <c r="I118" s="297">
        <f>704273.82+1255553.18+1277917.6-(L118*D118)</f>
        <v>1411132.24</v>
      </c>
      <c r="J118" s="305"/>
      <c r="K118" s="305"/>
      <c r="L118" s="297">
        <v>913306.18</v>
      </c>
      <c r="M118" s="297">
        <v>0</v>
      </c>
      <c r="N118" s="297">
        <v>0</v>
      </c>
      <c r="O118" s="297">
        <v>0</v>
      </c>
      <c r="P118" s="297">
        <v>0</v>
      </c>
      <c r="Q118" s="301" t="s">
        <v>2279</v>
      </c>
      <c r="R118" s="293" t="s">
        <v>243</v>
      </c>
    </row>
    <row r="119" spans="1:18" ht="36.75" customHeight="1">
      <c r="A119" s="294" t="s">
        <v>2241</v>
      </c>
      <c r="B119" s="295" t="s">
        <v>527</v>
      </c>
      <c r="C119" s="296" t="s">
        <v>4</v>
      </c>
      <c r="D119" s="297">
        <v>1</v>
      </c>
      <c r="E119" s="297"/>
      <c r="F119" s="297"/>
      <c r="G119" s="297"/>
      <c r="H119" s="297"/>
      <c r="I119" s="297"/>
      <c r="J119" s="305"/>
      <c r="K119" s="305"/>
      <c r="L119" s="297">
        <v>45369259.609999999</v>
      </c>
      <c r="M119" s="297">
        <v>1</v>
      </c>
      <c r="N119" s="297">
        <v>1</v>
      </c>
      <c r="O119" s="297">
        <v>2140143.85</v>
      </c>
      <c r="P119" s="297">
        <v>22212626.170000002</v>
      </c>
      <c r="Q119" s="298" t="s">
        <v>242</v>
      </c>
      <c r="R119" s="293" t="s">
        <v>243</v>
      </c>
    </row>
    <row r="120" spans="1:18" ht="36.75" customHeight="1">
      <c r="A120" s="294" t="s">
        <v>2154</v>
      </c>
      <c r="B120" s="295" t="s">
        <v>310</v>
      </c>
      <c r="C120" s="296" t="s">
        <v>223</v>
      </c>
      <c r="D120" s="297">
        <v>185.59</v>
      </c>
      <c r="E120" s="297">
        <v>928.51</v>
      </c>
      <c r="F120" s="297">
        <f>E120</f>
        <v>928.51</v>
      </c>
      <c r="G120" s="297"/>
      <c r="H120" s="297"/>
      <c r="I120" s="297"/>
      <c r="J120" s="305"/>
      <c r="K120" s="305"/>
      <c r="L120" s="297">
        <v>320.72000000000003</v>
      </c>
      <c r="M120" s="297">
        <v>0</v>
      </c>
      <c r="N120" s="297">
        <v>839.39</v>
      </c>
      <c r="O120" s="297">
        <v>0</v>
      </c>
      <c r="P120" s="297">
        <v>269209.15999999997</v>
      </c>
      <c r="Q120" s="298" t="s">
        <v>242</v>
      </c>
      <c r="R120" s="293" t="s">
        <v>243</v>
      </c>
    </row>
    <row r="121" spans="1:18" ht="36.75" customHeight="1">
      <c r="A121" s="294" t="s">
        <v>2155</v>
      </c>
      <c r="B121" s="295" t="s">
        <v>315</v>
      </c>
      <c r="C121" s="296" t="s">
        <v>6</v>
      </c>
      <c r="D121" s="297">
        <v>26.33</v>
      </c>
      <c r="E121" s="297"/>
      <c r="F121" s="297">
        <f t="shared" ref="F121:F126" si="3">D121</f>
        <v>26.33</v>
      </c>
      <c r="G121" s="297"/>
      <c r="H121" s="297"/>
      <c r="I121" s="297"/>
      <c r="J121" s="305"/>
      <c r="K121" s="305"/>
      <c r="L121" s="297">
        <v>3114.97</v>
      </c>
      <c r="M121" s="297">
        <v>0</v>
      </c>
      <c r="N121" s="297">
        <v>17.239999999999998</v>
      </c>
      <c r="O121" s="297">
        <v>0</v>
      </c>
      <c r="P121" s="297">
        <v>53702.080000000002</v>
      </c>
      <c r="Q121" s="298" t="s">
        <v>242</v>
      </c>
      <c r="R121" s="293" t="s">
        <v>243</v>
      </c>
    </row>
    <row r="122" spans="1:18" ht="36.75" customHeight="1">
      <c r="A122" s="294" t="s">
        <v>2156</v>
      </c>
      <c r="B122" s="295" t="s">
        <v>24</v>
      </c>
      <c r="C122" s="296" t="s">
        <v>6</v>
      </c>
      <c r="D122" s="297">
        <v>36.86</v>
      </c>
      <c r="E122" s="297"/>
      <c r="F122" s="297">
        <f t="shared" si="3"/>
        <v>36.86</v>
      </c>
      <c r="G122" s="297"/>
      <c r="H122" s="297"/>
      <c r="I122" s="297"/>
      <c r="J122" s="305"/>
      <c r="K122" s="305"/>
      <c r="L122" s="297">
        <v>3320.96</v>
      </c>
      <c r="M122" s="297">
        <v>0</v>
      </c>
      <c r="N122" s="297">
        <v>0</v>
      </c>
      <c r="O122" s="297">
        <v>0</v>
      </c>
      <c r="P122" s="297">
        <v>0</v>
      </c>
      <c r="Q122" s="298" t="s">
        <v>242</v>
      </c>
      <c r="R122" s="293" t="s">
        <v>243</v>
      </c>
    </row>
    <row r="123" spans="1:18" ht="36.75" customHeight="1">
      <c r="A123" s="294" t="s">
        <v>2157</v>
      </c>
      <c r="B123" s="295" t="s">
        <v>528</v>
      </c>
      <c r="C123" s="296" t="s">
        <v>6</v>
      </c>
      <c r="D123" s="297">
        <v>654.83000000000004</v>
      </c>
      <c r="E123" s="297"/>
      <c r="F123" s="297">
        <f t="shared" si="3"/>
        <v>654.83000000000004</v>
      </c>
      <c r="G123" s="297"/>
      <c r="H123" s="297"/>
      <c r="I123" s="297"/>
      <c r="J123" s="305"/>
      <c r="K123" s="305"/>
      <c r="L123" s="297">
        <v>3643.53</v>
      </c>
      <c r="M123" s="297">
        <v>0</v>
      </c>
      <c r="N123" s="297">
        <v>276.70999999999998</v>
      </c>
      <c r="O123" s="297">
        <v>0</v>
      </c>
      <c r="P123" s="297">
        <v>1008201.19</v>
      </c>
      <c r="Q123" s="298" t="s">
        <v>242</v>
      </c>
      <c r="R123" s="293" t="s">
        <v>243</v>
      </c>
    </row>
    <row r="124" spans="1:18" ht="36.75" customHeight="1">
      <c r="A124" s="294" t="s">
        <v>2158</v>
      </c>
      <c r="B124" s="295" t="s">
        <v>192</v>
      </c>
      <c r="C124" s="296" t="s">
        <v>17</v>
      </c>
      <c r="D124" s="297">
        <v>6240.88</v>
      </c>
      <c r="E124" s="297"/>
      <c r="F124" s="297">
        <f t="shared" si="3"/>
        <v>6240.88</v>
      </c>
      <c r="G124" s="297"/>
      <c r="H124" s="297"/>
      <c r="I124" s="297"/>
      <c r="J124" s="305"/>
      <c r="K124" s="305"/>
      <c r="L124" s="297">
        <v>36.4</v>
      </c>
      <c r="M124" s="297">
        <v>0</v>
      </c>
      <c r="N124" s="297">
        <v>0</v>
      </c>
      <c r="O124" s="297">
        <v>0</v>
      </c>
      <c r="P124" s="297">
        <v>0</v>
      </c>
      <c r="Q124" s="298" t="s">
        <v>242</v>
      </c>
      <c r="R124" s="293" t="s">
        <v>243</v>
      </c>
    </row>
    <row r="125" spans="1:18" ht="36.75" customHeight="1">
      <c r="A125" s="294" t="s">
        <v>2159</v>
      </c>
      <c r="B125" s="295" t="s">
        <v>530</v>
      </c>
      <c r="C125" s="296" t="s">
        <v>17</v>
      </c>
      <c r="D125" s="297">
        <v>102796.95</v>
      </c>
      <c r="E125" s="297"/>
      <c r="F125" s="297">
        <f t="shared" si="3"/>
        <v>102796.95</v>
      </c>
      <c r="G125" s="297"/>
      <c r="H125" s="297"/>
      <c r="I125" s="297"/>
      <c r="J125" s="305"/>
      <c r="K125" s="305"/>
      <c r="L125" s="297">
        <v>38.71</v>
      </c>
      <c r="M125" s="297">
        <v>0</v>
      </c>
      <c r="N125" s="297">
        <v>62095</v>
      </c>
      <c r="O125" s="297">
        <v>0</v>
      </c>
      <c r="P125" s="297">
        <v>2403697.4500000002</v>
      </c>
      <c r="Q125" s="298" t="s">
        <v>242</v>
      </c>
      <c r="R125" s="293" t="s">
        <v>243</v>
      </c>
    </row>
    <row r="126" spans="1:18" ht="36.75" customHeight="1">
      <c r="A126" s="294" t="s">
        <v>2160</v>
      </c>
      <c r="B126" s="295" t="s">
        <v>532</v>
      </c>
      <c r="C126" s="296" t="s">
        <v>13</v>
      </c>
      <c r="D126" s="297">
        <v>223.3</v>
      </c>
      <c r="E126" s="297"/>
      <c r="F126" s="297">
        <f t="shared" si="3"/>
        <v>223.3</v>
      </c>
      <c r="G126" s="297"/>
      <c r="H126" s="297"/>
      <c r="I126" s="297"/>
      <c r="J126" s="305"/>
      <c r="K126" s="305"/>
      <c r="L126" s="297">
        <v>1154.9100000000001</v>
      </c>
      <c r="M126" s="297">
        <v>0</v>
      </c>
      <c r="N126" s="297">
        <v>0</v>
      </c>
      <c r="O126" s="297">
        <v>0</v>
      </c>
      <c r="P126" s="297">
        <v>0</v>
      </c>
      <c r="Q126" s="298" t="s">
        <v>242</v>
      </c>
      <c r="R126" s="293" t="s">
        <v>243</v>
      </c>
    </row>
    <row r="127" spans="1:18" s="240" customFormat="1" ht="36.75" customHeight="1">
      <c r="A127" s="393" t="s">
        <v>2161</v>
      </c>
      <c r="B127" s="394" t="s">
        <v>534</v>
      </c>
      <c r="C127" s="395" t="s">
        <v>13</v>
      </c>
      <c r="D127" s="396">
        <v>450.04</v>
      </c>
      <c r="E127" s="396"/>
      <c r="F127" s="396">
        <f>G127</f>
        <v>484.31400000000008</v>
      </c>
      <c r="G127" s="396">
        <f>'數量計算(FOR4變)'!I228</f>
        <v>484.31400000000008</v>
      </c>
      <c r="H127" s="396">
        <f>G127-D127</f>
        <v>34.274000000000058</v>
      </c>
      <c r="I127" s="396">
        <f>ROUND(H127*L127,2)</f>
        <v>33688.94</v>
      </c>
      <c r="J127" s="397"/>
      <c r="K127" s="397"/>
      <c r="L127" s="396">
        <v>982.93</v>
      </c>
      <c r="M127" s="396">
        <v>0</v>
      </c>
      <c r="N127" s="396">
        <v>447.02</v>
      </c>
      <c r="O127" s="396">
        <v>0</v>
      </c>
      <c r="P127" s="396">
        <v>439389.37</v>
      </c>
      <c r="Q127" s="400" t="s">
        <v>2275</v>
      </c>
      <c r="R127" s="399" t="s">
        <v>243</v>
      </c>
    </row>
    <row r="128" spans="1:18" s="240" customFormat="1" ht="36.75" customHeight="1">
      <c r="A128" s="393" t="s">
        <v>2162</v>
      </c>
      <c r="B128" s="394" t="s">
        <v>536</v>
      </c>
      <c r="C128" s="395" t="s">
        <v>13</v>
      </c>
      <c r="D128" s="396">
        <v>28.27</v>
      </c>
      <c r="E128" s="396"/>
      <c r="F128" s="396">
        <f>G128</f>
        <v>42.534999999999997</v>
      </c>
      <c r="G128" s="396">
        <f>'數量計算(FOR4變)'!I233</f>
        <v>42.534999999999997</v>
      </c>
      <c r="H128" s="396">
        <f>G128-D128</f>
        <v>14.264999999999997</v>
      </c>
      <c r="I128" s="396">
        <f>ROUND(H128*L128,2)</f>
        <v>11479.76</v>
      </c>
      <c r="J128" s="397"/>
      <c r="K128" s="397"/>
      <c r="L128" s="396">
        <v>804.75</v>
      </c>
      <c r="M128" s="396">
        <v>0</v>
      </c>
      <c r="N128" s="396">
        <v>27</v>
      </c>
      <c r="O128" s="396">
        <v>0</v>
      </c>
      <c r="P128" s="396">
        <v>21728.25</v>
      </c>
      <c r="Q128" s="400" t="s">
        <v>2275</v>
      </c>
      <c r="R128" s="399" t="s">
        <v>243</v>
      </c>
    </row>
    <row r="129" spans="1:18" ht="36.75" customHeight="1">
      <c r="A129" s="294" t="s">
        <v>2163</v>
      </c>
      <c r="B129" s="295" t="s">
        <v>538</v>
      </c>
      <c r="C129" s="296" t="s">
        <v>539</v>
      </c>
      <c r="D129" s="297">
        <v>25655</v>
      </c>
      <c r="E129" s="297"/>
      <c r="F129" s="297">
        <f>D129</f>
        <v>25655</v>
      </c>
      <c r="G129" s="297"/>
      <c r="H129" s="297"/>
      <c r="I129" s="297"/>
      <c r="J129" s="305"/>
      <c r="K129" s="305"/>
      <c r="L129" s="297">
        <v>75</v>
      </c>
      <c r="M129" s="297">
        <v>0</v>
      </c>
      <c r="N129" s="297">
        <v>0</v>
      </c>
      <c r="O129" s="297">
        <v>0</v>
      </c>
      <c r="P129" s="297">
        <v>0</v>
      </c>
      <c r="Q129" s="298" t="s">
        <v>242</v>
      </c>
      <c r="R129" s="293" t="s">
        <v>243</v>
      </c>
    </row>
    <row r="130" spans="1:18" ht="36.75" customHeight="1">
      <c r="A130" s="294" t="s">
        <v>2164</v>
      </c>
      <c r="B130" s="295" t="s">
        <v>321</v>
      </c>
      <c r="C130" s="296" t="s">
        <v>17</v>
      </c>
      <c r="D130" s="297">
        <v>3691</v>
      </c>
      <c r="E130" s="297"/>
      <c r="F130" s="297">
        <f>D130</f>
        <v>3691</v>
      </c>
      <c r="G130" s="297"/>
      <c r="H130" s="297"/>
      <c r="I130" s="297"/>
      <c r="J130" s="305"/>
      <c r="K130" s="305"/>
      <c r="L130" s="297">
        <v>60</v>
      </c>
      <c r="M130" s="297">
        <v>0</v>
      </c>
      <c r="N130" s="297">
        <v>0</v>
      </c>
      <c r="O130" s="297">
        <v>0</v>
      </c>
      <c r="P130" s="297">
        <v>0</v>
      </c>
      <c r="Q130" s="298" t="s">
        <v>242</v>
      </c>
      <c r="R130" s="293" t="s">
        <v>243</v>
      </c>
    </row>
    <row r="131" spans="1:18" ht="36.75" customHeight="1">
      <c r="A131" s="294" t="s">
        <v>2165</v>
      </c>
      <c r="B131" s="295" t="s">
        <v>323</v>
      </c>
      <c r="C131" s="296" t="s">
        <v>17</v>
      </c>
      <c r="D131" s="297">
        <v>3691</v>
      </c>
      <c r="E131" s="297"/>
      <c r="F131" s="297">
        <f>D131</f>
        <v>3691</v>
      </c>
      <c r="G131" s="297"/>
      <c r="H131" s="297"/>
      <c r="I131" s="297"/>
      <c r="J131" s="305"/>
      <c r="K131" s="305"/>
      <c r="L131" s="297">
        <v>31.9</v>
      </c>
      <c r="M131" s="297">
        <v>0</v>
      </c>
      <c r="N131" s="297">
        <v>0</v>
      </c>
      <c r="O131" s="297">
        <v>0</v>
      </c>
      <c r="P131" s="297">
        <v>0</v>
      </c>
      <c r="Q131" s="298" t="s">
        <v>242</v>
      </c>
      <c r="R131" s="293" t="s">
        <v>243</v>
      </c>
    </row>
    <row r="132" spans="1:18" ht="36.75" customHeight="1">
      <c r="A132" s="294" t="s">
        <v>2166</v>
      </c>
      <c r="B132" s="295" t="s">
        <v>542</v>
      </c>
      <c r="C132" s="296" t="s">
        <v>17</v>
      </c>
      <c r="D132" s="297">
        <v>2162</v>
      </c>
      <c r="E132" s="297"/>
      <c r="F132" s="297">
        <f>D132</f>
        <v>2162</v>
      </c>
      <c r="G132" s="297"/>
      <c r="H132" s="297"/>
      <c r="I132" s="297"/>
      <c r="J132" s="305"/>
      <c r="K132" s="305"/>
      <c r="L132" s="297">
        <v>278.08</v>
      </c>
      <c r="M132" s="297">
        <v>0</v>
      </c>
      <c r="N132" s="297">
        <v>0</v>
      </c>
      <c r="O132" s="297">
        <v>0</v>
      </c>
      <c r="P132" s="297">
        <v>0</v>
      </c>
      <c r="Q132" s="298" t="s">
        <v>242</v>
      </c>
      <c r="R132" s="293" t="s">
        <v>243</v>
      </c>
    </row>
    <row r="133" spans="1:18" ht="36.75" customHeight="1">
      <c r="A133" s="294" t="s">
        <v>2167</v>
      </c>
      <c r="B133" s="295" t="s">
        <v>544</v>
      </c>
      <c r="C133" s="296" t="s">
        <v>13</v>
      </c>
      <c r="D133" s="297">
        <v>99.7</v>
      </c>
      <c r="E133" s="297"/>
      <c r="F133" s="297">
        <f>D133</f>
        <v>99.7</v>
      </c>
      <c r="G133" s="297"/>
      <c r="H133" s="297"/>
      <c r="I133" s="297"/>
      <c r="J133" s="305"/>
      <c r="K133" s="305"/>
      <c r="L133" s="297">
        <v>1399.92</v>
      </c>
      <c r="M133" s="297">
        <v>0</v>
      </c>
      <c r="N133" s="297">
        <v>0</v>
      </c>
      <c r="O133" s="297">
        <v>0</v>
      </c>
      <c r="P133" s="297">
        <v>0</v>
      </c>
      <c r="Q133" s="298" t="s">
        <v>242</v>
      </c>
      <c r="R133" s="293" t="s">
        <v>243</v>
      </c>
    </row>
    <row r="134" spans="1:18" s="240" customFormat="1" ht="36.75" customHeight="1">
      <c r="A134" s="393" t="s">
        <v>2168</v>
      </c>
      <c r="B134" s="394" t="s">
        <v>325</v>
      </c>
      <c r="C134" s="395" t="s">
        <v>17</v>
      </c>
      <c r="D134" s="396">
        <v>95900</v>
      </c>
      <c r="E134" s="396"/>
      <c r="F134" s="396">
        <f>G134</f>
        <v>96604.35</v>
      </c>
      <c r="G134" s="396">
        <f>'數量計算(FOR4變)'!I242</f>
        <v>96604.35</v>
      </c>
      <c r="H134" s="396">
        <f>G134-D134</f>
        <v>704.35000000000582</v>
      </c>
      <c r="I134" s="396">
        <f>ROUND(H134*L134,2)</f>
        <v>75576.759999999995</v>
      </c>
      <c r="J134" s="397"/>
      <c r="K134" s="397"/>
      <c r="L134" s="396">
        <v>107.3</v>
      </c>
      <c r="M134" s="396">
        <v>17135</v>
      </c>
      <c r="N134" s="396">
        <v>64228</v>
      </c>
      <c r="O134" s="396">
        <v>1838585.5</v>
      </c>
      <c r="P134" s="396">
        <v>6891664.4000000004</v>
      </c>
      <c r="Q134" s="398" t="s">
        <v>242</v>
      </c>
      <c r="R134" s="399" t="s">
        <v>243</v>
      </c>
    </row>
    <row r="135" spans="1:18" ht="36.75" customHeight="1">
      <c r="A135" s="393" t="s">
        <v>2169</v>
      </c>
      <c r="B135" s="394" t="s">
        <v>222</v>
      </c>
      <c r="C135" s="395" t="s">
        <v>13</v>
      </c>
      <c r="D135" s="396">
        <v>438.86</v>
      </c>
      <c r="E135" s="396"/>
      <c r="F135" s="396">
        <f>G135</f>
        <v>611.66</v>
      </c>
      <c r="G135" s="396">
        <f>'數量計算(FOR4變)'!I244</f>
        <v>611.66</v>
      </c>
      <c r="H135" s="396">
        <f>G135-D135</f>
        <v>172.79999999999995</v>
      </c>
      <c r="I135" s="396">
        <f>ROUND(H135*L135,2)</f>
        <v>119598.34</v>
      </c>
      <c r="J135" s="397"/>
      <c r="K135" s="397"/>
      <c r="L135" s="396">
        <v>692.12</v>
      </c>
      <c r="M135" s="396">
        <v>0</v>
      </c>
      <c r="N135" s="396">
        <v>385.16</v>
      </c>
      <c r="O135" s="396">
        <v>0</v>
      </c>
      <c r="P135" s="396">
        <v>266576.94</v>
      </c>
      <c r="Q135" s="398" t="s">
        <v>242</v>
      </c>
      <c r="R135" s="293" t="s">
        <v>243</v>
      </c>
    </row>
    <row r="136" spans="1:18" ht="36.75" customHeight="1">
      <c r="A136" s="294" t="s">
        <v>2170</v>
      </c>
      <c r="B136" s="295" t="s">
        <v>194</v>
      </c>
      <c r="C136" s="296" t="s">
        <v>23</v>
      </c>
      <c r="D136" s="297">
        <v>342.71</v>
      </c>
      <c r="E136" s="297"/>
      <c r="F136" s="297">
        <f>D136</f>
        <v>342.71</v>
      </c>
      <c r="G136" s="297"/>
      <c r="H136" s="297"/>
      <c r="I136" s="297"/>
      <c r="J136" s="305"/>
      <c r="K136" s="305"/>
      <c r="L136" s="297">
        <v>48.28</v>
      </c>
      <c r="M136" s="297">
        <v>0</v>
      </c>
      <c r="N136" s="297">
        <v>336</v>
      </c>
      <c r="O136" s="297">
        <v>0</v>
      </c>
      <c r="P136" s="297">
        <v>16222.08</v>
      </c>
      <c r="Q136" s="298" t="s">
        <v>242</v>
      </c>
      <c r="R136" s="293" t="s">
        <v>243</v>
      </c>
    </row>
    <row r="137" spans="1:18" ht="36.75" customHeight="1">
      <c r="A137" s="294" t="s">
        <v>2171</v>
      </c>
      <c r="B137" s="295" t="s">
        <v>205</v>
      </c>
      <c r="C137" s="296" t="s">
        <v>23</v>
      </c>
      <c r="D137" s="297">
        <v>231.09</v>
      </c>
      <c r="E137" s="297"/>
      <c r="F137" s="297">
        <f>'數量計算(FOR4變)'!I248</f>
        <v>0</v>
      </c>
      <c r="G137" s="297"/>
      <c r="H137" s="297"/>
      <c r="I137" s="297"/>
      <c r="J137" s="305"/>
      <c r="K137" s="305"/>
      <c r="L137" s="297">
        <v>721.02</v>
      </c>
      <c r="M137" s="297">
        <v>0</v>
      </c>
      <c r="N137" s="297">
        <v>0</v>
      </c>
      <c r="O137" s="297">
        <v>0</v>
      </c>
      <c r="P137" s="297">
        <v>0</v>
      </c>
      <c r="Q137" s="298" t="s">
        <v>242</v>
      </c>
      <c r="R137" s="293" t="s">
        <v>243</v>
      </c>
    </row>
    <row r="138" spans="1:18" ht="36.75" customHeight="1">
      <c r="A138" s="294" t="s">
        <v>2172</v>
      </c>
      <c r="B138" s="295" t="s">
        <v>548</v>
      </c>
      <c r="C138" s="296" t="s">
        <v>13</v>
      </c>
      <c r="D138" s="297">
        <v>183</v>
      </c>
      <c r="E138" s="297">
        <v>27956</v>
      </c>
      <c r="F138" s="297">
        <f>E138</f>
        <v>27956</v>
      </c>
      <c r="G138" s="297"/>
      <c r="H138" s="297"/>
      <c r="I138" s="297"/>
      <c r="J138" s="305"/>
      <c r="K138" s="305"/>
      <c r="L138" s="297">
        <v>28</v>
      </c>
      <c r="M138" s="297">
        <v>850</v>
      </c>
      <c r="N138" s="297">
        <v>18125</v>
      </c>
      <c r="O138" s="297">
        <v>23800</v>
      </c>
      <c r="P138" s="297">
        <v>507500</v>
      </c>
      <c r="Q138" s="298" t="s">
        <v>242</v>
      </c>
      <c r="R138" s="293" t="s">
        <v>243</v>
      </c>
    </row>
    <row r="139" spans="1:18" ht="36.75" customHeight="1">
      <c r="A139" s="294" t="s">
        <v>2173</v>
      </c>
      <c r="B139" s="295" t="s">
        <v>2242</v>
      </c>
      <c r="C139" s="296" t="s">
        <v>8</v>
      </c>
      <c r="D139" s="297">
        <v>322</v>
      </c>
      <c r="E139" s="297"/>
      <c r="F139" s="297">
        <f>D139</f>
        <v>322</v>
      </c>
      <c r="G139" s="297"/>
      <c r="H139" s="297"/>
      <c r="I139" s="297"/>
      <c r="J139" s="305"/>
      <c r="K139" s="305"/>
      <c r="L139" s="297">
        <v>19011.37</v>
      </c>
      <c r="M139" s="297">
        <v>0</v>
      </c>
      <c r="N139" s="297">
        <v>322</v>
      </c>
      <c r="O139" s="297">
        <v>0</v>
      </c>
      <c r="P139" s="297">
        <v>6121661.1399999997</v>
      </c>
      <c r="Q139" s="298" t="s">
        <v>242</v>
      </c>
      <c r="R139" s="293" t="s">
        <v>243</v>
      </c>
    </row>
    <row r="140" spans="1:18" ht="36.75" customHeight="1">
      <c r="A140" s="294" t="s">
        <v>2174</v>
      </c>
      <c r="B140" s="295" t="s">
        <v>552</v>
      </c>
      <c r="C140" s="296" t="s">
        <v>13</v>
      </c>
      <c r="D140" s="297">
        <v>100</v>
      </c>
      <c r="E140" s="297"/>
      <c r="F140" s="297">
        <f t="shared" ref="F140:F155" si="4">D140</f>
        <v>100</v>
      </c>
      <c r="G140" s="297"/>
      <c r="H140" s="297"/>
      <c r="I140" s="297"/>
      <c r="J140" s="305"/>
      <c r="K140" s="305"/>
      <c r="L140" s="297">
        <v>373.08</v>
      </c>
      <c r="M140" s="297">
        <v>0</v>
      </c>
      <c r="N140" s="297">
        <v>0</v>
      </c>
      <c r="O140" s="297">
        <v>0</v>
      </c>
      <c r="P140" s="297">
        <v>0</v>
      </c>
      <c r="Q140" s="298" t="s">
        <v>242</v>
      </c>
      <c r="R140" s="293" t="s">
        <v>243</v>
      </c>
    </row>
    <row r="141" spans="1:18" ht="36.75" customHeight="1">
      <c r="A141" s="294" t="s">
        <v>2175</v>
      </c>
      <c r="B141" s="295" t="s">
        <v>554</v>
      </c>
      <c r="C141" s="296" t="s">
        <v>13</v>
      </c>
      <c r="D141" s="297">
        <v>83</v>
      </c>
      <c r="E141" s="297"/>
      <c r="F141" s="297">
        <f t="shared" si="4"/>
        <v>83</v>
      </c>
      <c r="G141" s="297"/>
      <c r="H141" s="297"/>
      <c r="I141" s="297"/>
      <c r="J141" s="305"/>
      <c r="K141" s="305"/>
      <c r="L141" s="297">
        <v>616.49</v>
      </c>
      <c r="M141" s="297">
        <v>0</v>
      </c>
      <c r="N141" s="297">
        <v>0</v>
      </c>
      <c r="O141" s="297">
        <v>0</v>
      </c>
      <c r="P141" s="297">
        <v>0</v>
      </c>
      <c r="Q141" s="298" t="s">
        <v>242</v>
      </c>
      <c r="R141" s="293" t="s">
        <v>243</v>
      </c>
    </row>
    <row r="142" spans="1:18" ht="36.75" customHeight="1">
      <c r="A142" s="294" t="s">
        <v>2177</v>
      </c>
      <c r="B142" s="295" t="s">
        <v>556</v>
      </c>
      <c r="C142" s="296" t="s">
        <v>13</v>
      </c>
      <c r="D142" s="297">
        <v>2.1</v>
      </c>
      <c r="E142" s="297"/>
      <c r="F142" s="297">
        <f t="shared" si="4"/>
        <v>2.1</v>
      </c>
      <c r="G142" s="297"/>
      <c r="H142" s="297"/>
      <c r="I142" s="297"/>
      <c r="J142" s="305"/>
      <c r="K142" s="305"/>
      <c r="L142" s="297">
        <v>1874.26</v>
      </c>
      <c r="M142" s="297">
        <v>0</v>
      </c>
      <c r="N142" s="297">
        <v>0</v>
      </c>
      <c r="O142" s="297">
        <v>0</v>
      </c>
      <c r="P142" s="297">
        <v>0</v>
      </c>
      <c r="Q142" s="298" t="s">
        <v>242</v>
      </c>
      <c r="R142" s="293" t="s">
        <v>243</v>
      </c>
    </row>
    <row r="143" spans="1:18" ht="36.75" customHeight="1">
      <c r="A143" s="294" t="s">
        <v>2178</v>
      </c>
      <c r="B143" s="295" t="s">
        <v>558</v>
      </c>
      <c r="C143" s="296" t="s">
        <v>8</v>
      </c>
      <c r="D143" s="297">
        <v>62</v>
      </c>
      <c r="E143" s="297"/>
      <c r="F143" s="297">
        <f t="shared" si="4"/>
        <v>62</v>
      </c>
      <c r="G143" s="297"/>
      <c r="H143" s="297"/>
      <c r="I143" s="297"/>
      <c r="J143" s="305"/>
      <c r="K143" s="305"/>
      <c r="L143" s="297">
        <v>2388.4299999999998</v>
      </c>
      <c r="M143" s="297">
        <v>0</v>
      </c>
      <c r="N143" s="297">
        <v>0</v>
      </c>
      <c r="O143" s="297">
        <v>0</v>
      </c>
      <c r="P143" s="297">
        <v>0</v>
      </c>
      <c r="Q143" s="298" t="s">
        <v>242</v>
      </c>
      <c r="R143" s="293" t="s">
        <v>243</v>
      </c>
    </row>
    <row r="144" spans="1:18" ht="36.75" customHeight="1">
      <c r="A144" s="294" t="s">
        <v>2179</v>
      </c>
      <c r="B144" s="295" t="s">
        <v>560</v>
      </c>
      <c r="C144" s="296" t="s">
        <v>8</v>
      </c>
      <c r="D144" s="297">
        <v>33</v>
      </c>
      <c r="E144" s="297"/>
      <c r="F144" s="297">
        <f t="shared" si="4"/>
        <v>33</v>
      </c>
      <c r="G144" s="297"/>
      <c r="H144" s="297"/>
      <c r="I144" s="297"/>
      <c r="J144" s="305"/>
      <c r="K144" s="305"/>
      <c r="L144" s="297">
        <v>12777.68</v>
      </c>
      <c r="M144" s="297">
        <v>0</v>
      </c>
      <c r="N144" s="297">
        <v>0</v>
      </c>
      <c r="O144" s="297">
        <v>0</v>
      </c>
      <c r="P144" s="297">
        <v>0</v>
      </c>
      <c r="Q144" s="298" t="s">
        <v>242</v>
      </c>
      <c r="R144" s="293" t="s">
        <v>243</v>
      </c>
    </row>
    <row r="145" spans="1:18" ht="36.75" customHeight="1">
      <c r="A145" s="294" t="s">
        <v>2181</v>
      </c>
      <c r="B145" s="295" t="s">
        <v>562</v>
      </c>
      <c r="C145" s="296" t="s">
        <v>8</v>
      </c>
      <c r="D145" s="297">
        <v>32.6</v>
      </c>
      <c r="E145" s="297"/>
      <c r="F145" s="297">
        <f t="shared" si="4"/>
        <v>32.6</v>
      </c>
      <c r="G145" s="297"/>
      <c r="H145" s="297"/>
      <c r="I145" s="297"/>
      <c r="J145" s="305"/>
      <c r="K145" s="305"/>
      <c r="L145" s="297">
        <v>71914.34</v>
      </c>
      <c r="M145" s="297">
        <v>0</v>
      </c>
      <c r="N145" s="297">
        <v>0</v>
      </c>
      <c r="O145" s="297">
        <v>0</v>
      </c>
      <c r="P145" s="297">
        <v>0</v>
      </c>
      <c r="Q145" s="298" t="s">
        <v>242</v>
      </c>
      <c r="R145" s="293" t="s">
        <v>243</v>
      </c>
    </row>
    <row r="146" spans="1:18" ht="36.75" customHeight="1">
      <c r="A146" s="294" t="s">
        <v>2182</v>
      </c>
      <c r="B146" s="295" t="s">
        <v>564</v>
      </c>
      <c r="C146" s="296" t="s">
        <v>8</v>
      </c>
      <c r="D146" s="297">
        <v>32.6</v>
      </c>
      <c r="E146" s="297"/>
      <c r="F146" s="297">
        <f t="shared" si="4"/>
        <v>32.6</v>
      </c>
      <c r="G146" s="297"/>
      <c r="H146" s="297"/>
      <c r="I146" s="297"/>
      <c r="J146" s="305"/>
      <c r="K146" s="305"/>
      <c r="L146" s="297">
        <v>189793.78</v>
      </c>
      <c r="M146" s="297">
        <v>0</v>
      </c>
      <c r="N146" s="297">
        <v>0</v>
      </c>
      <c r="O146" s="297">
        <v>0</v>
      </c>
      <c r="P146" s="297">
        <v>0</v>
      </c>
      <c r="Q146" s="298" t="s">
        <v>242</v>
      </c>
      <c r="R146" s="293" t="s">
        <v>243</v>
      </c>
    </row>
    <row r="147" spans="1:18" ht="36.75" customHeight="1">
      <c r="A147" s="294" t="s">
        <v>2183</v>
      </c>
      <c r="B147" s="295" t="s">
        <v>567</v>
      </c>
      <c r="C147" s="296" t="s">
        <v>0</v>
      </c>
      <c r="D147" s="297">
        <v>1</v>
      </c>
      <c r="E147" s="297"/>
      <c r="F147" s="297">
        <f t="shared" si="4"/>
        <v>1</v>
      </c>
      <c r="G147" s="297"/>
      <c r="H147" s="297"/>
      <c r="I147" s="297"/>
      <c r="J147" s="305"/>
      <c r="K147" s="305"/>
      <c r="L147" s="297">
        <v>78208.240000000005</v>
      </c>
      <c r="M147" s="297">
        <v>0</v>
      </c>
      <c r="N147" s="297">
        <v>0</v>
      </c>
      <c r="O147" s="297">
        <v>0</v>
      </c>
      <c r="P147" s="297">
        <v>0</v>
      </c>
      <c r="Q147" s="298" t="s">
        <v>242</v>
      </c>
      <c r="R147" s="293" t="s">
        <v>243</v>
      </c>
    </row>
    <row r="148" spans="1:18" ht="36.75" customHeight="1">
      <c r="A148" s="294" t="s">
        <v>2184</v>
      </c>
      <c r="B148" s="295" t="s">
        <v>570</v>
      </c>
      <c r="C148" s="296" t="s">
        <v>8</v>
      </c>
      <c r="D148" s="297">
        <v>9.6</v>
      </c>
      <c r="E148" s="297"/>
      <c r="F148" s="297">
        <f t="shared" si="4"/>
        <v>9.6</v>
      </c>
      <c r="G148" s="297"/>
      <c r="H148" s="297"/>
      <c r="I148" s="297"/>
      <c r="J148" s="305"/>
      <c r="K148" s="305"/>
      <c r="L148" s="297">
        <v>4213.4799999999996</v>
      </c>
      <c r="M148" s="297">
        <v>0</v>
      </c>
      <c r="N148" s="297">
        <v>0</v>
      </c>
      <c r="O148" s="297">
        <v>0</v>
      </c>
      <c r="P148" s="297">
        <v>0</v>
      </c>
      <c r="Q148" s="298" t="s">
        <v>242</v>
      </c>
      <c r="R148" s="293" t="s">
        <v>243</v>
      </c>
    </row>
    <row r="149" spans="1:18" ht="36.75" customHeight="1">
      <c r="A149" s="294" t="s">
        <v>2185</v>
      </c>
      <c r="B149" s="295" t="s">
        <v>573</v>
      </c>
      <c r="C149" s="296" t="s">
        <v>0</v>
      </c>
      <c r="D149" s="297">
        <v>1</v>
      </c>
      <c r="E149" s="297"/>
      <c r="F149" s="297">
        <f t="shared" si="4"/>
        <v>1</v>
      </c>
      <c r="G149" s="297"/>
      <c r="H149" s="297"/>
      <c r="I149" s="297"/>
      <c r="J149" s="305"/>
      <c r="K149" s="305"/>
      <c r="L149" s="297">
        <v>2005.23</v>
      </c>
      <c r="M149" s="297">
        <v>0</v>
      </c>
      <c r="N149" s="297">
        <v>0</v>
      </c>
      <c r="O149" s="297">
        <v>0</v>
      </c>
      <c r="P149" s="297">
        <v>0</v>
      </c>
      <c r="Q149" s="298" t="s">
        <v>242</v>
      </c>
      <c r="R149" s="293" t="s">
        <v>243</v>
      </c>
    </row>
    <row r="150" spans="1:18" ht="36.75" customHeight="1">
      <c r="A150" s="294" t="s">
        <v>2186</v>
      </c>
      <c r="B150" s="295" t="s">
        <v>576</v>
      </c>
      <c r="C150" s="296" t="s">
        <v>8</v>
      </c>
      <c r="D150" s="297">
        <v>32.6</v>
      </c>
      <c r="E150" s="297"/>
      <c r="F150" s="297">
        <f t="shared" si="4"/>
        <v>32.6</v>
      </c>
      <c r="G150" s="297"/>
      <c r="H150" s="297"/>
      <c r="I150" s="297"/>
      <c r="J150" s="305"/>
      <c r="K150" s="305"/>
      <c r="L150" s="297">
        <v>21727.78</v>
      </c>
      <c r="M150" s="297">
        <v>0</v>
      </c>
      <c r="N150" s="297">
        <v>0</v>
      </c>
      <c r="O150" s="297">
        <v>0</v>
      </c>
      <c r="P150" s="297">
        <v>0</v>
      </c>
      <c r="Q150" s="298" t="s">
        <v>242</v>
      </c>
      <c r="R150" s="293" t="s">
        <v>243</v>
      </c>
    </row>
    <row r="151" spans="1:18" ht="36.75" customHeight="1">
      <c r="A151" s="294" t="s">
        <v>2187</v>
      </c>
      <c r="B151" s="295" t="s">
        <v>579</v>
      </c>
      <c r="C151" s="296" t="s">
        <v>8</v>
      </c>
      <c r="D151" s="297">
        <v>32.6</v>
      </c>
      <c r="E151" s="297"/>
      <c r="F151" s="297">
        <f t="shared" si="4"/>
        <v>32.6</v>
      </c>
      <c r="G151" s="297"/>
      <c r="H151" s="297"/>
      <c r="I151" s="297"/>
      <c r="J151" s="305"/>
      <c r="K151" s="305"/>
      <c r="L151" s="297">
        <v>15955.67</v>
      </c>
      <c r="M151" s="297">
        <v>0</v>
      </c>
      <c r="N151" s="297">
        <v>0</v>
      </c>
      <c r="O151" s="297">
        <v>0</v>
      </c>
      <c r="P151" s="297">
        <v>0</v>
      </c>
      <c r="Q151" s="298" t="s">
        <v>242</v>
      </c>
      <c r="R151" s="293" t="s">
        <v>243</v>
      </c>
    </row>
    <row r="152" spans="1:18" ht="36.75" customHeight="1">
      <c r="A152" s="294" t="s">
        <v>2188</v>
      </c>
      <c r="B152" s="295" t="s">
        <v>582</v>
      </c>
      <c r="C152" s="296" t="s">
        <v>583</v>
      </c>
      <c r="D152" s="297">
        <v>4</v>
      </c>
      <c r="E152" s="297"/>
      <c r="F152" s="297">
        <f t="shared" si="4"/>
        <v>4</v>
      </c>
      <c r="G152" s="297"/>
      <c r="H152" s="297"/>
      <c r="I152" s="297"/>
      <c r="J152" s="305"/>
      <c r="K152" s="305"/>
      <c r="L152" s="297">
        <v>299.98</v>
      </c>
      <c r="M152" s="297">
        <v>0</v>
      </c>
      <c r="N152" s="297">
        <v>4</v>
      </c>
      <c r="O152" s="297">
        <v>0</v>
      </c>
      <c r="P152" s="297">
        <v>1199.92</v>
      </c>
      <c r="Q152" s="298" t="s">
        <v>242</v>
      </c>
      <c r="R152" s="293" t="s">
        <v>243</v>
      </c>
    </row>
    <row r="153" spans="1:18" ht="36.75" customHeight="1">
      <c r="A153" s="294" t="s">
        <v>2189</v>
      </c>
      <c r="B153" s="295" t="s">
        <v>586</v>
      </c>
      <c r="C153" s="296" t="s">
        <v>8</v>
      </c>
      <c r="D153" s="297">
        <v>4.8</v>
      </c>
      <c r="E153" s="297"/>
      <c r="F153" s="297">
        <f t="shared" si="4"/>
        <v>4.8</v>
      </c>
      <c r="G153" s="297"/>
      <c r="H153" s="297"/>
      <c r="I153" s="297"/>
      <c r="J153" s="305"/>
      <c r="K153" s="305"/>
      <c r="L153" s="297">
        <v>119.99</v>
      </c>
      <c r="M153" s="297">
        <v>0</v>
      </c>
      <c r="N153" s="297">
        <v>0</v>
      </c>
      <c r="O153" s="297">
        <v>0</v>
      </c>
      <c r="P153" s="297">
        <v>0</v>
      </c>
      <c r="Q153" s="298" t="s">
        <v>242</v>
      </c>
      <c r="R153" s="293" t="s">
        <v>243</v>
      </c>
    </row>
    <row r="154" spans="1:18" ht="36.75" customHeight="1">
      <c r="A154" s="294" t="s">
        <v>2190</v>
      </c>
      <c r="B154" s="295" t="s">
        <v>589</v>
      </c>
      <c r="C154" s="296" t="s">
        <v>0</v>
      </c>
      <c r="D154" s="297">
        <v>1</v>
      </c>
      <c r="E154" s="297"/>
      <c r="F154" s="297">
        <f t="shared" si="4"/>
        <v>1</v>
      </c>
      <c r="G154" s="297"/>
      <c r="H154" s="297"/>
      <c r="I154" s="297"/>
      <c r="J154" s="305"/>
      <c r="K154" s="305"/>
      <c r="L154" s="297">
        <v>849172.02</v>
      </c>
      <c r="M154" s="297">
        <v>0</v>
      </c>
      <c r="N154" s="297">
        <v>0</v>
      </c>
      <c r="O154" s="297">
        <v>0</v>
      </c>
      <c r="P154" s="297">
        <v>0</v>
      </c>
      <c r="Q154" s="298" t="s">
        <v>242</v>
      </c>
      <c r="R154" s="293" t="s">
        <v>243</v>
      </c>
    </row>
    <row r="155" spans="1:18" ht="36.75" customHeight="1">
      <c r="A155" s="294" t="s">
        <v>2191</v>
      </c>
      <c r="B155" s="295" t="s">
        <v>592</v>
      </c>
      <c r="C155" s="296" t="s">
        <v>0</v>
      </c>
      <c r="D155" s="297">
        <v>1</v>
      </c>
      <c r="E155" s="297"/>
      <c r="F155" s="297">
        <f t="shared" si="4"/>
        <v>1</v>
      </c>
      <c r="G155" s="297"/>
      <c r="H155" s="297"/>
      <c r="I155" s="297"/>
      <c r="J155" s="305"/>
      <c r="K155" s="305"/>
      <c r="L155" s="297">
        <v>2066157.04</v>
      </c>
      <c r="M155" s="297">
        <v>0</v>
      </c>
      <c r="N155" s="297">
        <v>0.8</v>
      </c>
      <c r="O155" s="297">
        <v>0</v>
      </c>
      <c r="P155" s="297">
        <v>1652925.63</v>
      </c>
      <c r="Q155" s="298" t="s">
        <v>242</v>
      </c>
      <c r="R155" s="293" t="s">
        <v>243</v>
      </c>
    </row>
    <row r="156" spans="1:18" ht="36.75" customHeight="1">
      <c r="A156" s="294" t="s">
        <v>2192</v>
      </c>
      <c r="B156" s="295" t="s">
        <v>1360</v>
      </c>
      <c r="C156" s="296" t="s">
        <v>606</v>
      </c>
      <c r="D156" s="297">
        <v>0</v>
      </c>
      <c r="E156" s="297">
        <v>2</v>
      </c>
      <c r="F156" s="297">
        <f>E156</f>
        <v>2</v>
      </c>
      <c r="G156" s="297"/>
      <c r="H156" s="297"/>
      <c r="I156" s="297"/>
      <c r="J156" s="305"/>
      <c r="K156" s="305"/>
      <c r="L156" s="297">
        <v>201796.15</v>
      </c>
      <c r="M156" s="297">
        <v>0</v>
      </c>
      <c r="N156" s="297">
        <v>2</v>
      </c>
      <c r="O156" s="297">
        <v>0</v>
      </c>
      <c r="P156" s="297">
        <v>403592.3</v>
      </c>
      <c r="Q156" s="298" t="s">
        <v>242</v>
      </c>
      <c r="R156" s="293" t="s">
        <v>243</v>
      </c>
    </row>
    <row r="157" spans="1:18" s="240" customFormat="1" ht="36.75" customHeight="1">
      <c r="A157" s="393" t="s">
        <v>2193</v>
      </c>
      <c r="B157" s="394" t="s">
        <v>1362</v>
      </c>
      <c r="C157" s="395" t="s">
        <v>539</v>
      </c>
      <c r="D157" s="396">
        <v>0</v>
      </c>
      <c r="E157" s="396">
        <v>96850</v>
      </c>
      <c r="F157" s="396">
        <f>G157</f>
        <v>96850</v>
      </c>
      <c r="G157" s="396">
        <f>'數量計算(FOR4變)'!I269</f>
        <v>96850</v>
      </c>
      <c r="H157" s="396">
        <f>G157-E157</f>
        <v>0</v>
      </c>
      <c r="I157" s="396">
        <f>ROUND(H157*L157,2)</f>
        <v>0</v>
      </c>
      <c r="J157" s="397"/>
      <c r="K157" s="397"/>
      <c r="L157" s="396">
        <v>16.21</v>
      </c>
      <c r="M157" s="396">
        <v>17135</v>
      </c>
      <c r="N157" s="396">
        <v>64228</v>
      </c>
      <c r="O157" s="396">
        <v>277758.34999999998</v>
      </c>
      <c r="P157" s="396">
        <v>1041135.88</v>
      </c>
      <c r="Q157" s="400" t="s">
        <v>2280</v>
      </c>
      <c r="R157" s="399" t="s">
        <v>243</v>
      </c>
    </row>
    <row r="158" spans="1:18" ht="36.75" customHeight="1">
      <c r="A158" s="294" t="s">
        <v>2194</v>
      </c>
      <c r="B158" s="295" t="s">
        <v>1364</v>
      </c>
      <c r="C158" s="296" t="s">
        <v>15</v>
      </c>
      <c r="D158" s="297">
        <v>0</v>
      </c>
      <c r="E158" s="297">
        <v>18</v>
      </c>
      <c r="F158" s="297">
        <f>E158</f>
        <v>18</v>
      </c>
      <c r="G158" s="297"/>
      <c r="H158" s="297"/>
      <c r="I158" s="297"/>
      <c r="J158" s="305"/>
      <c r="K158" s="305"/>
      <c r="L158" s="297">
        <v>79587.17</v>
      </c>
      <c r="M158" s="297">
        <v>0</v>
      </c>
      <c r="N158" s="297">
        <v>14</v>
      </c>
      <c r="O158" s="297">
        <v>0</v>
      </c>
      <c r="P158" s="297">
        <v>1114220.3799999999</v>
      </c>
      <c r="Q158" s="298" t="s">
        <v>242</v>
      </c>
      <c r="R158" s="293" t="s">
        <v>243</v>
      </c>
    </row>
    <row r="159" spans="1:18" ht="36.75" customHeight="1">
      <c r="A159" s="294" t="s">
        <v>2243</v>
      </c>
      <c r="B159" s="295" t="s">
        <v>594</v>
      </c>
      <c r="C159" s="296" t="s">
        <v>4</v>
      </c>
      <c r="D159" s="297">
        <v>1</v>
      </c>
      <c r="E159" s="297"/>
      <c r="F159" s="297"/>
      <c r="G159" s="297"/>
      <c r="H159" s="297"/>
      <c r="I159" s="297"/>
      <c r="J159" s="305"/>
      <c r="K159" s="305"/>
      <c r="L159" s="297">
        <v>31723888.27</v>
      </c>
      <c r="M159" s="297">
        <v>0</v>
      </c>
      <c r="N159" s="297">
        <v>1</v>
      </c>
      <c r="O159" s="297">
        <v>0</v>
      </c>
      <c r="P159" s="297">
        <v>29313064.390000001</v>
      </c>
      <c r="Q159" s="298" t="s">
        <v>242</v>
      </c>
      <c r="R159" s="293" t="s">
        <v>243</v>
      </c>
    </row>
    <row r="160" spans="1:18" s="240" customFormat="1" ht="36.75" customHeight="1">
      <c r="A160" s="393" t="s">
        <v>2154</v>
      </c>
      <c r="B160" s="394" t="s">
        <v>315</v>
      </c>
      <c r="C160" s="395" t="s">
        <v>6</v>
      </c>
      <c r="D160" s="396">
        <v>22</v>
      </c>
      <c r="E160" s="396"/>
      <c r="F160" s="396">
        <v>22</v>
      </c>
      <c r="G160" s="396">
        <v>22</v>
      </c>
      <c r="H160" s="396"/>
      <c r="I160" s="396"/>
      <c r="J160" s="397"/>
      <c r="K160" s="397"/>
      <c r="L160" s="396">
        <v>3114.97</v>
      </c>
      <c r="M160" s="396">
        <v>0</v>
      </c>
      <c r="N160" s="396">
        <v>22</v>
      </c>
      <c r="O160" s="396">
        <v>0</v>
      </c>
      <c r="P160" s="396">
        <v>68529.34</v>
      </c>
      <c r="Q160" s="398" t="s">
        <v>242</v>
      </c>
      <c r="R160" s="399" t="s">
        <v>243</v>
      </c>
    </row>
    <row r="161" spans="1:20" s="240" customFormat="1" ht="36.75" customHeight="1">
      <c r="A161" s="393" t="s">
        <v>2155</v>
      </c>
      <c r="B161" s="394" t="s">
        <v>24</v>
      </c>
      <c r="C161" s="395" t="s">
        <v>6</v>
      </c>
      <c r="D161" s="396">
        <v>302</v>
      </c>
      <c r="E161" s="396"/>
      <c r="F161" s="396">
        <v>302</v>
      </c>
      <c r="G161" s="396">
        <f>'數量計算(FOR4變)'!I275</f>
        <v>301.99828571428571</v>
      </c>
      <c r="H161" s="396"/>
      <c r="I161" s="396"/>
      <c r="J161" s="397"/>
      <c r="K161" s="459"/>
      <c r="L161" s="396">
        <v>3320.96</v>
      </c>
      <c r="M161" s="396">
        <v>0</v>
      </c>
      <c r="N161" s="396">
        <v>127.15</v>
      </c>
      <c r="O161" s="396">
        <v>0</v>
      </c>
      <c r="P161" s="396">
        <v>422260.06</v>
      </c>
      <c r="Q161" s="400" t="s">
        <v>2272</v>
      </c>
      <c r="R161" s="399" t="s">
        <v>243</v>
      </c>
    </row>
    <row r="162" spans="1:20" ht="36.75" customHeight="1">
      <c r="A162" s="294" t="s">
        <v>2156</v>
      </c>
      <c r="B162" s="295" t="s">
        <v>528</v>
      </c>
      <c r="C162" s="296" t="s">
        <v>6</v>
      </c>
      <c r="D162" s="297">
        <v>766</v>
      </c>
      <c r="E162" s="297">
        <v>0</v>
      </c>
      <c r="F162" s="297">
        <f>E162</f>
        <v>0</v>
      </c>
      <c r="G162" s="297"/>
      <c r="H162" s="297"/>
      <c r="I162" s="297"/>
      <c r="J162" s="305"/>
      <c r="K162" s="305"/>
      <c r="L162" s="297">
        <v>3643.53</v>
      </c>
      <c r="M162" s="297">
        <v>0</v>
      </c>
      <c r="N162" s="297">
        <v>0</v>
      </c>
      <c r="O162" s="297">
        <v>0</v>
      </c>
      <c r="P162" s="297">
        <v>0</v>
      </c>
      <c r="Q162" s="301" t="s">
        <v>2273</v>
      </c>
      <c r="R162" s="293" t="s">
        <v>243</v>
      </c>
    </row>
    <row r="163" spans="1:20" s="240" customFormat="1" ht="36.75" customHeight="1">
      <c r="A163" s="393" t="s">
        <v>2157</v>
      </c>
      <c r="B163" s="394" t="s">
        <v>595</v>
      </c>
      <c r="C163" s="395" t="s">
        <v>6</v>
      </c>
      <c r="D163" s="396">
        <v>1090</v>
      </c>
      <c r="E163" s="396"/>
      <c r="F163" s="396">
        <f>G163</f>
        <v>1501.8982857142857</v>
      </c>
      <c r="G163" s="396">
        <f>'數量計算(FOR4變)'!I281</f>
        <v>1501.8982857142857</v>
      </c>
      <c r="H163" s="396">
        <f>G163-D163</f>
        <v>411.89828571428575</v>
      </c>
      <c r="I163" s="396">
        <f>ROUND(H163*L163,2)</f>
        <v>82375.539999999994</v>
      </c>
      <c r="J163" s="397"/>
      <c r="K163" s="397"/>
      <c r="L163" s="396">
        <v>199.99</v>
      </c>
      <c r="M163" s="396">
        <v>0</v>
      </c>
      <c r="N163" s="396">
        <v>1090</v>
      </c>
      <c r="O163" s="396">
        <v>0</v>
      </c>
      <c r="P163" s="396">
        <v>217989.1</v>
      </c>
      <c r="Q163" s="398" t="s">
        <v>242</v>
      </c>
      <c r="R163" s="399" t="s">
        <v>243</v>
      </c>
      <c r="T163" s="401">
        <f>D160+D161+E186</f>
        <v>1501.9</v>
      </c>
    </row>
    <row r="164" spans="1:20" s="240" customFormat="1" ht="36.75" customHeight="1">
      <c r="A164" s="393" t="s">
        <v>2158</v>
      </c>
      <c r="B164" s="394" t="s">
        <v>534</v>
      </c>
      <c r="C164" s="395" t="s">
        <v>13</v>
      </c>
      <c r="D164" s="396">
        <v>1203</v>
      </c>
      <c r="E164" s="396"/>
      <c r="F164" s="396">
        <f>G164</f>
        <v>1274.9890000000003</v>
      </c>
      <c r="G164" s="396">
        <f>'數量計算(FOR4變)'!I282</f>
        <v>1274.9890000000003</v>
      </c>
      <c r="H164" s="396">
        <f>G164-D164</f>
        <v>71.98900000000026</v>
      </c>
      <c r="I164" s="396">
        <f>ROUND(H164*L164,2)</f>
        <v>70760.149999999994</v>
      </c>
      <c r="J164" s="397"/>
      <c r="K164" s="397"/>
      <c r="L164" s="396">
        <v>982.93</v>
      </c>
      <c r="M164" s="396">
        <v>0</v>
      </c>
      <c r="N164" s="396">
        <v>1203</v>
      </c>
      <c r="O164" s="396">
        <v>0</v>
      </c>
      <c r="P164" s="396">
        <v>1182464.79</v>
      </c>
      <c r="Q164" s="398" t="s">
        <v>242</v>
      </c>
      <c r="R164" s="399" t="s">
        <v>243</v>
      </c>
    </row>
    <row r="165" spans="1:20" s="240" customFormat="1" ht="36.75" customHeight="1">
      <c r="A165" s="393" t="s">
        <v>2159</v>
      </c>
      <c r="B165" s="394" t="s">
        <v>536</v>
      </c>
      <c r="C165" s="395" t="s">
        <v>13</v>
      </c>
      <c r="D165" s="396">
        <v>393</v>
      </c>
      <c r="E165" s="396"/>
      <c r="F165" s="396">
        <f>G165</f>
        <v>821.92359999999985</v>
      </c>
      <c r="G165" s="396">
        <f>'數量計算(FOR4變)'!I288</f>
        <v>821.92359999999985</v>
      </c>
      <c r="H165" s="396">
        <f>G165-D165</f>
        <v>428.92359999999985</v>
      </c>
      <c r="I165" s="396">
        <f>ROUND(H165*L165,2)</f>
        <v>345176.27</v>
      </c>
      <c r="J165" s="397"/>
      <c r="K165" s="397"/>
      <c r="L165" s="396">
        <v>804.75</v>
      </c>
      <c r="M165" s="396">
        <v>0</v>
      </c>
      <c r="N165" s="396">
        <v>393</v>
      </c>
      <c r="O165" s="396">
        <v>0</v>
      </c>
      <c r="P165" s="396">
        <v>316266.75</v>
      </c>
      <c r="Q165" s="398" t="s">
        <v>242</v>
      </c>
      <c r="R165" s="399" t="s">
        <v>243</v>
      </c>
    </row>
    <row r="166" spans="1:20" s="240" customFormat="1" ht="36.75" customHeight="1">
      <c r="A166" s="393" t="s">
        <v>2160</v>
      </c>
      <c r="B166" s="394" t="s">
        <v>192</v>
      </c>
      <c r="C166" s="395" t="s">
        <v>17</v>
      </c>
      <c r="D166" s="396">
        <v>13138</v>
      </c>
      <c r="E166" s="396"/>
      <c r="F166" s="396">
        <f>G166</f>
        <v>35217.512975700003</v>
      </c>
      <c r="G166" s="396">
        <f>'數量計算(FOR4變)'!I296</f>
        <v>35217.512975700003</v>
      </c>
      <c r="H166" s="396">
        <f>G166-D166</f>
        <v>22079.512975700003</v>
      </c>
      <c r="I166" s="396">
        <f>ROUND(H166*L166,2)</f>
        <v>803694.27</v>
      </c>
      <c r="J166" s="397"/>
      <c r="K166" s="397"/>
      <c r="L166" s="396">
        <v>36.4</v>
      </c>
      <c r="M166" s="396">
        <v>0</v>
      </c>
      <c r="N166" s="396">
        <v>13138</v>
      </c>
      <c r="O166" s="396">
        <v>0</v>
      </c>
      <c r="P166" s="396">
        <v>478223.2</v>
      </c>
      <c r="Q166" s="398" t="s">
        <v>242</v>
      </c>
      <c r="R166" s="399" t="s">
        <v>243</v>
      </c>
    </row>
    <row r="167" spans="1:20" s="240" customFormat="1" ht="36.75" customHeight="1">
      <c r="A167" s="393" t="s">
        <v>2161</v>
      </c>
      <c r="B167" s="394" t="s">
        <v>530</v>
      </c>
      <c r="C167" s="395" t="s">
        <v>17</v>
      </c>
      <c r="D167" s="396">
        <v>15589</v>
      </c>
      <c r="E167" s="396"/>
      <c r="F167" s="396">
        <f>G167</f>
        <v>25125.1749375</v>
      </c>
      <c r="G167" s="396">
        <f>'數量計算(FOR4變)'!I308</f>
        <v>25125.1749375</v>
      </c>
      <c r="H167" s="396">
        <f>G167-D167</f>
        <v>9536.1749374999999</v>
      </c>
      <c r="I167" s="396">
        <f>ROUND(H167*L167,2)</f>
        <v>369145.33</v>
      </c>
      <c r="J167" s="397"/>
      <c r="K167" s="397"/>
      <c r="L167" s="396">
        <v>38.71</v>
      </c>
      <c r="M167" s="396">
        <v>0</v>
      </c>
      <c r="N167" s="396">
        <v>15561</v>
      </c>
      <c r="O167" s="396">
        <v>0</v>
      </c>
      <c r="P167" s="396">
        <v>602366.31000000006</v>
      </c>
      <c r="Q167" s="398" t="s">
        <v>242</v>
      </c>
      <c r="R167" s="399" t="s">
        <v>243</v>
      </c>
    </row>
    <row r="168" spans="1:20" ht="36.75" customHeight="1">
      <c r="A168" s="294" t="s">
        <v>2162</v>
      </c>
      <c r="B168" s="295" t="s">
        <v>597</v>
      </c>
      <c r="C168" s="296" t="s">
        <v>13</v>
      </c>
      <c r="D168" s="297">
        <v>776</v>
      </c>
      <c r="E168" s="297"/>
      <c r="F168" s="297">
        <f>D168</f>
        <v>776</v>
      </c>
      <c r="G168" s="297"/>
      <c r="H168" s="297"/>
      <c r="I168" s="297"/>
      <c r="J168" s="305"/>
      <c r="K168" s="305"/>
      <c r="L168" s="297">
        <v>2510.64</v>
      </c>
      <c r="M168" s="297">
        <v>0</v>
      </c>
      <c r="N168" s="297">
        <v>776</v>
      </c>
      <c r="O168" s="297">
        <v>0</v>
      </c>
      <c r="P168" s="297">
        <v>1948256.64</v>
      </c>
      <c r="Q168" s="298" t="s">
        <v>242</v>
      </c>
      <c r="R168" s="293" t="s">
        <v>243</v>
      </c>
    </row>
    <row r="169" spans="1:20" s="240" customFormat="1" ht="36.75" customHeight="1">
      <c r="A169" s="393" t="s">
        <v>2163</v>
      </c>
      <c r="B169" s="394" t="s">
        <v>599</v>
      </c>
      <c r="C169" s="395" t="s">
        <v>223</v>
      </c>
      <c r="D169" s="396">
        <v>235</v>
      </c>
      <c r="E169" s="396"/>
      <c r="F169" s="396">
        <f>G169</f>
        <v>251.85</v>
      </c>
      <c r="G169" s="396">
        <f>'數量計算(FOR4變)'!I313</f>
        <v>251.85</v>
      </c>
      <c r="H169" s="396">
        <f>G169-D169</f>
        <v>16.849999999999994</v>
      </c>
      <c r="I169" s="396">
        <f>ROUND(H169*L169,2)</f>
        <v>55568.94</v>
      </c>
      <c r="J169" s="397"/>
      <c r="K169" s="397"/>
      <c r="L169" s="396">
        <v>3297.86</v>
      </c>
      <c r="M169" s="396">
        <v>0</v>
      </c>
      <c r="N169" s="396">
        <v>235</v>
      </c>
      <c r="O169" s="396">
        <v>0</v>
      </c>
      <c r="P169" s="396">
        <v>774997.1</v>
      </c>
      <c r="Q169" s="398" t="s">
        <v>242</v>
      </c>
      <c r="R169" s="399" t="s">
        <v>243</v>
      </c>
    </row>
    <row r="170" spans="1:20" s="240" customFormat="1" ht="36.75" customHeight="1">
      <c r="A170" s="393" t="s">
        <v>2164</v>
      </c>
      <c r="B170" s="394" t="s">
        <v>601</v>
      </c>
      <c r="C170" s="395" t="s">
        <v>13</v>
      </c>
      <c r="D170" s="396">
        <v>102</v>
      </c>
      <c r="E170" s="396"/>
      <c r="F170" s="396">
        <f>G170</f>
        <v>173.82</v>
      </c>
      <c r="G170" s="396">
        <f>'數量計算(FOR4變)'!I314</f>
        <v>173.82</v>
      </c>
      <c r="H170" s="396">
        <f>G170-D170</f>
        <v>71.819999999999993</v>
      </c>
      <c r="I170" s="396">
        <f>ROUND(H170*L170,2)</f>
        <v>212013.36</v>
      </c>
      <c r="J170" s="397"/>
      <c r="K170" s="397"/>
      <c r="L170" s="396">
        <v>2952.01</v>
      </c>
      <c r="M170" s="396">
        <v>0</v>
      </c>
      <c r="N170" s="396">
        <v>102</v>
      </c>
      <c r="O170" s="396">
        <v>0</v>
      </c>
      <c r="P170" s="396">
        <v>301105.02</v>
      </c>
      <c r="Q170" s="398" t="s">
        <v>242</v>
      </c>
      <c r="R170" s="399" t="s">
        <v>243</v>
      </c>
    </row>
    <row r="171" spans="1:20" s="240" customFormat="1" ht="36.75" customHeight="1">
      <c r="A171" s="393" t="s">
        <v>2165</v>
      </c>
      <c r="B171" s="394" t="s">
        <v>603</v>
      </c>
      <c r="C171" s="395" t="s">
        <v>13</v>
      </c>
      <c r="D171" s="396">
        <v>400</v>
      </c>
      <c r="E171" s="396"/>
      <c r="F171" s="396">
        <f>D171</f>
        <v>400</v>
      </c>
      <c r="G171" s="396">
        <f>'數量計算(FOR4變)'!I315</f>
        <v>841.36400000000003</v>
      </c>
      <c r="H171" s="396">
        <f>G171-D171</f>
        <v>441.36400000000003</v>
      </c>
      <c r="I171" s="396">
        <f>ROUND(H171*L171,2)</f>
        <v>641959.52</v>
      </c>
      <c r="J171" s="397"/>
      <c r="K171" s="397"/>
      <c r="L171" s="396">
        <v>1454.49</v>
      </c>
      <c r="M171" s="396">
        <v>0</v>
      </c>
      <c r="N171" s="396">
        <v>0</v>
      </c>
      <c r="O171" s="396">
        <v>0</v>
      </c>
      <c r="P171" s="396">
        <v>0</v>
      </c>
      <c r="Q171" s="398" t="s">
        <v>242</v>
      </c>
      <c r="R171" s="399" t="s">
        <v>243</v>
      </c>
      <c r="S171" s="433" t="s">
        <v>2993</v>
      </c>
    </row>
    <row r="172" spans="1:20" ht="36.75" customHeight="1">
      <c r="A172" s="294" t="s">
        <v>2166</v>
      </c>
      <c r="B172" s="295" t="s">
        <v>605</v>
      </c>
      <c r="C172" s="296" t="s">
        <v>606</v>
      </c>
      <c r="D172" s="297">
        <v>333</v>
      </c>
      <c r="E172" s="297"/>
      <c r="F172" s="297">
        <f>D172</f>
        <v>333</v>
      </c>
      <c r="G172" s="297"/>
      <c r="H172" s="297"/>
      <c r="I172" s="297"/>
      <c r="J172" s="305"/>
      <c r="K172" s="305"/>
      <c r="L172" s="297">
        <v>434.98</v>
      </c>
      <c r="M172" s="297">
        <v>0</v>
      </c>
      <c r="N172" s="297">
        <v>333</v>
      </c>
      <c r="O172" s="297">
        <v>0</v>
      </c>
      <c r="P172" s="297">
        <v>144848.34</v>
      </c>
      <c r="Q172" s="298" t="s">
        <v>242</v>
      </c>
      <c r="R172" s="293" t="s">
        <v>243</v>
      </c>
    </row>
    <row r="173" spans="1:20" ht="36.75" customHeight="1">
      <c r="A173" s="393" t="s">
        <v>2167</v>
      </c>
      <c r="B173" s="394" t="s">
        <v>608</v>
      </c>
      <c r="C173" s="395" t="s">
        <v>13</v>
      </c>
      <c r="D173" s="396">
        <v>1702</v>
      </c>
      <c r="E173" s="396"/>
      <c r="F173" s="396">
        <f>D173</f>
        <v>1702</v>
      </c>
      <c r="G173" s="396">
        <f>'數量計算(FOR4變)'!I329</f>
        <v>1702</v>
      </c>
      <c r="H173" s="396"/>
      <c r="I173" s="396"/>
      <c r="J173" s="397">
        <f>G173-F173</f>
        <v>0</v>
      </c>
      <c r="K173" s="459">
        <f>ROUND(J173*L173,2)</f>
        <v>0</v>
      </c>
      <c r="L173" s="396">
        <v>885.76</v>
      </c>
      <c r="M173" s="396">
        <v>0</v>
      </c>
      <c r="N173" s="396">
        <v>1182.83</v>
      </c>
      <c r="O173" s="396">
        <v>0</v>
      </c>
      <c r="P173" s="396">
        <v>1047703.5</v>
      </c>
      <c r="Q173" s="398" t="s">
        <v>242</v>
      </c>
      <c r="R173" s="293" t="s">
        <v>243</v>
      </c>
    </row>
    <row r="174" spans="1:20" s="240" customFormat="1" ht="36.75" customHeight="1">
      <c r="A174" s="393" t="s">
        <v>2168</v>
      </c>
      <c r="B174" s="394" t="s">
        <v>357</v>
      </c>
      <c r="C174" s="395" t="s">
        <v>8</v>
      </c>
      <c r="D174" s="396">
        <v>49</v>
      </c>
      <c r="E174" s="396"/>
      <c r="F174" s="396">
        <f>G174</f>
        <v>49</v>
      </c>
      <c r="G174" s="396">
        <f>'數量計算(FOR4變)'!I330</f>
        <v>49</v>
      </c>
      <c r="H174" s="396">
        <f>G174-D174</f>
        <v>0</v>
      </c>
      <c r="I174" s="396">
        <f>ROUND(H174*L174,2)</f>
        <v>0</v>
      </c>
      <c r="J174" s="397"/>
      <c r="K174" s="397"/>
      <c r="L174" s="396">
        <v>138.84</v>
      </c>
      <c r="M174" s="396">
        <v>0</v>
      </c>
      <c r="N174" s="396">
        <v>49</v>
      </c>
      <c r="O174" s="396">
        <v>0</v>
      </c>
      <c r="P174" s="396">
        <v>6803.16</v>
      </c>
      <c r="Q174" s="398" t="s">
        <v>242</v>
      </c>
      <c r="R174" s="399" t="s">
        <v>243</v>
      </c>
    </row>
    <row r="175" spans="1:20" s="240" customFormat="1" ht="36.75" customHeight="1">
      <c r="A175" s="393" t="s">
        <v>2169</v>
      </c>
      <c r="B175" s="394" t="s">
        <v>611</v>
      </c>
      <c r="C175" s="395" t="s">
        <v>8</v>
      </c>
      <c r="D175" s="396">
        <v>85</v>
      </c>
      <c r="E175" s="396"/>
      <c r="F175" s="396">
        <f>G175</f>
        <v>85</v>
      </c>
      <c r="G175" s="396">
        <f>'數量計算(FOR4變)'!I331</f>
        <v>85</v>
      </c>
      <c r="H175" s="396">
        <f>G175-D175</f>
        <v>0</v>
      </c>
      <c r="I175" s="396">
        <f>ROUND(H175*L175,2)</f>
        <v>0</v>
      </c>
      <c r="J175" s="397"/>
      <c r="K175" s="397"/>
      <c r="L175" s="396">
        <v>326.27999999999997</v>
      </c>
      <c r="M175" s="396">
        <v>0</v>
      </c>
      <c r="N175" s="396">
        <v>85</v>
      </c>
      <c r="O175" s="396">
        <v>0</v>
      </c>
      <c r="P175" s="396">
        <v>27733.8</v>
      </c>
      <c r="Q175" s="398" t="s">
        <v>242</v>
      </c>
      <c r="R175" s="399" t="s">
        <v>243</v>
      </c>
    </row>
    <row r="176" spans="1:20" ht="36.75" customHeight="1">
      <c r="A176" s="521" t="s">
        <v>2170</v>
      </c>
      <c r="B176" s="522" t="s">
        <v>222</v>
      </c>
      <c r="C176" s="523" t="s">
        <v>13</v>
      </c>
      <c r="D176" s="524">
        <v>385</v>
      </c>
      <c r="E176" s="524"/>
      <c r="F176" s="524">
        <f>G176</f>
        <v>2005</v>
      </c>
      <c r="G176" s="524">
        <f>'數量計算(FOR4變)'!I332</f>
        <v>2005</v>
      </c>
      <c r="H176" s="396">
        <f>G176-D176</f>
        <v>1620</v>
      </c>
      <c r="I176" s="396">
        <f>ROUND(H176*L176,2)</f>
        <v>1121234.3999999999</v>
      </c>
      <c r="J176" s="525"/>
      <c r="K176" s="525"/>
      <c r="L176" s="524">
        <v>692.12</v>
      </c>
      <c r="M176" s="524">
        <v>0</v>
      </c>
      <c r="N176" s="524">
        <v>385</v>
      </c>
      <c r="O176" s="524">
        <v>0</v>
      </c>
      <c r="P176" s="524">
        <v>266466.2</v>
      </c>
      <c r="Q176" s="526" t="s">
        <v>242</v>
      </c>
      <c r="R176" s="293" t="s">
        <v>243</v>
      </c>
    </row>
    <row r="177" spans="1:18" ht="36.75" customHeight="1">
      <c r="A177" s="294" t="s">
        <v>2171</v>
      </c>
      <c r="B177" s="295" t="s">
        <v>615</v>
      </c>
      <c r="C177" s="296" t="s">
        <v>8</v>
      </c>
      <c r="D177" s="297">
        <v>686</v>
      </c>
      <c r="E177" s="297">
        <v>0</v>
      </c>
      <c r="F177" s="297">
        <f>E177</f>
        <v>0</v>
      </c>
      <c r="G177" s="297"/>
      <c r="H177" s="297"/>
      <c r="I177" s="297"/>
      <c r="J177" s="305"/>
      <c r="K177" s="305"/>
      <c r="L177" s="297">
        <v>1706.44</v>
      </c>
      <c r="M177" s="297">
        <v>0</v>
      </c>
      <c r="N177" s="297">
        <v>0</v>
      </c>
      <c r="O177" s="297">
        <v>0</v>
      </c>
      <c r="P177" s="297">
        <v>0</v>
      </c>
      <c r="Q177" s="298" t="s">
        <v>242</v>
      </c>
      <c r="R177" s="293" t="s">
        <v>243</v>
      </c>
    </row>
    <row r="178" spans="1:18" ht="36.75" customHeight="1">
      <c r="A178" s="294" t="s">
        <v>2172</v>
      </c>
      <c r="B178" s="295" t="s">
        <v>618</v>
      </c>
      <c r="C178" s="296" t="s">
        <v>23</v>
      </c>
      <c r="D178" s="297">
        <v>1070.5</v>
      </c>
      <c r="E178" s="297"/>
      <c r="F178" s="297">
        <f>D178</f>
        <v>1070.5</v>
      </c>
      <c r="G178" s="297"/>
      <c r="H178" s="297"/>
      <c r="I178" s="297"/>
      <c r="J178" s="305"/>
      <c r="K178" s="305"/>
      <c r="L178" s="297">
        <v>49</v>
      </c>
      <c r="M178" s="297">
        <v>0</v>
      </c>
      <c r="N178" s="297">
        <v>1070.5</v>
      </c>
      <c r="O178" s="297">
        <v>0</v>
      </c>
      <c r="P178" s="297">
        <v>52454.5</v>
      </c>
      <c r="Q178" s="298" t="s">
        <v>242</v>
      </c>
      <c r="R178" s="293" t="s">
        <v>243</v>
      </c>
    </row>
    <row r="179" spans="1:18" ht="36.75" customHeight="1">
      <c r="A179" s="294" t="s">
        <v>2173</v>
      </c>
      <c r="B179" s="295" t="s">
        <v>621</v>
      </c>
      <c r="C179" s="296" t="s">
        <v>19</v>
      </c>
      <c r="D179" s="297">
        <v>2</v>
      </c>
      <c r="E179" s="297"/>
      <c r="F179" s="297">
        <f>D179</f>
        <v>2</v>
      </c>
      <c r="G179" s="297"/>
      <c r="H179" s="297"/>
      <c r="I179" s="297"/>
      <c r="J179" s="305"/>
      <c r="K179" s="305"/>
      <c r="L179" s="297">
        <v>5349708.26</v>
      </c>
      <c r="M179" s="297">
        <v>0</v>
      </c>
      <c r="N179" s="297">
        <v>1.9</v>
      </c>
      <c r="O179" s="297">
        <v>0</v>
      </c>
      <c r="P179" s="297">
        <v>10164445.689999999</v>
      </c>
      <c r="Q179" s="298" t="s">
        <v>242</v>
      </c>
      <c r="R179" s="293" t="s">
        <v>243</v>
      </c>
    </row>
    <row r="180" spans="1:18" ht="36.75" customHeight="1">
      <c r="A180" s="294" t="s">
        <v>2174</v>
      </c>
      <c r="B180" s="295" t="s">
        <v>1368</v>
      </c>
      <c r="C180" s="296" t="s">
        <v>8</v>
      </c>
      <c r="D180" s="297">
        <v>0</v>
      </c>
      <c r="E180" s="297">
        <v>571.08000000000004</v>
      </c>
      <c r="F180" s="297">
        <f>E180</f>
        <v>571.08000000000004</v>
      </c>
      <c r="G180" s="297"/>
      <c r="H180" s="297"/>
      <c r="I180" s="297"/>
      <c r="J180" s="305"/>
      <c r="K180" s="305"/>
      <c r="L180" s="297">
        <v>5456.33</v>
      </c>
      <c r="M180" s="297">
        <v>0</v>
      </c>
      <c r="N180" s="297">
        <v>571</v>
      </c>
      <c r="O180" s="297">
        <v>0</v>
      </c>
      <c r="P180" s="297">
        <v>3115564.43</v>
      </c>
      <c r="Q180" s="298" t="s">
        <v>242</v>
      </c>
      <c r="R180" s="293" t="s">
        <v>243</v>
      </c>
    </row>
    <row r="181" spans="1:18" ht="36.75" customHeight="1">
      <c r="A181" s="294" t="s">
        <v>2175</v>
      </c>
      <c r="B181" s="295" t="s">
        <v>1370</v>
      </c>
      <c r="C181" s="296" t="s">
        <v>6</v>
      </c>
      <c r="D181" s="297">
        <v>0</v>
      </c>
      <c r="E181" s="297">
        <v>161.38999999999999</v>
      </c>
      <c r="F181" s="297">
        <f>'數量計算(FOR4變)'!I337</f>
        <v>0</v>
      </c>
      <c r="G181" s="297"/>
      <c r="H181" s="297"/>
      <c r="I181" s="297"/>
      <c r="J181" s="305"/>
      <c r="K181" s="305"/>
      <c r="L181" s="297">
        <v>1481.84</v>
      </c>
      <c r="M181" s="297">
        <v>0</v>
      </c>
      <c r="N181" s="297">
        <v>0</v>
      </c>
      <c r="O181" s="297">
        <v>0</v>
      </c>
      <c r="P181" s="297">
        <v>0</v>
      </c>
      <c r="Q181" s="298" t="s">
        <v>242</v>
      </c>
      <c r="R181" s="293" t="s">
        <v>243</v>
      </c>
    </row>
    <row r="182" spans="1:18" s="240" customFormat="1" ht="36.75" customHeight="1">
      <c r="A182" s="393" t="s">
        <v>2177</v>
      </c>
      <c r="B182" s="394" t="s">
        <v>1372</v>
      </c>
      <c r="C182" s="395" t="s">
        <v>13</v>
      </c>
      <c r="D182" s="396">
        <v>0</v>
      </c>
      <c r="E182" s="396">
        <v>634.14</v>
      </c>
      <c r="F182" s="396">
        <f>G182</f>
        <v>776.79333333333329</v>
      </c>
      <c r="G182" s="396">
        <f>'數量計算(FOR4變)'!I338</f>
        <v>776.79333333333329</v>
      </c>
      <c r="H182" s="396">
        <f>G182-E182</f>
        <v>142.65333333333331</v>
      </c>
      <c r="I182" s="396">
        <f>ROUND(H182*L182,2)</f>
        <v>445171.12</v>
      </c>
      <c r="J182" s="397"/>
      <c r="K182" s="397"/>
      <c r="L182" s="396">
        <v>3120.65</v>
      </c>
      <c r="M182" s="396">
        <v>0</v>
      </c>
      <c r="N182" s="396">
        <v>632</v>
      </c>
      <c r="O182" s="396">
        <v>0</v>
      </c>
      <c r="P182" s="396">
        <v>1972250.8</v>
      </c>
      <c r="Q182" s="398" t="s">
        <v>242</v>
      </c>
      <c r="R182" s="399" t="s">
        <v>243</v>
      </c>
    </row>
    <row r="183" spans="1:18" ht="36.75" customHeight="1">
      <c r="A183" s="294" t="s">
        <v>2178</v>
      </c>
      <c r="B183" s="295" t="s">
        <v>586</v>
      </c>
      <c r="C183" s="296" t="s">
        <v>8</v>
      </c>
      <c r="D183" s="297">
        <v>0</v>
      </c>
      <c r="E183" s="297">
        <v>343.5</v>
      </c>
      <c r="F183" s="297">
        <f>E183</f>
        <v>343.5</v>
      </c>
      <c r="G183" s="297">
        <f>'數量計算(FOR4變)'!I340</f>
        <v>347.1</v>
      </c>
      <c r="H183" s="297">
        <f>G183-E183</f>
        <v>3.6000000000000227</v>
      </c>
      <c r="I183" s="297">
        <f>ROUND(H183*L183,2)</f>
        <v>431.96</v>
      </c>
      <c r="J183" s="305"/>
      <c r="K183" s="305"/>
      <c r="L183" s="297">
        <v>119.99</v>
      </c>
      <c r="M183" s="297">
        <v>0</v>
      </c>
      <c r="N183" s="297">
        <v>343.5</v>
      </c>
      <c r="O183" s="297">
        <v>0</v>
      </c>
      <c r="P183" s="297">
        <v>41216.57</v>
      </c>
      <c r="Q183" s="457" t="s">
        <v>2516</v>
      </c>
      <c r="R183" s="293" t="s">
        <v>243</v>
      </c>
    </row>
    <row r="184" spans="1:18" ht="36.75" customHeight="1">
      <c r="A184" s="294" t="s">
        <v>2179</v>
      </c>
      <c r="B184" s="295" t="s">
        <v>1375</v>
      </c>
      <c r="C184" s="296" t="s">
        <v>7</v>
      </c>
      <c r="D184" s="297">
        <v>0</v>
      </c>
      <c r="E184" s="297">
        <v>451</v>
      </c>
      <c r="F184" s="297">
        <f>E184</f>
        <v>451</v>
      </c>
      <c r="G184" s="297">
        <f>'數量計算(FOR4變)'!I341</f>
        <v>463</v>
      </c>
      <c r="H184" s="297">
        <f>G184-E184</f>
        <v>12</v>
      </c>
      <c r="I184" s="297">
        <f>ROUND(H184*L184,2)</f>
        <v>3899.64</v>
      </c>
      <c r="J184" s="305"/>
      <c r="K184" s="305"/>
      <c r="L184" s="297">
        <v>324.97000000000003</v>
      </c>
      <c r="M184" s="297">
        <v>0</v>
      </c>
      <c r="N184" s="297">
        <v>432</v>
      </c>
      <c r="O184" s="297">
        <v>0</v>
      </c>
      <c r="P184" s="297">
        <v>140387.04</v>
      </c>
      <c r="Q184" s="458" t="s">
        <v>2516</v>
      </c>
      <c r="R184" s="293" t="s">
        <v>243</v>
      </c>
    </row>
    <row r="185" spans="1:18" ht="36.75" customHeight="1">
      <c r="A185" s="294" t="s">
        <v>2181</v>
      </c>
      <c r="B185" s="295" t="s">
        <v>1377</v>
      </c>
      <c r="C185" s="296" t="s">
        <v>6</v>
      </c>
      <c r="D185" s="297">
        <v>0</v>
      </c>
      <c r="E185" s="297">
        <v>1513</v>
      </c>
      <c r="F185" s="297">
        <f>E185</f>
        <v>1513</v>
      </c>
      <c r="G185" s="297"/>
      <c r="H185" s="297"/>
      <c r="I185" s="297"/>
      <c r="J185" s="305"/>
      <c r="K185" s="305"/>
      <c r="L185" s="297">
        <v>926.62</v>
      </c>
      <c r="M185" s="297">
        <v>0</v>
      </c>
      <c r="N185" s="297">
        <v>1513</v>
      </c>
      <c r="O185" s="297">
        <v>0</v>
      </c>
      <c r="P185" s="297">
        <v>1401976.06</v>
      </c>
      <c r="Q185" s="298" t="s">
        <v>242</v>
      </c>
      <c r="R185" s="293" t="s">
        <v>243</v>
      </c>
    </row>
    <row r="186" spans="1:18" s="240" customFormat="1" ht="36.75" customHeight="1">
      <c r="A186" s="393" t="s">
        <v>2182</v>
      </c>
      <c r="B186" s="394" t="s">
        <v>1365</v>
      </c>
      <c r="C186" s="395" t="s">
        <v>6</v>
      </c>
      <c r="D186" s="396">
        <v>0</v>
      </c>
      <c r="E186" s="396">
        <v>1177.9000000000001</v>
      </c>
      <c r="F186" s="396">
        <f>G186</f>
        <v>1177.9000000000001</v>
      </c>
      <c r="G186" s="396">
        <f>'數量計算(FOR4變)'!I343</f>
        <v>1177.9000000000001</v>
      </c>
      <c r="H186" s="396">
        <f>G186-E186</f>
        <v>0</v>
      </c>
      <c r="I186" s="396">
        <f>ROUND(H186*L186,2)</f>
        <v>0</v>
      </c>
      <c r="J186" s="397"/>
      <c r="K186" s="397"/>
      <c r="L186" s="396">
        <v>3832.9</v>
      </c>
      <c r="M186" s="396">
        <v>0</v>
      </c>
      <c r="N186" s="396">
        <v>1177.9000000000001</v>
      </c>
      <c r="O186" s="396">
        <v>0</v>
      </c>
      <c r="P186" s="396">
        <v>4514772.91</v>
      </c>
      <c r="Q186" s="398" t="s">
        <v>242</v>
      </c>
      <c r="R186" s="399" t="s">
        <v>243</v>
      </c>
    </row>
    <row r="187" spans="1:18" s="240" customFormat="1" ht="36.75" customHeight="1">
      <c r="A187" s="393" t="s">
        <v>2183</v>
      </c>
      <c r="B187" s="394" t="s">
        <v>1380</v>
      </c>
      <c r="C187" s="395" t="s">
        <v>13</v>
      </c>
      <c r="D187" s="396">
        <v>0</v>
      </c>
      <c r="E187" s="396">
        <v>442.5</v>
      </c>
      <c r="F187" s="396">
        <f>G187</f>
        <v>734.29600000000005</v>
      </c>
      <c r="G187" s="396">
        <f>'數量計算(FOR4變)'!I350</f>
        <v>734.29600000000005</v>
      </c>
      <c r="H187" s="396">
        <f>G187-E187</f>
        <v>291.79600000000005</v>
      </c>
      <c r="I187" s="396">
        <f>ROUND(H187*L187,2)</f>
        <v>68569.14</v>
      </c>
      <c r="J187" s="397"/>
      <c r="K187" s="397"/>
      <c r="L187" s="396">
        <v>234.99</v>
      </c>
      <c r="M187" s="396">
        <v>0</v>
      </c>
      <c r="N187" s="396">
        <v>442.5</v>
      </c>
      <c r="O187" s="396">
        <v>0</v>
      </c>
      <c r="P187" s="396">
        <v>103983.08</v>
      </c>
      <c r="Q187" s="398" t="s">
        <v>242</v>
      </c>
      <c r="R187" s="399" t="s">
        <v>243</v>
      </c>
    </row>
    <row r="188" spans="1:18" ht="36.75" customHeight="1">
      <c r="A188" s="294" t="s">
        <v>2244</v>
      </c>
      <c r="B188" s="295" t="s">
        <v>623</v>
      </c>
      <c r="C188" s="296" t="s">
        <v>4</v>
      </c>
      <c r="D188" s="297">
        <v>1</v>
      </c>
      <c r="E188" s="297"/>
      <c r="F188" s="297"/>
      <c r="G188" s="297"/>
      <c r="H188" s="297"/>
      <c r="I188" s="297"/>
      <c r="J188" s="305"/>
      <c r="K188" s="305"/>
      <c r="L188" s="297">
        <v>28004421.199999999</v>
      </c>
      <c r="M188" s="297">
        <v>1</v>
      </c>
      <c r="N188" s="297">
        <v>1</v>
      </c>
      <c r="O188" s="297">
        <v>261564.57</v>
      </c>
      <c r="P188" s="297">
        <v>25597466.719999999</v>
      </c>
      <c r="Q188" s="298" t="s">
        <v>242</v>
      </c>
      <c r="R188" s="293" t="s">
        <v>243</v>
      </c>
    </row>
    <row r="189" spans="1:18" s="240" customFormat="1" ht="36.75" customHeight="1">
      <c r="A189" s="393" t="s">
        <v>2154</v>
      </c>
      <c r="B189" s="394" t="s">
        <v>315</v>
      </c>
      <c r="C189" s="395" t="s">
        <v>6</v>
      </c>
      <c r="D189" s="396">
        <v>252</v>
      </c>
      <c r="E189" s="396"/>
      <c r="F189" s="396">
        <f>G189</f>
        <v>109.33</v>
      </c>
      <c r="G189" s="396">
        <f>'數量計算(FOR4變)'!I354</f>
        <v>109.33</v>
      </c>
      <c r="H189" s="396"/>
      <c r="I189" s="396"/>
      <c r="J189" s="397">
        <f>G189-D189</f>
        <v>-142.67000000000002</v>
      </c>
      <c r="K189" s="459">
        <f>ROUND(J189*L189,2)</f>
        <v>-444412.77</v>
      </c>
      <c r="L189" s="396">
        <v>3114.97</v>
      </c>
      <c r="M189" s="396">
        <v>0</v>
      </c>
      <c r="N189" s="396">
        <v>109.23</v>
      </c>
      <c r="O189" s="396">
        <v>0</v>
      </c>
      <c r="P189" s="396">
        <v>340248.17</v>
      </c>
      <c r="Q189" s="398" t="s">
        <v>242</v>
      </c>
      <c r="R189" s="399" t="s">
        <v>243</v>
      </c>
    </row>
    <row r="190" spans="1:18" s="240" customFormat="1" ht="36.75" customHeight="1">
      <c r="A190" s="393" t="s">
        <v>2155</v>
      </c>
      <c r="B190" s="394" t="s">
        <v>24</v>
      </c>
      <c r="C190" s="395" t="s">
        <v>6</v>
      </c>
      <c r="D190" s="396">
        <v>2490</v>
      </c>
      <c r="E190" s="396"/>
      <c r="F190" s="396">
        <f>G190</f>
        <v>2490</v>
      </c>
      <c r="G190" s="396">
        <f>'數量計算(FOR4變)'!I355</f>
        <v>2490</v>
      </c>
      <c r="H190" s="396">
        <f>G190-D190</f>
        <v>0</v>
      </c>
      <c r="I190" s="396">
        <f>ROUND(H190*L190,2)</f>
        <v>0</v>
      </c>
      <c r="J190" s="397"/>
      <c r="K190" s="397"/>
      <c r="L190" s="396">
        <v>3320.96</v>
      </c>
      <c r="M190" s="396">
        <v>0</v>
      </c>
      <c r="N190" s="396">
        <v>2490</v>
      </c>
      <c r="O190" s="396">
        <v>0</v>
      </c>
      <c r="P190" s="396">
        <v>8269190.4000000004</v>
      </c>
      <c r="Q190" s="398" t="s">
        <v>242</v>
      </c>
      <c r="R190" s="399" t="s">
        <v>243</v>
      </c>
    </row>
    <row r="191" spans="1:18" ht="36.75" customHeight="1">
      <c r="A191" s="294" t="s">
        <v>2156</v>
      </c>
      <c r="B191" s="295" t="s">
        <v>624</v>
      </c>
      <c r="C191" s="296" t="s">
        <v>6</v>
      </c>
      <c r="D191" s="297">
        <v>998</v>
      </c>
      <c r="E191" s="297"/>
      <c r="F191" s="297">
        <f>D191</f>
        <v>998</v>
      </c>
      <c r="G191" s="297"/>
      <c r="H191" s="297"/>
      <c r="I191" s="297"/>
      <c r="J191" s="305"/>
      <c r="K191" s="305"/>
      <c r="L191" s="297">
        <v>1749.16</v>
      </c>
      <c r="M191" s="297">
        <v>0</v>
      </c>
      <c r="N191" s="297">
        <v>520.55999999999995</v>
      </c>
      <c r="O191" s="297">
        <v>0</v>
      </c>
      <c r="P191" s="297">
        <v>910542.73</v>
      </c>
      <c r="Q191" s="457" t="s">
        <v>2281</v>
      </c>
      <c r="R191" s="293" t="s">
        <v>243</v>
      </c>
    </row>
    <row r="192" spans="1:18" ht="36.75" customHeight="1">
      <c r="A192" s="294" t="s">
        <v>2157</v>
      </c>
      <c r="B192" s="295" t="s">
        <v>595</v>
      </c>
      <c r="C192" s="296" t="s">
        <v>6</v>
      </c>
      <c r="D192" s="297">
        <v>3740</v>
      </c>
      <c r="E192" s="297"/>
      <c r="F192" s="297">
        <f>'數量計算(FOR4變)'!I366</f>
        <v>3597.33</v>
      </c>
      <c r="G192" s="297"/>
      <c r="H192" s="297"/>
      <c r="I192" s="297"/>
      <c r="J192" s="305"/>
      <c r="K192" s="305"/>
      <c r="L192" s="297">
        <v>199.99</v>
      </c>
      <c r="M192" s="297">
        <v>0</v>
      </c>
      <c r="N192" s="297">
        <v>3119.79</v>
      </c>
      <c r="O192" s="297">
        <v>0</v>
      </c>
      <c r="P192" s="297">
        <v>623926.80000000005</v>
      </c>
      <c r="Q192" s="458" t="s">
        <v>2281</v>
      </c>
      <c r="R192" s="293" t="s">
        <v>243</v>
      </c>
    </row>
    <row r="193" spans="1:18" s="240" customFormat="1" ht="36.75" customHeight="1">
      <c r="A193" s="393" t="s">
        <v>2158</v>
      </c>
      <c r="B193" s="394" t="s">
        <v>534</v>
      </c>
      <c r="C193" s="395" t="s">
        <v>13</v>
      </c>
      <c r="D193" s="396">
        <v>3740</v>
      </c>
      <c r="E193" s="396">
        <v>4240</v>
      </c>
      <c r="F193" s="396">
        <f t="shared" ref="F193:F198" si="5">G193</f>
        <v>4949.6072000000013</v>
      </c>
      <c r="G193" s="396">
        <f>'數量計算(FOR4變)'!I367</f>
        <v>4949.6072000000013</v>
      </c>
      <c r="H193" s="396">
        <f t="shared" ref="H193:H198" si="6">G193-D193</f>
        <v>1209.6072000000013</v>
      </c>
      <c r="I193" s="396">
        <f t="shared" ref="I193:I198" si="7">ROUND(H193*L193,2)</f>
        <v>1188959.21</v>
      </c>
      <c r="J193" s="397"/>
      <c r="K193" s="397"/>
      <c r="L193" s="396">
        <v>982.93</v>
      </c>
      <c r="M193" s="396">
        <v>0</v>
      </c>
      <c r="N193" s="396">
        <v>4240</v>
      </c>
      <c r="O193" s="396">
        <v>0</v>
      </c>
      <c r="P193" s="396">
        <v>4167623.2</v>
      </c>
      <c r="Q193" s="398" t="s">
        <v>242</v>
      </c>
      <c r="R193" s="399" t="s">
        <v>243</v>
      </c>
    </row>
    <row r="194" spans="1:18" s="240" customFormat="1" ht="36.75" customHeight="1">
      <c r="A194" s="393" t="s">
        <v>2159</v>
      </c>
      <c r="B194" s="394" t="s">
        <v>626</v>
      </c>
      <c r="C194" s="395" t="s">
        <v>13</v>
      </c>
      <c r="D194" s="396">
        <v>38</v>
      </c>
      <c r="E194" s="396"/>
      <c r="F194" s="396">
        <f t="shared" si="5"/>
        <v>49.359999999999992</v>
      </c>
      <c r="G194" s="396">
        <f>'數量計算(FOR4變)'!I370</f>
        <v>49.359999999999992</v>
      </c>
      <c r="H194" s="396">
        <f t="shared" si="6"/>
        <v>11.359999999999992</v>
      </c>
      <c r="I194" s="396">
        <f t="shared" si="7"/>
        <v>7932.46</v>
      </c>
      <c r="J194" s="397"/>
      <c r="K194" s="397"/>
      <c r="L194" s="396">
        <v>698.28</v>
      </c>
      <c r="M194" s="396">
        <v>0</v>
      </c>
      <c r="N194" s="396">
        <v>38</v>
      </c>
      <c r="O194" s="396">
        <v>0</v>
      </c>
      <c r="P194" s="396">
        <v>26534.639999999999</v>
      </c>
      <c r="Q194" s="398" t="s">
        <v>242</v>
      </c>
      <c r="R194" s="399" t="s">
        <v>243</v>
      </c>
    </row>
    <row r="195" spans="1:18" s="240" customFormat="1" ht="36.75" customHeight="1">
      <c r="A195" s="393" t="s">
        <v>2160</v>
      </c>
      <c r="B195" s="394" t="s">
        <v>536</v>
      </c>
      <c r="C195" s="395" t="s">
        <v>13</v>
      </c>
      <c r="D195" s="396">
        <v>783</v>
      </c>
      <c r="E195" s="396"/>
      <c r="F195" s="396">
        <f t="shared" si="5"/>
        <v>1409.35</v>
      </c>
      <c r="G195" s="396">
        <f>'數量計算(FOR4變)'!I371</f>
        <v>1409.35</v>
      </c>
      <c r="H195" s="396">
        <f t="shared" si="6"/>
        <v>626.34999999999991</v>
      </c>
      <c r="I195" s="396">
        <f t="shared" si="7"/>
        <v>504055.16</v>
      </c>
      <c r="J195" s="397"/>
      <c r="K195" s="397"/>
      <c r="L195" s="396">
        <v>804.75</v>
      </c>
      <c r="M195" s="396">
        <v>0</v>
      </c>
      <c r="N195" s="396">
        <v>783</v>
      </c>
      <c r="O195" s="396">
        <v>0</v>
      </c>
      <c r="P195" s="396">
        <v>630119.25</v>
      </c>
      <c r="Q195" s="398" t="s">
        <v>242</v>
      </c>
      <c r="R195" s="399" t="s">
        <v>243</v>
      </c>
    </row>
    <row r="196" spans="1:18" s="240" customFormat="1" ht="36.75" customHeight="1">
      <c r="A196" s="393" t="s">
        <v>2161</v>
      </c>
      <c r="B196" s="394" t="s">
        <v>193</v>
      </c>
      <c r="C196" s="395" t="s">
        <v>13</v>
      </c>
      <c r="D196" s="396">
        <v>300</v>
      </c>
      <c r="E196" s="396"/>
      <c r="F196" s="396">
        <f t="shared" si="5"/>
        <v>761.34</v>
      </c>
      <c r="G196" s="396">
        <f>'數量計算(FOR4變)'!I373</f>
        <v>761.34</v>
      </c>
      <c r="H196" s="396">
        <f t="shared" si="6"/>
        <v>461.34000000000003</v>
      </c>
      <c r="I196" s="396">
        <f t="shared" si="7"/>
        <v>246175.64</v>
      </c>
      <c r="J196" s="397"/>
      <c r="K196" s="397"/>
      <c r="L196" s="396">
        <v>533.61</v>
      </c>
      <c r="M196" s="396">
        <v>0</v>
      </c>
      <c r="N196" s="396">
        <v>300</v>
      </c>
      <c r="O196" s="396">
        <v>0</v>
      </c>
      <c r="P196" s="396">
        <v>160083</v>
      </c>
      <c r="Q196" s="398" t="s">
        <v>242</v>
      </c>
      <c r="R196" s="399" t="s">
        <v>243</v>
      </c>
    </row>
    <row r="197" spans="1:18" s="240" customFormat="1" ht="36.75" customHeight="1">
      <c r="A197" s="393" t="s">
        <v>2162</v>
      </c>
      <c r="B197" s="394" t="s">
        <v>192</v>
      </c>
      <c r="C197" s="395" t="s">
        <v>17</v>
      </c>
      <c r="D197" s="396">
        <v>137462</v>
      </c>
      <c r="E197" s="396"/>
      <c r="F197" s="396">
        <f t="shared" si="5"/>
        <v>207085.17276800002</v>
      </c>
      <c r="G197" s="396">
        <f>'數量計算(FOR4變)'!I376</f>
        <v>207085.17276800002</v>
      </c>
      <c r="H197" s="396">
        <f t="shared" si="6"/>
        <v>69623.172768000019</v>
      </c>
      <c r="I197" s="396">
        <f t="shared" si="7"/>
        <v>2534283.4900000002</v>
      </c>
      <c r="J197" s="397"/>
      <c r="K197" s="397"/>
      <c r="L197" s="396">
        <v>36.4</v>
      </c>
      <c r="M197" s="396">
        <v>0</v>
      </c>
      <c r="N197" s="396">
        <v>137462</v>
      </c>
      <c r="O197" s="396">
        <v>0</v>
      </c>
      <c r="P197" s="396">
        <v>5003616.8</v>
      </c>
      <c r="Q197" s="398" t="s">
        <v>242</v>
      </c>
      <c r="R197" s="399" t="s">
        <v>243</v>
      </c>
    </row>
    <row r="198" spans="1:18" s="240" customFormat="1" ht="36.75" customHeight="1">
      <c r="A198" s="393" t="s">
        <v>2163</v>
      </c>
      <c r="B198" s="394" t="s">
        <v>530</v>
      </c>
      <c r="C198" s="395" t="s">
        <v>17</v>
      </c>
      <c r="D198" s="396">
        <v>116638</v>
      </c>
      <c r="E198" s="396"/>
      <c r="F198" s="396">
        <f t="shared" si="5"/>
        <v>168230.73</v>
      </c>
      <c r="G198" s="396">
        <f>'數量計算(FOR4變)'!I381</f>
        <v>168230.73</v>
      </c>
      <c r="H198" s="396">
        <f t="shared" si="6"/>
        <v>51592.73000000001</v>
      </c>
      <c r="I198" s="396">
        <f t="shared" si="7"/>
        <v>1997154.58</v>
      </c>
      <c r="J198" s="397"/>
      <c r="K198" s="397"/>
      <c r="L198" s="396">
        <v>38.71</v>
      </c>
      <c r="M198" s="396">
        <v>0</v>
      </c>
      <c r="N198" s="396">
        <v>116638</v>
      </c>
      <c r="O198" s="396">
        <v>0</v>
      </c>
      <c r="P198" s="396">
        <v>4515056.9800000004</v>
      </c>
      <c r="Q198" s="398" t="s">
        <v>242</v>
      </c>
      <c r="R198" s="399" t="s">
        <v>243</v>
      </c>
    </row>
    <row r="199" spans="1:18" s="240" customFormat="1" ht="36.75" customHeight="1">
      <c r="A199" s="393" t="s">
        <v>2164</v>
      </c>
      <c r="B199" s="394" t="s">
        <v>628</v>
      </c>
      <c r="C199" s="395" t="s">
        <v>8</v>
      </c>
      <c r="D199" s="396">
        <v>112</v>
      </c>
      <c r="E199" s="396"/>
      <c r="F199" s="396">
        <v>112</v>
      </c>
      <c r="G199" s="396">
        <v>0</v>
      </c>
      <c r="H199" s="396"/>
      <c r="I199" s="396"/>
      <c r="J199" s="397">
        <f>G199-D199</f>
        <v>-112</v>
      </c>
      <c r="K199" s="459">
        <f>ROUND(J199*L199,2)</f>
        <v>-320969.59999999998</v>
      </c>
      <c r="L199" s="396">
        <v>2865.8</v>
      </c>
      <c r="M199" s="396">
        <v>0</v>
      </c>
      <c r="N199" s="396">
        <v>0</v>
      </c>
      <c r="O199" s="396">
        <v>0</v>
      </c>
      <c r="P199" s="396">
        <v>0</v>
      </c>
      <c r="Q199" s="398" t="s">
        <v>242</v>
      </c>
      <c r="R199" s="399" t="s">
        <v>243</v>
      </c>
    </row>
    <row r="200" spans="1:18" ht="36.75" customHeight="1">
      <c r="A200" s="294" t="s">
        <v>2165</v>
      </c>
      <c r="B200" s="295" t="s">
        <v>630</v>
      </c>
      <c r="C200" s="296" t="s">
        <v>0</v>
      </c>
      <c r="D200" s="297">
        <v>47</v>
      </c>
      <c r="E200" s="297"/>
      <c r="F200" s="297">
        <f>D200</f>
        <v>47</v>
      </c>
      <c r="G200" s="297"/>
      <c r="H200" s="297"/>
      <c r="I200" s="297"/>
      <c r="J200" s="305"/>
      <c r="K200" s="305"/>
      <c r="L200" s="297">
        <v>1477.97</v>
      </c>
      <c r="M200" s="297">
        <v>0</v>
      </c>
      <c r="N200" s="297">
        <v>2</v>
      </c>
      <c r="O200" s="297">
        <v>0</v>
      </c>
      <c r="P200" s="297">
        <v>2955.94</v>
      </c>
      <c r="Q200" s="298" t="s">
        <v>242</v>
      </c>
      <c r="R200" s="293" t="s">
        <v>243</v>
      </c>
    </row>
    <row r="201" spans="1:18" ht="36.75" customHeight="1">
      <c r="A201" s="294" t="s">
        <v>2166</v>
      </c>
      <c r="B201" s="295" t="s">
        <v>632</v>
      </c>
      <c r="C201" s="296" t="s">
        <v>8</v>
      </c>
      <c r="D201" s="297">
        <v>148</v>
      </c>
      <c r="E201" s="297"/>
      <c r="F201" s="297">
        <f>D201</f>
        <v>148</v>
      </c>
      <c r="G201" s="297"/>
      <c r="H201" s="297"/>
      <c r="I201" s="297"/>
      <c r="J201" s="305"/>
      <c r="K201" s="305"/>
      <c r="L201" s="297">
        <v>151.71</v>
      </c>
      <c r="M201" s="297">
        <v>0</v>
      </c>
      <c r="N201" s="297">
        <v>3.76</v>
      </c>
      <c r="O201" s="297">
        <v>0</v>
      </c>
      <c r="P201" s="297">
        <v>570.42999999999995</v>
      </c>
      <c r="Q201" s="298" t="s">
        <v>242</v>
      </c>
      <c r="R201" s="293" t="s">
        <v>243</v>
      </c>
    </row>
    <row r="202" spans="1:18" ht="36.75" customHeight="1">
      <c r="A202" s="294" t="s">
        <v>2167</v>
      </c>
      <c r="B202" s="295" t="s">
        <v>634</v>
      </c>
      <c r="C202" s="296" t="s">
        <v>15</v>
      </c>
      <c r="D202" s="297">
        <v>6</v>
      </c>
      <c r="E202" s="297"/>
      <c r="F202" s="297">
        <f>D202</f>
        <v>6</v>
      </c>
      <c r="G202" s="297"/>
      <c r="H202" s="297"/>
      <c r="I202" s="297"/>
      <c r="J202" s="305"/>
      <c r="K202" s="305"/>
      <c r="L202" s="297">
        <v>15778.75</v>
      </c>
      <c r="M202" s="297">
        <v>3</v>
      </c>
      <c r="N202" s="297">
        <v>3</v>
      </c>
      <c r="O202" s="297">
        <v>47336.25</v>
      </c>
      <c r="P202" s="297">
        <v>47336.25</v>
      </c>
      <c r="Q202" s="298" t="s">
        <v>242</v>
      </c>
      <c r="R202" s="293" t="s">
        <v>243</v>
      </c>
    </row>
    <row r="203" spans="1:18" s="240" customFormat="1" ht="36.75" customHeight="1">
      <c r="A203" s="393" t="s">
        <v>2168</v>
      </c>
      <c r="B203" s="394" t="s">
        <v>357</v>
      </c>
      <c r="C203" s="395" t="s">
        <v>8</v>
      </c>
      <c r="D203" s="396">
        <v>746</v>
      </c>
      <c r="E203" s="396"/>
      <c r="F203" s="396">
        <f>G203</f>
        <v>746</v>
      </c>
      <c r="G203" s="396">
        <f>'數量計算(FOR4變)'!I389</f>
        <v>746</v>
      </c>
      <c r="H203" s="396"/>
      <c r="I203" s="396"/>
      <c r="J203" s="397">
        <f>G203-D203</f>
        <v>0</v>
      </c>
      <c r="K203" s="459">
        <f>ROUND(J203*L203,2)</f>
        <v>0</v>
      </c>
      <c r="L203" s="396">
        <v>138.84</v>
      </c>
      <c r="M203" s="396">
        <v>0</v>
      </c>
      <c r="N203" s="396">
        <v>400.2</v>
      </c>
      <c r="O203" s="396">
        <v>0</v>
      </c>
      <c r="P203" s="396">
        <v>55563.77</v>
      </c>
      <c r="Q203" s="398" t="s">
        <v>242</v>
      </c>
      <c r="R203" s="399" t="s">
        <v>243</v>
      </c>
    </row>
    <row r="204" spans="1:18" s="240" customFormat="1" ht="36.75" customHeight="1">
      <c r="A204" s="393" t="s">
        <v>2169</v>
      </c>
      <c r="B204" s="394" t="s">
        <v>611</v>
      </c>
      <c r="C204" s="395" t="s">
        <v>8</v>
      </c>
      <c r="D204" s="396">
        <v>1740</v>
      </c>
      <c r="E204" s="396"/>
      <c r="F204" s="396">
        <f>G204</f>
        <v>1740</v>
      </c>
      <c r="G204" s="396">
        <f>'數量計算(FOR4變)'!I390</f>
        <v>1740</v>
      </c>
      <c r="H204" s="396"/>
      <c r="I204" s="396"/>
      <c r="J204" s="397">
        <f>G204-D204</f>
        <v>0</v>
      </c>
      <c r="K204" s="459">
        <f>ROUND(J204*L204,2)</f>
        <v>0</v>
      </c>
      <c r="L204" s="396">
        <v>326.27999999999997</v>
      </c>
      <c r="M204" s="396">
        <v>0</v>
      </c>
      <c r="N204" s="396">
        <v>1240.2</v>
      </c>
      <c r="O204" s="396">
        <v>0</v>
      </c>
      <c r="P204" s="396">
        <v>404652.46</v>
      </c>
      <c r="Q204" s="398" t="s">
        <v>242</v>
      </c>
      <c r="R204" s="399" t="s">
        <v>243</v>
      </c>
    </row>
    <row r="205" spans="1:18" ht="36.75" customHeight="1">
      <c r="A205" s="294" t="s">
        <v>2170</v>
      </c>
      <c r="B205" s="295" t="s">
        <v>222</v>
      </c>
      <c r="C205" s="296" t="s">
        <v>13</v>
      </c>
      <c r="D205" s="297">
        <v>783</v>
      </c>
      <c r="E205" s="297">
        <v>783</v>
      </c>
      <c r="F205" s="297">
        <f t="shared" ref="F205:F210" si="8">D205</f>
        <v>783</v>
      </c>
      <c r="G205" s="297"/>
      <c r="H205" s="297"/>
      <c r="I205" s="297"/>
      <c r="J205" s="305"/>
      <c r="K205" s="305"/>
      <c r="L205" s="297">
        <v>692.12</v>
      </c>
      <c r="M205" s="297">
        <v>0</v>
      </c>
      <c r="N205" s="297">
        <v>313.2</v>
      </c>
      <c r="O205" s="297">
        <v>0</v>
      </c>
      <c r="P205" s="297">
        <v>216771.98</v>
      </c>
      <c r="Q205" s="298" t="s">
        <v>242</v>
      </c>
      <c r="R205" s="293" t="s">
        <v>243</v>
      </c>
    </row>
    <row r="206" spans="1:18" ht="36.75" customHeight="1">
      <c r="A206" s="294" t="s">
        <v>2171</v>
      </c>
      <c r="B206" s="295" t="s">
        <v>640</v>
      </c>
      <c r="C206" s="296" t="s">
        <v>15</v>
      </c>
      <c r="D206" s="297">
        <v>1</v>
      </c>
      <c r="E206" s="297">
        <v>1</v>
      </c>
      <c r="F206" s="297">
        <f t="shared" si="8"/>
        <v>1</v>
      </c>
      <c r="G206" s="297"/>
      <c r="H206" s="297"/>
      <c r="I206" s="297"/>
      <c r="J206" s="305"/>
      <c r="K206" s="305"/>
      <c r="L206" s="297">
        <v>214228.32</v>
      </c>
      <c r="M206" s="297">
        <v>1</v>
      </c>
      <c r="N206" s="297">
        <v>1</v>
      </c>
      <c r="O206" s="297">
        <v>214228.32</v>
      </c>
      <c r="P206" s="297">
        <v>214228.32</v>
      </c>
      <c r="Q206" s="298" t="s">
        <v>242</v>
      </c>
      <c r="R206" s="293" t="s">
        <v>243</v>
      </c>
    </row>
    <row r="207" spans="1:18" ht="36.75" customHeight="1">
      <c r="A207" s="294" t="s">
        <v>2172</v>
      </c>
      <c r="B207" s="295" t="s">
        <v>643</v>
      </c>
      <c r="C207" s="296" t="s">
        <v>5</v>
      </c>
      <c r="D207" s="297">
        <v>44</v>
      </c>
      <c r="E207" s="297">
        <v>44</v>
      </c>
      <c r="F207" s="297">
        <f t="shared" si="8"/>
        <v>44</v>
      </c>
      <c r="G207" s="297"/>
      <c r="H207" s="297"/>
      <c r="I207" s="297"/>
      <c r="J207" s="305"/>
      <c r="K207" s="305"/>
      <c r="L207" s="297">
        <v>422.28</v>
      </c>
      <c r="M207" s="297">
        <v>0</v>
      </c>
      <c r="N207" s="297">
        <v>20</v>
      </c>
      <c r="O207" s="297">
        <v>0</v>
      </c>
      <c r="P207" s="297">
        <v>8445.6</v>
      </c>
      <c r="Q207" s="298" t="s">
        <v>242</v>
      </c>
      <c r="R207" s="293" t="s">
        <v>243</v>
      </c>
    </row>
    <row r="208" spans="1:18" ht="36.75" customHeight="1">
      <c r="A208" s="294" t="s">
        <v>2245</v>
      </c>
      <c r="B208" s="295" t="s">
        <v>645</v>
      </c>
      <c r="C208" s="296" t="s">
        <v>4</v>
      </c>
      <c r="D208" s="297">
        <v>1</v>
      </c>
      <c r="E208" s="297">
        <v>1</v>
      </c>
      <c r="F208" s="297">
        <f t="shared" si="8"/>
        <v>1</v>
      </c>
      <c r="G208" s="297"/>
      <c r="H208" s="297"/>
      <c r="I208" s="297"/>
      <c r="J208" s="305"/>
      <c r="K208" s="305"/>
      <c r="L208" s="297">
        <v>13631722.119999999</v>
      </c>
      <c r="M208" s="297">
        <v>1</v>
      </c>
      <c r="N208" s="297">
        <v>1</v>
      </c>
      <c r="O208" s="297">
        <v>1970607.98</v>
      </c>
      <c r="P208" s="297">
        <v>1993281.34</v>
      </c>
      <c r="Q208" s="298" t="s">
        <v>242</v>
      </c>
      <c r="R208" s="293" t="s">
        <v>243</v>
      </c>
    </row>
    <row r="209" spans="1:18" ht="36.75" customHeight="1">
      <c r="A209" s="294" t="s">
        <v>2154</v>
      </c>
      <c r="B209" s="295" t="s">
        <v>646</v>
      </c>
      <c r="C209" s="296" t="s">
        <v>6</v>
      </c>
      <c r="D209" s="297">
        <v>230</v>
      </c>
      <c r="E209" s="297">
        <v>230</v>
      </c>
      <c r="F209" s="297">
        <f t="shared" si="8"/>
        <v>230</v>
      </c>
      <c r="G209" s="297"/>
      <c r="H209" s="297"/>
      <c r="I209" s="297"/>
      <c r="J209" s="305"/>
      <c r="K209" s="305"/>
      <c r="L209" s="297">
        <v>7517.15</v>
      </c>
      <c r="M209" s="297">
        <v>0</v>
      </c>
      <c r="N209" s="297">
        <v>0</v>
      </c>
      <c r="O209" s="297">
        <v>0</v>
      </c>
      <c r="P209" s="297">
        <v>0</v>
      </c>
      <c r="Q209" s="298" t="s">
        <v>242</v>
      </c>
      <c r="R209" s="293" t="s">
        <v>243</v>
      </c>
    </row>
    <row r="210" spans="1:18" ht="36.75" customHeight="1">
      <c r="A210" s="294" t="s">
        <v>2155</v>
      </c>
      <c r="B210" s="295" t="s">
        <v>648</v>
      </c>
      <c r="C210" s="296" t="s">
        <v>6</v>
      </c>
      <c r="D210" s="297">
        <v>689</v>
      </c>
      <c r="E210" s="297">
        <v>689</v>
      </c>
      <c r="F210" s="297">
        <f t="shared" si="8"/>
        <v>689</v>
      </c>
      <c r="G210" s="297"/>
      <c r="H210" s="297"/>
      <c r="I210" s="297"/>
      <c r="J210" s="305"/>
      <c r="K210" s="305"/>
      <c r="L210" s="297">
        <v>7496.55</v>
      </c>
      <c r="M210" s="297">
        <v>0</v>
      </c>
      <c r="N210" s="297">
        <v>0</v>
      </c>
      <c r="O210" s="297">
        <v>0</v>
      </c>
      <c r="P210" s="297">
        <v>0</v>
      </c>
      <c r="Q210" s="298" t="s">
        <v>242</v>
      </c>
      <c r="R210" s="293" t="s">
        <v>243</v>
      </c>
    </row>
    <row r="211" spans="1:18" s="240" customFormat="1" ht="36.75" customHeight="1">
      <c r="A211" s="393" t="s">
        <v>2156</v>
      </c>
      <c r="B211" s="394" t="s">
        <v>650</v>
      </c>
      <c r="C211" s="395" t="s">
        <v>13</v>
      </c>
      <c r="D211" s="396">
        <v>4589</v>
      </c>
      <c r="E211" s="396">
        <v>4589</v>
      </c>
      <c r="F211" s="396">
        <f>G211</f>
        <v>4589</v>
      </c>
      <c r="G211" s="396">
        <f>'數量計算(FOR4變)'!I399</f>
        <v>4589</v>
      </c>
      <c r="H211" s="396">
        <f>G211-D211</f>
        <v>0</v>
      </c>
      <c r="I211" s="396">
        <f>ROUND(H211*L211,2)</f>
        <v>0</v>
      </c>
      <c r="J211" s="397"/>
      <c r="K211" s="397"/>
      <c r="L211" s="396">
        <v>11.6</v>
      </c>
      <c r="M211" s="396">
        <v>0</v>
      </c>
      <c r="N211" s="396">
        <v>1954.6</v>
      </c>
      <c r="O211" s="396">
        <v>0</v>
      </c>
      <c r="P211" s="396">
        <v>22673.360000000001</v>
      </c>
      <c r="Q211" s="398" t="s">
        <v>242</v>
      </c>
      <c r="R211" s="399" t="s">
        <v>243</v>
      </c>
    </row>
    <row r="212" spans="1:18" ht="36.75" customHeight="1">
      <c r="A212" s="294" t="s">
        <v>2157</v>
      </c>
      <c r="B212" s="295" t="s">
        <v>652</v>
      </c>
      <c r="C212" s="296" t="s">
        <v>13</v>
      </c>
      <c r="D212" s="297">
        <v>4589</v>
      </c>
      <c r="E212" s="297">
        <v>4589</v>
      </c>
      <c r="F212" s="297">
        <f>D212</f>
        <v>4589</v>
      </c>
      <c r="G212" s="297"/>
      <c r="H212" s="297"/>
      <c r="I212" s="297"/>
      <c r="J212" s="305"/>
      <c r="K212" s="305"/>
      <c r="L212" s="297">
        <v>42.46</v>
      </c>
      <c r="M212" s="297">
        <v>0</v>
      </c>
      <c r="N212" s="297">
        <v>0</v>
      </c>
      <c r="O212" s="297">
        <v>0</v>
      </c>
      <c r="P212" s="297">
        <v>0</v>
      </c>
      <c r="Q212" s="298" t="s">
        <v>242</v>
      </c>
      <c r="R212" s="293" t="s">
        <v>243</v>
      </c>
    </row>
    <row r="213" spans="1:18" ht="36.75" customHeight="1">
      <c r="A213" s="294" t="s">
        <v>2158</v>
      </c>
      <c r="B213" s="295" t="s">
        <v>204</v>
      </c>
      <c r="C213" s="296" t="s">
        <v>13</v>
      </c>
      <c r="D213" s="297">
        <v>13765</v>
      </c>
      <c r="E213" s="297">
        <v>13765</v>
      </c>
      <c r="F213" s="297">
        <f>D213</f>
        <v>13765</v>
      </c>
      <c r="G213" s="297"/>
      <c r="H213" s="297"/>
      <c r="I213" s="297"/>
      <c r="J213" s="305"/>
      <c r="K213" s="305"/>
      <c r="L213" s="297">
        <v>15.96</v>
      </c>
      <c r="M213" s="297">
        <v>0</v>
      </c>
      <c r="N213" s="297">
        <v>0</v>
      </c>
      <c r="O213" s="297">
        <v>0</v>
      </c>
      <c r="P213" s="297">
        <v>0</v>
      </c>
      <c r="Q213" s="298" t="s">
        <v>242</v>
      </c>
      <c r="R213" s="293" t="s">
        <v>243</v>
      </c>
    </row>
    <row r="214" spans="1:18" ht="36.75" customHeight="1">
      <c r="A214" s="294" t="s">
        <v>2159</v>
      </c>
      <c r="B214" s="295" t="s">
        <v>315</v>
      </c>
      <c r="C214" s="296" t="s">
        <v>6</v>
      </c>
      <c r="D214" s="297">
        <v>49</v>
      </c>
      <c r="E214" s="297">
        <v>49</v>
      </c>
      <c r="F214" s="297">
        <f>E214</f>
        <v>49</v>
      </c>
      <c r="G214" s="297"/>
      <c r="H214" s="297"/>
      <c r="I214" s="297"/>
      <c r="J214" s="305"/>
      <c r="K214" s="305"/>
      <c r="L214" s="297">
        <v>3114.97</v>
      </c>
      <c r="M214" s="297">
        <v>4.5</v>
      </c>
      <c r="N214" s="297">
        <v>4.5</v>
      </c>
      <c r="O214" s="297">
        <v>14017.37</v>
      </c>
      <c r="P214" s="297">
        <v>14017.37</v>
      </c>
      <c r="Q214" s="298" t="s">
        <v>242</v>
      </c>
      <c r="R214" s="293" t="s">
        <v>243</v>
      </c>
    </row>
    <row r="215" spans="1:18" ht="36.75" customHeight="1">
      <c r="A215" s="393" t="s">
        <v>2160</v>
      </c>
      <c r="B215" s="394" t="s">
        <v>24</v>
      </c>
      <c r="C215" s="395" t="s">
        <v>6</v>
      </c>
      <c r="D215" s="396">
        <v>328</v>
      </c>
      <c r="E215" s="396">
        <v>328</v>
      </c>
      <c r="F215" s="396">
        <f>G215</f>
        <v>328</v>
      </c>
      <c r="G215" s="396">
        <f>'數量計算(FOR4變)'!I405</f>
        <v>328</v>
      </c>
      <c r="H215" s="396">
        <f>G215-D215</f>
        <v>0</v>
      </c>
      <c r="I215" s="396">
        <f>ROUND(H215*L215,2)</f>
        <v>0</v>
      </c>
      <c r="J215" s="397"/>
      <c r="K215" s="397"/>
      <c r="L215" s="396">
        <v>3320.96</v>
      </c>
      <c r="M215" s="396">
        <v>63.5</v>
      </c>
      <c r="N215" s="396">
        <v>63.5</v>
      </c>
      <c r="O215" s="396">
        <v>210880.96</v>
      </c>
      <c r="P215" s="396">
        <v>210880.96</v>
      </c>
      <c r="Q215" s="398" t="s">
        <v>242</v>
      </c>
      <c r="R215" s="293" t="s">
        <v>243</v>
      </c>
    </row>
    <row r="216" spans="1:18" ht="36.75" customHeight="1">
      <c r="A216" s="393" t="s">
        <v>2161</v>
      </c>
      <c r="B216" s="394" t="s">
        <v>595</v>
      </c>
      <c r="C216" s="395" t="s">
        <v>6</v>
      </c>
      <c r="D216" s="396">
        <v>377</v>
      </c>
      <c r="E216" s="396">
        <v>377</v>
      </c>
      <c r="F216" s="396">
        <f>G216</f>
        <v>377</v>
      </c>
      <c r="G216" s="396">
        <f>'數量計算(FOR4變)'!I407</f>
        <v>377</v>
      </c>
      <c r="H216" s="396">
        <f>G216-D216</f>
        <v>0</v>
      </c>
      <c r="I216" s="396">
        <f>ROUND(H216*L216,2)</f>
        <v>0</v>
      </c>
      <c r="J216" s="397"/>
      <c r="K216" s="397"/>
      <c r="L216" s="396">
        <v>199.99</v>
      </c>
      <c r="M216" s="396">
        <v>68</v>
      </c>
      <c r="N216" s="396">
        <v>68</v>
      </c>
      <c r="O216" s="396">
        <v>13599.32</v>
      </c>
      <c r="P216" s="396">
        <v>13599.32</v>
      </c>
      <c r="Q216" s="398" t="s">
        <v>242</v>
      </c>
      <c r="R216" s="293" t="s">
        <v>243</v>
      </c>
    </row>
    <row r="217" spans="1:18" ht="36.75" customHeight="1">
      <c r="A217" s="393" t="s">
        <v>2162</v>
      </c>
      <c r="B217" s="394" t="s">
        <v>626</v>
      </c>
      <c r="C217" s="395" t="s">
        <v>13</v>
      </c>
      <c r="D217" s="396">
        <v>867</v>
      </c>
      <c r="E217" s="396">
        <v>867</v>
      </c>
      <c r="F217" s="396">
        <f>G217</f>
        <v>867</v>
      </c>
      <c r="G217" s="396">
        <f>'數量計算(FOR4變)'!I408</f>
        <v>867</v>
      </c>
      <c r="H217" s="396">
        <f>G217-D217</f>
        <v>0</v>
      </c>
      <c r="I217" s="396">
        <f>ROUND(H217*L217,2)</f>
        <v>0</v>
      </c>
      <c r="J217" s="397"/>
      <c r="K217" s="397"/>
      <c r="L217" s="396">
        <v>698.28</v>
      </c>
      <c r="M217" s="396">
        <v>120</v>
      </c>
      <c r="N217" s="396">
        <v>120</v>
      </c>
      <c r="O217" s="396">
        <v>83793.600000000006</v>
      </c>
      <c r="P217" s="396">
        <v>83793.600000000006</v>
      </c>
      <c r="Q217" s="398" t="s">
        <v>242</v>
      </c>
      <c r="R217" s="293" t="s">
        <v>243</v>
      </c>
    </row>
    <row r="218" spans="1:18" ht="36.75" customHeight="1">
      <c r="A218" s="294" t="s">
        <v>2163</v>
      </c>
      <c r="B218" s="295" t="s">
        <v>193</v>
      </c>
      <c r="C218" s="296" t="s">
        <v>13</v>
      </c>
      <c r="D218" s="297">
        <v>1257</v>
      </c>
      <c r="E218" s="297">
        <v>1257</v>
      </c>
      <c r="F218" s="297">
        <f>E218</f>
        <v>1257</v>
      </c>
      <c r="G218" s="297">
        <f>'數量計算(FOR4變)'!I410</f>
        <v>1257</v>
      </c>
      <c r="H218" s="297"/>
      <c r="I218" s="297"/>
      <c r="J218" s="305"/>
      <c r="K218" s="305"/>
      <c r="L218" s="297">
        <v>533.61</v>
      </c>
      <c r="M218" s="297">
        <v>185</v>
      </c>
      <c r="N218" s="297">
        <v>185</v>
      </c>
      <c r="O218" s="297">
        <v>98717.85</v>
      </c>
      <c r="P218" s="297">
        <v>98717.85</v>
      </c>
      <c r="Q218" s="458" t="s">
        <v>2515</v>
      </c>
      <c r="R218" s="293" t="s">
        <v>243</v>
      </c>
    </row>
    <row r="219" spans="1:18" ht="36.75" customHeight="1">
      <c r="A219" s="393" t="s">
        <v>2164</v>
      </c>
      <c r="B219" s="394" t="s">
        <v>192</v>
      </c>
      <c r="C219" s="395" t="s">
        <v>17</v>
      </c>
      <c r="D219" s="396">
        <v>12810</v>
      </c>
      <c r="E219" s="396">
        <v>12810</v>
      </c>
      <c r="F219" s="396">
        <f>G219</f>
        <v>12810</v>
      </c>
      <c r="G219" s="396">
        <f>'數量計算(FOR4變)'!I412</f>
        <v>12810</v>
      </c>
      <c r="H219" s="396">
        <f>G219-D219</f>
        <v>0</v>
      </c>
      <c r="I219" s="396">
        <f>ROUND(H219*L219,2)</f>
        <v>0</v>
      </c>
      <c r="J219" s="397"/>
      <c r="K219" s="397"/>
      <c r="L219" s="396">
        <v>36.4</v>
      </c>
      <c r="M219" s="396">
        <v>7012</v>
      </c>
      <c r="N219" s="396">
        <v>7012</v>
      </c>
      <c r="O219" s="396">
        <v>255236.8</v>
      </c>
      <c r="P219" s="396">
        <v>255236.8</v>
      </c>
      <c r="Q219" s="398" t="s">
        <v>242</v>
      </c>
      <c r="R219" s="293" t="s">
        <v>243</v>
      </c>
    </row>
    <row r="220" spans="1:18" ht="36.75" customHeight="1">
      <c r="A220" s="294" t="s">
        <v>2165</v>
      </c>
      <c r="B220" s="295" t="s">
        <v>655</v>
      </c>
      <c r="C220" s="296" t="s">
        <v>15</v>
      </c>
      <c r="D220" s="297">
        <v>158</v>
      </c>
      <c r="E220" s="297">
        <v>158</v>
      </c>
      <c r="F220" s="297">
        <f>D220</f>
        <v>158</v>
      </c>
      <c r="G220" s="297"/>
      <c r="H220" s="297"/>
      <c r="I220" s="297"/>
      <c r="J220" s="305"/>
      <c r="K220" s="305"/>
      <c r="L220" s="297">
        <v>3615.1</v>
      </c>
      <c r="M220" s="297">
        <v>16</v>
      </c>
      <c r="N220" s="297">
        <v>16</v>
      </c>
      <c r="O220" s="297">
        <v>57841.599999999999</v>
      </c>
      <c r="P220" s="297">
        <v>57841.599999999999</v>
      </c>
      <c r="Q220" s="298" t="s">
        <v>242</v>
      </c>
      <c r="R220" s="293" t="s">
        <v>243</v>
      </c>
    </row>
    <row r="221" spans="1:18" ht="36.75" customHeight="1">
      <c r="A221" s="294" t="s">
        <v>2166</v>
      </c>
      <c r="B221" s="295" t="s">
        <v>657</v>
      </c>
      <c r="C221" s="296" t="s">
        <v>17</v>
      </c>
      <c r="D221" s="297">
        <v>3713</v>
      </c>
      <c r="E221" s="297">
        <v>3713</v>
      </c>
      <c r="F221" s="297">
        <f>D221</f>
        <v>3713</v>
      </c>
      <c r="G221" s="297"/>
      <c r="H221" s="297"/>
      <c r="I221" s="297"/>
      <c r="J221" s="305"/>
      <c r="K221" s="305"/>
      <c r="L221" s="297">
        <v>107.44</v>
      </c>
      <c r="M221" s="297">
        <v>376</v>
      </c>
      <c r="N221" s="297">
        <v>376</v>
      </c>
      <c r="O221" s="297">
        <v>40397.440000000002</v>
      </c>
      <c r="P221" s="297">
        <v>40397.440000000002</v>
      </c>
      <c r="Q221" s="298" t="s">
        <v>242</v>
      </c>
      <c r="R221" s="293" t="s">
        <v>243</v>
      </c>
    </row>
    <row r="222" spans="1:18" ht="36.75" customHeight="1">
      <c r="A222" s="294" t="s">
        <v>2167</v>
      </c>
      <c r="B222" s="295" t="s">
        <v>357</v>
      </c>
      <c r="C222" s="296" t="s">
        <v>8</v>
      </c>
      <c r="D222" s="297">
        <v>155</v>
      </c>
      <c r="E222" s="297">
        <v>155</v>
      </c>
      <c r="F222" s="297">
        <f>D222</f>
        <v>155</v>
      </c>
      <c r="G222" s="297"/>
      <c r="H222" s="297"/>
      <c r="I222" s="297"/>
      <c r="J222" s="305"/>
      <c r="K222" s="305"/>
      <c r="L222" s="297">
        <v>138.84</v>
      </c>
      <c r="M222" s="297">
        <v>0</v>
      </c>
      <c r="N222" s="297">
        <v>0</v>
      </c>
      <c r="O222" s="297">
        <v>0</v>
      </c>
      <c r="P222" s="297">
        <v>0</v>
      </c>
      <c r="Q222" s="298" t="s">
        <v>242</v>
      </c>
      <c r="R222" s="293" t="s">
        <v>243</v>
      </c>
    </row>
    <row r="223" spans="1:18" ht="36.75" customHeight="1">
      <c r="A223" s="294" t="s">
        <v>2168</v>
      </c>
      <c r="B223" s="295" t="s">
        <v>1497</v>
      </c>
      <c r="C223" s="296" t="s">
        <v>223</v>
      </c>
      <c r="D223" s="297">
        <v>0</v>
      </c>
      <c r="E223" s="297">
        <v>1376.7</v>
      </c>
      <c r="F223" s="297">
        <f>E223</f>
        <v>1376.7</v>
      </c>
      <c r="G223" s="297"/>
      <c r="H223" s="297"/>
      <c r="I223" s="297"/>
      <c r="J223" s="305"/>
      <c r="K223" s="305"/>
      <c r="L223" s="297">
        <v>1288.28</v>
      </c>
      <c r="M223" s="297">
        <v>888</v>
      </c>
      <c r="N223" s="297">
        <v>888</v>
      </c>
      <c r="O223" s="297">
        <v>1143992.6399999999</v>
      </c>
      <c r="P223" s="297">
        <v>1143992.6399999999</v>
      </c>
      <c r="Q223" s="298" t="s">
        <v>242</v>
      </c>
      <c r="R223" s="293" t="s">
        <v>243</v>
      </c>
    </row>
    <row r="224" spans="1:18" ht="36.75" customHeight="1">
      <c r="A224" s="294" t="s">
        <v>2169</v>
      </c>
      <c r="B224" s="295" t="s">
        <v>1498</v>
      </c>
      <c r="C224" s="296" t="s">
        <v>13</v>
      </c>
      <c r="D224" s="297">
        <v>0</v>
      </c>
      <c r="E224" s="297">
        <v>512.1</v>
      </c>
      <c r="F224" s="297">
        <f>E224</f>
        <v>512.1</v>
      </c>
      <c r="G224" s="297"/>
      <c r="H224" s="297"/>
      <c r="I224" s="297"/>
      <c r="J224" s="305"/>
      <c r="K224" s="305"/>
      <c r="L224" s="297">
        <v>868.84</v>
      </c>
      <c r="M224" s="297">
        <v>60</v>
      </c>
      <c r="N224" s="297">
        <v>60</v>
      </c>
      <c r="O224" s="297">
        <v>52130.400000000001</v>
      </c>
      <c r="P224" s="297">
        <v>52130.400000000001</v>
      </c>
      <c r="Q224" s="458" t="s">
        <v>2515</v>
      </c>
      <c r="R224" s="293" t="s">
        <v>243</v>
      </c>
    </row>
    <row r="225" spans="1:18" ht="36.75" customHeight="1">
      <c r="A225" s="294" t="s">
        <v>2246</v>
      </c>
      <c r="B225" s="295" t="s">
        <v>660</v>
      </c>
      <c r="C225" s="296" t="s">
        <v>4</v>
      </c>
      <c r="D225" s="297">
        <v>1</v>
      </c>
      <c r="E225" s="297"/>
      <c r="F225" s="297"/>
      <c r="G225" s="297"/>
      <c r="H225" s="297"/>
      <c r="I225" s="297"/>
      <c r="J225" s="305"/>
      <c r="K225" s="305"/>
      <c r="L225" s="297">
        <v>5797339.8099999996</v>
      </c>
      <c r="M225" s="297">
        <v>1</v>
      </c>
      <c r="N225" s="297">
        <v>1</v>
      </c>
      <c r="O225" s="297">
        <v>163188</v>
      </c>
      <c r="P225" s="297">
        <v>4259100.5199999996</v>
      </c>
      <c r="Q225" s="298" t="s">
        <v>242</v>
      </c>
      <c r="R225" s="293" t="s">
        <v>243</v>
      </c>
    </row>
    <row r="226" spans="1:18" s="240" customFormat="1" ht="36.75" customHeight="1">
      <c r="A226" s="393" t="s">
        <v>2154</v>
      </c>
      <c r="B226" s="394" t="s">
        <v>662</v>
      </c>
      <c r="C226" s="395" t="s">
        <v>223</v>
      </c>
      <c r="D226" s="396">
        <v>1</v>
      </c>
      <c r="E226" s="396">
        <v>1</v>
      </c>
      <c r="F226" s="396">
        <v>1</v>
      </c>
      <c r="G226" s="396">
        <f>'數量計算(FOR4變)'!I420</f>
        <v>2408.8100000000004</v>
      </c>
      <c r="H226" s="396">
        <f>G226-E226</f>
        <v>2407.8100000000004</v>
      </c>
      <c r="I226" s="396">
        <f>ROUND(H226*L226,2)</f>
        <v>1696253.99</v>
      </c>
      <c r="J226" s="397"/>
      <c r="K226" s="397"/>
      <c r="L226" s="396">
        <v>704.48</v>
      </c>
      <c r="M226" s="396">
        <v>0</v>
      </c>
      <c r="N226" s="396">
        <v>0</v>
      </c>
      <c r="O226" s="396">
        <v>0</v>
      </c>
      <c r="P226" s="396">
        <v>0</v>
      </c>
      <c r="Q226" s="400" t="s">
        <v>2471</v>
      </c>
      <c r="R226" s="399" t="s">
        <v>243</v>
      </c>
    </row>
    <row r="227" spans="1:18" ht="36.75" customHeight="1">
      <c r="A227" s="294" t="s">
        <v>2155</v>
      </c>
      <c r="B227" s="295" t="s">
        <v>665</v>
      </c>
      <c r="C227" s="296" t="s">
        <v>5</v>
      </c>
      <c r="D227" s="297">
        <v>1</v>
      </c>
      <c r="E227" s="297">
        <v>1</v>
      </c>
      <c r="F227" s="297">
        <f>D227</f>
        <v>1</v>
      </c>
      <c r="G227" s="297"/>
      <c r="H227" s="297"/>
      <c r="I227" s="297"/>
      <c r="J227" s="305"/>
      <c r="K227" s="305"/>
      <c r="L227" s="297">
        <v>399.98</v>
      </c>
      <c r="M227" s="297">
        <v>0</v>
      </c>
      <c r="N227" s="297">
        <v>0</v>
      </c>
      <c r="O227" s="297">
        <v>0</v>
      </c>
      <c r="P227" s="297">
        <v>0</v>
      </c>
      <c r="Q227" s="298" t="s">
        <v>242</v>
      </c>
      <c r="R227" s="293" t="s">
        <v>243</v>
      </c>
    </row>
    <row r="228" spans="1:18" ht="36.75" customHeight="1">
      <c r="A228" s="393" t="s">
        <v>2156</v>
      </c>
      <c r="B228" s="394" t="s">
        <v>668</v>
      </c>
      <c r="C228" s="395" t="s">
        <v>669</v>
      </c>
      <c r="D228" s="396">
        <v>1</v>
      </c>
      <c r="E228" s="396">
        <v>14</v>
      </c>
      <c r="F228" s="396">
        <f>'數量計算(FOR4變)'!I424</f>
        <v>15</v>
      </c>
      <c r="G228" s="396"/>
      <c r="H228" s="396"/>
      <c r="I228" s="396"/>
      <c r="J228" s="397"/>
      <c r="K228" s="397"/>
      <c r="L228" s="396">
        <v>3569.75</v>
      </c>
      <c r="M228" s="396">
        <v>0</v>
      </c>
      <c r="N228" s="396">
        <v>14</v>
      </c>
      <c r="O228" s="396">
        <v>0</v>
      </c>
      <c r="P228" s="396">
        <v>49976.5</v>
      </c>
      <c r="Q228" s="398" t="s">
        <v>242</v>
      </c>
      <c r="R228" s="293" t="s">
        <v>243</v>
      </c>
    </row>
    <row r="229" spans="1:18" ht="36.75" customHeight="1">
      <c r="A229" s="294" t="s">
        <v>2157</v>
      </c>
      <c r="B229" s="295" t="s">
        <v>672</v>
      </c>
      <c r="C229" s="296" t="s">
        <v>669</v>
      </c>
      <c r="D229" s="297">
        <v>1</v>
      </c>
      <c r="E229" s="297">
        <v>2</v>
      </c>
      <c r="F229" s="396">
        <f>'數量計算(FOR4變)'!I425</f>
        <v>2</v>
      </c>
      <c r="G229" s="297"/>
      <c r="H229" s="297"/>
      <c r="I229" s="297"/>
      <c r="J229" s="305"/>
      <c r="K229" s="305"/>
      <c r="L229" s="297">
        <v>4082.87</v>
      </c>
      <c r="M229" s="297">
        <v>0</v>
      </c>
      <c r="N229" s="297">
        <v>2</v>
      </c>
      <c r="O229" s="297">
        <v>0</v>
      </c>
      <c r="P229" s="297">
        <v>8165.74</v>
      </c>
      <c r="Q229" s="298" t="s">
        <v>242</v>
      </c>
      <c r="R229" s="293" t="s">
        <v>243</v>
      </c>
    </row>
    <row r="230" spans="1:18" ht="36.75" customHeight="1">
      <c r="A230" s="294" t="s">
        <v>2158</v>
      </c>
      <c r="B230" s="295" t="s">
        <v>675</v>
      </c>
      <c r="C230" s="296" t="s">
        <v>669</v>
      </c>
      <c r="D230" s="297">
        <v>1</v>
      </c>
      <c r="E230" s="297">
        <v>6</v>
      </c>
      <c r="F230" s="396">
        <f>'數量計算(FOR4變)'!I426</f>
        <v>9</v>
      </c>
      <c r="G230" s="297"/>
      <c r="H230" s="297"/>
      <c r="I230" s="297"/>
      <c r="J230" s="305"/>
      <c r="K230" s="305"/>
      <c r="L230" s="297">
        <v>7408.14</v>
      </c>
      <c r="M230" s="297">
        <v>0</v>
      </c>
      <c r="N230" s="297">
        <v>6</v>
      </c>
      <c r="O230" s="297">
        <v>0</v>
      </c>
      <c r="P230" s="297">
        <v>44448.84</v>
      </c>
      <c r="Q230" s="298" t="s">
        <v>242</v>
      </c>
      <c r="R230" s="293" t="s">
        <v>243</v>
      </c>
    </row>
    <row r="231" spans="1:18" ht="36.75" customHeight="1">
      <c r="A231" s="294" t="s">
        <v>2159</v>
      </c>
      <c r="B231" s="295" t="s">
        <v>678</v>
      </c>
      <c r="C231" s="296" t="s">
        <v>669</v>
      </c>
      <c r="D231" s="297">
        <v>1</v>
      </c>
      <c r="E231" s="297">
        <v>8</v>
      </c>
      <c r="F231" s="396">
        <f>'數量計算(FOR4變)'!I427</f>
        <v>8</v>
      </c>
      <c r="G231" s="297"/>
      <c r="H231" s="297"/>
      <c r="I231" s="297"/>
      <c r="J231" s="305"/>
      <c r="K231" s="305"/>
      <c r="L231" s="297">
        <v>10318.74</v>
      </c>
      <c r="M231" s="297">
        <v>0</v>
      </c>
      <c r="N231" s="297">
        <v>8</v>
      </c>
      <c r="O231" s="297">
        <v>0</v>
      </c>
      <c r="P231" s="297">
        <v>82549.919999999998</v>
      </c>
      <c r="Q231" s="298" t="s">
        <v>242</v>
      </c>
      <c r="R231" s="293" t="s">
        <v>243</v>
      </c>
    </row>
    <row r="232" spans="1:18" ht="36.75" customHeight="1">
      <c r="A232" s="294" t="s">
        <v>2160</v>
      </c>
      <c r="B232" s="295" t="s">
        <v>681</v>
      </c>
      <c r="C232" s="296" t="s">
        <v>669</v>
      </c>
      <c r="D232" s="297">
        <v>1</v>
      </c>
      <c r="E232" s="297">
        <v>5</v>
      </c>
      <c r="F232" s="396">
        <f>'數量計算(FOR4變)'!I428</f>
        <v>5</v>
      </c>
      <c r="G232" s="297"/>
      <c r="H232" s="297"/>
      <c r="I232" s="297"/>
      <c r="J232" s="305"/>
      <c r="K232" s="305"/>
      <c r="L232" s="297">
        <v>15163.34</v>
      </c>
      <c r="M232" s="297">
        <v>0</v>
      </c>
      <c r="N232" s="297">
        <v>5</v>
      </c>
      <c r="O232" s="297">
        <v>0</v>
      </c>
      <c r="P232" s="297">
        <v>75816.7</v>
      </c>
      <c r="Q232" s="298" t="s">
        <v>242</v>
      </c>
      <c r="R232" s="293" t="s">
        <v>243</v>
      </c>
    </row>
    <row r="233" spans="1:18" ht="36.75" customHeight="1">
      <c r="A233" s="294" t="s">
        <v>2161</v>
      </c>
      <c r="B233" s="295" t="s">
        <v>684</v>
      </c>
      <c r="C233" s="296" t="s">
        <v>669</v>
      </c>
      <c r="D233" s="297">
        <v>1</v>
      </c>
      <c r="E233" s="297">
        <v>3</v>
      </c>
      <c r="F233" s="396">
        <f>'數量計算(FOR4變)'!I429</f>
        <v>3</v>
      </c>
      <c r="G233" s="297"/>
      <c r="H233" s="297"/>
      <c r="I233" s="297"/>
      <c r="J233" s="305"/>
      <c r="K233" s="305"/>
      <c r="L233" s="297">
        <v>21801.91</v>
      </c>
      <c r="M233" s="297">
        <v>0</v>
      </c>
      <c r="N233" s="297">
        <v>3</v>
      </c>
      <c r="O233" s="297">
        <v>0</v>
      </c>
      <c r="P233" s="297">
        <v>65405.73</v>
      </c>
      <c r="Q233" s="298" t="s">
        <v>242</v>
      </c>
      <c r="R233" s="293" t="s">
        <v>243</v>
      </c>
    </row>
    <row r="234" spans="1:18" ht="36.75" customHeight="1">
      <c r="A234" s="294" t="s">
        <v>2162</v>
      </c>
      <c r="B234" s="295" t="s">
        <v>687</v>
      </c>
      <c r="C234" s="296" t="s">
        <v>669</v>
      </c>
      <c r="D234" s="297">
        <v>1</v>
      </c>
      <c r="E234" s="297">
        <v>2</v>
      </c>
      <c r="F234" s="396">
        <f>'數量計算(FOR4變)'!I430</f>
        <v>2</v>
      </c>
      <c r="G234" s="297"/>
      <c r="H234" s="297"/>
      <c r="I234" s="297"/>
      <c r="J234" s="305"/>
      <c r="K234" s="305"/>
      <c r="L234" s="297">
        <v>29983.23</v>
      </c>
      <c r="M234" s="297">
        <v>0</v>
      </c>
      <c r="N234" s="297">
        <v>2</v>
      </c>
      <c r="O234" s="297">
        <v>0</v>
      </c>
      <c r="P234" s="297">
        <v>59966.46</v>
      </c>
      <c r="Q234" s="298" t="s">
        <v>242</v>
      </c>
      <c r="R234" s="293" t="s">
        <v>243</v>
      </c>
    </row>
    <row r="235" spans="1:18" ht="36.75" customHeight="1">
      <c r="A235" s="294" t="s">
        <v>2163</v>
      </c>
      <c r="B235" s="295" t="s">
        <v>690</v>
      </c>
      <c r="C235" s="296" t="s">
        <v>669</v>
      </c>
      <c r="D235" s="297">
        <v>1</v>
      </c>
      <c r="E235" s="297">
        <v>1</v>
      </c>
      <c r="F235" s="396">
        <f>'數量計算(FOR4變)'!I431</f>
        <v>1</v>
      </c>
      <c r="G235" s="297"/>
      <c r="H235" s="297"/>
      <c r="I235" s="297"/>
      <c r="J235" s="305"/>
      <c r="K235" s="305"/>
      <c r="L235" s="297">
        <v>28372.400000000001</v>
      </c>
      <c r="M235" s="297">
        <v>0</v>
      </c>
      <c r="N235" s="297">
        <v>1</v>
      </c>
      <c r="O235" s="297">
        <v>0</v>
      </c>
      <c r="P235" s="297">
        <v>28372.400000000001</v>
      </c>
      <c r="Q235" s="298" t="s">
        <v>242</v>
      </c>
      <c r="R235" s="293" t="s">
        <v>243</v>
      </c>
    </row>
    <row r="236" spans="1:18" ht="36.75" customHeight="1">
      <c r="A236" s="294" t="s">
        <v>2164</v>
      </c>
      <c r="B236" s="295" t="s">
        <v>693</v>
      </c>
      <c r="C236" s="296" t="s">
        <v>669</v>
      </c>
      <c r="D236" s="297">
        <v>1</v>
      </c>
      <c r="E236" s="297">
        <v>1</v>
      </c>
      <c r="F236" s="396">
        <f>'數量計算(FOR4變)'!I432</f>
        <v>1</v>
      </c>
      <c r="G236" s="297"/>
      <c r="H236" s="297"/>
      <c r="I236" s="297"/>
      <c r="J236" s="305"/>
      <c r="K236" s="305"/>
      <c r="L236" s="297">
        <v>73084.87</v>
      </c>
      <c r="M236" s="297">
        <v>0</v>
      </c>
      <c r="N236" s="297">
        <v>1</v>
      </c>
      <c r="O236" s="297">
        <v>0</v>
      </c>
      <c r="P236" s="297">
        <v>73084.87</v>
      </c>
      <c r="Q236" s="298" t="s">
        <v>242</v>
      </c>
      <c r="R236" s="293" t="s">
        <v>243</v>
      </c>
    </row>
    <row r="237" spans="1:18" ht="36.75" customHeight="1">
      <c r="A237" s="294" t="s">
        <v>2165</v>
      </c>
      <c r="B237" s="295" t="s">
        <v>696</v>
      </c>
      <c r="C237" s="296" t="s">
        <v>669</v>
      </c>
      <c r="D237" s="297">
        <v>1</v>
      </c>
      <c r="E237" s="297">
        <v>4</v>
      </c>
      <c r="F237" s="297">
        <f>E237</f>
        <v>4</v>
      </c>
      <c r="G237" s="297"/>
      <c r="H237" s="297"/>
      <c r="I237" s="297"/>
      <c r="J237" s="305"/>
      <c r="K237" s="305"/>
      <c r="L237" s="297">
        <v>22813.26</v>
      </c>
      <c r="M237" s="297">
        <v>0</v>
      </c>
      <c r="N237" s="297">
        <v>1</v>
      </c>
      <c r="O237" s="297">
        <v>0</v>
      </c>
      <c r="P237" s="297">
        <v>22813.26</v>
      </c>
      <c r="Q237" s="298" t="s">
        <v>242</v>
      </c>
      <c r="R237" s="293" t="s">
        <v>243</v>
      </c>
    </row>
    <row r="238" spans="1:18" ht="36.75" customHeight="1">
      <c r="A238" s="294" t="s">
        <v>2166</v>
      </c>
      <c r="B238" s="295" t="s">
        <v>699</v>
      </c>
      <c r="C238" s="296" t="s">
        <v>669</v>
      </c>
      <c r="D238" s="297">
        <v>1</v>
      </c>
      <c r="E238" s="297">
        <v>1</v>
      </c>
      <c r="F238" s="396">
        <f>'數量計算(FOR4變)'!I434</f>
        <v>2</v>
      </c>
      <c r="G238" s="297"/>
      <c r="H238" s="297"/>
      <c r="I238" s="297"/>
      <c r="J238" s="305"/>
      <c r="K238" s="305"/>
      <c r="L238" s="297">
        <v>1079.8499999999999</v>
      </c>
      <c r="M238" s="297">
        <v>0</v>
      </c>
      <c r="N238" s="297">
        <v>1</v>
      </c>
      <c r="O238" s="297">
        <v>0</v>
      </c>
      <c r="P238" s="297">
        <v>1079.8499999999999</v>
      </c>
      <c r="Q238" s="298" t="s">
        <v>242</v>
      </c>
      <c r="R238" s="293" t="s">
        <v>243</v>
      </c>
    </row>
    <row r="239" spans="1:18" ht="36.75" customHeight="1">
      <c r="A239" s="294" t="s">
        <v>2167</v>
      </c>
      <c r="B239" s="295" t="s">
        <v>702</v>
      </c>
      <c r="C239" s="296" t="s">
        <v>669</v>
      </c>
      <c r="D239" s="297">
        <v>1</v>
      </c>
      <c r="E239" s="297">
        <v>1</v>
      </c>
      <c r="F239" s="396">
        <f>'數量計算(FOR4變)'!I435</f>
        <v>7</v>
      </c>
      <c r="G239" s="297"/>
      <c r="H239" s="297"/>
      <c r="I239" s="297"/>
      <c r="J239" s="305"/>
      <c r="K239" s="305"/>
      <c r="L239" s="297">
        <v>1963.19</v>
      </c>
      <c r="M239" s="297">
        <v>0</v>
      </c>
      <c r="N239" s="297">
        <v>0</v>
      </c>
      <c r="O239" s="297">
        <v>0</v>
      </c>
      <c r="P239" s="297">
        <v>0</v>
      </c>
      <c r="Q239" s="298" t="s">
        <v>242</v>
      </c>
      <c r="R239" s="293" t="s">
        <v>243</v>
      </c>
    </row>
    <row r="240" spans="1:18" ht="36.75" customHeight="1">
      <c r="A240" s="294" t="s">
        <v>2168</v>
      </c>
      <c r="B240" s="295" t="s">
        <v>705</v>
      </c>
      <c r="C240" s="296" t="s">
        <v>669</v>
      </c>
      <c r="D240" s="297">
        <v>1</v>
      </c>
      <c r="E240" s="297">
        <v>1</v>
      </c>
      <c r="F240" s="396">
        <f>'數量計算(FOR4變)'!I436</f>
        <v>3</v>
      </c>
      <c r="G240" s="297"/>
      <c r="H240" s="297"/>
      <c r="I240" s="297"/>
      <c r="J240" s="305"/>
      <c r="K240" s="305"/>
      <c r="L240" s="297">
        <v>2216.48</v>
      </c>
      <c r="M240" s="297">
        <v>0</v>
      </c>
      <c r="N240" s="297">
        <v>1</v>
      </c>
      <c r="O240" s="297">
        <v>0</v>
      </c>
      <c r="P240" s="297">
        <v>2216.48</v>
      </c>
      <c r="Q240" s="298" t="s">
        <v>242</v>
      </c>
      <c r="R240" s="293" t="s">
        <v>243</v>
      </c>
    </row>
    <row r="241" spans="1:18" ht="36.75" customHeight="1">
      <c r="A241" s="294" t="s">
        <v>2169</v>
      </c>
      <c r="B241" s="295" t="s">
        <v>708</v>
      </c>
      <c r="C241" s="296" t="s">
        <v>669</v>
      </c>
      <c r="D241" s="297">
        <v>1</v>
      </c>
      <c r="E241" s="297">
        <v>1</v>
      </c>
      <c r="F241" s="396">
        <f>'數量計算(FOR4變)'!I437</f>
        <v>6</v>
      </c>
      <c r="G241" s="297"/>
      <c r="H241" s="297"/>
      <c r="I241" s="297"/>
      <c r="J241" s="305"/>
      <c r="K241" s="305"/>
      <c r="L241" s="297">
        <v>4720.3100000000004</v>
      </c>
      <c r="M241" s="297">
        <v>0</v>
      </c>
      <c r="N241" s="297">
        <v>1</v>
      </c>
      <c r="O241" s="297">
        <v>0</v>
      </c>
      <c r="P241" s="297">
        <v>4720.3100000000004</v>
      </c>
      <c r="Q241" s="298" t="s">
        <v>242</v>
      </c>
      <c r="R241" s="293" t="s">
        <v>243</v>
      </c>
    </row>
    <row r="242" spans="1:18" ht="36.75" customHeight="1">
      <c r="A242" s="294" t="s">
        <v>2170</v>
      </c>
      <c r="B242" s="295" t="s">
        <v>147</v>
      </c>
      <c r="C242" s="296" t="s">
        <v>8</v>
      </c>
      <c r="D242" s="297">
        <v>1</v>
      </c>
      <c r="E242" s="297">
        <v>162</v>
      </c>
      <c r="F242" s="297">
        <f>E242</f>
        <v>162</v>
      </c>
      <c r="G242" s="297"/>
      <c r="H242" s="297"/>
      <c r="I242" s="297"/>
      <c r="J242" s="305"/>
      <c r="K242" s="305"/>
      <c r="L242" s="297">
        <v>1859.79</v>
      </c>
      <c r="M242" s="297">
        <v>0</v>
      </c>
      <c r="N242" s="297">
        <v>90</v>
      </c>
      <c r="O242" s="297">
        <v>0</v>
      </c>
      <c r="P242" s="297">
        <v>167381.1</v>
      </c>
      <c r="Q242" s="298" t="s">
        <v>242</v>
      </c>
      <c r="R242" s="293" t="s">
        <v>243</v>
      </c>
    </row>
    <row r="243" spans="1:18" ht="36.75" customHeight="1">
      <c r="A243" s="294" t="s">
        <v>2171</v>
      </c>
      <c r="B243" s="295" t="s">
        <v>713</v>
      </c>
      <c r="C243" s="296" t="s">
        <v>15</v>
      </c>
      <c r="D243" s="297">
        <v>1</v>
      </c>
      <c r="E243" s="297">
        <v>1</v>
      </c>
      <c r="F243" s="297">
        <f>D243</f>
        <v>1</v>
      </c>
      <c r="G243" s="297"/>
      <c r="H243" s="297"/>
      <c r="I243" s="297"/>
      <c r="J243" s="305"/>
      <c r="K243" s="305"/>
      <c r="L243" s="297">
        <v>10254.44</v>
      </c>
      <c r="M243" s="297">
        <v>0</v>
      </c>
      <c r="N243" s="297">
        <v>0</v>
      </c>
      <c r="O243" s="297">
        <v>0</v>
      </c>
      <c r="P243" s="297">
        <v>0</v>
      </c>
      <c r="Q243" s="298" t="s">
        <v>242</v>
      </c>
      <c r="R243" s="293" t="s">
        <v>243</v>
      </c>
    </row>
    <row r="244" spans="1:18" ht="36.75" customHeight="1">
      <c r="A244" s="294" t="s">
        <v>2172</v>
      </c>
      <c r="B244" s="295" t="s">
        <v>716</v>
      </c>
      <c r="C244" s="296" t="s">
        <v>15</v>
      </c>
      <c r="D244" s="297">
        <v>1</v>
      </c>
      <c r="E244" s="297">
        <v>268</v>
      </c>
      <c r="F244" s="297">
        <f>E244</f>
        <v>268</v>
      </c>
      <c r="G244" s="297"/>
      <c r="H244" s="297"/>
      <c r="I244" s="297"/>
      <c r="J244" s="305"/>
      <c r="K244" s="305"/>
      <c r="L244" s="297">
        <v>40</v>
      </c>
      <c r="M244" s="297">
        <v>0</v>
      </c>
      <c r="N244" s="297">
        <v>0</v>
      </c>
      <c r="O244" s="297">
        <v>0</v>
      </c>
      <c r="P244" s="297">
        <v>0</v>
      </c>
      <c r="Q244" s="298" t="s">
        <v>242</v>
      </c>
      <c r="R244" s="293" t="s">
        <v>243</v>
      </c>
    </row>
    <row r="245" spans="1:18" ht="36.75" customHeight="1">
      <c r="A245" s="294" t="s">
        <v>2173</v>
      </c>
      <c r="B245" s="295" t="s">
        <v>719</v>
      </c>
      <c r="C245" s="296" t="s">
        <v>7</v>
      </c>
      <c r="D245" s="297">
        <v>1</v>
      </c>
      <c r="E245" s="297">
        <v>1340</v>
      </c>
      <c r="F245" s="297">
        <f>E245</f>
        <v>1340</v>
      </c>
      <c r="G245" s="297"/>
      <c r="H245" s="297"/>
      <c r="I245" s="297"/>
      <c r="J245" s="305"/>
      <c r="K245" s="305"/>
      <c r="L245" s="297">
        <v>35</v>
      </c>
      <c r="M245" s="297">
        <v>0</v>
      </c>
      <c r="N245" s="297">
        <v>520</v>
      </c>
      <c r="O245" s="297">
        <v>0</v>
      </c>
      <c r="P245" s="297">
        <v>18200</v>
      </c>
      <c r="Q245" s="298" t="s">
        <v>242</v>
      </c>
      <c r="R245" s="293" t="s">
        <v>243</v>
      </c>
    </row>
    <row r="246" spans="1:18" ht="36.75" customHeight="1">
      <c r="A246" s="294" t="s">
        <v>2174</v>
      </c>
      <c r="B246" s="295" t="s">
        <v>722</v>
      </c>
      <c r="C246" s="296" t="s">
        <v>8</v>
      </c>
      <c r="D246" s="297">
        <v>1</v>
      </c>
      <c r="E246" s="297">
        <v>1</v>
      </c>
      <c r="F246" s="297">
        <f>D246</f>
        <v>1</v>
      </c>
      <c r="G246" s="297"/>
      <c r="H246" s="297"/>
      <c r="I246" s="297"/>
      <c r="J246" s="305"/>
      <c r="K246" s="305"/>
      <c r="L246" s="297">
        <v>10</v>
      </c>
      <c r="M246" s="297">
        <v>0</v>
      </c>
      <c r="N246" s="297">
        <v>0</v>
      </c>
      <c r="O246" s="297">
        <v>0</v>
      </c>
      <c r="P246" s="297">
        <v>0</v>
      </c>
      <c r="Q246" s="298" t="s">
        <v>242</v>
      </c>
      <c r="R246" s="293" t="s">
        <v>243</v>
      </c>
    </row>
    <row r="247" spans="1:18" ht="36.75" customHeight="1">
      <c r="A247" s="294" t="s">
        <v>2175</v>
      </c>
      <c r="B247" s="295" t="s">
        <v>725</v>
      </c>
      <c r="C247" s="296" t="s">
        <v>13</v>
      </c>
      <c r="D247" s="297">
        <v>1</v>
      </c>
      <c r="E247" s="297">
        <v>1</v>
      </c>
      <c r="F247" s="297">
        <f>D247</f>
        <v>1</v>
      </c>
      <c r="G247" s="297"/>
      <c r="H247" s="297"/>
      <c r="I247" s="297"/>
      <c r="J247" s="305"/>
      <c r="K247" s="305"/>
      <c r="L247" s="297">
        <v>530.97</v>
      </c>
      <c r="M247" s="297">
        <v>0</v>
      </c>
      <c r="N247" s="297">
        <v>0</v>
      </c>
      <c r="O247" s="297">
        <v>0</v>
      </c>
      <c r="P247" s="297">
        <v>0</v>
      </c>
      <c r="Q247" s="298" t="s">
        <v>242</v>
      </c>
      <c r="R247" s="293" t="s">
        <v>243</v>
      </c>
    </row>
    <row r="248" spans="1:18" ht="36.75" customHeight="1">
      <c r="A248" s="294" t="s">
        <v>2177</v>
      </c>
      <c r="B248" s="295" t="s">
        <v>728</v>
      </c>
      <c r="C248" s="296" t="s">
        <v>6</v>
      </c>
      <c r="D248" s="297">
        <v>1</v>
      </c>
      <c r="E248" s="297">
        <v>11.31</v>
      </c>
      <c r="F248" s="297">
        <f>E248</f>
        <v>11.31</v>
      </c>
      <c r="G248" s="297"/>
      <c r="H248" s="297"/>
      <c r="I248" s="297"/>
      <c r="J248" s="305"/>
      <c r="K248" s="305"/>
      <c r="L248" s="297">
        <v>3386.34</v>
      </c>
      <c r="M248" s="297">
        <v>0</v>
      </c>
      <c r="N248" s="297">
        <v>5.2</v>
      </c>
      <c r="O248" s="297">
        <v>0</v>
      </c>
      <c r="P248" s="297">
        <v>17608.97</v>
      </c>
      <c r="Q248" s="298" t="s">
        <v>242</v>
      </c>
      <c r="R248" s="293" t="s">
        <v>243</v>
      </c>
    </row>
    <row r="249" spans="1:18" ht="36.75" customHeight="1">
      <c r="A249" s="294" t="s">
        <v>2178</v>
      </c>
      <c r="B249" s="295" t="s">
        <v>731</v>
      </c>
      <c r="C249" s="296" t="s">
        <v>4</v>
      </c>
      <c r="D249" s="297">
        <v>1</v>
      </c>
      <c r="E249" s="297">
        <v>1</v>
      </c>
      <c r="F249" s="297">
        <f>D249</f>
        <v>1</v>
      </c>
      <c r="G249" s="297"/>
      <c r="H249" s="297"/>
      <c r="I249" s="297"/>
      <c r="J249" s="305"/>
      <c r="K249" s="305"/>
      <c r="L249" s="297">
        <v>107994.11</v>
      </c>
      <c r="M249" s="297">
        <v>1</v>
      </c>
      <c r="N249" s="297">
        <v>1</v>
      </c>
      <c r="O249" s="297">
        <v>43196</v>
      </c>
      <c r="P249" s="297">
        <v>64796</v>
      </c>
      <c r="Q249" s="298" t="s">
        <v>2247</v>
      </c>
      <c r="R249" s="293" t="s">
        <v>243</v>
      </c>
    </row>
    <row r="250" spans="1:18" ht="36.75" customHeight="1">
      <c r="A250" s="294" t="s">
        <v>2179</v>
      </c>
      <c r="B250" s="295" t="s">
        <v>734</v>
      </c>
      <c r="C250" s="296" t="s">
        <v>13</v>
      </c>
      <c r="D250" s="297">
        <v>1</v>
      </c>
      <c r="E250" s="297">
        <v>1</v>
      </c>
      <c r="F250" s="297">
        <f>D250</f>
        <v>1</v>
      </c>
      <c r="G250" s="297"/>
      <c r="H250" s="297"/>
      <c r="I250" s="297"/>
      <c r="J250" s="305"/>
      <c r="K250" s="305"/>
      <c r="L250" s="297">
        <v>499.97</v>
      </c>
      <c r="M250" s="297">
        <v>0</v>
      </c>
      <c r="N250" s="297">
        <v>0</v>
      </c>
      <c r="O250" s="297">
        <v>0</v>
      </c>
      <c r="P250" s="297">
        <v>0</v>
      </c>
      <c r="Q250" s="298" t="s">
        <v>242</v>
      </c>
      <c r="R250" s="293" t="s">
        <v>243</v>
      </c>
    </row>
    <row r="251" spans="1:18" ht="36.75" customHeight="1">
      <c r="A251" s="294" t="s">
        <v>2181</v>
      </c>
      <c r="B251" s="295" t="s">
        <v>737</v>
      </c>
      <c r="C251" s="296" t="s">
        <v>669</v>
      </c>
      <c r="D251" s="297">
        <v>1</v>
      </c>
      <c r="E251" s="297">
        <v>1</v>
      </c>
      <c r="F251" s="297">
        <f>E251</f>
        <v>1</v>
      </c>
      <c r="G251" s="297">
        <f>'數量計算(FOR4變)'!I447</f>
        <v>35</v>
      </c>
      <c r="H251" s="297">
        <f>G251-D251</f>
        <v>34</v>
      </c>
      <c r="I251" s="297">
        <f t="shared" ref="I251:I300" si="9">ROUND(H251*L251,2)</f>
        <v>342306.56</v>
      </c>
      <c r="J251" s="305"/>
      <c r="K251" s="305"/>
      <c r="L251" s="297">
        <v>10067.84</v>
      </c>
      <c r="M251" s="297">
        <v>0</v>
      </c>
      <c r="N251" s="297">
        <v>0</v>
      </c>
      <c r="O251" s="297">
        <v>0</v>
      </c>
      <c r="P251" s="297">
        <v>0</v>
      </c>
      <c r="Q251" s="460" t="s">
        <v>2517</v>
      </c>
      <c r="R251" s="293" t="s">
        <v>243</v>
      </c>
    </row>
    <row r="252" spans="1:18" ht="36.75" customHeight="1">
      <c r="A252" s="294" t="s">
        <v>2182</v>
      </c>
      <c r="B252" s="295" t="s">
        <v>740</v>
      </c>
      <c r="C252" s="296" t="s">
        <v>669</v>
      </c>
      <c r="D252" s="297">
        <v>1</v>
      </c>
      <c r="E252" s="297">
        <v>1</v>
      </c>
      <c r="F252" s="297">
        <f t="shared" ref="F252:F300" si="10">E252</f>
        <v>1</v>
      </c>
      <c r="G252" s="297">
        <f>'數量計算(FOR4變)'!I448</f>
        <v>27</v>
      </c>
      <c r="H252" s="297">
        <f t="shared" ref="H252:H300" si="11">G252-D252</f>
        <v>26</v>
      </c>
      <c r="I252" s="297">
        <f t="shared" si="9"/>
        <v>168676.82</v>
      </c>
      <c r="J252" s="305"/>
      <c r="K252" s="305"/>
      <c r="L252" s="297">
        <v>6487.57</v>
      </c>
      <c r="M252" s="297">
        <v>0</v>
      </c>
      <c r="N252" s="297">
        <v>0</v>
      </c>
      <c r="O252" s="297">
        <v>0</v>
      </c>
      <c r="P252" s="297">
        <v>0</v>
      </c>
      <c r="Q252" s="298" t="s">
        <v>242</v>
      </c>
      <c r="R252" s="293" t="s">
        <v>243</v>
      </c>
    </row>
    <row r="253" spans="1:18" ht="36.75" customHeight="1">
      <c r="A253" s="294" t="s">
        <v>2183</v>
      </c>
      <c r="B253" s="295" t="s">
        <v>743</v>
      </c>
      <c r="C253" s="296" t="s">
        <v>669</v>
      </c>
      <c r="D253" s="297">
        <v>1</v>
      </c>
      <c r="E253" s="297">
        <v>1</v>
      </c>
      <c r="F253" s="297">
        <f t="shared" si="10"/>
        <v>1</v>
      </c>
      <c r="G253" s="297">
        <f>'數量計算(FOR4變)'!I449</f>
        <v>29</v>
      </c>
      <c r="H253" s="297">
        <f t="shared" si="11"/>
        <v>28</v>
      </c>
      <c r="I253" s="297">
        <f t="shared" si="9"/>
        <v>237252.4</v>
      </c>
      <c r="J253" s="305"/>
      <c r="K253" s="305"/>
      <c r="L253" s="297">
        <v>8473.2999999999993</v>
      </c>
      <c r="M253" s="297">
        <v>0</v>
      </c>
      <c r="N253" s="297">
        <v>0</v>
      </c>
      <c r="O253" s="297">
        <v>0</v>
      </c>
      <c r="P253" s="297">
        <v>0</v>
      </c>
      <c r="Q253" s="298" t="s">
        <v>242</v>
      </c>
      <c r="R253" s="293" t="s">
        <v>243</v>
      </c>
    </row>
    <row r="254" spans="1:18" ht="36.75" customHeight="1">
      <c r="A254" s="294" t="s">
        <v>2184</v>
      </c>
      <c r="B254" s="295" t="s">
        <v>746</v>
      </c>
      <c r="C254" s="296" t="s">
        <v>669</v>
      </c>
      <c r="D254" s="297">
        <v>1</v>
      </c>
      <c r="E254" s="297">
        <v>1</v>
      </c>
      <c r="F254" s="297">
        <f t="shared" si="10"/>
        <v>1</v>
      </c>
      <c r="G254" s="297">
        <f>'數量計算(FOR4變)'!I450</f>
        <v>12</v>
      </c>
      <c r="H254" s="297">
        <f t="shared" si="11"/>
        <v>11</v>
      </c>
      <c r="I254" s="297">
        <f t="shared" si="9"/>
        <v>195170.69</v>
      </c>
      <c r="J254" s="305"/>
      <c r="K254" s="305"/>
      <c r="L254" s="297">
        <v>17742.79</v>
      </c>
      <c r="M254" s="297">
        <v>0</v>
      </c>
      <c r="N254" s="297">
        <v>0</v>
      </c>
      <c r="O254" s="297">
        <v>0</v>
      </c>
      <c r="P254" s="297">
        <v>0</v>
      </c>
      <c r="Q254" s="298" t="s">
        <v>242</v>
      </c>
      <c r="R254" s="293" t="s">
        <v>243</v>
      </c>
    </row>
    <row r="255" spans="1:18" ht="36.75" customHeight="1">
      <c r="A255" s="294" t="s">
        <v>2185</v>
      </c>
      <c r="B255" s="295" t="s">
        <v>749</v>
      </c>
      <c r="C255" s="296" t="s">
        <v>669</v>
      </c>
      <c r="D255" s="297">
        <v>1</v>
      </c>
      <c r="E255" s="297">
        <v>1</v>
      </c>
      <c r="F255" s="297">
        <f t="shared" si="10"/>
        <v>1</v>
      </c>
      <c r="G255" s="297">
        <f>'數量計算(FOR4變)'!I451</f>
        <v>3</v>
      </c>
      <c r="H255" s="297">
        <f t="shared" si="11"/>
        <v>2</v>
      </c>
      <c r="I255" s="297">
        <f t="shared" si="9"/>
        <v>10328.18</v>
      </c>
      <c r="J255" s="305"/>
      <c r="K255" s="305"/>
      <c r="L255" s="297">
        <v>5164.09</v>
      </c>
      <c r="M255" s="297">
        <v>0</v>
      </c>
      <c r="N255" s="297">
        <v>0</v>
      </c>
      <c r="O255" s="297">
        <v>0</v>
      </c>
      <c r="P255" s="297">
        <v>0</v>
      </c>
      <c r="Q255" s="298" t="s">
        <v>242</v>
      </c>
      <c r="R255" s="293" t="s">
        <v>243</v>
      </c>
    </row>
    <row r="256" spans="1:18" ht="36.75" customHeight="1">
      <c r="A256" s="294" t="s">
        <v>2186</v>
      </c>
      <c r="B256" s="295" t="s">
        <v>752</v>
      </c>
      <c r="C256" s="296" t="s">
        <v>669</v>
      </c>
      <c r="D256" s="297">
        <v>1</v>
      </c>
      <c r="E256" s="297">
        <v>1</v>
      </c>
      <c r="F256" s="297">
        <f t="shared" si="10"/>
        <v>1</v>
      </c>
      <c r="G256" s="297">
        <f>'數量計算(FOR4變)'!I452</f>
        <v>17</v>
      </c>
      <c r="H256" s="297">
        <f t="shared" si="11"/>
        <v>16</v>
      </c>
      <c r="I256" s="297">
        <f t="shared" si="9"/>
        <v>82625.440000000002</v>
      </c>
      <c r="J256" s="305"/>
      <c r="K256" s="305"/>
      <c r="L256" s="297">
        <v>5164.09</v>
      </c>
      <c r="M256" s="297">
        <v>0</v>
      </c>
      <c r="N256" s="297">
        <v>0</v>
      </c>
      <c r="O256" s="297">
        <v>0</v>
      </c>
      <c r="P256" s="297">
        <v>0</v>
      </c>
      <c r="Q256" s="298" t="s">
        <v>242</v>
      </c>
      <c r="R256" s="293" t="s">
        <v>243</v>
      </c>
    </row>
    <row r="257" spans="1:18" ht="36.75" customHeight="1">
      <c r="A257" s="294" t="s">
        <v>2187</v>
      </c>
      <c r="B257" s="295" t="s">
        <v>755</v>
      </c>
      <c r="C257" s="296" t="s">
        <v>669</v>
      </c>
      <c r="D257" s="297">
        <v>1</v>
      </c>
      <c r="E257" s="297">
        <v>1</v>
      </c>
      <c r="F257" s="297">
        <f t="shared" si="10"/>
        <v>1</v>
      </c>
      <c r="G257" s="297">
        <f>'數量計算(FOR4變)'!I453</f>
        <v>3</v>
      </c>
      <c r="H257" s="297">
        <f t="shared" si="11"/>
        <v>2</v>
      </c>
      <c r="I257" s="297">
        <f t="shared" si="9"/>
        <v>11461.12</v>
      </c>
      <c r="J257" s="305"/>
      <c r="K257" s="305"/>
      <c r="L257" s="297">
        <v>5730.56</v>
      </c>
      <c r="M257" s="297">
        <v>0</v>
      </c>
      <c r="N257" s="297">
        <v>0</v>
      </c>
      <c r="O257" s="297">
        <v>0</v>
      </c>
      <c r="P257" s="297">
        <v>0</v>
      </c>
      <c r="Q257" s="298" t="s">
        <v>242</v>
      </c>
      <c r="R257" s="293" t="s">
        <v>243</v>
      </c>
    </row>
    <row r="258" spans="1:18" ht="36.75" customHeight="1">
      <c r="A258" s="294" t="s">
        <v>2188</v>
      </c>
      <c r="B258" s="295" t="s">
        <v>758</v>
      </c>
      <c r="C258" s="296" t="s">
        <v>669</v>
      </c>
      <c r="D258" s="297">
        <v>1</v>
      </c>
      <c r="E258" s="297">
        <v>1</v>
      </c>
      <c r="F258" s="297">
        <f t="shared" si="10"/>
        <v>1</v>
      </c>
      <c r="G258" s="297">
        <f>'數量計算(FOR4變)'!I454</f>
        <v>6</v>
      </c>
      <c r="H258" s="297">
        <f t="shared" si="11"/>
        <v>5</v>
      </c>
      <c r="I258" s="297">
        <f t="shared" si="9"/>
        <v>35405</v>
      </c>
      <c r="J258" s="305"/>
      <c r="K258" s="305"/>
      <c r="L258" s="297">
        <v>7081</v>
      </c>
      <c r="M258" s="297">
        <v>0</v>
      </c>
      <c r="N258" s="297">
        <v>0</v>
      </c>
      <c r="O258" s="297">
        <v>0</v>
      </c>
      <c r="P258" s="297">
        <v>0</v>
      </c>
      <c r="Q258" s="298" t="s">
        <v>242</v>
      </c>
      <c r="R258" s="293" t="s">
        <v>243</v>
      </c>
    </row>
    <row r="259" spans="1:18" ht="36.75" customHeight="1">
      <c r="A259" s="294" t="s">
        <v>2189</v>
      </c>
      <c r="B259" s="295" t="s">
        <v>761</v>
      </c>
      <c r="C259" s="296" t="s">
        <v>669</v>
      </c>
      <c r="D259" s="297">
        <v>1</v>
      </c>
      <c r="E259" s="297">
        <v>1</v>
      </c>
      <c r="F259" s="297">
        <f t="shared" si="10"/>
        <v>1</v>
      </c>
      <c r="G259" s="297">
        <f>'數量計算(FOR4變)'!I455</f>
        <v>25</v>
      </c>
      <c r="H259" s="297">
        <f t="shared" si="11"/>
        <v>24</v>
      </c>
      <c r="I259" s="297">
        <f t="shared" si="9"/>
        <v>114050.64</v>
      </c>
      <c r="J259" s="305"/>
      <c r="K259" s="305"/>
      <c r="L259" s="297">
        <v>4752.1099999999997</v>
      </c>
      <c r="M259" s="297">
        <v>0</v>
      </c>
      <c r="N259" s="297">
        <v>0</v>
      </c>
      <c r="O259" s="297">
        <v>0</v>
      </c>
      <c r="P259" s="297">
        <v>0</v>
      </c>
      <c r="Q259" s="298" t="s">
        <v>242</v>
      </c>
      <c r="R259" s="293" t="s">
        <v>243</v>
      </c>
    </row>
    <row r="260" spans="1:18" ht="36.75" customHeight="1">
      <c r="A260" s="294" t="s">
        <v>2190</v>
      </c>
      <c r="B260" s="295" t="s">
        <v>764</v>
      </c>
      <c r="C260" s="296" t="s">
        <v>669</v>
      </c>
      <c r="D260" s="297">
        <v>1</v>
      </c>
      <c r="E260" s="297">
        <v>1</v>
      </c>
      <c r="F260" s="297">
        <f t="shared" si="10"/>
        <v>1</v>
      </c>
      <c r="G260" s="297">
        <f>'數量計算(FOR4變)'!I456</f>
        <v>2</v>
      </c>
      <c r="H260" s="297">
        <f t="shared" si="11"/>
        <v>1</v>
      </c>
      <c r="I260" s="297">
        <f t="shared" si="9"/>
        <v>14691.08</v>
      </c>
      <c r="J260" s="305"/>
      <c r="K260" s="305"/>
      <c r="L260" s="297">
        <v>14691.08</v>
      </c>
      <c r="M260" s="297">
        <v>0</v>
      </c>
      <c r="N260" s="297">
        <v>0</v>
      </c>
      <c r="O260" s="297">
        <v>0</v>
      </c>
      <c r="P260" s="297">
        <v>0</v>
      </c>
      <c r="Q260" s="298" t="s">
        <v>242</v>
      </c>
      <c r="R260" s="293" t="s">
        <v>243</v>
      </c>
    </row>
    <row r="261" spans="1:18" ht="36.75" customHeight="1">
      <c r="A261" s="294" t="s">
        <v>2191</v>
      </c>
      <c r="B261" s="295" t="s">
        <v>767</v>
      </c>
      <c r="C261" s="296" t="s">
        <v>669</v>
      </c>
      <c r="D261" s="297">
        <v>1</v>
      </c>
      <c r="E261" s="297">
        <v>1</v>
      </c>
      <c r="F261" s="297">
        <f t="shared" si="10"/>
        <v>1</v>
      </c>
      <c r="G261" s="297">
        <f>'數量計算(FOR4變)'!I457</f>
        <v>215</v>
      </c>
      <c r="H261" s="297">
        <f t="shared" si="11"/>
        <v>214</v>
      </c>
      <c r="I261" s="297">
        <f t="shared" si="9"/>
        <v>48000.2</v>
      </c>
      <c r="J261" s="305"/>
      <c r="K261" s="305"/>
      <c r="L261" s="297">
        <v>224.3</v>
      </c>
      <c r="M261" s="297">
        <v>0</v>
      </c>
      <c r="N261" s="297">
        <v>0</v>
      </c>
      <c r="O261" s="297">
        <v>0</v>
      </c>
      <c r="P261" s="297">
        <v>0</v>
      </c>
      <c r="Q261" s="298" t="s">
        <v>242</v>
      </c>
      <c r="R261" s="293" t="s">
        <v>243</v>
      </c>
    </row>
    <row r="262" spans="1:18" ht="36.75" customHeight="1">
      <c r="A262" s="294" t="s">
        <v>2192</v>
      </c>
      <c r="B262" s="295" t="s">
        <v>770</v>
      </c>
      <c r="C262" s="296" t="s">
        <v>669</v>
      </c>
      <c r="D262" s="297">
        <v>1</v>
      </c>
      <c r="E262" s="297">
        <v>1</v>
      </c>
      <c r="F262" s="297">
        <f t="shared" si="10"/>
        <v>1</v>
      </c>
      <c r="G262" s="297">
        <f>'數量計算(FOR4變)'!I458</f>
        <v>501</v>
      </c>
      <c r="H262" s="297">
        <f t="shared" si="11"/>
        <v>500</v>
      </c>
      <c r="I262" s="297">
        <f t="shared" si="9"/>
        <v>137820</v>
      </c>
      <c r="J262" s="305"/>
      <c r="K262" s="305"/>
      <c r="L262" s="297">
        <v>275.64</v>
      </c>
      <c r="M262" s="297">
        <v>0</v>
      </c>
      <c r="N262" s="297">
        <v>0</v>
      </c>
      <c r="O262" s="297">
        <v>0</v>
      </c>
      <c r="P262" s="297">
        <v>0</v>
      </c>
      <c r="Q262" s="298" t="s">
        <v>242</v>
      </c>
      <c r="R262" s="293" t="s">
        <v>243</v>
      </c>
    </row>
    <row r="263" spans="1:18" ht="36.75" customHeight="1">
      <c r="A263" s="294" t="s">
        <v>2193</v>
      </c>
      <c r="B263" s="295" t="s">
        <v>773</v>
      </c>
      <c r="C263" s="296" t="s">
        <v>669</v>
      </c>
      <c r="D263" s="297">
        <v>1</v>
      </c>
      <c r="E263" s="297">
        <v>1</v>
      </c>
      <c r="F263" s="297">
        <f t="shared" si="10"/>
        <v>1</v>
      </c>
      <c r="G263" s="297">
        <f>'數量計算(FOR4變)'!I459</f>
        <v>770</v>
      </c>
      <c r="H263" s="297">
        <f t="shared" si="11"/>
        <v>769</v>
      </c>
      <c r="I263" s="297">
        <f t="shared" si="9"/>
        <v>218034.57</v>
      </c>
      <c r="J263" s="305"/>
      <c r="K263" s="305"/>
      <c r="L263" s="297">
        <v>283.52999999999997</v>
      </c>
      <c r="M263" s="297">
        <v>0</v>
      </c>
      <c r="N263" s="297">
        <v>0</v>
      </c>
      <c r="O263" s="297">
        <v>0</v>
      </c>
      <c r="P263" s="297">
        <v>0</v>
      </c>
      <c r="Q263" s="298" t="s">
        <v>242</v>
      </c>
      <c r="R263" s="293" t="s">
        <v>243</v>
      </c>
    </row>
    <row r="264" spans="1:18" ht="36.75" customHeight="1">
      <c r="A264" s="294" t="s">
        <v>2194</v>
      </c>
      <c r="B264" s="295" t="s">
        <v>776</v>
      </c>
      <c r="C264" s="296" t="s">
        <v>669</v>
      </c>
      <c r="D264" s="297">
        <v>1</v>
      </c>
      <c r="E264" s="297">
        <v>1</v>
      </c>
      <c r="F264" s="297">
        <f t="shared" si="10"/>
        <v>1</v>
      </c>
      <c r="G264" s="297">
        <f>'數量計算(FOR4變)'!I460</f>
        <v>563</v>
      </c>
      <c r="H264" s="297">
        <f t="shared" si="11"/>
        <v>562</v>
      </c>
      <c r="I264" s="297">
        <f t="shared" si="9"/>
        <v>49989.9</v>
      </c>
      <c r="J264" s="305"/>
      <c r="K264" s="305"/>
      <c r="L264" s="297">
        <v>88.95</v>
      </c>
      <c r="M264" s="297">
        <v>0</v>
      </c>
      <c r="N264" s="297">
        <v>0</v>
      </c>
      <c r="O264" s="297">
        <v>0</v>
      </c>
      <c r="P264" s="297">
        <v>0</v>
      </c>
      <c r="Q264" s="298" t="s">
        <v>242</v>
      </c>
      <c r="R264" s="293" t="s">
        <v>243</v>
      </c>
    </row>
    <row r="265" spans="1:18" ht="36.75" customHeight="1">
      <c r="A265" s="294" t="s">
        <v>2195</v>
      </c>
      <c r="B265" s="295" t="s">
        <v>779</v>
      </c>
      <c r="C265" s="296" t="s">
        <v>669</v>
      </c>
      <c r="D265" s="297">
        <v>1</v>
      </c>
      <c r="E265" s="297">
        <v>1</v>
      </c>
      <c r="F265" s="297">
        <f t="shared" si="10"/>
        <v>1</v>
      </c>
      <c r="G265" s="297">
        <f>'數量計算(FOR4變)'!I461</f>
        <v>3032</v>
      </c>
      <c r="H265" s="297">
        <f t="shared" si="11"/>
        <v>3031</v>
      </c>
      <c r="I265" s="297">
        <f t="shared" si="9"/>
        <v>374995.32</v>
      </c>
      <c r="J265" s="305"/>
      <c r="K265" s="305"/>
      <c r="L265" s="297">
        <v>123.72</v>
      </c>
      <c r="M265" s="297">
        <v>0</v>
      </c>
      <c r="N265" s="297">
        <v>0</v>
      </c>
      <c r="O265" s="297">
        <v>0</v>
      </c>
      <c r="P265" s="297">
        <v>0</v>
      </c>
      <c r="Q265" s="298" t="s">
        <v>242</v>
      </c>
      <c r="R265" s="293" t="s">
        <v>243</v>
      </c>
    </row>
    <row r="266" spans="1:18" ht="36.75" customHeight="1">
      <c r="A266" s="294" t="s">
        <v>2196</v>
      </c>
      <c r="B266" s="295" t="s">
        <v>782</v>
      </c>
      <c r="C266" s="296" t="s">
        <v>669</v>
      </c>
      <c r="D266" s="297">
        <v>1</v>
      </c>
      <c r="E266" s="297">
        <v>1</v>
      </c>
      <c r="F266" s="297">
        <f t="shared" si="10"/>
        <v>1</v>
      </c>
      <c r="G266" s="297">
        <f>'數量計算(FOR4變)'!I462</f>
        <v>578</v>
      </c>
      <c r="H266" s="297">
        <f t="shared" si="11"/>
        <v>577</v>
      </c>
      <c r="I266" s="297">
        <f t="shared" si="9"/>
        <v>70053.570000000007</v>
      </c>
      <c r="J266" s="305"/>
      <c r="K266" s="305"/>
      <c r="L266" s="297">
        <v>121.41</v>
      </c>
      <c r="M266" s="297">
        <v>0</v>
      </c>
      <c r="N266" s="297">
        <v>0</v>
      </c>
      <c r="O266" s="297">
        <v>0</v>
      </c>
      <c r="P266" s="297">
        <v>0</v>
      </c>
      <c r="Q266" s="298" t="s">
        <v>242</v>
      </c>
      <c r="R266" s="293" t="s">
        <v>243</v>
      </c>
    </row>
    <row r="267" spans="1:18" ht="36.75" customHeight="1">
      <c r="A267" s="294" t="s">
        <v>2197</v>
      </c>
      <c r="B267" s="295" t="s">
        <v>785</v>
      </c>
      <c r="C267" s="296" t="s">
        <v>669</v>
      </c>
      <c r="D267" s="297">
        <v>1</v>
      </c>
      <c r="E267" s="297">
        <v>1</v>
      </c>
      <c r="F267" s="297">
        <f t="shared" si="10"/>
        <v>1</v>
      </c>
      <c r="G267" s="297">
        <f>'數量計算(FOR4變)'!I463</f>
        <v>2540</v>
      </c>
      <c r="H267" s="297">
        <f t="shared" si="11"/>
        <v>2539</v>
      </c>
      <c r="I267" s="297">
        <f t="shared" si="9"/>
        <v>340936.92</v>
      </c>
      <c r="J267" s="305"/>
      <c r="K267" s="305"/>
      <c r="L267" s="297">
        <v>134.28</v>
      </c>
      <c r="M267" s="297">
        <v>0</v>
      </c>
      <c r="N267" s="297">
        <v>0</v>
      </c>
      <c r="O267" s="297">
        <v>0</v>
      </c>
      <c r="P267" s="297">
        <v>0</v>
      </c>
      <c r="Q267" s="298" t="s">
        <v>242</v>
      </c>
      <c r="R267" s="293" t="s">
        <v>243</v>
      </c>
    </row>
    <row r="268" spans="1:18" ht="36.75" customHeight="1">
      <c r="A268" s="294" t="s">
        <v>2198</v>
      </c>
      <c r="B268" s="295" t="s">
        <v>788</v>
      </c>
      <c r="C268" s="296" t="s">
        <v>669</v>
      </c>
      <c r="D268" s="297">
        <v>1</v>
      </c>
      <c r="E268" s="297">
        <v>1</v>
      </c>
      <c r="F268" s="297">
        <f t="shared" si="10"/>
        <v>1</v>
      </c>
      <c r="G268" s="297">
        <f>'數量計算(FOR4變)'!I464</f>
        <v>6995</v>
      </c>
      <c r="H268" s="297">
        <f t="shared" si="11"/>
        <v>6994</v>
      </c>
      <c r="I268" s="297">
        <f t="shared" si="9"/>
        <v>255630.7</v>
      </c>
      <c r="J268" s="305"/>
      <c r="K268" s="305"/>
      <c r="L268" s="297">
        <v>36.549999999999997</v>
      </c>
      <c r="M268" s="297">
        <v>0</v>
      </c>
      <c r="N268" s="297">
        <v>0</v>
      </c>
      <c r="O268" s="297">
        <v>0</v>
      </c>
      <c r="P268" s="297">
        <v>0</v>
      </c>
      <c r="Q268" s="298" t="s">
        <v>242</v>
      </c>
      <c r="R268" s="293" t="s">
        <v>243</v>
      </c>
    </row>
    <row r="269" spans="1:18" ht="36.75" customHeight="1">
      <c r="A269" s="294" t="s">
        <v>2199</v>
      </c>
      <c r="B269" s="295" t="s">
        <v>791</v>
      </c>
      <c r="C269" s="296" t="s">
        <v>669</v>
      </c>
      <c r="D269" s="297">
        <v>1</v>
      </c>
      <c r="E269" s="297">
        <v>1</v>
      </c>
      <c r="F269" s="297">
        <f t="shared" si="10"/>
        <v>1</v>
      </c>
      <c r="G269" s="297">
        <f>'數量計算(FOR4變)'!I465</f>
        <v>7875</v>
      </c>
      <c r="H269" s="297">
        <f t="shared" si="11"/>
        <v>7874</v>
      </c>
      <c r="I269" s="297">
        <f t="shared" si="9"/>
        <v>817006.24</v>
      </c>
      <c r="J269" s="305"/>
      <c r="K269" s="305"/>
      <c r="L269" s="297">
        <v>103.76</v>
      </c>
      <c r="M269" s="297">
        <v>0</v>
      </c>
      <c r="N269" s="297">
        <v>0</v>
      </c>
      <c r="O269" s="297">
        <v>0</v>
      </c>
      <c r="P269" s="297">
        <v>0</v>
      </c>
      <c r="Q269" s="298" t="s">
        <v>242</v>
      </c>
      <c r="R269" s="293" t="s">
        <v>243</v>
      </c>
    </row>
    <row r="270" spans="1:18" ht="36.75" customHeight="1">
      <c r="A270" s="294" t="s">
        <v>2200</v>
      </c>
      <c r="B270" s="295" t="s">
        <v>794</v>
      </c>
      <c r="C270" s="296" t="s">
        <v>669</v>
      </c>
      <c r="D270" s="297">
        <v>1</v>
      </c>
      <c r="E270" s="297">
        <v>1</v>
      </c>
      <c r="F270" s="297">
        <f t="shared" si="10"/>
        <v>1</v>
      </c>
      <c r="G270" s="297">
        <f>'數量計算(FOR4變)'!I466</f>
        <v>2013</v>
      </c>
      <c r="H270" s="297">
        <f t="shared" si="11"/>
        <v>2012</v>
      </c>
      <c r="I270" s="297">
        <f t="shared" si="9"/>
        <v>283370.08</v>
      </c>
      <c r="J270" s="305"/>
      <c r="K270" s="305"/>
      <c r="L270" s="297">
        <v>140.84</v>
      </c>
      <c r="M270" s="297">
        <v>0</v>
      </c>
      <c r="N270" s="297">
        <v>0</v>
      </c>
      <c r="O270" s="297">
        <v>0</v>
      </c>
      <c r="P270" s="297">
        <v>0</v>
      </c>
      <c r="Q270" s="298" t="s">
        <v>242</v>
      </c>
      <c r="R270" s="293" t="s">
        <v>243</v>
      </c>
    </row>
    <row r="271" spans="1:18" ht="36.75" customHeight="1">
      <c r="A271" s="294" t="s">
        <v>2201</v>
      </c>
      <c r="B271" s="295" t="s">
        <v>797</v>
      </c>
      <c r="C271" s="296" t="s">
        <v>669</v>
      </c>
      <c r="D271" s="297">
        <v>1</v>
      </c>
      <c r="E271" s="297">
        <v>1</v>
      </c>
      <c r="F271" s="297">
        <f t="shared" si="10"/>
        <v>1</v>
      </c>
      <c r="G271" s="297">
        <f>'數量計算(FOR4變)'!I467</f>
        <v>1643</v>
      </c>
      <c r="H271" s="297">
        <f t="shared" si="11"/>
        <v>1642</v>
      </c>
      <c r="I271" s="297">
        <f t="shared" si="9"/>
        <v>84973.5</v>
      </c>
      <c r="J271" s="305"/>
      <c r="K271" s="305"/>
      <c r="L271" s="297">
        <v>51.75</v>
      </c>
      <c r="M271" s="297">
        <v>0</v>
      </c>
      <c r="N271" s="297">
        <v>0</v>
      </c>
      <c r="O271" s="297">
        <v>0</v>
      </c>
      <c r="P271" s="297">
        <v>0</v>
      </c>
      <c r="Q271" s="298" t="s">
        <v>242</v>
      </c>
      <c r="R271" s="293" t="s">
        <v>243</v>
      </c>
    </row>
    <row r="272" spans="1:18" ht="36.75" customHeight="1">
      <c r="A272" s="294" t="s">
        <v>2202</v>
      </c>
      <c r="B272" s="295" t="s">
        <v>800</v>
      </c>
      <c r="C272" s="296" t="s">
        <v>669</v>
      </c>
      <c r="D272" s="297">
        <v>1</v>
      </c>
      <c r="E272" s="297">
        <v>1</v>
      </c>
      <c r="F272" s="297">
        <f t="shared" si="10"/>
        <v>1</v>
      </c>
      <c r="G272" s="297">
        <f>'數量計算(FOR4變)'!I468</f>
        <v>985</v>
      </c>
      <c r="H272" s="297">
        <f t="shared" si="11"/>
        <v>984</v>
      </c>
      <c r="I272" s="297">
        <f t="shared" si="9"/>
        <v>34449.839999999997</v>
      </c>
      <c r="J272" s="305"/>
      <c r="K272" s="305"/>
      <c r="L272" s="297">
        <v>35.01</v>
      </c>
      <c r="M272" s="297">
        <v>0</v>
      </c>
      <c r="N272" s="297">
        <v>0</v>
      </c>
      <c r="O272" s="297">
        <v>0</v>
      </c>
      <c r="P272" s="297">
        <v>0</v>
      </c>
      <c r="Q272" s="298" t="s">
        <v>242</v>
      </c>
      <c r="R272" s="293" t="s">
        <v>243</v>
      </c>
    </row>
    <row r="273" spans="1:18" ht="36.75" customHeight="1">
      <c r="A273" s="294" t="s">
        <v>2203</v>
      </c>
      <c r="B273" s="295" t="s">
        <v>803</v>
      </c>
      <c r="C273" s="296" t="s">
        <v>669</v>
      </c>
      <c r="D273" s="297">
        <v>1</v>
      </c>
      <c r="E273" s="297">
        <v>1</v>
      </c>
      <c r="F273" s="297">
        <f t="shared" si="10"/>
        <v>1</v>
      </c>
      <c r="G273" s="297">
        <f>'數量計算(FOR4變)'!I469</f>
        <v>1100</v>
      </c>
      <c r="H273" s="297">
        <f t="shared" si="11"/>
        <v>1099</v>
      </c>
      <c r="I273" s="297">
        <f t="shared" si="9"/>
        <v>64148.63</v>
      </c>
      <c r="J273" s="305"/>
      <c r="K273" s="305"/>
      <c r="L273" s="297">
        <v>58.37</v>
      </c>
      <c r="M273" s="297">
        <v>0</v>
      </c>
      <c r="N273" s="297">
        <v>0</v>
      </c>
      <c r="O273" s="297">
        <v>0</v>
      </c>
      <c r="P273" s="297">
        <v>0</v>
      </c>
      <c r="Q273" s="298" t="s">
        <v>242</v>
      </c>
      <c r="R273" s="293" t="s">
        <v>243</v>
      </c>
    </row>
    <row r="274" spans="1:18" ht="36.75" customHeight="1">
      <c r="A274" s="294" t="s">
        <v>2204</v>
      </c>
      <c r="B274" s="295" t="s">
        <v>806</v>
      </c>
      <c r="C274" s="296" t="s">
        <v>669</v>
      </c>
      <c r="D274" s="297">
        <v>1</v>
      </c>
      <c r="E274" s="297">
        <v>1</v>
      </c>
      <c r="F274" s="297">
        <f t="shared" si="10"/>
        <v>1</v>
      </c>
      <c r="G274" s="297">
        <f>'數量計算(FOR4變)'!I470</f>
        <v>733</v>
      </c>
      <c r="H274" s="297">
        <f t="shared" si="11"/>
        <v>732</v>
      </c>
      <c r="I274" s="297">
        <f t="shared" si="9"/>
        <v>57857.279999999999</v>
      </c>
      <c r="J274" s="305"/>
      <c r="K274" s="305"/>
      <c r="L274" s="297">
        <v>79.040000000000006</v>
      </c>
      <c r="M274" s="297">
        <v>0</v>
      </c>
      <c r="N274" s="297">
        <v>0</v>
      </c>
      <c r="O274" s="297">
        <v>0</v>
      </c>
      <c r="P274" s="297">
        <v>0</v>
      </c>
      <c r="Q274" s="298" t="s">
        <v>242</v>
      </c>
      <c r="R274" s="293" t="s">
        <v>243</v>
      </c>
    </row>
    <row r="275" spans="1:18" ht="36.75" customHeight="1">
      <c r="A275" s="294" t="s">
        <v>2205</v>
      </c>
      <c r="B275" s="295" t="s">
        <v>809</v>
      </c>
      <c r="C275" s="296" t="s">
        <v>669</v>
      </c>
      <c r="D275" s="297">
        <v>1</v>
      </c>
      <c r="E275" s="297">
        <v>1</v>
      </c>
      <c r="F275" s="297">
        <f t="shared" si="10"/>
        <v>1</v>
      </c>
      <c r="G275" s="297">
        <f>'數量計算(FOR4變)'!I471</f>
        <v>16048</v>
      </c>
      <c r="H275" s="297">
        <f t="shared" si="11"/>
        <v>16047</v>
      </c>
      <c r="I275" s="297">
        <f t="shared" si="9"/>
        <v>1020428.73</v>
      </c>
      <c r="J275" s="305"/>
      <c r="K275" s="305"/>
      <c r="L275" s="297">
        <v>63.59</v>
      </c>
      <c r="M275" s="297">
        <v>0</v>
      </c>
      <c r="N275" s="297">
        <v>0</v>
      </c>
      <c r="O275" s="297">
        <v>0</v>
      </c>
      <c r="P275" s="297">
        <v>0</v>
      </c>
      <c r="Q275" s="298" t="s">
        <v>242</v>
      </c>
      <c r="R275" s="293" t="s">
        <v>243</v>
      </c>
    </row>
    <row r="276" spans="1:18" ht="36.75" customHeight="1">
      <c r="A276" s="294" t="s">
        <v>2206</v>
      </c>
      <c r="B276" s="295" t="s">
        <v>812</v>
      </c>
      <c r="C276" s="296" t="s">
        <v>669</v>
      </c>
      <c r="D276" s="297">
        <v>1</v>
      </c>
      <c r="E276" s="297">
        <v>1</v>
      </c>
      <c r="F276" s="297">
        <f t="shared" si="10"/>
        <v>1</v>
      </c>
      <c r="G276" s="297">
        <f>'數量計算(FOR4變)'!I472</f>
        <v>1238</v>
      </c>
      <c r="H276" s="297">
        <f t="shared" si="11"/>
        <v>1237</v>
      </c>
      <c r="I276" s="297">
        <f t="shared" si="9"/>
        <v>116884.13</v>
      </c>
      <c r="J276" s="305"/>
      <c r="K276" s="305"/>
      <c r="L276" s="297">
        <v>94.49</v>
      </c>
      <c r="M276" s="297">
        <v>0</v>
      </c>
      <c r="N276" s="297">
        <v>0</v>
      </c>
      <c r="O276" s="297">
        <v>0</v>
      </c>
      <c r="P276" s="297">
        <v>0</v>
      </c>
      <c r="Q276" s="298" t="s">
        <v>242</v>
      </c>
      <c r="R276" s="293" t="s">
        <v>243</v>
      </c>
    </row>
    <row r="277" spans="1:18" ht="36.75" customHeight="1">
      <c r="A277" s="294" t="s">
        <v>2207</v>
      </c>
      <c r="B277" s="295" t="s">
        <v>815</v>
      </c>
      <c r="C277" s="296" t="s">
        <v>669</v>
      </c>
      <c r="D277" s="297">
        <v>1</v>
      </c>
      <c r="E277" s="297">
        <v>1</v>
      </c>
      <c r="F277" s="297">
        <f t="shared" si="10"/>
        <v>1</v>
      </c>
      <c r="G277" s="297">
        <f>'數量計算(FOR4變)'!I473</f>
        <v>410</v>
      </c>
      <c r="H277" s="297">
        <f t="shared" si="11"/>
        <v>409</v>
      </c>
      <c r="I277" s="297">
        <f t="shared" si="9"/>
        <v>30221.01</v>
      </c>
      <c r="J277" s="305"/>
      <c r="K277" s="305"/>
      <c r="L277" s="297">
        <v>73.89</v>
      </c>
      <c r="M277" s="297">
        <v>0</v>
      </c>
      <c r="N277" s="297">
        <v>0</v>
      </c>
      <c r="O277" s="297">
        <v>0</v>
      </c>
      <c r="P277" s="297">
        <v>0</v>
      </c>
      <c r="Q277" s="298" t="s">
        <v>242</v>
      </c>
      <c r="R277" s="293" t="s">
        <v>243</v>
      </c>
    </row>
    <row r="278" spans="1:18" ht="36.75" customHeight="1">
      <c r="A278" s="294" t="s">
        <v>2208</v>
      </c>
      <c r="B278" s="295" t="s">
        <v>818</v>
      </c>
      <c r="C278" s="296" t="s">
        <v>669</v>
      </c>
      <c r="D278" s="297">
        <v>1</v>
      </c>
      <c r="E278" s="297">
        <v>1</v>
      </c>
      <c r="F278" s="297">
        <f t="shared" si="10"/>
        <v>1</v>
      </c>
      <c r="G278" s="297">
        <f>'數量計算(FOR4變)'!I474</f>
        <v>2058</v>
      </c>
      <c r="H278" s="297">
        <f t="shared" si="11"/>
        <v>2057</v>
      </c>
      <c r="I278" s="297">
        <f t="shared" si="9"/>
        <v>190128.51</v>
      </c>
      <c r="J278" s="305"/>
      <c r="K278" s="305"/>
      <c r="L278" s="297">
        <v>92.43</v>
      </c>
      <c r="M278" s="297">
        <v>0</v>
      </c>
      <c r="N278" s="297">
        <v>0</v>
      </c>
      <c r="O278" s="297">
        <v>0</v>
      </c>
      <c r="P278" s="297">
        <v>0</v>
      </c>
      <c r="Q278" s="298" t="s">
        <v>242</v>
      </c>
      <c r="R278" s="293" t="s">
        <v>243</v>
      </c>
    </row>
    <row r="279" spans="1:18" ht="36.75" customHeight="1">
      <c r="A279" s="294" t="s">
        <v>2209</v>
      </c>
      <c r="B279" s="295" t="s">
        <v>821</v>
      </c>
      <c r="C279" s="296" t="s">
        <v>669</v>
      </c>
      <c r="D279" s="297">
        <v>1</v>
      </c>
      <c r="E279" s="297">
        <v>1</v>
      </c>
      <c r="F279" s="297">
        <f t="shared" si="10"/>
        <v>1</v>
      </c>
      <c r="G279" s="297">
        <f>'數量計算(FOR4變)'!I475</f>
        <v>735</v>
      </c>
      <c r="H279" s="297">
        <f t="shared" si="11"/>
        <v>734</v>
      </c>
      <c r="I279" s="297">
        <f t="shared" si="9"/>
        <v>45493.32</v>
      </c>
      <c r="J279" s="305"/>
      <c r="K279" s="305"/>
      <c r="L279" s="297">
        <v>61.98</v>
      </c>
      <c r="M279" s="297">
        <v>0</v>
      </c>
      <c r="N279" s="297">
        <v>0</v>
      </c>
      <c r="O279" s="297">
        <v>0</v>
      </c>
      <c r="P279" s="297">
        <v>0</v>
      </c>
      <c r="Q279" s="298" t="s">
        <v>242</v>
      </c>
      <c r="R279" s="293" t="s">
        <v>243</v>
      </c>
    </row>
    <row r="280" spans="1:18" ht="36.75" customHeight="1">
      <c r="A280" s="294" t="s">
        <v>2210</v>
      </c>
      <c r="B280" s="295" t="s">
        <v>824</v>
      </c>
      <c r="C280" s="296" t="s">
        <v>669</v>
      </c>
      <c r="D280" s="297">
        <v>1</v>
      </c>
      <c r="E280" s="297">
        <v>1</v>
      </c>
      <c r="F280" s="297">
        <f t="shared" si="10"/>
        <v>1</v>
      </c>
      <c r="G280" s="297">
        <f>'數量計算(FOR4變)'!I476</f>
        <v>248</v>
      </c>
      <c r="H280" s="297">
        <f t="shared" si="11"/>
        <v>247</v>
      </c>
      <c r="I280" s="297">
        <f t="shared" si="9"/>
        <v>38201.019999999997</v>
      </c>
      <c r="J280" s="305"/>
      <c r="K280" s="305"/>
      <c r="L280" s="297">
        <v>154.66</v>
      </c>
      <c r="M280" s="297">
        <v>0</v>
      </c>
      <c r="N280" s="297">
        <v>0</v>
      </c>
      <c r="O280" s="297">
        <v>0</v>
      </c>
      <c r="P280" s="297">
        <v>0</v>
      </c>
      <c r="Q280" s="298" t="s">
        <v>242</v>
      </c>
      <c r="R280" s="293" t="s">
        <v>243</v>
      </c>
    </row>
    <row r="281" spans="1:18" ht="36.75" customHeight="1">
      <c r="A281" s="294" t="s">
        <v>2211</v>
      </c>
      <c r="B281" s="295" t="s">
        <v>827</v>
      </c>
      <c r="C281" s="296" t="s">
        <v>669</v>
      </c>
      <c r="D281" s="297">
        <v>1</v>
      </c>
      <c r="E281" s="297">
        <v>1</v>
      </c>
      <c r="F281" s="297">
        <f t="shared" si="10"/>
        <v>1</v>
      </c>
      <c r="G281" s="297">
        <f>'數量計算(FOR4變)'!I477</f>
        <v>1673</v>
      </c>
      <c r="H281" s="297">
        <f t="shared" si="11"/>
        <v>1672</v>
      </c>
      <c r="I281" s="297">
        <f t="shared" si="9"/>
        <v>113211.12</v>
      </c>
      <c r="J281" s="305"/>
      <c r="K281" s="305"/>
      <c r="L281" s="297">
        <v>67.709999999999994</v>
      </c>
      <c r="M281" s="297">
        <v>0</v>
      </c>
      <c r="N281" s="297">
        <v>0</v>
      </c>
      <c r="O281" s="297">
        <v>0</v>
      </c>
      <c r="P281" s="297">
        <v>0</v>
      </c>
      <c r="Q281" s="298" t="s">
        <v>242</v>
      </c>
      <c r="R281" s="293" t="s">
        <v>243</v>
      </c>
    </row>
    <row r="282" spans="1:18" ht="36.75" customHeight="1">
      <c r="A282" s="294" t="s">
        <v>2212</v>
      </c>
      <c r="B282" s="295" t="s">
        <v>830</v>
      </c>
      <c r="C282" s="296" t="s">
        <v>669</v>
      </c>
      <c r="D282" s="297">
        <v>1</v>
      </c>
      <c r="E282" s="297">
        <v>1</v>
      </c>
      <c r="F282" s="297">
        <f t="shared" si="10"/>
        <v>1</v>
      </c>
      <c r="G282" s="297">
        <f>'數量計算(FOR4變)'!I478</f>
        <v>530</v>
      </c>
      <c r="H282" s="297">
        <f t="shared" si="11"/>
        <v>529</v>
      </c>
      <c r="I282" s="297">
        <f t="shared" si="9"/>
        <v>28698.25</v>
      </c>
      <c r="J282" s="305"/>
      <c r="K282" s="305"/>
      <c r="L282" s="297">
        <v>54.25</v>
      </c>
      <c r="M282" s="297">
        <v>0</v>
      </c>
      <c r="N282" s="297">
        <v>0</v>
      </c>
      <c r="O282" s="297">
        <v>0</v>
      </c>
      <c r="P282" s="297">
        <v>0</v>
      </c>
      <c r="Q282" s="298" t="s">
        <v>242</v>
      </c>
      <c r="R282" s="293" t="s">
        <v>243</v>
      </c>
    </row>
    <row r="283" spans="1:18" ht="36.75" customHeight="1">
      <c r="A283" s="294" t="s">
        <v>2213</v>
      </c>
      <c r="B283" s="295" t="s">
        <v>833</v>
      </c>
      <c r="C283" s="296" t="s">
        <v>669</v>
      </c>
      <c r="D283" s="297">
        <v>1</v>
      </c>
      <c r="E283" s="297">
        <v>1</v>
      </c>
      <c r="F283" s="297">
        <f t="shared" si="10"/>
        <v>1</v>
      </c>
      <c r="G283" s="297">
        <f>'數量計算(FOR4變)'!I479</f>
        <v>343</v>
      </c>
      <c r="H283" s="297">
        <f t="shared" si="11"/>
        <v>342</v>
      </c>
      <c r="I283" s="297">
        <f t="shared" si="9"/>
        <v>30882.6</v>
      </c>
      <c r="J283" s="305"/>
      <c r="K283" s="305"/>
      <c r="L283" s="297">
        <v>90.3</v>
      </c>
      <c r="M283" s="297">
        <v>0</v>
      </c>
      <c r="N283" s="297">
        <v>0</v>
      </c>
      <c r="O283" s="297">
        <v>0</v>
      </c>
      <c r="P283" s="297">
        <v>0</v>
      </c>
      <c r="Q283" s="298" t="s">
        <v>242</v>
      </c>
      <c r="R283" s="293" t="s">
        <v>243</v>
      </c>
    </row>
    <row r="284" spans="1:18" ht="36.75" customHeight="1">
      <c r="A284" s="294" t="s">
        <v>2214</v>
      </c>
      <c r="B284" s="295" t="s">
        <v>836</v>
      </c>
      <c r="C284" s="296" t="s">
        <v>669</v>
      </c>
      <c r="D284" s="297">
        <v>1</v>
      </c>
      <c r="E284" s="297">
        <v>1</v>
      </c>
      <c r="F284" s="297">
        <f t="shared" si="10"/>
        <v>1</v>
      </c>
      <c r="G284" s="297">
        <f>'數量計算(FOR4變)'!I480</f>
        <v>1060</v>
      </c>
      <c r="H284" s="297">
        <f t="shared" si="11"/>
        <v>1059</v>
      </c>
      <c r="I284" s="297">
        <f t="shared" si="9"/>
        <v>71090.67</v>
      </c>
      <c r="J284" s="305"/>
      <c r="K284" s="305"/>
      <c r="L284" s="297">
        <v>67.13</v>
      </c>
      <c r="M284" s="297">
        <v>0</v>
      </c>
      <c r="N284" s="297">
        <v>0</v>
      </c>
      <c r="O284" s="297">
        <v>0</v>
      </c>
      <c r="P284" s="297">
        <v>0</v>
      </c>
      <c r="Q284" s="298" t="s">
        <v>242</v>
      </c>
      <c r="R284" s="293" t="s">
        <v>243</v>
      </c>
    </row>
    <row r="285" spans="1:18" ht="36.75" customHeight="1">
      <c r="A285" s="294" t="s">
        <v>2215</v>
      </c>
      <c r="B285" s="295" t="s">
        <v>839</v>
      </c>
      <c r="C285" s="296" t="s">
        <v>669</v>
      </c>
      <c r="D285" s="297">
        <v>1</v>
      </c>
      <c r="E285" s="297">
        <v>1</v>
      </c>
      <c r="F285" s="297">
        <f t="shared" si="10"/>
        <v>1</v>
      </c>
      <c r="G285" s="297">
        <f>'數量計算(FOR4變)'!I481</f>
        <v>1607</v>
      </c>
      <c r="H285" s="297">
        <f t="shared" si="11"/>
        <v>1606</v>
      </c>
      <c r="I285" s="297">
        <f t="shared" si="9"/>
        <v>91268.98</v>
      </c>
      <c r="J285" s="305"/>
      <c r="K285" s="305"/>
      <c r="L285" s="297">
        <v>56.83</v>
      </c>
      <c r="M285" s="297">
        <v>0</v>
      </c>
      <c r="N285" s="297">
        <v>0</v>
      </c>
      <c r="O285" s="297">
        <v>0</v>
      </c>
      <c r="P285" s="297">
        <v>0</v>
      </c>
      <c r="Q285" s="298" t="s">
        <v>242</v>
      </c>
      <c r="R285" s="293" t="s">
        <v>243</v>
      </c>
    </row>
    <row r="286" spans="1:18" ht="36.75" customHeight="1">
      <c r="A286" s="294" t="s">
        <v>2216</v>
      </c>
      <c r="B286" s="295" t="s">
        <v>842</v>
      </c>
      <c r="C286" s="296" t="s">
        <v>669</v>
      </c>
      <c r="D286" s="297">
        <v>1</v>
      </c>
      <c r="E286" s="297">
        <v>1</v>
      </c>
      <c r="F286" s="297">
        <f t="shared" si="10"/>
        <v>1</v>
      </c>
      <c r="G286" s="297">
        <f>'數量計算(FOR4變)'!I482</f>
        <v>815</v>
      </c>
      <c r="H286" s="297">
        <f t="shared" si="11"/>
        <v>814</v>
      </c>
      <c r="I286" s="297">
        <f t="shared" si="9"/>
        <v>55897.38</v>
      </c>
      <c r="J286" s="305"/>
      <c r="K286" s="305"/>
      <c r="L286" s="297">
        <v>68.67</v>
      </c>
      <c r="M286" s="297">
        <v>0</v>
      </c>
      <c r="N286" s="297">
        <v>0</v>
      </c>
      <c r="O286" s="297">
        <v>0</v>
      </c>
      <c r="P286" s="297">
        <v>0</v>
      </c>
      <c r="Q286" s="298" t="s">
        <v>242</v>
      </c>
      <c r="R286" s="293" t="s">
        <v>243</v>
      </c>
    </row>
    <row r="287" spans="1:18" ht="36.75" customHeight="1">
      <c r="A287" s="294" t="s">
        <v>2217</v>
      </c>
      <c r="B287" s="295" t="s">
        <v>845</v>
      </c>
      <c r="C287" s="296" t="s">
        <v>669</v>
      </c>
      <c r="D287" s="297">
        <v>1</v>
      </c>
      <c r="E287" s="297">
        <v>1</v>
      </c>
      <c r="F287" s="297">
        <f t="shared" si="10"/>
        <v>1</v>
      </c>
      <c r="G287" s="297">
        <f>'數量計算(FOR4變)'!I483</f>
        <v>833</v>
      </c>
      <c r="H287" s="297">
        <f t="shared" si="11"/>
        <v>832</v>
      </c>
      <c r="I287" s="297">
        <f t="shared" si="9"/>
        <v>49853.440000000002</v>
      </c>
      <c r="J287" s="305"/>
      <c r="K287" s="305"/>
      <c r="L287" s="297">
        <v>59.92</v>
      </c>
      <c r="M287" s="297">
        <v>0</v>
      </c>
      <c r="N287" s="297">
        <v>0</v>
      </c>
      <c r="O287" s="297">
        <v>0</v>
      </c>
      <c r="P287" s="297">
        <v>0</v>
      </c>
      <c r="Q287" s="298" t="s">
        <v>242</v>
      </c>
      <c r="R287" s="293" t="s">
        <v>243</v>
      </c>
    </row>
    <row r="288" spans="1:18" ht="36.75" customHeight="1">
      <c r="A288" s="294" t="s">
        <v>2218</v>
      </c>
      <c r="B288" s="295" t="s">
        <v>848</v>
      </c>
      <c r="C288" s="296" t="s">
        <v>669</v>
      </c>
      <c r="D288" s="297">
        <v>1</v>
      </c>
      <c r="E288" s="297">
        <v>1</v>
      </c>
      <c r="F288" s="297">
        <f t="shared" si="10"/>
        <v>1</v>
      </c>
      <c r="G288" s="297">
        <f>'數量計算(FOR4變)'!I484</f>
        <v>510</v>
      </c>
      <c r="H288" s="297">
        <f t="shared" si="11"/>
        <v>509</v>
      </c>
      <c r="I288" s="297">
        <f t="shared" si="9"/>
        <v>29710.33</v>
      </c>
      <c r="J288" s="305"/>
      <c r="K288" s="305"/>
      <c r="L288" s="297">
        <v>58.37</v>
      </c>
      <c r="M288" s="297">
        <v>0</v>
      </c>
      <c r="N288" s="297">
        <v>0</v>
      </c>
      <c r="O288" s="297">
        <v>0</v>
      </c>
      <c r="P288" s="297">
        <v>0</v>
      </c>
      <c r="Q288" s="298" t="s">
        <v>242</v>
      </c>
      <c r="R288" s="293" t="s">
        <v>243</v>
      </c>
    </row>
    <row r="289" spans="1:18" ht="36.75" customHeight="1">
      <c r="A289" s="294" t="s">
        <v>2219</v>
      </c>
      <c r="B289" s="295" t="s">
        <v>851</v>
      </c>
      <c r="C289" s="296" t="s">
        <v>669</v>
      </c>
      <c r="D289" s="297">
        <v>1</v>
      </c>
      <c r="E289" s="297">
        <v>1</v>
      </c>
      <c r="F289" s="297">
        <f t="shared" si="10"/>
        <v>1</v>
      </c>
      <c r="G289" s="297">
        <f>'數量計算(FOR4變)'!I485</f>
        <v>501</v>
      </c>
      <c r="H289" s="297">
        <f t="shared" si="11"/>
        <v>500</v>
      </c>
      <c r="I289" s="297">
        <f t="shared" si="9"/>
        <v>34105</v>
      </c>
      <c r="J289" s="305"/>
      <c r="K289" s="305"/>
      <c r="L289" s="297">
        <v>68.209999999999994</v>
      </c>
      <c r="M289" s="297">
        <v>0</v>
      </c>
      <c r="N289" s="297">
        <v>0</v>
      </c>
      <c r="O289" s="297">
        <v>0</v>
      </c>
      <c r="P289" s="297">
        <v>0</v>
      </c>
      <c r="Q289" s="298" t="s">
        <v>242</v>
      </c>
      <c r="R289" s="293" t="s">
        <v>243</v>
      </c>
    </row>
    <row r="290" spans="1:18" ht="36.75" customHeight="1">
      <c r="A290" s="294" t="s">
        <v>2220</v>
      </c>
      <c r="B290" s="295" t="s">
        <v>854</v>
      </c>
      <c r="C290" s="296" t="s">
        <v>669</v>
      </c>
      <c r="D290" s="297">
        <v>1</v>
      </c>
      <c r="E290" s="297">
        <v>1</v>
      </c>
      <c r="F290" s="297">
        <f t="shared" si="10"/>
        <v>1</v>
      </c>
      <c r="G290" s="297">
        <f>'數量計算(FOR4變)'!I486</f>
        <v>933</v>
      </c>
      <c r="H290" s="297">
        <f t="shared" si="11"/>
        <v>932</v>
      </c>
      <c r="I290" s="297">
        <f t="shared" si="9"/>
        <v>67411.56</v>
      </c>
      <c r="J290" s="305"/>
      <c r="K290" s="305"/>
      <c r="L290" s="297">
        <v>72.33</v>
      </c>
      <c r="M290" s="297">
        <v>0</v>
      </c>
      <c r="N290" s="297">
        <v>0</v>
      </c>
      <c r="O290" s="297">
        <v>0</v>
      </c>
      <c r="P290" s="297">
        <v>0</v>
      </c>
      <c r="Q290" s="298" t="s">
        <v>242</v>
      </c>
      <c r="R290" s="293" t="s">
        <v>243</v>
      </c>
    </row>
    <row r="291" spans="1:18" ht="36.75" customHeight="1">
      <c r="A291" s="294" t="s">
        <v>2221</v>
      </c>
      <c r="B291" s="295" t="s">
        <v>857</v>
      </c>
      <c r="C291" s="296" t="s">
        <v>669</v>
      </c>
      <c r="D291" s="297">
        <v>1</v>
      </c>
      <c r="E291" s="297">
        <v>1</v>
      </c>
      <c r="F291" s="297">
        <f t="shared" si="10"/>
        <v>1</v>
      </c>
      <c r="G291" s="297">
        <f>'數量計算(FOR4變)'!I487</f>
        <v>1010</v>
      </c>
      <c r="H291" s="297">
        <f t="shared" si="11"/>
        <v>1009</v>
      </c>
      <c r="I291" s="297">
        <f t="shared" si="9"/>
        <v>112473.23</v>
      </c>
      <c r="J291" s="305"/>
      <c r="K291" s="305"/>
      <c r="L291" s="297">
        <v>111.47</v>
      </c>
      <c r="M291" s="297">
        <v>0</v>
      </c>
      <c r="N291" s="297">
        <v>0</v>
      </c>
      <c r="O291" s="297">
        <v>0</v>
      </c>
      <c r="P291" s="297">
        <v>0</v>
      </c>
      <c r="Q291" s="298" t="s">
        <v>242</v>
      </c>
      <c r="R291" s="293" t="s">
        <v>243</v>
      </c>
    </row>
    <row r="292" spans="1:18" ht="36.75" customHeight="1">
      <c r="A292" s="294" t="s">
        <v>2222</v>
      </c>
      <c r="B292" s="295" t="s">
        <v>860</v>
      </c>
      <c r="C292" s="296" t="s">
        <v>669</v>
      </c>
      <c r="D292" s="297">
        <v>1</v>
      </c>
      <c r="E292" s="297">
        <v>1</v>
      </c>
      <c r="F292" s="297">
        <f t="shared" si="10"/>
        <v>1</v>
      </c>
      <c r="G292" s="297">
        <f>'數量計算(FOR4變)'!I488</f>
        <v>1142</v>
      </c>
      <c r="H292" s="297">
        <f t="shared" si="11"/>
        <v>1141</v>
      </c>
      <c r="I292" s="297">
        <f t="shared" si="9"/>
        <v>115434.97</v>
      </c>
      <c r="J292" s="305"/>
      <c r="K292" s="305"/>
      <c r="L292" s="297">
        <v>101.17</v>
      </c>
      <c r="M292" s="297">
        <v>0</v>
      </c>
      <c r="N292" s="297">
        <v>0</v>
      </c>
      <c r="O292" s="297">
        <v>0</v>
      </c>
      <c r="P292" s="297">
        <v>0</v>
      </c>
      <c r="Q292" s="298" t="s">
        <v>242</v>
      </c>
      <c r="R292" s="293" t="s">
        <v>243</v>
      </c>
    </row>
    <row r="293" spans="1:18" ht="36.75" customHeight="1">
      <c r="A293" s="294" t="s">
        <v>2223</v>
      </c>
      <c r="B293" s="295" t="s">
        <v>863</v>
      </c>
      <c r="C293" s="296" t="s">
        <v>669</v>
      </c>
      <c r="D293" s="297">
        <v>1</v>
      </c>
      <c r="E293" s="297">
        <v>1</v>
      </c>
      <c r="F293" s="297">
        <f t="shared" si="10"/>
        <v>1</v>
      </c>
      <c r="G293" s="297">
        <f>'數量計算(FOR4變)'!I489</f>
        <v>5132</v>
      </c>
      <c r="H293" s="297">
        <f t="shared" si="11"/>
        <v>5131</v>
      </c>
      <c r="I293" s="297">
        <f t="shared" si="9"/>
        <v>418792.22</v>
      </c>
      <c r="J293" s="305"/>
      <c r="K293" s="305"/>
      <c r="L293" s="297">
        <v>81.62</v>
      </c>
      <c r="M293" s="297">
        <v>0</v>
      </c>
      <c r="N293" s="297">
        <v>0</v>
      </c>
      <c r="O293" s="297">
        <v>0</v>
      </c>
      <c r="P293" s="297">
        <v>0</v>
      </c>
      <c r="Q293" s="298" t="s">
        <v>242</v>
      </c>
      <c r="R293" s="293" t="s">
        <v>243</v>
      </c>
    </row>
    <row r="294" spans="1:18" ht="36.75" customHeight="1">
      <c r="A294" s="294" t="s">
        <v>2224</v>
      </c>
      <c r="B294" s="295" t="s">
        <v>866</v>
      </c>
      <c r="C294" s="296" t="s">
        <v>669</v>
      </c>
      <c r="D294" s="297">
        <v>1</v>
      </c>
      <c r="E294" s="297">
        <v>1</v>
      </c>
      <c r="F294" s="297">
        <f t="shared" si="10"/>
        <v>1</v>
      </c>
      <c r="G294" s="297">
        <f>'數量計算(FOR4變)'!I490</f>
        <v>194</v>
      </c>
      <c r="H294" s="297">
        <f t="shared" si="11"/>
        <v>193</v>
      </c>
      <c r="I294" s="297">
        <f t="shared" si="9"/>
        <v>15254.72</v>
      </c>
      <c r="J294" s="305"/>
      <c r="K294" s="305"/>
      <c r="L294" s="297">
        <v>79.040000000000006</v>
      </c>
      <c r="M294" s="297">
        <v>0</v>
      </c>
      <c r="N294" s="297">
        <v>0</v>
      </c>
      <c r="O294" s="297">
        <v>0</v>
      </c>
      <c r="P294" s="297">
        <v>0</v>
      </c>
      <c r="Q294" s="298" t="s">
        <v>242</v>
      </c>
      <c r="R294" s="293" t="s">
        <v>243</v>
      </c>
    </row>
    <row r="295" spans="1:18" ht="36.75" customHeight="1">
      <c r="A295" s="294" t="s">
        <v>2225</v>
      </c>
      <c r="B295" s="295" t="s">
        <v>869</v>
      </c>
      <c r="C295" s="296" t="s">
        <v>669</v>
      </c>
      <c r="D295" s="297">
        <v>1</v>
      </c>
      <c r="E295" s="297">
        <v>1</v>
      </c>
      <c r="F295" s="297">
        <f t="shared" si="10"/>
        <v>1</v>
      </c>
      <c r="G295" s="297">
        <f>'數量計算(FOR4變)'!I491</f>
        <v>755</v>
      </c>
      <c r="H295" s="297">
        <f t="shared" si="11"/>
        <v>754</v>
      </c>
      <c r="I295" s="297">
        <f t="shared" si="9"/>
        <v>75128.56</v>
      </c>
      <c r="J295" s="305"/>
      <c r="K295" s="305"/>
      <c r="L295" s="297">
        <v>99.64</v>
      </c>
      <c r="M295" s="297">
        <v>0</v>
      </c>
      <c r="N295" s="297">
        <v>0</v>
      </c>
      <c r="O295" s="297">
        <v>0</v>
      </c>
      <c r="P295" s="297">
        <v>0</v>
      </c>
      <c r="Q295" s="298" t="s">
        <v>242</v>
      </c>
      <c r="R295" s="293" t="s">
        <v>243</v>
      </c>
    </row>
    <row r="296" spans="1:18" ht="36.75" customHeight="1">
      <c r="A296" s="294" t="s">
        <v>2226</v>
      </c>
      <c r="B296" s="295" t="s">
        <v>872</v>
      </c>
      <c r="C296" s="296" t="s">
        <v>669</v>
      </c>
      <c r="D296" s="297">
        <v>1</v>
      </c>
      <c r="E296" s="297">
        <v>1</v>
      </c>
      <c r="F296" s="297">
        <f t="shared" si="10"/>
        <v>1</v>
      </c>
      <c r="G296" s="297">
        <f>'數量計算(FOR4變)'!I492</f>
        <v>640</v>
      </c>
      <c r="H296" s="297">
        <f t="shared" si="11"/>
        <v>639</v>
      </c>
      <c r="I296" s="297">
        <f t="shared" si="9"/>
        <v>47873.88</v>
      </c>
      <c r="J296" s="305"/>
      <c r="K296" s="305"/>
      <c r="L296" s="297">
        <v>74.92</v>
      </c>
      <c r="M296" s="297">
        <v>0</v>
      </c>
      <c r="N296" s="297">
        <v>0</v>
      </c>
      <c r="O296" s="297">
        <v>0</v>
      </c>
      <c r="P296" s="297">
        <v>0</v>
      </c>
      <c r="Q296" s="298" t="s">
        <v>242</v>
      </c>
      <c r="R296" s="293" t="s">
        <v>243</v>
      </c>
    </row>
    <row r="297" spans="1:18" ht="36.75" customHeight="1">
      <c r="A297" s="294" t="s">
        <v>2227</v>
      </c>
      <c r="B297" s="295" t="s">
        <v>875</v>
      </c>
      <c r="C297" s="296" t="s">
        <v>669</v>
      </c>
      <c r="D297" s="297">
        <v>1</v>
      </c>
      <c r="E297" s="297">
        <v>1</v>
      </c>
      <c r="F297" s="297">
        <f>E297</f>
        <v>1</v>
      </c>
      <c r="G297" s="297">
        <f>'數量計算(FOR4變)'!I493</f>
        <v>202</v>
      </c>
      <c r="H297" s="297">
        <f t="shared" si="11"/>
        <v>201</v>
      </c>
      <c r="I297" s="297">
        <f t="shared" si="9"/>
        <v>14528.28</v>
      </c>
      <c r="J297" s="305"/>
      <c r="K297" s="305"/>
      <c r="L297" s="297">
        <v>72.28</v>
      </c>
      <c r="M297" s="297">
        <v>0</v>
      </c>
      <c r="N297" s="297">
        <v>0</v>
      </c>
      <c r="O297" s="297">
        <v>0</v>
      </c>
      <c r="P297" s="297">
        <v>0</v>
      </c>
      <c r="Q297" s="298" t="s">
        <v>242</v>
      </c>
      <c r="R297" s="293" t="s">
        <v>243</v>
      </c>
    </row>
    <row r="298" spans="1:18" ht="36.75" customHeight="1">
      <c r="A298" s="294" t="s">
        <v>2228</v>
      </c>
      <c r="B298" s="295" t="s">
        <v>878</v>
      </c>
      <c r="C298" s="296" t="s">
        <v>13</v>
      </c>
      <c r="D298" s="297">
        <v>1</v>
      </c>
      <c r="E298" s="297">
        <v>1</v>
      </c>
      <c r="F298" s="297">
        <f t="shared" si="10"/>
        <v>1</v>
      </c>
      <c r="G298" s="297">
        <f>'數量計算(FOR4變)'!I494</f>
        <v>1435.1</v>
      </c>
      <c r="H298" s="297">
        <f t="shared" si="11"/>
        <v>1434.1</v>
      </c>
      <c r="I298" s="297">
        <f t="shared" si="9"/>
        <v>62770.559999999998</v>
      </c>
      <c r="J298" s="305"/>
      <c r="K298" s="305"/>
      <c r="L298" s="297">
        <v>43.77</v>
      </c>
      <c r="M298" s="297">
        <v>0</v>
      </c>
      <c r="N298" s="297">
        <v>0</v>
      </c>
      <c r="O298" s="297">
        <v>0</v>
      </c>
      <c r="P298" s="297">
        <v>0</v>
      </c>
      <c r="Q298" s="298" t="s">
        <v>242</v>
      </c>
      <c r="R298" s="293" t="s">
        <v>243</v>
      </c>
    </row>
    <row r="299" spans="1:18" ht="36.75" customHeight="1">
      <c r="A299" s="294" t="s">
        <v>2229</v>
      </c>
      <c r="B299" s="295" t="s">
        <v>881</v>
      </c>
      <c r="C299" s="296" t="s">
        <v>882</v>
      </c>
      <c r="D299" s="297">
        <v>1</v>
      </c>
      <c r="E299" s="297">
        <v>1</v>
      </c>
      <c r="F299" s="297">
        <f t="shared" si="10"/>
        <v>1</v>
      </c>
      <c r="G299" s="297">
        <f>'數量計算(FOR4變)'!I495</f>
        <v>34800</v>
      </c>
      <c r="H299" s="297">
        <f t="shared" si="11"/>
        <v>34799</v>
      </c>
      <c r="I299" s="297">
        <f t="shared" si="9"/>
        <v>978199.89</v>
      </c>
      <c r="J299" s="305"/>
      <c r="K299" s="305"/>
      <c r="L299" s="297">
        <v>28.11</v>
      </c>
      <c r="M299" s="297">
        <v>0</v>
      </c>
      <c r="N299" s="297">
        <v>0</v>
      </c>
      <c r="O299" s="297">
        <v>0</v>
      </c>
      <c r="P299" s="297">
        <v>0</v>
      </c>
      <c r="Q299" s="298" t="s">
        <v>242</v>
      </c>
      <c r="R299" s="293" t="s">
        <v>243</v>
      </c>
    </row>
    <row r="300" spans="1:18" ht="36.75" customHeight="1">
      <c r="A300" s="294" t="s">
        <v>2230</v>
      </c>
      <c r="B300" s="295" t="s">
        <v>885</v>
      </c>
      <c r="C300" s="296" t="s">
        <v>13</v>
      </c>
      <c r="D300" s="297">
        <v>1</v>
      </c>
      <c r="E300" s="297">
        <v>1</v>
      </c>
      <c r="F300" s="297">
        <f t="shared" si="10"/>
        <v>1</v>
      </c>
      <c r="G300" s="297">
        <f>'數量計算(FOR4變)'!I496</f>
        <v>6496.5</v>
      </c>
      <c r="H300" s="297">
        <f t="shared" si="11"/>
        <v>6495.5</v>
      </c>
      <c r="I300" s="297">
        <f t="shared" si="9"/>
        <v>1558010.63</v>
      </c>
      <c r="J300" s="305"/>
      <c r="K300" s="305"/>
      <c r="L300" s="297">
        <v>239.86</v>
      </c>
      <c r="M300" s="297">
        <v>0</v>
      </c>
      <c r="N300" s="297">
        <v>0</v>
      </c>
      <c r="O300" s="297">
        <v>0</v>
      </c>
      <c r="P300" s="297">
        <v>0</v>
      </c>
      <c r="Q300" s="298" t="s">
        <v>242</v>
      </c>
      <c r="R300" s="293" t="s">
        <v>243</v>
      </c>
    </row>
    <row r="301" spans="1:18" ht="36.75" customHeight="1">
      <c r="A301" s="294" t="s">
        <v>2231</v>
      </c>
      <c r="B301" s="295" t="s">
        <v>1506</v>
      </c>
      <c r="C301" s="296" t="s">
        <v>8</v>
      </c>
      <c r="D301" s="297">
        <v>0</v>
      </c>
      <c r="E301" s="297">
        <v>1305</v>
      </c>
      <c r="F301" s="297">
        <f>E301</f>
        <v>1305</v>
      </c>
      <c r="G301" s="297"/>
      <c r="H301" s="297"/>
      <c r="I301" s="297"/>
      <c r="J301" s="305"/>
      <c r="K301" s="305"/>
      <c r="L301" s="297">
        <v>1765.46</v>
      </c>
      <c r="M301" s="297">
        <v>0</v>
      </c>
      <c r="N301" s="297">
        <v>1305</v>
      </c>
      <c r="O301" s="297">
        <v>0</v>
      </c>
      <c r="P301" s="297">
        <v>2303925.2999999998</v>
      </c>
      <c r="Q301" s="298" t="s">
        <v>242</v>
      </c>
      <c r="R301" s="293" t="s">
        <v>243</v>
      </c>
    </row>
    <row r="302" spans="1:18" ht="36.75" customHeight="1">
      <c r="A302" s="294" t="s">
        <v>2232</v>
      </c>
      <c r="B302" s="295" t="s">
        <v>1508</v>
      </c>
      <c r="C302" s="296" t="s">
        <v>1509</v>
      </c>
      <c r="D302" s="297">
        <v>0</v>
      </c>
      <c r="E302" s="297">
        <v>15318</v>
      </c>
      <c r="F302" s="297">
        <f>E302</f>
        <v>15318</v>
      </c>
      <c r="G302" s="297"/>
      <c r="H302" s="297"/>
      <c r="I302" s="297"/>
      <c r="J302" s="305"/>
      <c r="K302" s="305"/>
      <c r="L302" s="297">
        <v>149.99</v>
      </c>
      <c r="M302" s="297">
        <v>800</v>
      </c>
      <c r="N302" s="297">
        <v>7791</v>
      </c>
      <c r="O302" s="297">
        <v>119992</v>
      </c>
      <c r="P302" s="297">
        <v>1168572.0900000001</v>
      </c>
      <c r="Q302" s="298" t="s">
        <v>242</v>
      </c>
      <c r="R302" s="293" t="s">
        <v>243</v>
      </c>
    </row>
    <row r="303" spans="1:18" ht="36.75" customHeight="1">
      <c r="A303" s="294" t="s">
        <v>2248</v>
      </c>
      <c r="B303" s="295" t="s">
        <v>888</v>
      </c>
      <c r="C303" s="296" t="s">
        <v>4</v>
      </c>
      <c r="D303" s="297">
        <v>1</v>
      </c>
      <c r="E303" s="297">
        <v>1</v>
      </c>
      <c r="F303" s="297">
        <f>D303</f>
        <v>1</v>
      </c>
      <c r="G303" s="297"/>
      <c r="H303" s="297"/>
      <c r="I303" s="297"/>
      <c r="J303" s="305"/>
      <c r="K303" s="305"/>
      <c r="L303" s="297">
        <v>5050770.37</v>
      </c>
      <c r="M303" s="297">
        <v>0</v>
      </c>
      <c r="N303" s="297">
        <v>0</v>
      </c>
      <c r="O303" s="297">
        <v>0</v>
      </c>
      <c r="P303" s="297">
        <v>0</v>
      </c>
      <c r="Q303" s="298" t="s">
        <v>242</v>
      </c>
      <c r="R303" s="293" t="s">
        <v>243</v>
      </c>
    </row>
    <row r="304" spans="1:18" ht="36.75" customHeight="1">
      <c r="A304" s="294" t="s">
        <v>2154</v>
      </c>
      <c r="B304" s="295" t="s">
        <v>890</v>
      </c>
      <c r="C304" s="296" t="s">
        <v>4</v>
      </c>
      <c r="D304" s="297">
        <v>1</v>
      </c>
      <c r="E304" s="297">
        <v>1</v>
      </c>
      <c r="F304" s="297">
        <f t="shared" ref="F304:F336" si="12">D304</f>
        <v>1</v>
      </c>
      <c r="G304" s="297"/>
      <c r="H304" s="297"/>
      <c r="I304" s="297"/>
      <c r="J304" s="305"/>
      <c r="K304" s="305"/>
      <c r="L304" s="297">
        <v>88179.19</v>
      </c>
      <c r="M304" s="297">
        <v>0</v>
      </c>
      <c r="N304" s="297">
        <v>0</v>
      </c>
      <c r="O304" s="297">
        <v>0</v>
      </c>
      <c r="P304" s="297">
        <v>0</v>
      </c>
      <c r="Q304" s="298" t="s">
        <v>242</v>
      </c>
      <c r="R304" s="293" t="s">
        <v>243</v>
      </c>
    </row>
    <row r="305" spans="1:18" ht="36.75" customHeight="1">
      <c r="A305" s="294" t="s">
        <v>2155</v>
      </c>
      <c r="B305" s="295" t="s">
        <v>893</v>
      </c>
      <c r="C305" s="296" t="s">
        <v>4</v>
      </c>
      <c r="D305" s="297">
        <v>1</v>
      </c>
      <c r="E305" s="297">
        <v>1</v>
      </c>
      <c r="F305" s="297">
        <f t="shared" si="12"/>
        <v>1</v>
      </c>
      <c r="G305" s="297"/>
      <c r="H305" s="297"/>
      <c r="I305" s="297"/>
      <c r="J305" s="305"/>
      <c r="K305" s="305"/>
      <c r="L305" s="297">
        <v>149702.84</v>
      </c>
      <c r="M305" s="297">
        <v>0</v>
      </c>
      <c r="N305" s="297">
        <v>0</v>
      </c>
      <c r="O305" s="297">
        <v>0</v>
      </c>
      <c r="P305" s="297">
        <v>0</v>
      </c>
      <c r="Q305" s="298" t="s">
        <v>242</v>
      </c>
      <c r="R305" s="293" t="s">
        <v>243</v>
      </c>
    </row>
    <row r="306" spans="1:18" ht="36.75" customHeight="1">
      <c r="A306" s="294" t="s">
        <v>2156</v>
      </c>
      <c r="B306" s="295" t="s">
        <v>896</v>
      </c>
      <c r="C306" s="296" t="s">
        <v>4</v>
      </c>
      <c r="D306" s="297">
        <v>1</v>
      </c>
      <c r="E306" s="297">
        <v>1</v>
      </c>
      <c r="F306" s="297">
        <f t="shared" si="12"/>
        <v>1</v>
      </c>
      <c r="G306" s="297"/>
      <c r="H306" s="297"/>
      <c r="I306" s="297"/>
      <c r="J306" s="305"/>
      <c r="K306" s="305"/>
      <c r="L306" s="297">
        <v>168290.82</v>
      </c>
      <c r="M306" s="297">
        <v>0</v>
      </c>
      <c r="N306" s="297">
        <v>0</v>
      </c>
      <c r="O306" s="297">
        <v>0</v>
      </c>
      <c r="P306" s="297">
        <v>0</v>
      </c>
      <c r="Q306" s="298" t="s">
        <v>242</v>
      </c>
      <c r="R306" s="293" t="s">
        <v>243</v>
      </c>
    </row>
    <row r="307" spans="1:18" ht="36.75" customHeight="1">
      <c r="A307" s="294" t="s">
        <v>2157</v>
      </c>
      <c r="B307" s="295" t="s">
        <v>899</v>
      </c>
      <c r="C307" s="296" t="s">
        <v>4</v>
      </c>
      <c r="D307" s="297">
        <v>1</v>
      </c>
      <c r="E307" s="297">
        <v>1</v>
      </c>
      <c r="F307" s="297">
        <f t="shared" si="12"/>
        <v>1</v>
      </c>
      <c r="G307" s="297"/>
      <c r="H307" s="297"/>
      <c r="I307" s="297"/>
      <c r="J307" s="305"/>
      <c r="K307" s="305"/>
      <c r="L307" s="297">
        <v>23946.69</v>
      </c>
      <c r="M307" s="297">
        <v>0</v>
      </c>
      <c r="N307" s="297">
        <v>0</v>
      </c>
      <c r="O307" s="297">
        <v>0</v>
      </c>
      <c r="P307" s="297">
        <v>0</v>
      </c>
      <c r="Q307" s="298" t="s">
        <v>242</v>
      </c>
      <c r="R307" s="293" t="s">
        <v>243</v>
      </c>
    </row>
    <row r="308" spans="1:18" ht="36.75" customHeight="1">
      <c r="A308" s="294" t="s">
        <v>2158</v>
      </c>
      <c r="B308" s="295" t="s">
        <v>902</v>
      </c>
      <c r="C308" s="296" t="s">
        <v>0</v>
      </c>
      <c r="D308" s="297">
        <v>11</v>
      </c>
      <c r="E308" s="297">
        <v>11</v>
      </c>
      <c r="F308" s="297">
        <f t="shared" si="12"/>
        <v>11</v>
      </c>
      <c r="G308" s="297"/>
      <c r="H308" s="297"/>
      <c r="I308" s="297"/>
      <c r="J308" s="305"/>
      <c r="K308" s="305"/>
      <c r="L308" s="297">
        <v>42797.67</v>
      </c>
      <c r="M308" s="297">
        <v>0</v>
      </c>
      <c r="N308" s="297">
        <v>0</v>
      </c>
      <c r="O308" s="297">
        <v>0</v>
      </c>
      <c r="P308" s="297">
        <v>0</v>
      </c>
      <c r="Q308" s="298" t="s">
        <v>242</v>
      </c>
      <c r="R308" s="293" t="s">
        <v>243</v>
      </c>
    </row>
    <row r="309" spans="1:18" ht="36.75" customHeight="1">
      <c r="A309" s="294" t="s">
        <v>2159</v>
      </c>
      <c r="B309" s="295" t="s">
        <v>905</v>
      </c>
      <c r="C309" s="296" t="s">
        <v>0</v>
      </c>
      <c r="D309" s="297">
        <v>9</v>
      </c>
      <c r="E309" s="297">
        <v>9</v>
      </c>
      <c r="F309" s="297">
        <f t="shared" si="12"/>
        <v>9</v>
      </c>
      <c r="G309" s="297"/>
      <c r="H309" s="297"/>
      <c r="I309" s="297"/>
      <c r="J309" s="305"/>
      <c r="K309" s="305"/>
      <c r="L309" s="297">
        <v>60396.71</v>
      </c>
      <c r="M309" s="297">
        <v>0</v>
      </c>
      <c r="N309" s="297">
        <v>0</v>
      </c>
      <c r="O309" s="297">
        <v>0</v>
      </c>
      <c r="P309" s="297">
        <v>0</v>
      </c>
      <c r="Q309" s="298" t="s">
        <v>242</v>
      </c>
      <c r="R309" s="293" t="s">
        <v>243</v>
      </c>
    </row>
    <row r="310" spans="1:18" ht="36.75" customHeight="1">
      <c r="A310" s="294" t="s">
        <v>2160</v>
      </c>
      <c r="B310" s="295" t="s">
        <v>908</v>
      </c>
      <c r="C310" s="296" t="s">
        <v>0</v>
      </c>
      <c r="D310" s="297">
        <v>10</v>
      </c>
      <c r="E310" s="297">
        <v>10</v>
      </c>
      <c r="F310" s="297">
        <f t="shared" si="12"/>
        <v>10</v>
      </c>
      <c r="G310" s="297"/>
      <c r="H310" s="297"/>
      <c r="I310" s="297"/>
      <c r="J310" s="305"/>
      <c r="K310" s="305"/>
      <c r="L310" s="297">
        <v>34998.089999999997</v>
      </c>
      <c r="M310" s="297">
        <v>0</v>
      </c>
      <c r="N310" s="297">
        <v>0</v>
      </c>
      <c r="O310" s="297">
        <v>0</v>
      </c>
      <c r="P310" s="297">
        <v>0</v>
      </c>
      <c r="Q310" s="298" t="s">
        <v>242</v>
      </c>
      <c r="R310" s="293" t="s">
        <v>243</v>
      </c>
    </row>
    <row r="311" spans="1:18" ht="36.75" customHeight="1">
      <c r="A311" s="294" t="s">
        <v>2161</v>
      </c>
      <c r="B311" s="295" t="s">
        <v>911</v>
      </c>
      <c r="C311" s="296" t="s">
        <v>0</v>
      </c>
      <c r="D311" s="297">
        <v>8</v>
      </c>
      <c r="E311" s="297">
        <v>8</v>
      </c>
      <c r="F311" s="297">
        <f t="shared" si="12"/>
        <v>8</v>
      </c>
      <c r="G311" s="297"/>
      <c r="H311" s="297"/>
      <c r="I311" s="297"/>
      <c r="J311" s="305"/>
      <c r="K311" s="305"/>
      <c r="L311" s="297">
        <v>9999.4500000000007</v>
      </c>
      <c r="M311" s="297">
        <v>0</v>
      </c>
      <c r="N311" s="297">
        <v>0</v>
      </c>
      <c r="O311" s="297">
        <v>0</v>
      </c>
      <c r="P311" s="297">
        <v>0</v>
      </c>
      <c r="Q311" s="298" t="s">
        <v>242</v>
      </c>
      <c r="R311" s="293" t="s">
        <v>243</v>
      </c>
    </row>
    <row r="312" spans="1:18" ht="36.75" customHeight="1">
      <c r="A312" s="294" t="s">
        <v>2162</v>
      </c>
      <c r="B312" s="295" t="s">
        <v>914</v>
      </c>
      <c r="C312" s="296" t="s">
        <v>15</v>
      </c>
      <c r="D312" s="297">
        <v>2</v>
      </c>
      <c r="E312" s="297">
        <v>2</v>
      </c>
      <c r="F312" s="297">
        <f t="shared" si="12"/>
        <v>2</v>
      </c>
      <c r="G312" s="297"/>
      <c r="H312" s="297"/>
      <c r="I312" s="297"/>
      <c r="J312" s="305"/>
      <c r="K312" s="305"/>
      <c r="L312" s="297">
        <v>1499.92</v>
      </c>
      <c r="M312" s="297">
        <v>0</v>
      </c>
      <c r="N312" s="297">
        <v>0</v>
      </c>
      <c r="O312" s="297">
        <v>0</v>
      </c>
      <c r="P312" s="297">
        <v>0</v>
      </c>
      <c r="Q312" s="298" t="s">
        <v>242</v>
      </c>
      <c r="R312" s="293" t="s">
        <v>243</v>
      </c>
    </row>
    <row r="313" spans="1:18" ht="36.75" customHeight="1">
      <c r="A313" s="294" t="s">
        <v>2163</v>
      </c>
      <c r="B313" s="295" t="s">
        <v>917</v>
      </c>
      <c r="C313" s="296" t="s">
        <v>15</v>
      </c>
      <c r="D313" s="297">
        <v>2</v>
      </c>
      <c r="E313" s="297">
        <v>2</v>
      </c>
      <c r="F313" s="297">
        <f t="shared" si="12"/>
        <v>2</v>
      </c>
      <c r="G313" s="297"/>
      <c r="H313" s="297"/>
      <c r="I313" s="297"/>
      <c r="J313" s="305"/>
      <c r="K313" s="305"/>
      <c r="L313" s="297">
        <v>3999.78</v>
      </c>
      <c r="M313" s="297">
        <v>0</v>
      </c>
      <c r="N313" s="297">
        <v>0</v>
      </c>
      <c r="O313" s="297">
        <v>0</v>
      </c>
      <c r="P313" s="297">
        <v>0</v>
      </c>
      <c r="Q313" s="298" t="s">
        <v>242</v>
      </c>
      <c r="R313" s="293" t="s">
        <v>243</v>
      </c>
    </row>
    <row r="314" spans="1:18" ht="36.75" customHeight="1">
      <c r="A314" s="294" t="s">
        <v>2164</v>
      </c>
      <c r="B314" s="295" t="s">
        <v>920</v>
      </c>
      <c r="C314" s="296" t="s">
        <v>8</v>
      </c>
      <c r="D314" s="297">
        <v>44.6</v>
      </c>
      <c r="E314" s="297">
        <v>44.6</v>
      </c>
      <c r="F314" s="297">
        <f t="shared" si="12"/>
        <v>44.6</v>
      </c>
      <c r="G314" s="297"/>
      <c r="H314" s="297"/>
      <c r="I314" s="297"/>
      <c r="J314" s="305"/>
      <c r="K314" s="305"/>
      <c r="L314" s="297">
        <v>799.96</v>
      </c>
      <c r="M314" s="297">
        <v>0</v>
      </c>
      <c r="N314" s="297">
        <v>0</v>
      </c>
      <c r="O314" s="297">
        <v>0</v>
      </c>
      <c r="P314" s="297">
        <v>0</v>
      </c>
      <c r="Q314" s="298" t="s">
        <v>242</v>
      </c>
      <c r="R314" s="293" t="s">
        <v>243</v>
      </c>
    </row>
    <row r="315" spans="1:18" ht="36.75" customHeight="1">
      <c r="A315" s="294" t="s">
        <v>2165</v>
      </c>
      <c r="B315" s="295" t="s">
        <v>923</v>
      </c>
      <c r="C315" s="296" t="s">
        <v>15</v>
      </c>
      <c r="D315" s="297">
        <v>10</v>
      </c>
      <c r="E315" s="297">
        <v>10</v>
      </c>
      <c r="F315" s="297">
        <f t="shared" si="12"/>
        <v>10</v>
      </c>
      <c r="G315" s="297"/>
      <c r="H315" s="297"/>
      <c r="I315" s="297"/>
      <c r="J315" s="305"/>
      <c r="K315" s="305"/>
      <c r="L315" s="297">
        <v>11299.38</v>
      </c>
      <c r="M315" s="297">
        <v>0</v>
      </c>
      <c r="N315" s="297">
        <v>0</v>
      </c>
      <c r="O315" s="297">
        <v>0</v>
      </c>
      <c r="P315" s="297">
        <v>0</v>
      </c>
      <c r="Q315" s="298" t="s">
        <v>242</v>
      </c>
      <c r="R315" s="293" t="s">
        <v>243</v>
      </c>
    </row>
    <row r="316" spans="1:18" ht="36.75" customHeight="1">
      <c r="A316" s="294" t="s">
        <v>2166</v>
      </c>
      <c r="B316" s="295" t="s">
        <v>926</v>
      </c>
      <c r="C316" s="296" t="s">
        <v>15</v>
      </c>
      <c r="D316" s="297">
        <v>5</v>
      </c>
      <c r="E316" s="297">
        <v>5</v>
      </c>
      <c r="F316" s="297">
        <f t="shared" si="12"/>
        <v>5</v>
      </c>
      <c r="G316" s="297"/>
      <c r="H316" s="297"/>
      <c r="I316" s="297"/>
      <c r="J316" s="305"/>
      <c r="K316" s="305"/>
      <c r="L316" s="297">
        <v>17999.02</v>
      </c>
      <c r="M316" s="297">
        <v>0</v>
      </c>
      <c r="N316" s="297">
        <v>0</v>
      </c>
      <c r="O316" s="297">
        <v>0</v>
      </c>
      <c r="P316" s="297">
        <v>0</v>
      </c>
      <c r="Q316" s="298" t="s">
        <v>242</v>
      </c>
      <c r="R316" s="293" t="s">
        <v>243</v>
      </c>
    </row>
    <row r="317" spans="1:18" ht="36.75" customHeight="1">
      <c r="A317" s="294" t="s">
        <v>2167</v>
      </c>
      <c r="B317" s="295" t="s">
        <v>929</v>
      </c>
      <c r="C317" s="296" t="s">
        <v>15</v>
      </c>
      <c r="D317" s="297">
        <v>17</v>
      </c>
      <c r="E317" s="297">
        <v>17</v>
      </c>
      <c r="F317" s="297">
        <f t="shared" si="12"/>
        <v>17</v>
      </c>
      <c r="G317" s="297"/>
      <c r="H317" s="297"/>
      <c r="I317" s="297"/>
      <c r="J317" s="305"/>
      <c r="K317" s="305"/>
      <c r="L317" s="297">
        <v>4199.7700000000004</v>
      </c>
      <c r="M317" s="297">
        <v>0</v>
      </c>
      <c r="N317" s="297">
        <v>0</v>
      </c>
      <c r="O317" s="297">
        <v>0</v>
      </c>
      <c r="P317" s="297">
        <v>0</v>
      </c>
      <c r="Q317" s="298" t="s">
        <v>242</v>
      </c>
      <c r="R317" s="293" t="s">
        <v>243</v>
      </c>
    </row>
    <row r="318" spans="1:18" ht="36.75" customHeight="1">
      <c r="A318" s="294" t="s">
        <v>2168</v>
      </c>
      <c r="B318" s="295" t="s">
        <v>932</v>
      </c>
      <c r="C318" s="296" t="s">
        <v>290</v>
      </c>
      <c r="D318" s="297">
        <v>1</v>
      </c>
      <c r="E318" s="297">
        <v>1</v>
      </c>
      <c r="F318" s="297">
        <f t="shared" si="12"/>
        <v>1</v>
      </c>
      <c r="G318" s="297"/>
      <c r="H318" s="297"/>
      <c r="I318" s="297"/>
      <c r="J318" s="305"/>
      <c r="K318" s="305"/>
      <c r="L318" s="297">
        <v>112957.32</v>
      </c>
      <c r="M318" s="297">
        <v>0</v>
      </c>
      <c r="N318" s="297">
        <v>0</v>
      </c>
      <c r="O318" s="297">
        <v>0</v>
      </c>
      <c r="P318" s="297">
        <v>0</v>
      </c>
      <c r="Q318" s="298" t="s">
        <v>242</v>
      </c>
      <c r="R318" s="293" t="s">
        <v>243</v>
      </c>
    </row>
    <row r="319" spans="1:18" ht="36.75" customHeight="1">
      <c r="A319" s="294" t="s">
        <v>2169</v>
      </c>
      <c r="B319" s="295" t="s">
        <v>935</v>
      </c>
      <c r="C319" s="296" t="s">
        <v>4</v>
      </c>
      <c r="D319" s="297">
        <v>1</v>
      </c>
      <c r="E319" s="297">
        <v>1</v>
      </c>
      <c r="F319" s="297">
        <f t="shared" si="12"/>
        <v>1</v>
      </c>
      <c r="G319" s="297"/>
      <c r="H319" s="297"/>
      <c r="I319" s="297"/>
      <c r="J319" s="305"/>
      <c r="K319" s="305"/>
      <c r="L319" s="297">
        <v>322482.40999999997</v>
      </c>
      <c r="M319" s="297">
        <v>0</v>
      </c>
      <c r="N319" s="297">
        <v>0</v>
      </c>
      <c r="O319" s="297">
        <v>0</v>
      </c>
      <c r="P319" s="297">
        <v>0</v>
      </c>
      <c r="Q319" s="298" t="s">
        <v>242</v>
      </c>
      <c r="R319" s="293" t="s">
        <v>243</v>
      </c>
    </row>
    <row r="320" spans="1:18" ht="36.75" customHeight="1">
      <c r="A320" s="294" t="s">
        <v>2170</v>
      </c>
      <c r="B320" s="295" t="s">
        <v>938</v>
      </c>
      <c r="C320" s="296" t="s">
        <v>15</v>
      </c>
      <c r="D320" s="297">
        <v>17</v>
      </c>
      <c r="E320" s="297">
        <v>17</v>
      </c>
      <c r="F320" s="297">
        <f t="shared" si="12"/>
        <v>17</v>
      </c>
      <c r="G320" s="297"/>
      <c r="H320" s="297"/>
      <c r="I320" s="297"/>
      <c r="J320" s="305"/>
      <c r="K320" s="305"/>
      <c r="L320" s="297">
        <v>99994.55</v>
      </c>
      <c r="M320" s="297">
        <v>0</v>
      </c>
      <c r="N320" s="297">
        <v>0</v>
      </c>
      <c r="O320" s="297">
        <v>0</v>
      </c>
      <c r="P320" s="297">
        <v>0</v>
      </c>
      <c r="Q320" s="298" t="s">
        <v>242</v>
      </c>
      <c r="R320" s="293" t="s">
        <v>243</v>
      </c>
    </row>
    <row r="321" spans="1:18" ht="36.75" customHeight="1">
      <c r="A321" s="294" t="s">
        <v>2171</v>
      </c>
      <c r="B321" s="295" t="s">
        <v>941</v>
      </c>
      <c r="C321" s="296" t="s">
        <v>583</v>
      </c>
      <c r="D321" s="297">
        <v>2</v>
      </c>
      <c r="E321" s="297">
        <v>2</v>
      </c>
      <c r="F321" s="297">
        <f t="shared" si="12"/>
        <v>2</v>
      </c>
      <c r="G321" s="297"/>
      <c r="H321" s="297"/>
      <c r="I321" s="297"/>
      <c r="J321" s="305"/>
      <c r="K321" s="305"/>
      <c r="L321" s="297">
        <v>14999.18</v>
      </c>
      <c r="M321" s="297">
        <v>0</v>
      </c>
      <c r="N321" s="297">
        <v>0</v>
      </c>
      <c r="O321" s="297">
        <v>0</v>
      </c>
      <c r="P321" s="297">
        <v>0</v>
      </c>
      <c r="Q321" s="298" t="s">
        <v>242</v>
      </c>
      <c r="R321" s="293" t="s">
        <v>243</v>
      </c>
    </row>
    <row r="322" spans="1:18" ht="36.75" customHeight="1">
      <c r="A322" s="294" t="s">
        <v>2172</v>
      </c>
      <c r="B322" s="295" t="s">
        <v>944</v>
      </c>
      <c r="C322" s="296" t="s">
        <v>15</v>
      </c>
      <c r="D322" s="297">
        <v>1</v>
      </c>
      <c r="E322" s="297">
        <v>1</v>
      </c>
      <c r="F322" s="297">
        <f t="shared" si="12"/>
        <v>1</v>
      </c>
      <c r="G322" s="297"/>
      <c r="H322" s="297"/>
      <c r="I322" s="297"/>
      <c r="J322" s="305"/>
      <c r="K322" s="305"/>
      <c r="L322" s="297">
        <v>1499.92</v>
      </c>
      <c r="M322" s="297">
        <v>0</v>
      </c>
      <c r="N322" s="297">
        <v>0</v>
      </c>
      <c r="O322" s="297">
        <v>0</v>
      </c>
      <c r="P322" s="297">
        <v>0</v>
      </c>
      <c r="Q322" s="298" t="s">
        <v>242</v>
      </c>
      <c r="R322" s="293" t="s">
        <v>243</v>
      </c>
    </row>
    <row r="323" spans="1:18" ht="36.75" customHeight="1">
      <c r="A323" s="294" t="s">
        <v>2173</v>
      </c>
      <c r="B323" s="295" t="s">
        <v>947</v>
      </c>
      <c r="C323" s="296" t="s">
        <v>19</v>
      </c>
      <c r="D323" s="297">
        <v>2</v>
      </c>
      <c r="E323" s="297">
        <v>2</v>
      </c>
      <c r="F323" s="297">
        <f t="shared" si="12"/>
        <v>2</v>
      </c>
      <c r="G323" s="297"/>
      <c r="H323" s="297"/>
      <c r="I323" s="297"/>
      <c r="J323" s="305"/>
      <c r="K323" s="305"/>
      <c r="L323" s="297">
        <v>2599.86</v>
      </c>
      <c r="M323" s="297">
        <v>0</v>
      </c>
      <c r="N323" s="297">
        <v>0</v>
      </c>
      <c r="O323" s="297">
        <v>0</v>
      </c>
      <c r="P323" s="297">
        <v>0</v>
      </c>
      <c r="Q323" s="298" t="s">
        <v>242</v>
      </c>
      <c r="R323" s="293" t="s">
        <v>243</v>
      </c>
    </row>
    <row r="324" spans="1:18" ht="36.75" customHeight="1">
      <c r="A324" s="294" t="s">
        <v>2174</v>
      </c>
      <c r="B324" s="295" t="s">
        <v>950</v>
      </c>
      <c r="C324" s="296" t="s">
        <v>19</v>
      </c>
      <c r="D324" s="297">
        <v>9</v>
      </c>
      <c r="E324" s="297">
        <v>9</v>
      </c>
      <c r="F324" s="297">
        <f t="shared" si="12"/>
        <v>9</v>
      </c>
      <c r="G324" s="297"/>
      <c r="H324" s="297"/>
      <c r="I324" s="297"/>
      <c r="J324" s="305"/>
      <c r="K324" s="305"/>
      <c r="L324" s="297">
        <v>4459.76</v>
      </c>
      <c r="M324" s="297">
        <v>0</v>
      </c>
      <c r="N324" s="297">
        <v>0</v>
      </c>
      <c r="O324" s="297">
        <v>0</v>
      </c>
      <c r="P324" s="297">
        <v>0</v>
      </c>
      <c r="Q324" s="298" t="s">
        <v>242</v>
      </c>
      <c r="R324" s="293" t="s">
        <v>243</v>
      </c>
    </row>
    <row r="325" spans="1:18" ht="36.75" customHeight="1">
      <c r="A325" s="294" t="s">
        <v>2175</v>
      </c>
      <c r="B325" s="295" t="s">
        <v>953</v>
      </c>
      <c r="C325" s="296" t="s">
        <v>8</v>
      </c>
      <c r="D325" s="297">
        <v>180</v>
      </c>
      <c r="E325" s="297">
        <v>180</v>
      </c>
      <c r="F325" s="297">
        <f t="shared" si="12"/>
        <v>180</v>
      </c>
      <c r="G325" s="297"/>
      <c r="H325" s="297"/>
      <c r="I325" s="297"/>
      <c r="J325" s="305"/>
      <c r="K325" s="305"/>
      <c r="L325" s="297">
        <v>596.98</v>
      </c>
      <c r="M325" s="297">
        <v>0</v>
      </c>
      <c r="N325" s="297">
        <v>0</v>
      </c>
      <c r="O325" s="297">
        <v>0</v>
      </c>
      <c r="P325" s="297">
        <v>0</v>
      </c>
      <c r="Q325" s="298" t="s">
        <v>242</v>
      </c>
      <c r="R325" s="293" t="s">
        <v>243</v>
      </c>
    </row>
    <row r="326" spans="1:18" ht="36.75" customHeight="1">
      <c r="A326" s="294" t="s">
        <v>2177</v>
      </c>
      <c r="B326" s="295" t="s">
        <v>956</v>
      </c>
      <c r="C326" s="296" t="s">
        <v>8</v>
      </c>
      <c r="D326" s="297">
        <v>60</v>
      </c>
      <c r="E326" s="297">
        <v>60</v>
      </c>
      <c r="F326" s="297">
        <f t="shared" si="12"/>
        <v>60</v>
      </c>
      <c r="G326" s="297"/>
      <c r="H326" s="297"/>
      <c r="I326" s="297"/>
      <c r="J326" s="305"/>
      <c r="K326" s="305"/>
      <c r="L326" s="297">
        <v>67.42</v>
      </c>
      <c r="M326" s="297">
        <v>0</v>
      </c>
      <c r="N326" s="297">
        <v>0</v>
      </c>
      <c r="O326" s="297">
        <v>0</v>
      </c>
      <c r="P326" s="297">
        <v>0</v>
      </c>
      <c r="Q326" s="298" t="s">
        <v>242</v>
      </c>
      <c r="R326" s="293" t="s">
        <v>243</v>
      </c>
    </row>
    <row r="327" spans="1:18" ht="36.75" customHeight="1">
      <c r="A327" s="294" t="s">
        <v>2178</v>
      </c>
      <c r="B327" s="295" t="s">
        <v>959</v>
      </c>
      <c r="C327" s="296" t="s">
        <v>8</v>
      </c>
      <c r="D327" s="297">
        <v>1032</v>
      </c>
      <c r="E327" s="297">
        <v>1032</v>
      </c>
      <c r="F327" s="297">
        <f t="shared" si="12"/>
        <v>1032</v>
      </c>
      <c r="G327" s="297"/>
      <c r="H327" s="297"/>
      <c r="I327" s="297"/>
      <c r="J327" s="305"/>
      <c r="K327" s="305"/>
      <c r="L327" s="297">
        <v>29.42</v>
      </c>
      <c r="M327" s="297">
        <v>0</v>
      </c>
      <c r="N327" s="297">
        <v>0</v>
      </c>
      <c r="O327" s="297">
        <v>0</v>
      </c>
      <c r="P327" s="297">
        <v>0</v>
      </c>
      <c r="Q327" s="298" t="s">
        <v>242</v>
      </c>
      <c r="R327" s="293" t="s">
        <v>243</v>
      </c>
    </row>
    <row r="328" spans="1:18" ht="36.75" customHeight="1">
      <c r="A328" s="294" t="s">
        <v>2179</v>
      </c>
      <c r="B328" s="295" t="s">
        <v>962</v>
      </c>
      <c r="C328" s="296" t="s">
        <v>8</v>
      </c>
      <c r="D328" s="297">
        <v>1103</v>
      </c>
      <c r="E328" s="297">
        <v>1103</v>
      </c>
      <c r="F328" s="297">
        <f t="shared" si="12"/>
        <v>1103</v>
      </c>
      <c r="G328" s="297"/>
      <c r="H328" s="297"/>
      <c r="I328" s="297"/>
      <c r="J328" s="305"/>
      <c r="K328" s="305"/>
      <c r="L328" s="297">
        <v>147.1</v>
      </c>
      <c r="M328" s="297">
        <v>0</v>
      </c>
      <c r="N328" s="297">
        <v>0</v>
      </c>
      <c r="O328" s="297">
        <v>0</v>
      </c>
      <c r="P328" s="297">
        <v>0</v>
      </c>
      <c r="Q328" s="298" t="s">
        <v>242</v>
      </c>
      <c r="R328" s="293" t="s">
        <v>243</v>
      </c>
    </row>
    <row r="329" spans="1:18" ht="36.75" customHeight="1">
      <c r="A329" s="294" t="s">
        <v>2181</v>
      </c>
      <c r="B329" s="295" t="s">
        <v>219</v>
      </c>
      <c r="C329" s="296" t="s">
        <v>8</v>
      </c>
      <c r="D329" s="297">
        <v>2064</v>
      </c>
      <c r="E329" s="297">
        <v>2064</v>
      </c>
      <c r="F329" s="297">
        <f t="shared" si="12"/>
        <v>2064</v>
      </c>
      <c r="G329" s="297"/>
      <c r="H329" s="297"/>
      <c r="I329" s="297"/>
      <c r="J329" s="305"/>
      <c r="K329" s="305"/>
      <c r="L329" s="297">
        <v>78.459999999999994</v>
      </c>
      <c r="M329" s="297">
        <v>0</v>
      </c>
      <c r="N329" s="297">
        <v>0</v>
      </c>
      <c r="O329" s="297">
        <v>0</v>
      </c>
      <c r="P329" s="297">
        <v>0</v>
      </c>
      <c r="Q329" s="298" t="s">
        <v>242</v>
      </c>
      <c r="R329" s="293" t="s">
        <v>243</v>
      </c>
    </row>
    <row r="330" spans="1:18" ht="36.75" customHeight="1">
      <c r="A330" s="294" t="s">
        <v>2182</v>
      </c>
      <c r="B330" s="295" t="s">
        <v>967</v>
      </c>
      <c r="C330" s="296" t="s">
        <v>4</v>
      </c>
      <c r="D330" s="297">
        <v>1</v>
      </c>
      <c r="E330" s="297">
        <v>1</v>
      </c>
      <c r="F330" s="297">
        <f t="shared" si="12"/>
        <v>1</v>
      </c>
      <c r="G330" s="297"/>
      <c r="H330" s="297"/>
      <c r="I330" s="297"/>
      <c r="J330" s="305"/>
      <c r="K330" s="305"/>
      <c r="L330" s="297">
        <v>24062.69</v>
      </c>
      <c r="M330" s="297">
        <v>0</v>
      </c>
      <c r="N330" s="297">
        <v>0</v>
      </c>
      <c r="O330" s="297">
        <v>0</v>
      </c>
      <c r="P330" s="297">
        <v>0</v>
      </c>
      <c r="Q330" s="298" t="s">
        <v>242</v>
      </c>
      <c r="R330" s="293" t="s">
        <v>243</v>
      </c>
    </row>
    <row r="331" spans="1:18" ht="36.75" customHeight="1">
      <c r="A331" s="294" t="s">
        <v>2183</v>
      </c>
      <c r="B331" s="295" t="s">
        <v>970</v>
      </c>
      <c r="C331" s="296" t="s">
        <v>8</v>
      </c>
      <c r="D331" s="297">
        <v>1011</v>
      </c>
      <c r="E331" s="297">
        <v>1011</v>
      </c>
      <c r="F331" s="297">
        <f t="shared" si="12"/>
        <v>1011</v>
      </c>
      <c r="G331" s="297"/>
      <c r="H331" s="297"/>
      <c r="I331" s="297"/>
      <c r="J331" s="305"/>
      <c r="K331" s="305"/>
      <c r="L331" s="297">
        <v>35.549999999999997</v>
      </c>
      <c r="M331" s="297">
        <v>0</v>
      </c>
      <c r="N331" s="297">
        <v>0</v>
      </c>
      <c r="O331" s="297">
        <v>0</v>
      </c>
      <c r="P331" s="297">
        <v>0</v>
      </c>
      <c r="Q331" s="298" t="s">
        <v>242</v>
      </c>
      <c r="R331" s="293" t="s">
        <v>243</v>
      </c>
    </row>
    <row r="332" spans="1:18" ht="36.75" customHeight="1">
      <c r="A332" s="294" t="s">
        <v>2184</v>
      </c>
      <c r="B332" s="295" t="s">
        <v>220</v>
      </c>
      <c r="C332" s="296" t="s">
        <v>8</v>
      </c>
      <c r="D332" s="297">
        <v>946</v>
      </c>
      <c r="E332" s="297">
        <v>946</v>
      </c>
      <c r="F332" s="297">
        <f t="shared" si="12"/>
        <v>946</v>
      </c>
      <c r="G332" s="297"/>
      <c r="H332" s="297"/>
      <c r="I332" s="297"/>
      <c r="J332" s="305"/>
      <c r="K332" s="305"/>
      <c r="L332" s="297">
        <v>60.07</v>
      </c>
      <c r="M332" s="297">
        <v>0</v>
      </c>
      <c r="N332" s="297">
        <v>0</v>
      </c>
      <c r="O332" s="297">
        <v>0</v>
      </c>
      <c r="P332" s="297">
        <v>0</v>
      </c>
      <c r="Q332" s="298" t="s">
        <v>242</v>
      </c>
      <c r="R332" s="293" t="s">
        <v>243</v>
      </c>
    </row>
    <row r="333" spans="1:18" ht="36.75" customHeight="1">
      <c r="A333" s="294" t="s">
        <v>2185</v>
      </c>
      <c r="B333" s="295" t="s">
        <v>975</v>
      </c>
      <c r="C333" s="296" t="s">
        <v>8</v>
      </c>
      <c r="D333" s="297">
        <v>55</v>
      </c>
      <c r="E333" s="297">
        <v>55</v>
      </c>
      <c r="F333" s="297">
        <f t="shared" si="12"/>
        <v>55</v>
      </c>
      <c r="G333" s="297"/>
      <c r="H333" s="297"/>
      <c r="I333" s="297"/>
      <c r="J333" s="305"/>
      <c r="K333" s="305"/>
      <c r="L333" s="297">
        <v>125.03</v>
      </c>
      <c r="M333" s="297">
        <v>0</v>
      </c>
      <c r="N333" s="297">
        <v>0</v>
      </c>
      <c r="O333" s="297">
        <v>0</v>
      </c>
      <c r="P333" s="297">
        <v>0</v>
      </c>
      <c r="Q333" s="298" t="s">
        <v>242</v>
      </c>
      <c r="R333" s="293" t="s">
        <v>243</v>
      </c>
    </row>
    <row r="334" spans="1:18" ht="36.75" customHeight="1">
      <c r="A334" s="294" t="s">
        <v>2186</v>
      </c>
      <c r="B334" s="295" t="s">
        <v>978</v>
      </c>
      <c r="C334" s="296" t="s">
        <v>8</v>
      </c>
      <c r="D334" s="297">
        <v>22</v>
      </c>
      <c r="E334" s="297">
        <v>22</v>
      </c>
      <c r="F334" s="297">
        <f t="shared" si="12"/>
        <v>22</v>
      </c>
      <c r="G334" s="297"/>
      <c r="H334" s="297"/>
      <c r="I334" s="297"/>
      <c r="J334" s="305"/>
      <c r="K334" s="305"/>
      <c r="L334" s="297">
        <v>178.97</v>
      </c>
      <c r="M334" s="297">
        <v>0</v>
      </c>
      <c r="N334" s="297">
        <v>0</v>
      </c>
      <c r="O334" s="297">
        <v>0</v>
      </c>
      <c r="P334" s="297">
        <v>0</v>
      </c>
      <c r="Q334" s="298" t="s">
        <v>242</v>
      </c>
      <c r="R334" s="293" t="s">
        <v>243</v>
      </c>
    </row>
    <row r="335" spans="1:18" ht="36.75" customHeight="1">
      <c r="A335" s="294" t="s">
        <v>2187</v>
      </c>
      <c r="B335" s="295" t="s">
        <v>981</v>
      </c>
      <c r="C335" s="296" t="s">
        <v>4</v>
      </c>
      <c r="D335" s="297">
        <v>1</v>
      </c>
      <c r="E335" s="297">
        <v>1</v>
      </c>
      <c r="F335" s="297">
        <f t="shared" si="12"/>
        <v>1</v>
      </c>
      <c r="G335" s="297"/>
      <c r="H335" s="297"/>
      <c r="I335" s="297"/>
      <c r="J335" s="305"/>
      <c r="K335" s="305"/>
      <c r="L335" s="297">
        <v>19812.919999999998</v>
      </c>
      <c r="M335" s="297">
        <v>0</v>
      </c>
      <c r="N335" s="297">
        <v>0</v>
      </c>
      <c r="O335" s="297">
        <v>0</v>
      </c>
      <c r="P335" s="297">
        <v>0</v>
      </c>
      <c r="Q335" s="298" t="s">
        <v>242</v>
      </c>
      <c r="R335" s="293" t="s">
        <v>243</v>
      </c>
    </row>
    <row r="336" spans="1:18" ht="36.75" customHeight="1">
      <c r="A336" s="294" t="s">
        <v>2188</v>
      </c>
      <c r="B336" s="295" t="s">
        <v>984</v>
      </c>
      <c r="C336" s="296" t="s">
        <v>4</v>
      </c>
      <c r="D336" s="297">
        <v>1</v>
      </c>
      <c r="E336" s="297">
        <v>1</v>
      </c>
      <c r="F336" s="297">
        <f t="shared" si="12"/>
        <v>1</v>
      </c>
      <c r="G336" s="297"/>
      <c r="H336" s="297"/>
      <c r="I336" s="297"/>
      <c r="J336" s="305"/>
      <c r="K336" s="305"/>
      <c r="L336" s="297">
        <v>29571.39</v>
      </c>
      <c r="M336" s="297">
        <v>0</v>
      </c>
      <c r="N336" s="297">
        <v>0</v>
      </c>
      <c r="O336" s="297">
        <v>0</v>
      </c>
      <c r="P336" s="297">
        <v>0</v>
      </c>
      <c r="Q336" s="298" t="s">
        <v>242</v>
      </c>
      <c r="R336" s="293" t="s">
        <v>243</v>
      </c>
    </row>
    <row r="337" spans="1:18" ht="36.75" customHeight="1">
      <c r="A337" s="294" t="s">
        <v>2249</v>
      </c>
      <c r="B337" s="295" t="s">
        <v>987</v>
      </c>
      <c r="C337" s="296" t="s">
        <v>4</v>
      </c>
      <c r="D337" s="297">
        <v>1</v>
      </c>
      <c r="E337" s="297"/>
      <c r="F337" s="297"/>
      <c r="G337" s="297"/>
      <c r="H337" s="297"/>
      <c r="I337" s="297"/>
      <c r="J337" s="305"/>
      <c r="K337" s="305"/>
      <c r="L337" s="297">
        <v>11249747.310000001</v>
      </c>
      <c r="M337" s="297">
        <v>1</v>
      </c>
      <c r="N337" s="297">
        <v>1</v>
      </c>
      <c r="O337" s="297">
        <v>69996</v>
      </c>
      <c r="P337" s="297">
        <v>11109754.4</v>
      </c>
      <c r="Q337" s="298" t="s">
        <v>242</v>
      </c>
      <c r="R337" s="293" t="s">
        <v>243</v>
      </c>
    </row>
    <row r="338" spans="1:18" ht="36.75" customHeight="1">
      <c r="A338" s="294" t="s">
        <v>2154</v>
      </c>
      <c r="B338" s="295" t="s">
        <v>989</v>
      </c>
      <c r="C338" s="296" t="s">
        <v>8</v>
      </c>
      <c r="D338" s="297">
        <v>1132</v>
      </c>
      <c r="E338" s="297">
        <v>2576.8000000000002</v>
      </c>
      <c r="F338" s="297">
        <f>E338</f>
        <v>2576.8000000000002</v>
      </c>
      <c r="G338" s="297"/>
      <c r="H338" s="297"/>
      <c r="I338" s="297"/>
      <c r="J338" s="305"/>
      <c r="K338" s="305"/>
      <c r="L338" s="297">
        <v>247.19</v>
      </c>
      <c r="M338" s="297">
        <v>0</v>
      </c>
      <c r="N338" s="297">
        <v>2576.8000000000002</v>
      </c>
      <c r="O338" s="297">
        <v>0</v>
      </c>
      <c r="P338" s="297">
        <v>636959.18999999994</v>
      </c>
      <c r="Q338" s="298" t="s">
        <v>242</v>
      </c>
      <c r="R338" s="293" t="s">
        <v>243</v>
      </c>
    </row>
    <row r="339" spans="1:18" ht="36.75" customHeight="1">
      <c r="A339" s="294" t="s">
        <v>2155</v>
      </c>
      <c r="B339" s="295" t="s">
        <v>992</v>
      </c>
      <c r="C339" s="296" t="s">
        <v>8</v>
      </c>
      <c r="D339" s="297">
        <v>1132</v>
      </c>
      <c r="E339" s="297">
        <v>2576.8000000000002</v>
      </c>
      <c r="F339" s="297">
        <f>E339</f>
        <v>2576.8000000000002</v>
      </c>
      <c r="G339" s="297"/>
      <c r="H339" s="297"/>
      <c r="I339" s="297"/>
      <c r="J339" s="305"/>
      <c r="K339" s="305"/>
      <c r="L339" s="297">
        <v>236.89</v>
      </c>
      <c r="M339" s="297">
        <v>0</v>
      </c>
      <c r="N339" s="297">
        <v>2576.8000000000002</v>
      </c>
      <c r="O339" s="297">
        <v>0</v>
      </c>
      <c r="P339" s="297">
        <v>610418.15</v>
      </c>
      <c r="Q339" s="298" t="s">
        <v>242</v>
      </c>
      <c r="R339" s="293" t="s">
        <v>243</v>
      </c>
    </row>
    <row r="340" spans="1:18" ht="36.75" customHeight="1">
      <c r="A340" s="294" t="s">
        <v>2156</v>
      </c>
      <c r="B340" s="295" t="s">
        <v>995</v>
      </c>
      <c r="C340" s="296" t="s">
        <v>13</v>
      </c>
      <c r="D340" s="297">
        <v>6198</v>
      </c>
      <c r="E340" s="297">
        <v>9215</v>
      </c>
      <c r="F340" s="297">
        <f>E340</f>
        <v>9215</v>
      </c>
      <c r="G340" s="297"/>
      <c r="H340" s="297"/>
      <c r="I340" s="297"/>
      <c r="J340" s="305"/>
      <c r="K340" s="305"/>
      <c r="L340" s="297">
        <v>252.34</v>
      </c>
      <c r="M340" s="297">
        <v>0</v>
      </c>
      <c r="N340" s="297">
        <v>9215</v>
      </c>
      <c r="O340" s="297">
        <v>0</v>
      </c>
      <c r="P340" s="297">
        <v>2325313.1</v>
      </c>
      <c r="Q340" s="298" t="s">
        <v>242</v>
      </c>
      <c r="R340" s="293" t="s">
        <v>243</v>
      </c>
    </row>
    <row r="341" spans="1:18" ht="36.75" customHeight="1">
      <c r="A341" s="294" t="s">
        <v>2157</v>
      </c>
      <c r="B341" s="295" t="s">
        <v>998</v>
      </c>
      <c r="C341" s="296" t="s">
        <v>4</v>
      </c>
      <c r="D341" s="297">
        <v>1</v>
      </c>
      <c r="E341" s="297">
        <v>1</v>
      </c>
      <c r="F341" s="297">
        <f>D341</f>
        <v>1</v>
      </c>
      <c r="G341" s="297"/>
      <c r="H341" s="297"/>
      <c r="I341" s="297"/>
      <c r="J341" s="305"/>
      <c r="K341" s="305"/>
      <c r="L341" s="297">
        <v>349980.91</v>
      </c>
      <c r="M341" s="297">
        <v>1</v>
      </c>
      <c r="N341" s="297">
        <v>1</v>
      </c>
      <c r="O341" s="297">
        <v>69996</v>
      </c>
      <c r="P341" s="297">
        <v>209988</v>
      </c>
      <c r="Q341" s="298" t="s">
        <v>2247</v>
      </c>
      <c r="R341" s="293" t="s">
        <v>243</v>
      </c>
    </row>
    <row r="342" spans="1:18" ht="36.75" customHeight="1">
      <c r="A342" s="294" t="s">
        <v>2158</v>
      </c>
      <c r="B342" s="295" t="s">
        <v>1001</v>
      </c>
      <c r="C342" s="296" t="s">
        <v>16</v>
      </c>
      <c r="D342" s="297">
        <v>2052</v>
      </c>
      <c r="E342" s="297">
        <v>2052</v>
      </c>
      <c r="F342" s="297">
        <f>'數量計算(FOR4變)'!I538</f>
        <v>2928</v>
      </c>
      <c r="G342" s="297"/>
      <c r="H342" s="297"/>
      <c r="I342" s="297"/>
      <c r="J342" s="305"/>
      <c r="K342" s="305"/>
      <c r="L342" s="297">
        <v>931.07</v>
      </c>
      <c r="M342" s="297">
        <v>0</v>
      </c>
      <c r="N342" s="297">
        <v>2052</v>
      </c>
      <c r="O342" s="297">
        <v>0</v>
      </c>
      <c r="P342" s="297">
        <v>1910555.64</v>
      </c>
      <c r="Q342" s="298" t="s">
        <v>242</v>
      </c>
      <c r="R342" s="293" t="s">
        <v>243</v>
      </c>
    </row>
    <row r="343" spans="1:18" ht="36.75" customHeight="1">
      <c r="A343" s="294" t="s">
        <v>2159</v>
      </c>
      <c r="B343" s="295" t="s">
        <v>728</v>
      </c>
      <c r="C343" s="296" t="s">
        <v>6</v>
      </c>
      <c r="D343" s="297">
        <v>300</v>
      </c>
      <c r="E343" s="297">
        <v>720</v>
      </c>
      <c r="F343" s="297">
        <f>'數量計算(FOR4變)'!I542</f>
        <v>1053</v>
      </c>
      <c r="G343" s="297"/>
      <c r="H343" s="297"/>
      <c r="I343" s="297"/>
      <c r="J343" s="305"/>
      <c r="K343" s="305"/>
      <c r="L343" s="297">
        <v>3386.34</v>
      </c>
      <c r="M343" s="297">
        <v>0</v>
      </c>
      <c r="N343" s="297">
        <v>720</v>
      </c>
      <c r="O343" s="297">
        <v>0</v>
      </c>
      <c r="P343" s="297">
        <v>2438164.7999999998</v>
      </c>
      <c r="Q343" s="298" t="s">
        <v>242</v>
      </c>
      <c r="R343" s="293" t="s">
        <v>243</v>
      </c>
    </row>
    <row r="344" spans="1:18" ht="36.75" customHeight="1">
      <c r="A344" s="294" t="s">
        <v>2160</v>
      </c>
      <c r="B344" s="295" t="s">
        <v>1515</v>
      </c>
      <c r="C344" s="296" t="s">
        <v>8</v>
      </c>
      <c r="D344" s="297">
        <v>0</v>
      </c>
      <c r="E344" s="297">
        <v>132</v>
      </c>
      <c r="F344" s="297">
        <f>E344</f>
        <v>132</v>
      </c>
      <c r="G344" s="297"/>
      <c r="H344" s="297"/>
      <c r="I344" s="297"/>
      <c r="J344" s="305"/>
      <c r="K344" s="305"/>
      <c r="L344" s="297">
        <v>5107.6000000000004</v>
      </c>
      <c r="M344" s="297">
        <v>0</v>
      </c>
      <c r="N344" s="297">
        <v>132</v>
      </c>
      <c r="O344" s="297">
        <v>0</v>
      </c>
      <c r="P344" s="297">
        <v>674203.2</v>
      </c>
      <c r="Q344" s="298" t="s">
        <v>242</v>
      </c>
      <c r="R344" s="293" t="s">
        <v>243</v>
      </c>
    </row>
    <row r="345" spans="1:18" ht="36.75" customHeight="1">
      <c r="A345" s="294" t="s">
        <v>2161</v>
      </c>
      <c r="B345" s="295" t="s">
        <v>1517</v>
      </c>
      <c r="C345" s="296" t="s">
        <v>8</v>
      </c>
      <c r="D345" s="297">
        <v>0</v>
      </c>
      <c r="E345" s="297">
        <v>106</v>
      </c>
      <c r="F345" s="297">
        <f>E345</f>
        <v>106</v>
      </c>
      <c r="G345" s="297"/>
      <c r="H345" s="297"/>
      <c r="I345" s="297"/>
      <c r="J345" s="305"/>
      <c r="K345" s="305"/>
      <c r="L345" s="297">
        <v>7385.08</v>
      </c>
      <c r="M345" s="297">
        <v>0</v>
      </c>
      <c r="N345" s="297">
        <v>106</v>
      </c>
      <c r="O345" s="297">
        <v>0</v>
      </c>
      <c r="P345" s="297">
        <v>782818.48</v>
      </c>
      <c r="Q345" s="298" t="s">
        <v>242</v>
      </c>
      <c r="R345" s="293" t="s">
        <v>243</v>
      </c>
    </row>
    <row r="346" spans="1:18" ht="36.75" customHeight="1">
      <c r="A346" s="294" t="s">
        <v>2162</v>
      </c>
      <c r="B346" s="295" t="s">
        <v>1519</v>
      </c>
      <c r="C346" s="296" t="s">
        <v>8</v>
      </c>
      <c r="D346" s="297">
        <v>0</v>
      </c>
      <c r="E346" s="297">
        <v>156</v>
      </c>
      <c r="F346" s="297">
        <f>E346</f>
        <v>156</v>
      </c>
      <c r="G346" s="297"/>
      <c r="H346" s="297"/>
      <c r="I346" s="297"/>
      <c r="J346" s="305"/>
      <c r="K346" s="305"/>
      <c r="L346" s="297">
        <v>9752.14</v>
      </c>
      <c r="M346" s="297">
        <v>0</v>
      </c>
      <c r="N346" s="297">
        <v>156</v>
      </c>
      <c r="O346" s="297">
        <v>0</v>
      </c>
      <c r="P346" s="297">
        <v>1521333.84</v>
      </c>
      <c r="Q346" s="298" t="s">
        <v>242</v>
      </c>
      <c r="R346" s="293" t="s">
        <v>243</v>
      </c>
    </row>
    <row r="347" spans="1:18" ht="36.75" customHeight="1">
      <c r="A347" s="294" t="s">
        <v>2250</v>
      </c>
      <c r="B347" s="295" t="s">
        <v>11</v>
      </c>
      <c r="C347" s="296" t="s">
        <v>4</v>
      </c>
      <c r="D347" s="297">
        <v>1</v>
      </c>
      <c r="E347" s="297"/>
      <c r="F347" s="297"/>
      <c r="G347" s="297"/>
      <c r="H347" s="297"/>
      <c r="I347" s="297"/>
      <c r="J347" s="305"/>
      <c r="K347" s="305"/>
      <c r="L347" s="297">
        <v>16724713.210000001</v>
      </c>
      <c r="M347" s="297">
        <v>1</v>
      </c>
      <c r="N347" s="297">
        <v>1</v>
      </c>
      <c r="O347" s="297">
        <v>359935.53</v>
      </c>
      <c r="P347" s="297">
        <v>13667222.01</v>
      </c>
      <c r="Q347" s="298" t="s">
        <v>242</v>
      </c>
      <c r="R347" s="293" t="s">
        <v>243</v>
      </c>
    </row>
    <row r="348" spans="1:18" ht="36.75" customHeight="1">
      <c r="A348" s="294" t="s">
        <v>2154</v>
      </c>
      <c r="B348" s="295" t="s">
        <v>1004</v>
      </c>
      <c r="C348" s="296" t="s">
        <v>4</v>
      </c>
      <c r="D348" s="297">
        <v>1</v>
      </c>
      <c r="E348" s="297"/>
      <c r="F348" s="297">
        <f>D348</f>
        <v>1</v>
      </c>
      <c r="G348" s="297"/>
      <c r="H348" s="297"/>
      <c r="I348" s="297"/>
      <c r="J348" s="305"/>
      <c r="K348" s="305"/>
      <c r="L348" s="297">
        <v>716633.92</v>
      </c>
      <c r="M348" s="297">
        <v>0</v>
      </c>
      <c r="N348" s="297">
        <v>0</v>
      </c>
      <c r="O348" s="297">
        <v>0</v>
      </c>
      <c r="P348" s="297">
        <v>0</v>
      </c>
      <c r="Q348" s="298" t="s">
        <v>242</v>
      </c>
      <c r="R348" s="293" t="s">
        <v>243</v>
      </c>
    </row>
    <row r="349" spans="1:18" ht="36.75" customHeight="1">
      <c r="A349" s="294" t="s">
        <v>2155</v>
      </c>
      <c r="B349" s="295" t="s">
        <v>1006</v>
      </c>
      <c r="C349" s="296" t="s">
        <v>1007</v>
      </c>
      <c r="D349" s="297">
        <v>7</v>
      </c>
      <c r="E349" s="297"/>
      <c r="F349" s="297">
        <f>D349</f>
        <v>7</v>
      </c>
      <c r="G349" s="297"/>
      <c r="H349" s="297"/>
      <c r="I349" s="297"/>
      <c r="J349" s="305"/>
      <c r="K349" s="305"/>
      <c r="L349" s="297">
        <v>49997.27</v>
      </c>
      <c r="M349" s="297">
        <v>0</v>
      </c>
      <c r="N349" s="297">
        <v>0</v>
      </c>
      <c r="O349" s="297">
        <v>0</v>
      </c>
      <c r="P349" s="297">
        <v>0</v>
      </c>
      <c r="Q349" s="298" t="s">
        <v>242</v>
      </c>
      <c r="R349" s="293" t="s">
        <v>243</v>
      </c>
    </row>
    <row r="350" spans="1:18" ht="36.75" customHeight="1">
      <c r="A350" s="294" t="s">
        <v>2156</v>
      </c>
      <c r="B350" s="295" t="s">
        <v>1009</v>
      </c>
      <c r="C350" s="296" t="s">
        <v>1010</v>
      </c>
      <c r="D350" s="297">
        <v>730</v>
      </c>
      <c r="E350" s="297">
        <v>2230</v>
      </c>
      <c r="F350" s="297">
        <f>E350</f>
        <v>2230</v>
      </c>
      <c r="G350" s="297"/>
      <c r="H350" s="297"/>
      <c r="I350" s="297"/>
      <c r="J350" s="305"/>
      <c r="K350" s="305"/>
      <c r="L350" s="297">
        <v>805.95</v>
      </c>
      <c r="M350" s="297">
        <v>93</v>
      </c>
      <c r="N350" s="297">
        <v>1529</v>
      </c>
      <c r="O350" s="297">
        <v>74953.350000000006</v>
      </c>
      <c r="P350" s="297">
        <v>1232297.55</v>
      </c>
      <c r="Q350" s="298" t="s">
        <v>242</v>
      </c>
      <c r="R350" s="293" t="s">
        <v>243</v>
      </c>
    </row>
    <row r="351" spans="1:18" ht="36.75" customHeight="1">
      <c r="A351" s="294" t="s">
        <v>2157</v>
      </c>
      <c r="B351" s="295" t="s">
        <v>1012</v>
      </c>
      <c r="C351" s="296" t="s">
        <v>1007</v>
      </c>
      <c r="D351" s="297">
        <v>2</v>
      </c>
      <c r="E351" s="297">
        <v>4</v>
      </c>
      <c r="F351" s="297">
        <f>E351</f>
        <v>4</v>
      </c>
      <c r="G351" s="297"/>
      <c r="H351" s="297"/>
      <c r="I351" s="297"/>
      <c r="J351" s="305"/>
      <c r="K351" s="305"/>
      <c r="L351" s="297">
        <v>49997.27</v>
      </c>
      <c r="M351" s="297">
        <v>0</v>
      </c>
      <c r="N351" s="297">
        <v>4</v>
      </c>
      <c r="O351" s="297">
        <v>0</v>
      </c>
      <c r="P351" s="297">
        <v>199989.08</v>
      </c>
      <c r="Q351" s="298" t="s">
        <v>242</v>
      </c>
      <c r="R351" s="293" t="s">
        <v>243</v>
      </c>
    </row>
    <row r="352" spans="1:18" s="240" customFormat="1" ht="36.75" customHeight="1">
      <c r="A352" s="393" t="s">
        <v>2158</v>
      </c>
      <c r="B352" s="394" t="s">
        <v>1014</v>
      </c>
      <c r="C352" s="395" t="s">
        <v>1015</v>
      </c>
      <c r="D352" s="396">
        <v>19</v>
      </c>
      <c r="E352" s="396"/>
      <c r="F352" s="396">
        <f>'數量計算(FOR4變)'!I551</f>
        <v>19</v>
      </c>
      <c r="G352" s="396">
        <v>24</v>
      </c>
      <c r="H352" s="396">
        <f>G352-D352</f>
        <v>5</v>
      </c>
      <c r="I352" s="396">
        <f>ROUND(H352*L352,2)</f>
        <v>899950.9</v>
      </c>
      <c r="J352" s="397"/>
      <c r="K352" s="397"/>
      <c r="L352" s="396">
        <v>179990.18</v>
      </c>
      <c r="M352" s="396">
        <v>1</v>
      </c>
      <c r="N352" s="396">
        <v>13</v>
      </c>
      <c r="O352" s="396">
        <v>179990.18</v>
      </c>
      <c r="P352" s="396">
        <v>2339872.34</v>
      </c>
      <c r="Q352" s="398" t="s">
        <v>242</v>
      </c>
      <c r="R352" s="399" t="s">
        <v>243</v>
      </c>
    </row>
    <row r="353" spans="1:18" ht="36.75" customHeight="1">
      <c r="A353" s="294" t="s">
        <v>2159</v>
      </c>
      <c r="B353" s="295" t="s">
        <v>1017</v>
      </c>
      <c r="C353" s="296" t="s">
        <v>4</v>
      </c>
      <c r="D353" s="297">
        <v>1</v>
      </c>
      <c r="E353" s="297"/>
      <c r="F353" s="297">
        <f>D353</f>
        <v>1</v>
      </c>
      <c r="G353" s="297"/>
      <c r="H353" s="297"/>
      <c r="I353" s="297"/>
      <c r="J353" s="305"/>
      <c r="K353" s="305"/>
      <c r="L353" s="297">
        <v>205971.45</v>
      </c>
      <c r="M353" s="297">
        <v>0</v>
      </c>
      <c r="N353" s="297">
        <v>0</v>
      </c>
      <c r="O353" s="297">
        <v>0</v>
      </c>
      <c r="P353" s="297">
        <v>0</v>
      </c>
      <c r="Q353" s="298" t="s">
        <v>242</v>
      </c>
      <c r="R353" s="293" t="s">
        <v>243</v>
      </c>
    </row>
    <row r="354" spans="1:18" ht="36.75" customHeight="1">
      <c r="A354" s="294" t="s">
        <v>2160</v>
      </c>
      <c r="B354" s="295" t="s">
        <v>1019</v>
      </c>
      <c r="C354" s="296" t="s">
        <v>4</v>
      </c>
      <c r="D354" s="297">
        <v>1</v>
      </c>
      <c r="E354" s="297"/>
      <c r="F354" s="297">
        <f>D354</f>
        <v>1</v>
      </c>
      <c r="G354" s="297"/>
      <c r="H354" s="297"/>
      <c r="I354" s="297"/>
      <c r="J354" s="305"/>
      <c r="K354" s="305"/>
      <c r="L354" s="297">
        <v>2424867.7599999998</v>
      </c>
      <c r="M354" s="297">
        <v>0</v>
      </c>
      <c r="N354" s="297">
        <v>1</v>
      </c>
      <c r="O354" s="297">
        <v>0</v>
      </c>
      <c r="P354" s="297">
        <v>2424867.7599999998</v>
      </c>
      <c r="Q354" s="298" t="s">
        <v>2176</v>
      </c>
      <c r="R354" s="293" t="s">
        <v>243</v>
      </c>
    </row>
    <row r="355" spans="1:18" ht="36.75" customHeight="1">
      <c r="A355" s="294" t="s">
        <v>2161</v>
      </c>
      <c r="B355" s="295" t="s">
        <v>1021</v>
      </c>
      <c r="C355" s="296" t="s">
        <v>4</v>
      </c>
      <c r="D355" s="297">
        <v>1</v>
      </c>
      <c r="E355" s="297"/>
      <c r="F355" s="297">
        <f>D355</f>
        <v>1</v>
      </c>
      <c r="G355" s="297"/>
      <c r="H355" s="297"/>
      <c r="I355" s="297"/>
      <c r="J355" s="305"/>
      <c r="K355" s="305"/>
      <c r="L355" s="297">
        <v>349980.91</v>
      </c>
      <c r="M355" s="297">
        <v>1</v>
      </c>
      <c r="N355" s="297">
        <v>1</v>
      </c>
      <c r="O355" s="297">
        <v>104992</v>
      </c>
      <c r="P355" s="297">
        <v>209988</v>
      </c>
      <c r="Q355" s="298" t="s">
        <v>2247</v>
      </c>
      <c r="R355" s="293" t="s">
        <v>243</v>
      </c>
    </row>
    <row r="356" spans="1:18" ht="36.75" customHeight="1">
      <c r="A356" s="294" t="s">
        <v>2162</v>
      </c>
      <c r="B356" s="295" t="s">
        <v>1534</v>
      </c>
      <c r="C356" s="296" t="s">
        <v>13</v>
      </c>
      <c r="D356" s="297">
        <v>0</v>
      </c>
      <c r="E356" s="297">
        <v>464</v>
      </c>
      <c r="F356" s="297">
        <f>E356</f>
        <v>464</v>
      </c>
      <c r="G356" s="297"/>
      <c r="H356" s="297"/>
      <c r="I356" s="297"/>
      <c r="J356" s="305"/>
      <c r="K356" s="305"/>
      <c r="L356" s="297">
        <v>15384.09</v>
      </c>
      <c r="M356" s="297">
        <v>0</v>
      </c>
      <c r="N356" s="297">
        <v>464</v>
      </c>
      <c r="O356" s="297">
        <v>0</v>
      </c>
      <c r="P356" s="297">
        <v>7138217.7599999998</v>
      </c>
      <c r="Q356" s="298" t="s">
        <v>242</v>
      </c>
      <c r="R356" s="293" t="s">
        <v>243</v>
      </c>
    </row>
    <row r="357" spans="1:18" ht="36.75" customHeight="1">
      <c r="A357" s="294" t="s">
        <v>2163</v>
      </c>
      <c r="B357" s="295" t="s">
        <v>2251</v>
      </c>
      <c r="C357" s="296" t="s">
        <v>15</v>
      </c>
      <c r="D357" s="297">
        <v>0</v>
      </c>
      <c r="E357" s="297">
        <v>2</v>
      </c>
      <c r="F357" s="297">
        <f>E357</f>
        <v>2</v>
      </c>
      <c r="G357" s="297"/>
      <c r="H357" s="297"/>
      <c r="I357" s="297"/>
      <c r="J357" s="305"/>
      <c r="K357" s="305"/>
      <c r="L357" s="297">
        <v>60994.76</v>
      </c>
      <c r="M357" s="297">
        <v>0</v>
      </c>
      <c r="N357" s="297">
        <v>2</v>
      </c>
      <c r="O357" s="297">
        <v>0</v>
      </c>
      <c r="P357" s="297">
        <v>121989.52</v>
      </c>
      <c r="Q357" s="298" t="s">
        <v>242</v>
      </c>
      <c r="R357" s="293" t="s">
        <v>243</v>
      </c>
    </row>
    <row r="358" spans="1:18" ht="36.75" customHeight="1">
      <c r="A358" s="294" t="s">
        <v>2164</v>
      </c>
      <c r="B358" s="487" t="s">
        <v>2567</v>
      </c>
      <c r="C358" s="488" t="s">
        <v>16</v>
      </c>
      <c r="D358" s="489"/>
      <c r="E358" s="489">
        <v>129</v>
      </c>
      <c r="F358" s="489"/>
      <c r="G358" s="489"/>
      <c r="H358" s="489"/>
      <c r="I358" s="489"/>
      <c r="J358" s="490"/>
      <c r="K358" s="490"/>
      <c r="L358" s="489">
        <v>1159.8599999999999</v>
      </c>
      <c r="M358" s="489"/>
      <c r="N358" s="489"/>
      <c r="O358" s="489"/>
      <c r="P358" s="489"/>
      <c r="Q358" s="298"/>
      <c r="R358" s="293"/>
    </row>
    <row r="359" spans="1:18" ht="36.75" customHeight="1">
      <c r="A359" s="294" t="s">
        <v>2165</v>
      </c>
      <c r="B359" s="487" t="s">
        <v>2568</v>
      </c>
      <c r="C359" s="488" t="s">
        <v>16</v>
      </c>
      <c r="D359" s="489"/>
      <c r="E359" s="489">
        <v>282</v>
      </c>
      <c r="F359" s="489"/>
      <c r="G359" s="489"/>
      <c r="H359" s="489"/>
      <c r="I359" s="489"/>
      <c r="J359" s="490"/>
      <c r="K359" s="490"/>
      <c r="L359" s="489">
        <v>689.92</v>
      </c>
      <c r="M359" s="489"/>
      <c r="N359" s="489"/>
      <c r="O359" s="489"/>
      <c r="P359" s="489"/>
      <c r="Q359" s="298"/>
      <c r="R359" s="293"/>
    </row>
    <row r="360" spans="1:18" ht="36.75" customHeight="1">
      <c r="A360" s="294" t="s">
        <v>2166</v>
      </c>
      <c r="B360" s="487" t="s">
        <v>2569</v>
      </c>
      <c r="C360" s="488" t="s">
        <v>16</v>
      </c>
      <c r="D360" s="489"/>
      <c r="E360" s="489">
        <v>214.5</v>
      </c>
      <c r="F360" s="489"/>
      <c r="G360" s="489"/>
      <c r="H360" s="489"/>
      <c r="I360" s="489"/>
      <c r="J360" s="490"/>
      <c r="K360" s="490"/>
      <c r="L360" s="489">
        <v>899.89</v>
      </c>
      <c r="M360" s="489"/>
      <c r="N360" s="489"/>
      <c r="O360" s="489"/>
      <c r="P360" s="489"/>
      <c r="Q360" s="298"/>
      <c r="R360" s="293"/>
    </row>
    <row r="361" spans="1:18" ht="36.75" customHeight="1">
      <c r="A361" s="294" t="s">
        <v>2167</v>
      </c>
      <c r="B361" s="487" t="s">
        <v>2570</v>
      </c>
      <c r="C361" s="488" t="s">
        <v>16</v>
      </c>
      <c r="D361" s="489"/>
      <c r="E361" s="489">
        <v>47</v>
      </c>
      <c r="F361" s="489"/>
      <c r="G361" s="489"/>
      <c r="H361" s="489"/>
      <c r="I361" s="489"/>
      <c r="J361" s="490"/>
      <c r="K361" s="490"/>
      <c r="L361" s="489">
        <v>1499.82</v>
      </c>
      <c r="M361" s="489"/>
      <c r="N361" s="489"/>
      <c r="O361" s="489"/>
      <c r="P361" s="489"/>
      <c r="Q361" s="298"/>
      <c r="R361" s="293"/>
    </row>
    <row r="362" spans="1:18" ht="36.75" customHeight="1">
      <c r="A362" s="294" t="s">
        <v>2168</v>
      </c>
      <c r="B362" s="487" t="s">
        <v>2571</v>
      </c>
      <c r="C362" s="488" t="s">
        <v>16</v>
      </c>
      <c r="D362" s="489"/>
      <c r="E362" s="489">
        <v>73</v>
      </c>
      <c r="F362" s="489"/>
      <c r="G362" s="489"/>
      <c r="H362" s="489"/>
      <c r="I362" s="489"/>
      <c r="J362" s="490"/>
      <c r="K362" s="490"/>
      <c r="L362" s="489">
        <v>1419.83</v>
      </c>
      <c r="M362" s="489"/>
      <c r="N362" s="489"/>
      <c r="O362" s="489"/>
      <c r="P362" s="489"/>
      <c r="Q362" s="298"/>
      <c r="R362" s="293"/>
    </row>
    <row r="363" spans="1:18" ht="36.75" customHeight="1">
      <c r="A363" s="294" t="s">
        <v>2169</v>
      </c>
      <c r="B363" s="487" t="s">
        <v>2572</v>
      </c>
      <c r="C363" s="488" t="s">
        <v>16</v>
      </c>
      <c r="D363" s="489"/>
      <c r="E363" s="489">
        <v>174</v>
      </c>
      <c r="F363" s="489"/>
      <c r="G363" s="489"/>
      <c r="H363" s="489"/>
      <c r="I363" s="489"/>
      <c r="J363" s="490"/>
      <c r="K363" s="490"/>
      <c r="L363" s="489">
        <v>771.9</v>
      </c>
      <c r="M363" s="489"/>
      <c r="N363" s="489"/>
      <c r="O363" s="489"/>
      <c r="P363" s="489"/>
      <c r="Q363" s="298"/>
      <c r="R363" s="293"/>
    </row>
    <row r="364" spans="1:18" ht="36.75" customHeight="1">
      <c r="A364" s="294" t="s">
        <v>2170</v>
      </c>
      <c r="B364" s="487" t="s">
        <v>2573</v>
      </c>
      <c r="C364" s="488" t="s">
        <v>16</v>
      </c>
      <c r="D364" s="489"/>
      <c r="E364" s="489">
        <v>1695</v>
      </c>
      <c r="F364" s="489"/>
      <c r="G364" s="489"/>
      <c r="H364" s="489"/>
      <c r="I364" s="489"/>
      <c r="J364" s="490"/>
      <c r="K364" s="490"/>
      <c r="L364" s="489">
        <v>400.95</v>
      </c>
      <c r="M364" s="489"/>
      <c r="N364" s="489"/>
      <c r="O364" s="489"/>
      <c r="P364" s="489"/>
      <c r="Q364" s="298"/>
      <c r="R364" s="293"/>
    </row>
    <row r="365" spans="1:18" ht="36.75" customHeight="1">
      <c r="A365" s="294" t="s">
        <v>2171</v>
      </c>
      <c r="B365" s="487" t="s">
        <v>2574</v>
      </c>
      <c r="C365" s="488" t="s">
        <v>16</v>
      </c>
      <c r="D365" s="489"/>
      <c r="E365" s="489">
        <v>310</v>
      </c>
      <c r="F365" s="489"/>
      <c r="G365" s="489"/>
      <c r="H365" s="489"/>
      <c r="I365" s="489"/>
      <c r="J365" s="490"/>
      <c r="K365" s="490"/>
      <c r="L365" s="489">
        <v>280.97000000000003</v>
      </c>
      <c r="M365" s="489"/>
      <c r="N365" s="489"/>
      <c r="O365" s="489"/>
      <c r="P365" s="489"/>
      <c r="Q365" s="298"/>
      <c r="R365" s="293"/>
    </row>
    <row r="366" spans="1:18" ht="36.75" customHeight="1">
      <c r="A366" s="294" t="s">
        <v>2172</v>
      </c>
      <c r="B366" s="487" t="s">
        <v>2575</v>
      </c>
      <c r="C366" s="488" t="s">
        <v>16</v>
      </c>
      <c r="D366" s="489"/>
      <c r="E366" s="489">
        <v>723.5</v>
      </c>
      <c r="F366" s="489"/>
      <c r="G366" s="489"/>
      <c r="H366" s="489"/>
      <c r="I366" s="489"/>
      <c r="J366" s="490"/>
      <c r="K366" s="490"/>
      <c r="L366" s="489">
        <v>800.9</v>
      </c>
      <c r="M366" s="489"/>
      <c r="N366" s="489"/>
      <c r="O366" s="489"/>
      <c r="P366" s="489"/>
      <c r="Q366" s="298"/>
      <c r="R366" s="293"/>
    </row>
    <row r="367" spans="1:18" ht="36.75" customHeight="1">
      <c r="A367" s="294" t="s">
        <v>2173</v>
      </c>
      <c r="B367" s="487" t="s">
        <v>2576</v>
      </c>
      <c r="C367" s="488" t="s">
        <v>16</v>
      </c>
      <c r="D367" s="489"/>
      <c r="E367" s="489">
        <v>122</v>
      </c>
      <c r="F367" s="489"/>
      <c r="G367" s="489"/>
      <c r="H367" s="489"/>
      <c r="I367" s="489"/>
      <c r="J367" s="490"/>
      <c r="K367" s="490"/>
      <c r="L367" s="489">
        <v>561.92999999999995</v>
      </c>
      <c r="M367" s="489"/>
      <c r="N367" s="489"/>
      <c r="O367" s="489"/>
      <c r="P367" s="489"/>
      <c r="Q367" s="298"/>
      <c r="R367" s="293"/>
    </row>
    <row r="368" spans="1:18" ht="36.75" customHeight="1">
      <c r="A368" s="294" t="s">
        <v>2174</v>
      </c>
      <c r="B368" s="487" t="s">
        <v>2577</v>
      </c>
      <c r="C368" s="488" t="s">
        <v>16</v>
      </c>
      <c r="D368" s="489"/>
      <c r="E368" s="489">
        <v>421</v>
      </c>
      <c r="F368" s="489"/>
      <c r="G368" s="489"/>
      <c r="H368" s="489"/>
      <c r="I368" s="489"/>
      <c r="J368" s="490"/>
      <c r="K368" s="490"/>
      <c r="L368" s="489">
        <v>519.94000000000005</v>
      </c>
      <c r="M368" s="489"/>
      <c r="N368" s="489"/>
      <c r="O368" s="489"/>
      <c r="P368" s="489"/>
      <c r="Q368" s="298"/>
      <c r="R368" s="293"/>
    </row>
    <row r="369" spans="1:18" ht="36.75" customHeight="1">
      <c r="A369" s="294" t="s">
        <v>2175</v>
      </c>
      <c r="B369" s="487" t="s">
        <v>2578</v>
      </c>
      <c r="C369" s="488" t="s">
        <v>16</v>
      </c>
      <c r="D369" s="489"/>
      <c r="E369" s="489">
        <v>28</v>
      </c>
      <c r="F369" s="489"/>
      <c r="G369" s="489"/>
      <c r="H369" s="489"/>
      <c r="I369" s="489"/>
      <c r="J369" s="490"/>
      <c r="K369" s="490"/>
      <c r="L369" s="489">
        <v>1579.81</v>
      </c>
      <c r="M369" s="489"/>
      <c r="N369" s="489"/>
      <c r="O369" s="489"/>
      <c r="P369" s="489"/>
      <c r="Q369" s="298"/>
      <c r="R369" s="293"/>
    </row>
    <row r="370" spans="1:18" ht="36.75" customHeight="1">
      <c r="A370" s="294" t="s">
        <v>2177</v>
      </c>
      <c r="B370" s="487" t="s">
        <v>2579</v>
      </c>
      <c r="C370" s="488" t="s">
        <v>16</v>
      </c>
      <c r="D370" s="489"/>
      <c r="E370" s="489">
        <v>442.5</v>
      </c>
      <c r="F370" s="489"/>
      <c r="G370" s="489"/>
      <c r="H370" s="489"/>
      <c r="I370" s="489"/>
      <c r="J370" s="490"/>
      <c r="K370" s="490"/>
      <c r="L370" s="489">
        <v>209.97</v>
      </c>
      <c r="M370" s="489"/>
      <c r="N370" s="489"/>
      <c r="O370" s="489"/>
      <c r="P370" s="489"/>
      <c r="Q370" s="298"/>
      <c r="R370" s="293"/>
    </row>
    <row r="371" spans="1:18" ht="36.75" customHeight="1">
      <c r="A371" s="294" t="s">
        <v>2178</v>
      </c>
      <c r="B371" s="487" t="s">
        <v>2580</v>
      </c>
      <c r="C371" s="488" t="s">
        <v>14</v>
      </c>
      <c r="D371" s="489"/>
      <c r="E371" s="489">
        <v>2</v>
      </c>
      <c r="F371" s="489"/>
      <c r="G371" s="489"/>
      <c r="H371" s="489"/>
      <c r="I371" s="489"/>
      <c r="J371" s="490"/>
      <c r="K371" s="490"/>
      <c r="L371" s="489">
        <v>10798.67</v>
      </c>
      <c r="M371" s="489"/>
      <c r="N371" s="489"/>
      <c r="O371" s="489"/>
      <c r="P371" s="489"/>
      <c r="Q371" s="298"/>
      <c r="R371" s="293"/>
    </row>
    <row r="372" spans="1:18" ht="36.75" customHeight="1">
      <c r="A372" s="294" t="s">
        <v>2179</v>
      </c>
      <c r="B372" s="487" t="s">
        <v>2581</v>
      </c>
      <c r="C372" s="488" t="s">
        <v>14</v>
      </c>
      <c r="D372" s="489"/>
      <c r="E372" s="489">
        <v>12</v>
      </c>
      <c r="F372" s="489"/>
      <c r="G372" s="489"/>
      <c r="H372" s="489"/>
      <c r="I372" s="489"/>
      <c r="J372" s="490"/>
      <c r="K372" s="490"/>
      <c r="L372" s="489">
        <v>7249.11</v>
      </c>
      <c r="M372" s="489"/>
      <c r="N372" s="489"/>
      <c r="O372" s="489"/>
      <c r="P372" s="489"/>
      <c r="Q372" s="298"/>
      <c r="R372" s="293"/>
    </row>
    <row r="373" spans="1:18" ht="36.75" customHeight="1">
      <c r="A373" s="294" t="s">
        <v>2252</v>
      </c>
      <c r="B373" s="295" t="s">
        <v>25</v>
      </c>
      <c r="C373" s="296" t="s">
        <v>4</v>
      </c>
      <c r="D373" s="297">
        <v>1</v>
      </c>
      <c r="E373" s="297"/>
      <c r="F373" s="297"/>
      <c r="G373" s="297"/>
      <c r="H373" s="297"/>
      <c r="I373" s="297"/>
      <c r="J373" s="305"/>
      <c r="K373" s="305"/>
      <c r="L373" s="297">
        <v>3537274.38</v>
      </c>
      <c r="M373" s="297">
        <v>1</v>
      </c>
      <c r="N373" s="297">
        <v>1</v>
      </c>
      <c r="O373" s="297">
        <v>3899.79</v>
      </c>
      <c r="P373" s="297">
        <v>2446933.56</v>
      </c>
      <c r="Q373" s="298" t="s">
        <v>242</v>
      </c>
      <c r="R373" s="293" t="s">
        <v>243</v>
      </c>
    </row>
    <row r="374" spans="1:18" ht="36.75" customHeight="1">
      <c r="A374" s="294" t="s">
        <v>2154</v>
      </c>
      <c r="B374" s="295" t="s">
        <v>1023</v>
      </c>
      <c r="C374" s="296" t="s">
        <v>7</v>
      </c>
      <c r="D374" s="297">
        <v>295</v>
      </c>
      <c r="E374" s="297"/>
      <c r="F374" s="297">
        <f>D374</f>
        <v>295</v>
      </c>
      <c r="G374" s="297"/>
      <c r="H374" s="297"/>
      <c r="I374" s="297"/>
      <c r="J374" s="305"/>
      <c r="K374" s="305"/>
      <c r="L374" s="297">
        <v>299.98</v>
      </c>
      <c r="M374" s="297">
        <v>0</v>
      </c>
      <c r="N374" s="297">
        <v>295</v>
      </c>
      <c r="O374" s="297">
        <v>0</v>
      </c>
      <c r="P374" s="297">
        <v>88494.1</v>
      </c>
      <c r="Q374" s="298" t="s">
        <v>242</v>
      </c>
      <c r="R374" s="293" t="s">
        <v>243</v>
      </c>
    </row>
    <row r="375" spans="1:18" ht="36.75" customHeight="1">
      <c r="A375" s="294" t="s">
        <v>2155</v>
      </c>
      <c r="B375" s="295" t="s">
        <v>1025</v>
      </c>
      <c r="C375" s="296" t="s">
        <v>15</v>
      </c>
      <c r="D375" s="297">
        <v>59</v>
      </c>
      <c r="E375" s="297"/>
      <c r="F375" s="297">
        <f t="shared" ref="F375:F407" si="13">D375</f>
        <v>59</v>
      </c>
      <c r="G375" s="297"/>
      <c r="H375" s="297"/>
      <c r="I375" s="297"/>
      <c r="J375" s="305"/>
      <c r="K375" s="305"/>
      <c r="L375" s="297">
        <v>2999.84</v>
      </c>
      <c r="M375" s="297">
        <v>0</v>
      </c>
      <c r="N375" s="297">
        <v>59</v>
      </c>
      <c r="O375" s="297">
        <v>0</v>
      </c>
      <c r="P375" s="297">
        <v>176990.56</v>
      </c>
      <c r="Q375" s="298" t="s">
        <v>242</v>
      </c>
      <c r="R375" s="293" t="s">
        <v>243</v>
      </c>
    </row>
    <row r="376" spans="1:18" ht="36.75" customHeight="1">
      <c r="A376" s="294" t="s">
        <v>2156</v>
      </c>
      <c r="B376" s="295" t="s">
        <v>1027</v>
      </c>
      <c r="C376" s="296" t="s">
        <v>15</v>
      </c>
      <c r="D376" s="297">
        <v>59</v>
      </c>
      <c r="E376" s="297"/>
      <c r="F376" s="297">
        <f t="shared" si="13"/>
        <v>59</v>
      </c>
      <c r="G376" s="297"/>
      <c r="H376" s="297"/>
      <c r="I376" s="297"/>
      <c r="J376" s="305"/>
      <c r="K376" s="305"/>
      <c r="L376" s="297">
        <v>149.99</v>
      </c>
      <c r="M376" s="297">
        <v>0</v>
      </c>
      <c r="N376" s="297">
        <v>59</v>
      </c>
      <c r="O376" s="297">
        <v>0</v>
      </c>
      <c r="P376" s="297">
        <v>8849.41</v>
      </c>
      <c r="Q376" s="298" t="s">
        <v>242</v>
      </c>
      <c r="R376" s="293" t="s">
        <v>243</v>
      </c>
    </row>
    <row r="377" spans="1:18" ht="36.75" customHeight="1">
      <c r="A377" s="294" t="s">
        <v>2157</v>
      </c>
      <c r="B377" s="295" t="s">
        <v>1029</v>
      </c>
      <c r="C377" s="296" t="s">
        <v>1030</v>
      </c>
      <c r="D377" s="297">
        <v>9</v>
      </c>
      <c r="E377" s="297"/>
      <c r="F377" s="297">
        <f t="shared" si="13"/>
        <v>9</v>
      </c>
      <c r="G377" s="297"/>
      <c r="H377" s="297"/>
      <c r="I377" s="297"/>
      <c r="J377" s="305"/>
      <c r="K377" s="305"/>
      <c r="L377" s="297">
        <v>1199.93</v>
      </c>
      <c r="M377" s="297">
        <v>0</v>
      </c>
      <c r="N377" s="297">
        <v>0</v>
      </c>
      <c r="O377" s="297">
        <v>0</v>
      </c>
      <c r="P377" s="297">
        <v>0</v>
      </c>
      <c r="Q377" s="298" t="s">
        <v>242</v>
      </c>
      <c r="R377" s="293" t="s">
        <v>243</v>
      </c>
    </row>
    <row r="378" spans="1:18" ht="36.75" customHeight="1">
      <c r="A378" s="294" t="s">
        <v>2158</v>
      </c>
      <c r="B378" s="295" t="s">
        <v>1032</v>
      </c>
      <c r="C378" s="296" t="s">
        <v>15</v>
      </c>
      <c r="D378" s="297">
        <v>22</v>
      </c>
      <c r="E378" s="297"/>
      <c r="F378" s="297">
        <f t="shared" si="13"/>
        <v>22</v>
      </c>
      <c r="G378" s="297"/>
      <c r="H378" s="297"/>
      <c r="I378" s="297"/>
      <c r="J378" s="305"/>
      <c r="K378" s="305"/>
      <c r="L378" s="297">
        <v>649.96</v>
      </c>
      <c r="M378" s="297">
        <v>0</v>
      </c>
      <c r="N378" s="297">
        <v>22</v>
      </c>
      <c r="O378" s="297">
        <v>0</v>
      </c>
      <c r="P378" s="297">
        <v>14299.12</v>
      </c>
      <c r="Q378" s="298" t="s">
        <v>242</v>
      </c>
      <c r="R378" s="293" t="s">
        <v>243</v>
      </c>
    </row>
    <row r="379" spans="1:18" ht="36.75" customHeight="1">
      <c r="A379" s="294" t="s">
        <v>2159</v>
      </c>
      <c r="B379" s="295" t="s">
        <v>1034</v>
      </c>
      <c r="C379" s="296" t="s">
        <v>15</v>
      </c>
      <c r="D379" s="297">
        <v>22</v>
      </c>
      <c r="E379" s="297"/>
      <c r="F379" s="297">
        <f t="shared" si="13"/>
        <v>22</v>
      </c>
      <c r="G379" s="297"/>
      <c r="H379" s="297"/>
      <c r="I379" s="297"/>
      <c r="J379" s="305"/>
      <c r="K379" s="305"/>
      <c r="L379" s="297">
        <v>1299.93</v>
      </c>
      <c r="M379" s="297">
        <v>0</v>
      </c>
      <c r="N379" s="297">
        <v>22</v>
      </c>
      <c r="O379" s="297">
        <v>0</v>
      </c>
      <c r="P379" s="297">
        <v>28598.46</v>
      </c>
      <c r="Q379" s="298" t="s">
        <v>242</v>
      </c>
      <c r="R379" s="293" t="s">
        <v>243</v>
      </c>
    </row>
    <row r="380" spans="1:18" ht="36.75" customHeight="1">
      <c r="A380" s="294" t="s">
        <v>2160</v>
      </c>
      <c r="B380" s="295" t="s">
        <v>1036</v>
      </c>
      <c r="C380" s="296" t="s">
        <v>15</v>
      </c>
      <c r="D380" s="297">
        <v>5</v>
      </c>
      <c r="E380" s="297"/>
      <c r="F380" s="297">
        <f t="shared" si="13"/>
        <v>5</v>
      </c>
      <c r="G380" s="297"/>
      <c r="H380" s="297"/>
      <c r="I380" s="297"/>
      <c r="J380" s="305"/>
      <c r="K380" s="305"/>
      <c r="L380" s="297">
        <v>3499.81</v>
      </c>
      <c r="M380" s="297">
        <v>0</v>
      </c>
      <c r="N380" s="297">
        <v>0</v>
      </c>
      <c r="O380" s="297">
        <v>0</v>
      </c>
      <c r="P380" s="297">
        <v>0</v>
      </c>
      <c r="Q380" s="298" t="s">
        <v>242</v>
      </c>
      <c r="R380" s="293" t="s">
        <v>243</v>
      </c>
    </row>
    <row r="381" spans="1:18" ht="36.75" customHeight="1">
      <c r="A381" s="294" t="s">
        <v>2161</v>
      </c>
      <c r="B381" s="295" t="s">
        <v>1038</v>
      </c>
      <c r="C381" s="296" t="s">
        <v>15</v>
      </c>
      <c r="D381" s="297">
        <v>5</v>
      </c>
      <c r="E381" s="297"/>
      <c r="F381" s="297">
        <f t="shared" si="13"/>
        <v>5</v>
      </c>
      <c r="G381" s="297"/>
      <c r="H381" s="297"/>
      <c r="I381" s="297"/>
      <c r="J381" s="305"/>
      <c r="K381" s="305"/>
      <c r="L381" s="297">
        <v>699.96</v>
      </c>
      <c r="M381" s="297">
        <v>0</v>
      </c>
      <c r="N381" s="297">
        <v>0</v>
      </c>
      <c r="O381" s="297">
        <v>0</v>
      </c>
      <c r="P381" s="297">
        <v>0</v>
      </c>
      <c r="Q381" s="298" t="s">
        <v>242</v>
      </c>
      <c r="R381" s="293" t="s">
        <v>243</v>
      </c>
    </row>
    <row r="382" spans="1:18" ht="36.75" customHeight="1">
      <c r="A382" s="294" t="s">
        <v>2162</v>
      </c>
      <c r="B382" s="295" t="s">
        <v>1040</v>
      </c>
      <c r="C382" s="296" t="s">
        <v>14</v>
      </c>
      <c r="D382" s="297">
        <v>1</v>
      </c>
      <c r="E382" s="297"/>
      <c r="F382" s="297">
        <f t="shared" si="13"/>
        <v>1</v>
      </c>
      <c r="G382" s="297"/>
      <c r="H382" s="297"/>
      <c r="I382" s="297"/>
      <c r="J382" s="305"/>
      <c r="K382" s="305"/>
      <c r="L382" s="297">
        <v>14999.18</v>
      </c>
      <c r="M382" s="297">
        <v>0</v>
      </c>
      <c r="N382" s="297">
        <v>0</v>
      </c>
      <c r="O382" s="297">
        <v>0</v>
      </c>
      <c r="P382" s="297">
        <v>0</v>
      </c>
      <c r="Q382" s="298" t="s">
        <v>242</v>
      </c>
      <c r="R382" s="293" t="s">
        <v>243</v>
      </c>
    </row>
    <row r="383" spans="1:18" ht="36.75" customHeight="1">
      <c r="A383" s="294" t="s">
        <v>2163</v>
      </c>
      <c r="B383" s="295" t="s">
        <v>1043</v>
      </c>
      <c r="C383" s="296" t="s">
        <v>15</v>
      </c>
      <c r="D383" s="297">
        <v>1</v>
      </c>
      <c r="E383" s="297"/>
      <c r="F383" s="297">
        <f t="shared" si="13"/>
        <v>1</v>
      </c>
      <c r="G383" s="297"/>
      <c r="H383" s="297"/>
      <c r="I383" s="297"/>
      <c r="J383" s="305"/>
      <c r="K383" s="305"/>
      <c r="L383" s="297">
        <v>5999.67</v>
      </c>
      <c r="M383" s="297">
        <v>0</v>
      </c>
      <c r="N383" s="297">
        <v>0</v>
      </c>
      <c r="O383" s="297">
        <v>0</v>
      </c>
      <c r="P383" s="297">
        <v>0</v>
      </c>
      <c r="Q383" s="298" t="s">
        <v>242</v>
      </c>
      <c r="R383" s="293" t="s">
        <v>243</v>
      </c>
    </row>
    <row r="384" spans="1:18" ht="36.75" customHeight="1">
      <c r="A384" s="294" t="s">
        <v>2164</v>
      </c>
      <c r="B384" s="295" t="s">
        <v>1046</v>
      </c>
      <c r="C384" s="296" t="s">
        <v>15</v>
      </c>
      <c r="D384" s="297">
        <v>1</v>
      </c>
      <c r="E384" s="297"/>
      <c r="F384" s="297">
        <f t="shared" si="13"/>
        <v>1</v>
      </c>
      <c r="G384" s="297"/>
      <c r="H384" s="297"/>
      <c r="I384" s="297"/>
      <c r="J384" s="305"/>
      <c r="K384" s="305"/>
      <c r="L384" s="297">
        <v>49497.3</v>
      </c>
      <c r="M384" s="297">
        <v>0</v>
      </c>
      <c r="N384" s="297">
        <v>0</v>
      </c>
      <c r="O384" s="297">
        <v>0</v>
      </c>
      <c r="P384" s="297">
        <v>0</v>
      </c>
      <c r="Q384" s="298" t="s">
        <v>242</v>
      </c>
      <c r="R384" s="293" t="s">
        <v>243</v>
      </c>
    </row>
    <row r="385" spans="1:18" ht="36.75" customHeight="1">
      <c r="A385" s="294" t="s">
        <v>2165</v>
      </c>
      <c r="B385" s="295" t="s">
        <v>1049</v>
      </c>
      <c r="C385" s="296" t="s">
        <v>15</v>
      </c>
      <c r="D385" s="297">
        <v>6</v>
      </c>
      <c r="E385" s="297"/>
      <c r="F385" s="297">
        <f t="shared" si="13"/>
        <v>6</v>
      </c>
      <c r="G385" s="297"/>
      <c r="H385" s="297"/>
      <c r="I385" s="297"/>
      <c r="J385" s="305"/>
      <c r="K385" s="305"/>
      <c r="L385" s="297">
        <v>2999.84</v>
      </c>
      <c r="M385" s="297">
        <v>0</v>
      </c>
      <c r="N385" s="297">
        <v>2</v>
      </c>
      <c r="O385" s="297">
        <v>0</v>
      </c>
      <c r="P385" s="297">
        <v>5999.68</v>
      </c>
      <c r="Q385" s="298" t="s">
        <v>242</v>
      </c>
      <c r="R385" s="293" t="s">
        <v>243</v>
      </c>
    </row>
    <row r="386" spans="1:18" ht="36.75" customHeight="1">
      <c r="A386" s="294" t="s">
        <v>2166</v>
      </c>
      <c r="B386" s="295" t="s">
        <v>1052</v>
      </c>
      <c r="C386" s="296" t="s">
        <v>14</v>
      </c>
      <c r="D386" s="297">
        <v>75</v>
      </c>
      <c r="E386" s="297"/>
      <c r="F386" s="297">
        <f t="shared" si="13"/>
        <v>75</v>
      </c>
      <c r="G386" s="297"/>
      <c r="H386" s="297"/>
      <c r="I386" s="297"/>
      <c r="J386" s="305"/>
      <c r="K386" s="305"/>
      <c r="L386" s="297">
        <v>11999.35</v>
      </c>
      <c r="M386" s="297">
        <v>0</v>
      </c>
      <c r="N386" s="297">
        <v>27</v>
      </c>
      <c r="O386" s="297">
        <v>0</v>
      </c>
      <c r="P386" s="297">
        <v>323982.45</v>
      </c>
      <c r="Q386" s="298" t="s">
        <v>242</v>
      </c>
      <c r="R386" s="293" t="s">
        <v>243</v>
      </c>
    </row>
    <row r="387" spans="1:18" ht="36.75" customHeight="1">
      <c r="A387" s="294" t="s">
        <v>2167</v>
      </c>
      <c r="B387" s="295" t="s">
        <v>1055</v>
      </c>
      <c r="C387" s="296" t="s">
        <v>1007</v>
      </c>
      <c r="D387" s="297">
        <v>75</v>
      </c>
      <c r="E387" s="297"/>
      <c r="F387" s="297">
        <f t="shared" si="13"/>
        <v>75</v>
      </c>
      <c r="G387" s="297"/>
      <c r="H387" s="297"/>
      <c r="I387" s="297"/>
      <c r="J387" s="305"/>
      <c r="K387" s="305"/>
      <c r="L387" s="297">
        <v>1499.92</v>
      </c>
      <c r="M387" s="297">
        <v>0</v>
      </c>
      <c r="N387" s="297">
        <v>0</v>
      </c>
      <c r="O387" s="297">
        <v>0</v>
      </c>
      <c r="P387" s="297">
        <v>0</v>
      </c>
      <c r="Q387" s="298" t="s">
        <v>242</v>
      </c>
      <c r="R387" s="293" t="s">
        <v>243</v>
      </c>
    </row>
    <row r="388" spans="1:18" ht="36.75" customHeight="1">
      <c r="A388" s="294" t="s">
        <v>2168</v>
      </c>
      <c r="B388" s="295" t="s">
        <v>1058</v>
      </c>
      <c r="C388" s="296" t="s">
        <v>15</v>
      </c>
      <c r="D388" s="297">
        <v>1</v>
      </c>
      <c r="E388" s="297"/>
      <c r="F388" s="297">
        <f t="shared" si="13"/>
        <v>1</v>
      </c>
      <c r="G388" s="297"/>
      <c r="H388" s="297"/>
      <c r="I388" s="297"/>
      <c r="J388" s="305"/>
      <c r="K388" s="305"/>
      <c r="L388" s="297">
        <v>11999.35</v>
      </c>
      <c r="M388" s="297">
        <v>0</v>
      </c>
      <c r="N388" s="297">
        <v>0</v>
      </c>
      <c r="O388" s="297">
        <v>0</v>
      </c>
      <c r="P388" s="297">
        <v>0</v>
      </c>
      <c r="Q388" s="298" t="s">
        <v>242</v>
      </c>
      <c r="R388" s="293" t="s">
        <v>243</v>
      </c>
    </row>
    <row r="389" spans="1:18" ht="36.75" customHeight="1">
      <c r="A389" s="294" t="s">
        <v>2169</v>
      </c>
      <c r="B389" s="295" t="s">
        <v>1061</v>
      </c>
      <c r="C389" s="296" t="s">
        <v>15</v>
      </c>
      <c r="D389" s="297">
        <v>1</v>
      </c>
      <c r="E389" s="297"/>
      <c r="F389" s="297">
        <f t="shared" si="13"/>
        <v>1</v>
      </c>
      <c r="G389" s="297"/>
      <c r="H389" s="297"/>
      <c r="I389" s="297"/>
      <c r="J389" s="305"/>
      <c r="K389" s="305"/>
      <c r="L389" s="297">
        <v>1999.89</v>
      </c>
      <c r="M389" s="297">
        <v>0</v>
      </c>
      <c r="N389" s="297">
        <v>0</v>
      </c>
      <c r="O389" s="297">
        <v>0</v>
      </c>
      <c r="P389" s="297">
        <v>0</v>
      </c>
      <c r="Q389" s="298" t="s">
        <v>242</v>
      </c>
      <c r="R389" s="293" t="s">
        <v>243</v>
      </c>
    </row>
    <row r="390" spans="1:18" ht="36.75" customHeight="1">
      <c r="A390" s="294" t="s">
        <v>2170</v>
      </c>
      <c r="B390" s="295" t="s">
        <v>1064</v>
      </c>
      <c r="C390" s="296" t="s">
        <v>15</v>
      </c>
      <c r="D390" s="297">
        <v>11</v>
      </c>
      <c r="E390" s="297"/>
      <c r="F390" s="297">
        <f t="shared" si="13"/>
        <v>11</v>
      </c>
      <c r="G390" s="297"/>
      <c r="H390" s="297"/>
      <c r="I390" s="297"/>
      <c r="J390" s="305"/>
      <c r="K390" s="305"/>
      <c r="L390" s="297">
        <v>2999.84</v>
      </c>
      <c r="M390" s="297">
        <v>0</v>
      </c>
      <c r="N390" s="297">
        <v>3</v>
      </c>
      <c r="O390" s="297">
        <v>0</v>
      </c>
      <c r="P390" s="297">
        <v>8999.52</v>
      </c>
      <c r="Q390" s="298" t="s">
        <v>242</v>
      </c>
      <c r="R390" s="293" t="s">
        <v>243</v>
      </c>
    </row>
    <row r="391" spans="1:18" ht="36.75" customHeight="1">
      <c r="A391" s="294" t="s">
        <v>2171</v>
      </c>
      <c r="B391" s="295" t="s">
        <v>1067</v>
      </c>
      <c r="C391" s="296" t="s">
        <v>15</v>
      </c>
      <c r="D391" s="297">
        <v>3</v>
      </c>
      <c r="E391" s="297"/>
      <c r="F391" s="297">
        <f t="shared" si="13"/>
        <v>3</v>
      </c>
      <c r="G391" s="297"/>
      <c r="H391" s="297"/>
      <c r="I391" s="297"/>
      <c r="J391" s="305"/>
      <c r="K391" s="305"/>
      <c r="L391" s="297">
        <v>1399.92</v>
      </c>
      <c r="M391" s="297">
        <v>0</v>
      </c>
      <c r="N391" s="297">
        <v>1</v>
      </c>
      <c r="O391" s="297">
        <v>0</v>
      </c>
      <c r="P391" s="297">
        <v>1399.92</v>
      </c>
      <c r="Q391" s="298" t="s">
        <v>242</v>
      </c>
      <c r="R391" s="293" t="s">
        <v>243</v>
      </c>
    </row>
    <row r="392" spans="1:18" ht="36.75" customHeight="1">
      <c r="A392" s="294" t="s">
        <v>2172</v>
      </c>
      <c r="B392" s="295" t="s">
        <v>1070</v>
      </c>
      <c r="C392" s="296" t="s">
        <v>14</v>
      </c>
      <c r="D392" s="297">
        <v>5</v>
      </c>
      <c r="E392" s="297"/>
      <c r="F392" s="297">
        <f t="shared" si="13"/>
        <v>5</v>
      </c>
      <c r="G392" s="297"/>
      <c r="H392" s="297"/>
      <c r="I392" s="297"/>
      <c r="J392" s="305"/>
      <c r="K392" s="305"/>
      <c r="L392" s="297">
        <v>17999.02</v>
      </c>
      <c r="M392" s="297">
        <v>0</v>
      </c>
      <c r="N392" s="297">
        <v>0</v>
      </c>
      <c r="O392" s="297">
        <v>0</v>
      </c>
      <c r="P392" s="297">
        <v>0</v>
      </c>
      <c r="Q392" s="298" t="s">
        <v>242</v>
      </c>
      <c r="R392" s="293" t="s">
        <v>243</v>
      </c>
    </row>
    <row r="393" spans="1:18" ht="36.75" customHeight="1">
      <c r="A393" s="294" t="s">
        <v>2173</v>
      </c>
      <c r="B393" s="295" t="s">
        <v>1073</v>
      </c>
      <c r="C393" s="296" t="s">
        <v>14</v>
      </c>
      <c r="D393" s="297">
        <v>1</v>
      </c>
      <c r="E393" s="297"/>
      <c r="F393" s="297">
        <f t="shared" si="13"/>
        <v>1</v>
      </c>
      <c r="G393" s="297"/>
      <c r="H393" s="297"/>
      <c r="I393" s="297"/>
      <c r="J393" s="305"/>
      <c r="K393" s="305"/>
      <c r="L393" s="297">
        <v>8999.51</v>
      </c>
      <c r="M393" s="297">
        <v>0</v>
      </c>
      <c r="N393" s="297">
        <v>0</v>
      </c>
      <c r="O393" s="297">
        <v>0</v>
      </c>
      <c r="P393" s="297">
        <v>0</v>
      </c>
      <c r="Q393" s="298" t="s">
        <v>242</v>
      </c>
      <c r="R393" s="293" t="s">
        <v>243</v>
      </c>
    </row>
    <row r="394" spans="1:18" ht="36.75" customHeight="1">
      <c r="A394" s="294" t="s">
        <v>2174</v>
      </c>
      <c r="B394" s="295" t="s">
        <v>1076</v>
      </c>
      <c r="C394" s="296" t="s">
        <v>15</v>
      </c>
      <c r="D394" s="297">
        <v>2</v>
      </c>
      <c r="E394" s="297"/>
      <c r="F394" s="297">
        <f t="shared" si="13"/>
        <v>2</v>
      </c>
      <c r="G394" s="297"/>
      <c r="H394" s="297"/>
      <c r="I394" s="297"/>
      <c r="J394" s="305"/>
      <c r="K394" s="305"/>
      <c r="L394" s="297">
        <v>5999.67</v>
      </c>
      <c r="M394" s="297">
        <v>0</v>
      </c>
      <c r="N394" s="297">
        <v>0</v>
      </c>
      <c r="O394" s="297">
        <v>0</v>
      </c>
      <c r="P394" s="297">
        <v>0</v>
      </c>
      <c r="Q394" s="298" t="s">
        <v>242</v>
      </c>
      <c r="R394" s="293" t="s">
        <v>243</v>
      </c>
    </row>
    <row r="395" spans="1:18" ht="36.75" customHeight="1">
      <c r="A395" s="294" t="s">
        <v>2175</v>
      </c>
      <c r="B395" s="295" t="s">
        <v>1079</v>
      </c>
      <c r="C395" s="296" t="s">
        <v>14</v>
      </c>
      <c r="D395" s="297">
        <v>1</v>
      </c>
      <c r="E395" s="297"/>
      <c r="F395" s="297">
        <f t="shared" si="13"/>
        <v>1</v>
      </c>
      <c r="G395" s="297"/>
      <c r="H395" s="297"/>
      <c r="I395" s="297"/>
      <c r="J395" s="305"/>
      <c r="K395" s="305"/>
      <c r="L395" s="297">
        <v>2499.86</v>
      </c>
      <c r="M395" s="297">
        <v>0</v>
      </c>
      <c r="N395" s="297">
        <v>0</v>
      </c>
      <c r="O395" s="297">
        <v>0</v>
      </c>
      <c r="P395" s="297">
        <v>0</v>
      </c>
      <c r="Q395" s="298" t="s">
        <v>242</v>
      </c>
      <c r="R395" s="293" t="s">
        <v>243</v>
      </c>
    </row>
    <row r="396" spans="1:18" ht="36.75" customHeight="1">
      <c r="A396" s="294" t="s">
        <v>2177</v>
      </c>
      <c r="B396" s="295" t="s">
        <v>1082</v>
      </c>
      <c r="C396" s="296" t="s">
        <v>14</v>
      </c>
      <c r="D396" s="297">
        <v>1</v>
      </c>
      <c r="E396" s="297"/>
      <c r="F396" s="297">
        <f t="shared" si="13"/>
        <v>1</v>
      </c>
      <c r="G396" s="297"/>
      <c r="H396" s="297"/>
      <c r="I396" s="297"/>
      <c r="J396" s="305"/>
      <c r="K396" s="305"/>
      <c r="L396" s="297">
        <v>2499.86</v>
      </c>
      <c r="M396" s="297">
        <v>0</v>
      </c>
      <c r="N396" s="297">
        <v>0</v>
      </c>
      <c r="O396" s="297">
        <v>0</v>
      </c>
      <c r="P396" s="297">
        <v>0</v>
      </c>
      <c r="Q396" s="298" t="s">
        <v>242</v>
      </c>
      <c r="R396" s="293" t="s">
        <v>243</v>
      </c>
    </row>
    <row r="397" spans="1:18" ht="36.75" customHeight="1">
      <c r="A397" s="294" t="s">
        <v>2178</v>
      </c>
      <c r="B397" s="295" t="s">
        <v>1085</v>
      </c>
      <c r="C397" s="296" t="s">
        <v>15</v>
      </c>
      <c r="D397" s="297">
        <v>4</v>
      </c>
      <c r="E397" s="297"/>
      <c r="F397" s="297">
        <f t="shared" si="13"/>
        <v>4</v>
      </c>
      <c r="G397" s="297"/>
      <c r="H397" s="297"/>
      <c r="I397" s="297"/>
      <c r="J397" s="305"/>
      <c r="K397" s="305"/>
      <c r="L397" s="297">
        <v>2999.84</v>
      </c>
      <c r="M397" s="297">
        <v>0</v>
      </c>
      <c r="N397" s="297">
        <v>0</v>
      </c>
      <c r="O397" s="297">
        <v>0</v>
      </c>
      <c r="P397" s="297">
        <v>0</v>
      </c>
      <c r="Q397" s="298" t="s">
        <v>242</v>
      </c>
      <c r="R397" s="293" t="s">
        <v>243</v>
      </c>
    </row>
    <row r="398" spans="1:18" ht="36.75" customHeight="1">
      <c r="A398" s="294" t="s">
        <v>2179</v>
      </c>
      <c r="B398" s="295" t="s">
        <v>1088</v>
      </c>
      <c r="C398" s="296" t="s">
        <v>15</v>
      </c>
      <c r="D398" s="297">
        <v>2</v>
      </c>
      <c r="E398" s="297"/>
      <c r="F398" s="297">
        <f t="shared" si="13"/>
        <v>2</v>
      </c>
      <c r="G398" s="297"/>
      <c r="H398" s="297"/>
      <c r="I398" s="297"/>
      <c r="J398" s="305"/>
      <c r="K398" s="305"/>
      <c r="L398" s="297">
        <v>19998.91</v>
      </c>
      <c r="M398" s="297">
        <v>0</v>
      </c>
      <c r="N398" s="297">
        <v>0</v>
      </c>
      <c r="O398" s="297">
        <v>0</v>
      </c>
      <c r="P398" s="297">
        <v>0</v>
      </c>
      <c r="Q398" s="298" t="s">
        <v>242</v>
      </c>
      <c r="R398" s="293" t="s">
        <v>243</v>
      </c>
    </row>
    <row r="399" spans="1:18" ht="36.75" customHeight="1">
      <c r="A399" s="294" t="s">
        <v>2181</v>
      </c>
      <c r="B399" s="295" t="s">
        <v>1091</v>
      </c>
      <c r="C399" s="296" t="s">
        <v>14</v>
      </c>
      <c r="D399" s="297">
        <v>1</v>
      </c>
      <c r="E399" s="297"/>
      <c r="F399" s="297">
        <f t="shared" si="13"/>
        <v>1</v>
      </c>
      <c r="G399" s="297"/>
      <c r="H399" s="297"/>
      <c r="I399" s="297"/>
      <c r="J399" s="305"/>
      <c r="K399" s="305"/>
      <c r="L399" s="297">
        <v>14999.18</v>
      </c>
      <c r="M399" s="297">
        <v>0</v>
      </c>
      <c r="N399" s="297">
        <v>1</v>
      </c>
      <c r="O399" s="297">
        <v>0</v>
      </c>
      <c r="P399" s="297">
        <v>14999.18</v>
      </c>
      <c r="Q399" s="298" t="s">
        <v>242</v>
      </c>
      <c r="R399" s="293" t="s">
        <v>243</v>
      </c>
    </row>
    <row r="400" spans="1:18" ht="36.75" customHeight="1">
      <c r="A400" s="294" t="s">
        <v>2182</v>
      </c>
      <c r="B400" s="295" t="s">
        <v>1094</v>
      </c>
      <c r="C400" s="296" t="s">
        <v>1095</v>
      </c>
      <c r="D400" s="297">
        <v>3</v>
      </c>
      <c r="E400" s="297"/>
      <c r="F400" s="297">
        <f t="shared" si="13"/>
        <v>3</v>
      </c>
      <c r="G400" s="297"/>
      <c r="H400" s="297"/>
      <c r="I400" s="297"/>
      <c r="J400" s="305"/>
      <c r="K400" s="305"/>
      <c r="L400" s="297">
        <v>1299.93</v>
      </c>
      <c r="M400" s="297">
        <v>3</v>
      </c>
      <c r="N400" s="297">
        <v>3</v>
      </c>
      <c r="O400" s="297">
        <v>3899.79</v>
      </c>
      <c r="P400" s="297">
        <v>3899.79</v>
      </c>
      <c r="Q400" s="298" t="s">
        <v>242</v>
      </c>
      <c r="R400" s="293" t="s">
        <v>243</v>
      </c>
    </row>
    <row r="401" spans="1:18" ht="36.75" customHeight="1">
      <c r="A401" s="294" t="s">
        <v>2183</v>
      </c>
      <c r="B401" s="295" t="s">
        <v>1098</v>
      </c>
      <c r="C401" s="296" t="s">
        <v>1095</v>
      </c>
      <c r="D401" s="297">
        <v>4</v>
      </c>
      <c r="E401" s="297"/>
      <c r="F401" s="297">
        <f t="shared" si="13"/>
        <v>4</v>
      </c>
      <c r="G401" s="297"/>
      <c r="H401" s="297"/>
      <c r="I401" s="297"/>
      <c r="J401" s="305"/>
      <c r="K401" s="305"/>
      <c r="L401" s="297">
        <v>999.95</v>
      </c>
      <c r="M401" s="297">
        <v>0</v>
      </c>
      <c r="N401" s="297">
        <v>4</v>
      </c>
      <c r="O401" s="297">
        <v>0</v>
      </c>
      <c r="P401" s="297">
        <v>3999.8</v>
      </c>
      <c r="Q401" s="298" t="s">
        <v>242</v>
      </c>
      <c r="R401" s="293" t="s">
        <v>243</v>
      </c>
    </row>
    <row r="402" spans="1:18" ht="36.75" customHeight="1">
      <c r="A402" s="294" t="s">
        <v>2184</v>
      </c>
      <c r="B402" s="295" t="s">
        <v>1101</v>
      </c>
      <c r="C402" s="296" t="s">
        <v>15</v>
      </c>
      <c r="D402" s="297">
        <v>2</v>
      </c>
      <c r="E402" s="297"/>
      <c r="F402" s="297">
        <f t="shared" si="13"/>
        <v>2</v>
      </c>
      <c r="G402" s="297"/>
      <c r="H402" s="297"/>
      <c r="I402" s="297"/>
      <c r="J402" s="305"/>
      <c r="K402" s="305"/>
      <c r="L402" s="297">
        <v>8999.51</v>
      </c>
      <c r="M402" s="297">
        <v>0</v>
      </c>
      <c r="N402" s="297">
        <v>2</v>
      </c>
      <c r="O402" s="297">
        <v>0</v>
      </c>
      <c r="P402" s="297">
        <v>17999.02</v>
      </c>
      <c r="Q402" s="298" t="s">
        <v>242</v>
      </c>
      <c r="R402" s="293" t="s">
        <v>243</v>
      </c>
    </row>
    <row r="403" spans="1:18" ht="36.75" customHeight="1">
      <c r="A403" s="294" t="s">
        <v>2185</v>
      </c>
      <c r="B403" s="295" t="s">
        <v>1104</v>
      </c>
      <c r="C403" s="296" t="s">
        <v>15</v>
      </c>
      <c r="D403" s="297">
        <v>4</v>
      </c>
      <c r="E403" s="297"/>
      <c r="F403" s="297">
        <f t="shared" si="13"/>
        <v>4</v>
      </c>
      <c r="G403" s="297"/>
      <c r="H403" s="297"/>
      <c r="I403" s="297"/>
      <c r="J403" s="305"/>
      <c r="K403" s="305"/>
      <c r="L403" s="297">
        <v>4199.7700000000004</v>
      </c>
      <c r="M403" s="297">
        <v>0</v>
      </c>
      <c r="N403" s="297">
        <v>0</v>
      </c>
      <c r="O403" s="297">
        <v>0</v>
      </c>
      <c r="P403" s="297">
        <v>0</v>
      </c>
      <c r="Q403" s="298" t="s">
        <v>242</v>
      </c>
      <c r="R403" s="293" t="s">
        <v>243</v>
      </c>
    </row>
    <row r="404" spans="1:18" ht="36.75" customHeight="1">
      <c r="A404" s="294" t="s">
        <v>2186</v>
      </c>
      <c r="B404" s="295" t="s">
        <v>1107</v>
      </c>
      <c r="C404" s="296" t="s">
        <v>14</v>
      </c>
      <c r="D404" s="297">
        <v>2</v>
      </c>
      <c r="E404" s="297"/>
      <c r="F404" s="297">
        <f t="shared" si="13"/>
        <v>2</v>
      </c>
      <c r="G404" s="297"/>
      <c r="H404" s="297"/>
      <c r="I404" s="297"/>
      <c r="J404" s="305"/>
      <c r="K404" s="305"/>
      <c r="L404" s="297">
        <v>999.95</v>
      </c>
      <c r="M404" s="297">
        <v>0</v>
      </c>
      <c r="N404" s="297">
        <v>2</v>
      </c>
      <c r="O404" s="297">
        <v>0</v>
      </c>
      <c r="P404" s="297">
        <v>1999.9</v>
      </c>
      <c r="Q404" s="298" t="s">
        <v>242</v>
      </c>
      <c r="R404" s="293" t="s">
        <v>243</v>
      </c>
    </row>
    <row r="405" spans="1:18" ht="36.75" customHeight="1">
      <c r="A405" s="294" t="s">
        <v>2187</v>
      </c>
      <c r="B405" s="295" t="s">
        <v>224</v>
      </c>
      <c r="C405" s="296" t="s">
        <v>15</v>
      </c>
      <c r="D405" s="297">
        <v>12</v>
      </c>
      <c r="E405" s="297"/>
      <c r="F405" s="297">
        <f t="shared" si="13"/>
        <v>12</v>
      </c>
      <c r="G405" s="297"/>
      <c r="H405" s="297"/>
      <c r="I405" s="297"/>
      <c r="J405" s="305"/>
      <c r="K405" s="305"/>
      <c r="L405" s="297">
        <v>4499.75</v>
      </c>
      <c r="M405" s="297">
        <v>0</v>
      </c>
      <c r="N405" s="297">
        <v>0</v>
      </c>
      <c r="O405" s="297">
        <v>0</v>
      </c>
      <c r="P405" s="297">
        <v>0</v>
      </c>
      <c r="Q405" s="298" t="s">
        <v>242</v>
      </c>
      <c r="R405" s="293" t="s">
        <v>243</v>
      </c>
    </row>
    <row r="406" spans="1:18" ht="36.75" customHeight="1">
      <c r="A406" s="294" t="s">
        <v>2188</v>
      </c>
      <c r="B406" s="295" t="s">
        <v>1112</v>
      </c>
      <c r="C406" s="296" t="s">
        <v>15</v>
      </c>
      <c r="D406" s="297">
        <v>2</v>
      </c>
      <c r="E406" s="297"/>
      <c r="F406" s="297">
        <f t="shared" si="13"/>
        <v>2</v>
      </c>
      <c r="G406" s="297"/>
      <c r="H406" s="297"/>
      <c r="I406" s="297"/>
      <c r="J406" s="305"/>
      <c r="K406" s="305"/>
      <c r="L406" s="297">
        <v>636265.30000000005</v>
      </c>
      <c r="M406" s="297">
        <v>0</v>
      </c>
      <c r="N406" s="297">
        <v>2</v>
      </c>
      <c r="O406" s="297">
        <v>0</v>
      </c>
      <c r="P406" s="297">
        <v>1272530.6000000001</v>
      </c>
      <c r="Q406" s="298" t="s">
        <v>242</v>
      </c>
      <c r="R406" s="293" t="s">
        <v>243</v>
      </c>
    </row>
    <row r="407" spans="1:18" ht="36.75" customHeight="1">
      <c r="A407" s="294" t="s">
        <v>2189</v>
      </c>
      <c r="B407" s="295" t="s">
        <v>1115</v>
      </c>
      <c r="C407" s="296" t="s">
        <v>1116</v>
      </c>
      <c r="D407" s="297">
        <v>4</v>
      </c>
      <c r="E407" s="297"/>
      <c r="F407" s="297">
        <f t="shared" si="13"/>
        <v>4</v>
      </c>
      <c r="G407" s="297"/>
      <c r="H407" s="297"/>
      <c r="I407" s="297"/>
      <c r="J407" s="305"/>
      <c r="K407" s="305"/>
      <c r="L407" s="297">
        <v>1999.89</v>
      </c>
      <c r="M407" s="297">
        <v>0</v>
      </c>
      <c r="N407" s="297">
        <v>0</v>
      </c>
      <c r="O407" s="297">
        <v>0</v>
      </c>
      <c r="P407" s="297">
        <v>0</v>
      </c>
      <c r="Q407" s="298" t="s">
        <v>242</v>
      </c>
      <c r="R407" s="293" t="s">
        <v>243</v>
      </c>
    </row>
    <row r="408" spans="1:18" ht="36.75" customHeight="1">
      <c r="A408" s="294" t="s">
        <v>2190</v>
      </c>
      <c r="B408" s="295" t="s">
        <v>1542</v>
      </c>
      <c r="C408" s="296" t="s">
        <v>15</v>
      </c>
      <c r="D408" s="297">
        <v>0</v>
      </c>
      <c r="E408" s="297">
        <v>1</v>
      </c>
      <c r="F408" s="297">
        <f>E408</f>
        <v>1</v>
      </c>
      <c r="G408" s="297"/>
      <c r="H408" s="297"/>
      <c r="I408" s="297"/>
      <c r="J408" s="305"/>
      <c r="K408" s="305"/>
      <c r="L408" s="297">
        <v>119722.49</v>
      </c>
      <c r="M408" s="297">
        <v>0</v>
      </c>
      <c r="N408" s="297">
        <v>1</v>
      </c>
      <c r="O408" s="297">
        <v>0</v>
      </c>
      <c r="P408" s="297">
        <v>119722.49</v>
      </c>
      <c r="Q408" s="298" t="s">
        <v>242</v>
      </c>
      <c r="R408" s="293" t="s">
        <v>243</v>
      </c>
    </row>
    <row r="409" spans="1:18" ht="36.75" customHeight="1">
      <c r="A409" s="294" t="s">
        <v>2191</v>
      </c>
      <c r="B409" s="295" t="s">
        <v>1544</v>
      </c>
      <c r="C409" s="296" t="s">
        <v>15</v>
      </c>
      <c r="D409" s="297">
        <v>0</v>
      </c>
      <c r="E409" s="297">
        <v>1</v>
      </c>
      <c r="F409" s="297">
        <f>E409</f>
        <v>1</v>
      </c>
      <c r="G409" s="297"/>
      <c r="H409" s="297"/>
      <c r="I409" s="297"/>
      <c r="J409" s="305"/>
      <c r="K409" s="305"/>
      <c r="L409" s="297">
        <v>74993.56</v>
      </c>
      <c r="M409" s="297">
        <v>0</v>
      </c>
      <c r="N409" s="297">
        <v>1</v>
      </c>
      <c r="O409" s="297">
        <v>0</v>
      </c>
      <c r="P409" s="297">
        <v>74993.56</v>
      </c>
      <c r="Q409" s="298" t="s">
        <v>242</v>
      </c>
      <c r="R409" s="293" t="s">
        <v>243</v>
      </c>
    </row>
    <row r="410" spans="1:18" ht="36.75" customHeight="1">
      <c r="A410" s="294" t="s">
        <v>2192</v>
      </c>
      <c r="B410" s="295" t="s">
        <v>1546</v>
      </c>
      <c r="C410" s="296" t="s">
        <v>15</v>
      </c>
      <c r="D410" s="297">
        <v>0</v>
      </c>
      <c r="E410" s="297">
        <v>2</v>
      </c>
      <c r="F410" s="297">
        <f>E410</f>
        <v>2</v>
      </c>
      <c r="G410" s="297"/>
      <c r="H410" s="297"/>
      <c r="I410" s="297"/>
      <c r="J410" s="305"/>
      <c r="K410" s="305"/>
      <c r="L410" s="297">
        <v>83492.83</v>
      </c>
      <c r="M410" s="297">
        <v>0</v>
      </c>
      <c r="N410" s="297">
        <v>2</v>
      </c>
      <c r="O410" s="297">
        <v>0</v>
      </c>
      <c r="P410" s="297">
        <v>166985.66</v>
      </c>
      <c r="Q410" s="298" t="s">
        <v>242</v>
      </c>
      <c r="R410" s="293" t="s">
        <v>243</v>
      </c>
    </row>
    <row r="411" spans="1:18" ht="36.75" customHeight="1">
      <c r="A411" s="294" t="s">
        <v>2193</v>
      </c>
      <c r="B411" s="295" t="s">
        <v>1548</v>
      </c>
      <c r="C411" s="296" t="s">
        <v>15</v>
      </c>
      <c r="D411" s="297">
        <v>0</v>
      </c>
      <c r="E411" s="297">
        <v>1</v>
      </c>
      <c r="F411" s="297">
        <f>E411</f>
        <v>1</v>
      </c>
      <c r="G411" s="297"/>
      <c r="H411" s="297"/>
      <c r="I411" s="297"/>
      <c r="J411" s="305"/>
      <c r="K411" s="305"/>
      <c r="L411" s="297">
        <v>76193.42</v>
      </c>
      <c r="M411" s="297">
        <v>0</v>
      </c>
      <c r="N411" s="297">
        <v>1</v>
      </c>
      <c r="O411" s="297">
        <v>0</v>
      </c>
      <c r="P411" s="297">
        <v>76193.42</v>
      </c>
      <c r="Q411" s="298" t="s">
        <v>242</v>
      </c>
      <c r="R411" s="293" t="s">
        <v>243</v>
      </c>
    </row>
    <row r="412" spans="1:18" ht="36.75" customHeight="1">
      <c r="A412" s="294" t="s">
        <v>2194</v>
      </c>
      <c r="B412" s="295" t="s">
        <v>1550</v>
      </c>
      <c r="C412" s="296" t="s">
        <v>15</v>
      </c>
      <c r="D412" s="297">
        <v>0</v>
      </c>
      <c r="E412" s="297">
        <v>2</v>
      </c>
      <c r="F412" s="297">
        <f>E412</f>
        <v>2</v>
      </c>
      <c r="G412" s="297"/>
      <c r="H412" s="297"/>
      <c r="I412" s="297"/>
      <c r="J412" s="305"/>
      <c r="K412" s="305"/>
      <c r="L412" s="297">
        <v>17998.46</v>
      </c>
      <c r="M412" s="297">
        <v>0</v>
      </c>
      <c r="N412" s="297">
        <v>2</v>
      </c>
      <c r="O412" s="297">
        <v>0</v>
      </c>
      <c r="P412" s="297">
        <v>35996.92</v>
      </c>
      <c r="Q412" s="298" t="s">
        <v>242</v>
      </c>
      <c r="R412" s="293" t="s">
        <v>243</v>
      </c>
    </row>
    <row r="413" spans="1:18" ht="36.75" customHeight="1">
      <c r="A413" s="294" t="s">
        <v>2253</v>
      </c>
      <c r="B413" s="295" t="s">
        <v>1118</v>
      </c>
      <c r="C413" s="296" t="s">
        <v>4</v>
      </c>
      <c r="D413" s="297">
        <v>1</v>
      </c>
      <c r="E413" s="297"/>
      <c r="F413" s="297"/>
      <c r="G413" s="297"/>
      <c r="H413" s="297"/>
      <c r="I413" s="297"/>
      <c r="J413" s="305"/>
      <c r="K413" s="305"/>
      <c r="L413" s="297">
        <v>3983954.68</v>
      </c>
      <c r="M413" s="297">
        <v>1</v>
      </c>
      <c r="N413" s="297">
        <v>1</v>
      </c>
      <c r="O413" s="297">
        <v>164351.57999999999</v>
      </c>
      <c r="P413" s="297">
        <v>2235643.2599999998</v>
      </c>
      <c r="Q413" s="298" t="s">
        <v>242</v>
      </c>
      <c r="R413" s="293" t="s">
        <v>243</v>
      </c>
    </row>
    <row r="414" spans="1:18" ht="36.75" customHeight="1">
      <c r="A414" s="294" t="s">
        <v>2154</v>
      </c>
      <c r="B414" s="295" t="s">
        <v>26</v>
      </c>
      <c r="C414" s="296" t="s">
        <v>20</v>
      </c>
      <c r="D414" s="297">
        <v>48</v>
      </c>
      <c r="E414" s="297"/>
      <c r="F414" s="297">
        <f>D414</f>
        <v>48</v>
      </c>
      <c r="G414" s="297"/>
      <c r="H414" s="297"/>
      <c r="I414" s="297"/>
      <c r="J414" s="305"/>
      <c r="K414" s="305"/>
      <c r="L414" s="297">
        <v>13067.55</v>
      </c>
      <c r="M414" s="297">
        <v>2</v>
      </c>
      <c r="N414" s="297">
        <v>26</v>
      </c>
      <c r="O414" s="297">
        <v>26135.1</v>
      </c>
      <c r="P414" s="297">
        <v>339756.3</v>
      </c>
      <c r="Q414" s="298" t="s">
        <v>242</v>
      </c>
      <c r="R414" s="293" t="s">
        <v>243</v>
      </c>
    </row>
    <row r="415" spans="1:18" ht="36.75" customHeight="1">
      <c r="A415" s="294" t="s">
        <v>2155</v>
      </c>
      <c r="B415" s="295" t="s">
        <v>27</v>
      </c>
      <c r="C415" s="296" t="s">
        <v>21</v>
      </c>
      <c r="D415" s="297">
        <v>6720</v>
      </c>
      <c r="E415" s="297">
        <v>28448</v>
      </c>
      <c r="F415" s="297">
        <f>E415</f>
        <v>28448</v>
      </c>
      <c r="G415" s="297"/>
      <c r="H415" s="297"/>
      <c r="I415" s="297"/>
      <c r="J415" s="305"/>
      <c r="K415" s="305"/>
      <c r="L415" s="297">
        <v>54.56</v>
      </c>
      <c r="M415" s="297">
        <v>1185</v>
      </c>
      <c r="N415" s="297">
        <v>15409.08</v>
      </c>
      <c r="O415" s="297">
        <v>64653.599999999999</v>
      </c>
      <c r="P415" s="297">
        <v>840719.4</v>
      </c>
      <c r="Q415" s="298" t="s">
        <v>242</v>
      </c>
      <c r="R415" s="293" t="s">
        <v>243</v>
      </c>
    </row>
    <row r="416" spans="1:18" ht="36.75" customHeight="1">
      <c r="A416" s="294" t="s">
        <v>2156</v>
      </c>
      <c r="B416" s="295" t="s">
        <v>1553</v>
      </c>
      <c r="C416" s="296" t="s">
        <v>1554</v>
      </c>
      <c r="D416" s="297">
        <v>0</v>
      </c>
      <c r="E416" s="297">
        <v>1570</v>
      </c>
      <c r="F416" s="297">
        <f>E416</f>
        <v>1570</v>
      </c>
      <c r="G416" s="297"/>
      <c r="H416" s="297"/>
      <c r="I416" s="297"/>
      <c r="J416" s="305"/>
      <c r="K416" s="305"/>
      <c r="L416" s="297">
        <v>1149.42</v>
      </c>
      <c r="M416" s="297">
        <v>64</v>
      </c>
      <c r="N416" s="297">
        <v>918</v>
      </c>
      <c r="O416" s="297">
        <v>73562.880000000005</v>
      </c>
      <c r="P416" s="297">
        <v>1055167.56</v>
      </c>
      <c r="Q416" s="298" t="s">
        <v>242</v>
      </c>
      <c r="R416" s="293" t="s">
        <v>243</v>
      </c>
    </row>
    <row r="417" spans="1:18" ht="36.75" customHeight="1">
      <c r="A417" s="294" t="s">
        <v>2254</v>
      </c>
      <c r="B417" s="295" t="s">
        <v>1121</v>
      </c>
      <c r="C417" s="296" t="s">
        <v>4</v>
      </c>
      <c r="D417" s="297">
        <v>1</v>
      </c>
      <c r="E417" s="297"/>
      <c r="F417" s="297"/>
      <c r="G417" s="297"/>
      <c r="H417" s="297"/>
      <c r="I417" s="297"/>
      <c r="J417" s="305"/>
      <c r="K417" s="305"/>
      <c r="L417" s="297">
        <v>9928418.8300000001</v>
      </c>
      <c r="M417" s="297">
        <v>1</v>
      </c>
      <c r="N417" s="297">
        <v>1</v>
      </c>
      <c r="O417" s="297">
        <v>92841.5</v>
      </c>
      <c r="P417" s="297">
        <v>9437556.9199999999</v>
      </c>
      <c r="Q417" s="298" t="s">
        <v>242</v>
      </c>
      <c r="R417" s="293" t="s">
        <v>243</v>
      </c>
    </row>
    <row r="418" spans="1:18" ht="36.75" customHeight="1">
      <c r="A418" s="294" t="s">
        <v>2154</v>
      </c>
      <c r="B418" s="295" t="s">
        <v>1122</v>
      </c>
      <c r="C418" s="296" t="s">
        <v>8</v>
      </c>
      <c r="D418" s="297">
        <v>1294.97</v>
      </c>
      <c r="E418" s="297">
        <f>D418</f>
        <v>1294.97</v>
      </c>
      <c r="F418" s="297">
        <f>D418</f>
        <v>1294.97</v>
      </c>
      <c r="G418" s="297"/>
      <c r="H418" s="297"/>
      <c r="I418" s="297"/>
      <c r="J418" s="305"/>
      <c r="K418" s="305"/>
      <c r="L418" s="297">
        <v>3662.03</v>
      </c>
      <c r="M418" s="297">
        <v>0</v>
      </c>
      <c r="N418" s="297">
        <v>1294.97</v>
      </c>
      <c r="O418" s="297">
        <v>0</v>
      </c>
      <c r="P418" s="297">
        <v>4742218.99</v>
      </c>
      <c r="Q418" s="298" t="s">
        <v>242</v>
      </c>
      <c r="R418" s="293" t="s">
        <v>243</v>
      </c>
    </row>
    <row r="419" spans="1:18" ht="36.75" customHeight="1">
      <c r="A419" s="294" t="s">
        <v>2155</v>
      </c>
      <c r="B419" s="295" t="s">
        <v>1124</v>
      </c>
      <c r="C419" s="296" t="s">
        <v>13</v>
      </c>
      <c r="D419" s="297">
        <v>1840.93</v>
      </c>
      <c r="E419" s="297">
        <f t="shared" ref="E419:E432" si="14">D419</f>
        <v>1840.93</v>
      </c>
      <c r="F419" s="297">
        <f t="shared" ref="F419:F432" si="15">D419</f>
        <v>1840.93</v>
      </c>
      <c r="G419" s="297"/>
      <c r="H419" s="297"/>
      <c r="I419" s="297"/>
      <c r="J419" s="305"/>
      <c r="K419" s="305"/>
      <c r="L419" s="297">
        <v>352.98</v>
      </c>
      <c r="M419" s="297">
        <v>0</v>
      </c>
      <c r="N419" s="297">
        <v>1840.93</v>
      </c>
      <c r="O419" s="297">
        <v>0</v>
      </c>
      <c r="P419" s="297">
        <v>649811.47</v>
      </c>
      <c r="Q419" s="298" t="s">
        <v>242</v>
      </c>
      <c r="R419" s="293" t="s">
        <v>243</v>
      </c>
    </row>
    <row r="420" spans="1:18" ht="36.75" customHeight="1">
      <c r="A420" s="294" t="s">
        <v>2156</v>
      </c>
      <c r="B420" s="295" t="s">
        <v>32</v>
      </c>
      <c r="C420" s="296" t="s">
        <v>7</v>
      </c>
      <c r="D420" s="297">
        <v>59</v>
      </c>
      <c r="E420" s="297">
        <f t="shared" si="14"/>
        <v>59</v>
      </c>
      <c r="F420" s="297">
        <f t="shared" si="15"/>
        <v>59</v>
      </c>
      <c r="G420" s="297"/>
      <c r="H420" s="297"/>
      <c r="I420" s="297"/>
      <c r="J420" s="305"/>
      <c r="K420" s="305"/>
      <c r="L420" s="297">
        <v>217.01</v>
      </c>
      <c r="M420" s="297">
        <v>0</v>
      </c>
      <c r="N420" s="297">
        <v>59</v>
      </c>
      <c r="O420" s="297">
        <v>0</v>
      </c>
      <c r="P420" s="297">
        <v>12803.59</v>
      </c>
      <c r="Q420" s="298" t="s">
        <v>242</v>
      </c>
      <c r="R420" s="293" t="s">
        <v>243</v>
      </c>
    </row>
    <row r="421" spans="1:18" ht="36.75" customHeight="1">
      <c r="A421" s="294" t="s">
        <v>2157</v>
      </c>
      <c r="B421" s="295" t="s">
        <v>33</v>
      </c>
      <c r="C421" s="296" t="s">
        <v>5</v>
      </c>
      <c r="D421" s="297">
        <v>30</v>
      </c>
      <c r="E421" s="297">
        <f t="shared" si="14"/>
        <v>30</v>
      </c>
      <c r="F421" s="297">
        <f t="shared" si="15"/>
        <v>30</v>
      </c>
      <c r="G421" s="297"/>
      <c r="H421" s="297"/>
      <c r="I421" s="297"/>
      <c r="J421" s="305"/>
      <c r="K421" s="305"/>
      <c r="L421" s="297">
        <v>50</v>
      </c>
      <c r="M421" s="297">
        <v>0</v>
      </c>
      <c r="N421" s="297">
        <v>30</v>
      </c>
      <c r="O421" s="297">
        <v>0</v>
      </c>
      <c r="P421" s="297">
        <v>1500</v>
      </c>
      <c r="Q421" s="298" t="s">
        <v>242</v>
      </c>
      <c r="R421" s="293" t="s">
        <v>243</v>
      </c>
    </row>
    <row r="422" spans="1:18" ht="36.75" customHeight="1">
      <c r="A422" s="294" t="s">
        <v>2158</v>
      </c>
      <c r="B422" s="295" t="s">
        <v>1128</v>
      </c>
      <c r="C422" s="296" t="s">
        <v>0</v>
      </c>
      <c r="D422" s="297">
        <v>19</v>
      </c>
      <c r="E422" s="297">
        <f t="shared" si="14"/>
        <v>19</v>
      </c>
      <c r="F422" s="297">
        <f t="shared" si="15"/>
        <v>19</v>
      </c>
      <c r="G422" s="297"/>
      <c r="H422" s="297"/>
      <c r="I422" s="297"/>
      <c r="J422" s="305"/>
      <c r="K422" s="305"/>
      <c r="L422" s="297">
        <v>1900.88</v>
      </c>
      <c r="M422" s="297">
        <v>0</v>
      </c>
      <c r="N422" s="297">
        <v>19</v>
      </c>
      <c r="O422" s="297">
        <v>0</v>
      </c>
      <c r="P422" s="297">
        <v>36116.720000000001</v>
      </c>
      <c r="Q422" s="298" t="s">
        <v>242</v>
      </c>
      <c r="R422" s="293" t="s">
        <v>243</v>
      </c>
    </row>
    <row r="423" spans="1:18" ht="36.75" customHeight="1">
      <c r="A423" s="294" t="s">
        <v>2159</v>
      </c>
      <c r="B423" s="295" t="s">
        <v>1130</v>
      </c>
      <c r="C423" s="296" t="s">
        <v>0</v>
      </c>
      <c r="D423" s="297">
        <v>10</v>
      </c>
      <c r="E423" s="297">
        <f t="shared" si="14"/>
        <v>10</v>
      </c>
      <c r="F423" s="297">
        <f t="shared" si="15"/>
        <v>10</v>
      </c>
      <c r="G423" s="297"/>
      <c r="H423" s="297"/>
      <c r="I423" s="297"/>
      <c r="J423" s="305"/>
      <c r="K423" s="305"/>
      <c r="L423" s="297">
        <v>1230.67</v>
      </c>
      <c r="M423" s="297">
        <v>0</v>
      </c>
      <c r="N423" s="297">
        <v>10</v>
      </c>
      <c r="O423" s="297">
        <v>0</v>
      </c>
      <c r="P423" s="297">
        <v>12306.7</v>
      </c>
      <c r="Q423" s="298" t="s">
        <v>242</v>
      </c>
      <c r="R423" s="293" t="s">
        <v>243</v>
      </c>
    </row>
    <row r="424" spans="1:18" ht="36.75" customHeight="1">
      <c r="A424" s="294" t="s">
        <v>2160</v>
      </c>
      <c r="B424" s="295" t="s">
        <v>30</v>
      </c>
      <c r="C424" s="296" t="s">
        <v>0</v>
      </c>
      <c r="D424" s="297">
        <v>577</v>
      </c>
      <c r="E424" s="297">
        <f>D424</f>
        <v>577</v>
      </c>
      <c r="F424" s="297">
        <f t="shared" si="15"/>
        <v>577</v>
      </c>
      <c r="G424" s="297"/>
      <c r="H424" s="297"/>
      <c r="I424" s="297"/>
      <c r="J424" s="305"/>
      <c r="K424" s="305"/>
      <c r="L424" s="297">
        <v>1666.03</v>
      </c>
      <c r="M424" s="297">
        <v>0</v>
      </c>
      <c r="N424" s="297">
        <v>577</v>
      </c>
      <c r="O424" s="297">
        <v>0</v>
      </c>
      <c r="P424" s="297">
        <v>961299.31</v>
      </c>
      <c r="Q424" s="298" t="s">
        <v>242</v>
      </c>
      <c r="R424" s="293" t="s">
        <v>243</v>
      </c>
    </row>
    <row r="425" spans="1:18" ht="36.75" customHeight="1">
      <c r="A425" s="393" t="s">
        <v>2161</v>
      </c>
      <c r="B425" s="394" t="s">
        <v>1133</v>
      </c>
      <c r="C425" s="395" t="s">
        <v>0</v>
      </c>
      <c r="D425" s="396">
        <v>2</v>
      </c>
      <c r="E425" s="396">
        <f t="shared" si="14"/>
        <v>2</v>
      </c>
      <c r="F425" s="396">
        <v>3</v>
      </c>
      <c r="G425" s="396"/>
      <c r="H425" s="396"/>
      <c r="I425" s="396"/>
      <c r="J425" s="397"/>
      <c r="K425" s="397"/>
      <c r="L425" s="396">
        <v>48510.35</v>
      </c>
      <c r="M425" s="396">
        <v>0</v>
      </c>
      <c r="N425" s="396">
        <v>2</v>
      </c>
      <c r="O425" s="396">
        <v>0</v>
      </c>
      <c r="P425" s="396">
        <v>97020.7</v>
      </c>
      <c r="Q425" s="461" t="s">
        <v>2518</v>
      </c>
      <c r="R425" s="293" t="s">
        <v>243</v>
      </c>
    </row>
    <row r="426" spans="1:18" ht="36.75" customHeight="1">
      <c r="A426" s="294" t="s">
        <v>2162</v>
      </c>
      <c r="B426" s="295" t="s">
        <v>28</v>
      </c>
      <c r="C426" s="296" t="s">
        <v>22</v>
      </c>
      <c r="D426" s="297">
        <v>19</v>
      </c>
      <c r="E426" s="297">
        <f t="shared" si="14"/>
        <v>19</v>
      </c>
      <c r="F426" s="297">
        <f t="shared" si="15"/>
        <v>19</v>
      </c>
      <c r="G426" s="297"/>
      <c r="H426" s="297"/>
      <c r="I426" s="297"/>
      <c r="J426" s="305"/>
      <c r="K426" s="305"/>
      <c r="L426" s="297">
        <v>587.07000000000005</v>
      </c>
      <c r="M426" s="297">
        <v>0</v>
      </c>
      <c r="N426" s="297">
        <v>19</v>
      </c>
      <c r="O426" s="297">
        <v>0</v>
      </c>
      <c r="P426" s="297">
        <v>11154.33</v>
      </c>
      <c r="Q426" s="298" t="s">
        <v>242</v>
      </c>
      <c r="R426" s="293" t="s">
        <v>243</v>
      </c>
    </row>
    <row r="427" spans="1:18" ht="36.75" customHeight="1">
      <c r="A427" s="294" t="s">
        <v>2163</v>
      </c>
      <c r="B427" s="295" t="s">
        <v>1136</v>
      </c>
      <c r="C427" s="296" t="s">
        <v>7</v>
      </c>
      <c r="D427" s="297">
        <v>19</v>
      </c>
      <c r="E427" s="297">
        <f t="shared" si="14"/>
        <v>19</v>
      </c>
      <c r="F427" s="297">
        <f t="shared" si="15"/>
        <v>19</v>
      </c>
      <c r="G427" s="297"/>
      <c r="H427" s="297"/>
      <c r="I427" s="297"/>
      <c r="J427" s="305"/>
      <c r="K427" s="305"/>
      <c r="L427" s="297">
        <v>664.14</v>
      </c>
      <c r="M427" s="297">
        <v>0</v>
      </c>
      <c r="N427" s="297">
        <v>19</v>
      </c>
      <c r="O427" s="297">
        <v>0</v>
      </c>
      <c r="P427" s="297">
        <v>12618.66</v>
      </c>
      <c r="Q427" s="298" t="s">
        <v>242</v>
      </c>
      <c r="R427" s="293" t="s">
        <v>243</v>
      </c>
    </row>
    <row r="428" spans="1:18" ht="36.75" customHeight="1">
      <c r="A428" s="294" t="s">
        <v>2164</v>
      </c>
      <c r="B428" s="295" t="s">
        <v>1138</v>
      </c>
      <c r="C428" s="296" t="s">
        <v>1139</v>
      </c>
      <c r="D428" s="297">
        <v>2</v>
      </c>
      <c r="E428" s="297">
        <f t="shared" si="14"/>
        <v>2</v>
      </c>
      <c r="F428" s="297">
        <f t="shared" si="15"/>
        <v>2</v>
      </c>
      <c r="G428" s="297"/>
      <c r="H428" s="297"/>
      <c r="I428" s="297"/>
      <c r="J428" s="305"/>
      <c r="K428" s="305"/>
      <c r="L428" s="297">
        <v>9999.4500000000007</v>
      </c>
      <c r="M428" s="297">
        <v>0</v>
      </c>
      <c r="N428" s="297">
        <v>2</v>
      </c>
      <c r="O428" s="297">
        <v>0</v>
      </c>
      <c r="P428" s="297">
        <v>19998.900000000001</v>
      </c>
      <c r="Q428" s="298" t="s">
        <v>242</v>
      </c>
      <c r="R428" s="293" t="s">
        <v>243</v>
      </c>
    </row>
    <row r="429" spans="1:18" ht="36.75" customHeight="1">
      <c r="A429" s="294" t="s">
        <v>2165</v>
      </c>
      <c r="B429" s="295" t="s">
        <v>1142</v>
      </c>
      <c r="C429" s="296" t="s">
        <v>8</v>
      </c>
      <c r="D429" s="297">
        <v>698.15</v>
      </c>
      <c r="E429" s="297">
        <f t="shared" si="14"/>
        <v>698.15</v>
      </c>
      <c r="F429" s="297">
        <f t="shared" si="15"/>
        <v>698.15</v>
      </c>
      <c r="G429" s="297"/>
      <c r="H429" s="297"/>
      <c r="I429" s="297"/>
      <c r="J429" s="305"/>
      <c r="K429" s="305"/>
      <c r="L429" s="297">
        <v>209.99</v>
      </c>
      <c r="M429" s="297">
        <v>0</v>
      </c>
      <c r="N429" s="297">
        <v>698.15</v>
      </c>
      <c r="O429" s="297">
        <v>0</v>
      </c>
      <c r="P429" s="297">
        <v>146604.51999999999</v>
      </c>
      <c r="Q429" s="298" t="s">
        <v>242</v>
      </c>
      <c r="R429" s="293" t="s">
        <v>243</v>
      </c>
    </row>
    <row r="430" spans="1:18" ht="36.75" customHeight="1">
      <c r="A430" s="294" t="s">
        <v>2166</v>
      </c>
      <c r="B430" s="295" t="s">
        <v>1145</v>
      </c>
      <c r="C430" s="296" t="s">
        <v>8</v>
      </c>
      <c r="D430" s="297">
        <v>2498.77</v>
      </c>
      <c r="E430" s="297">
        <f t="shared" si="14"/>
        <v>2498.77</v>
      </c>
      <c r="F430" s="297">
        <f t="shared" si="15"/>
        <v>2498.77</v>
      </c>
      <c r="G430" s="297"/>
      <c r="H430" s="297"/>
      <c r="I430" s="297"/>
      <c r="J430" s="305"/>
      <c r="K430" s="305"/>
      <c r="L430" s="297">
        <v>299.98</v>
      </c>
      <c r="M430" s="297">
        <v>0</v>
      </c>
      <c r="N430" s="297">
        <v>1336.4</v>
      </c>
      <c r="O430" s="297">
        <v>0</v>
      </c>
      <c r="P430" s="297">
        <v>400893.27</v>
      </c>
      <c r="Q430" s="298" t="s">
        <v>242</v>
      </c>
      <c r="R430" s="293" t="s">
        <v>243</v>
      </c>
    </row>
    <row r="431" spans="1:18" ht="36.75" customHeight="1">
      <c r="A431" s="294" t="s">
        <v>2167</v>
      </c>
      <c r="B431" s="295" t="s">
        <v>1148</v>
      </c>
      <c r="C431" s="296" t="s">
        <v>8</v>
      </c>
      <c r="D431" s="297">
        <v>1396.3</v>
      </c>
      <c r="E431" s="297">
        <f t="shared" si="14"/>
        <v>1396.3</v>
      </c>
      <c r="F431" s="297">
        <f t="shared" si="15"/>
        <v>1396.3</v>
      </c>
      <c r="G431" s="297"/>
      <c r="H431" s="297"/>
      <c r="I431" s="297"/>
      <c r="J431" s="305"/>
      <c r="K431" s="305"/>
      <c r="L431" s="297">
        <v>199.99</v>
      </c>
      <c r="M431" s="297">
        <v>0</v>
      </c>
      <c r="N431" s="297">
        <v>952.3</v>
      </c>
      <c r="O431" s="297">
        <v>0</v>
      </c>
      <c r="P431" s="297">
        <v>190450.48</v>
      </c>
      <c r="Q431" s="298" t="s">
        <v>242</v>
      </c>
      <c r="R431" s="293" t="s">
        <v>243</v>
      </c>
    </row>
    <row r="432" spans="1:18" ht="36.75" customHeight="1">
      <c r="A432" s="294" t="s">
        <v>2168</v>
      </c>
      <c r="B432" s="295" t="s">
        <v>1151</v>
      </c>
      <c r="C432" s="296" t="s">
        <v>4</v>
      </c>
      <c r="D432" s="297">
        <v>1</v>
      </c>
      <c r="E432" s="297">
        <f t="shared" si="14"/>
        <v>1</v>
      </c>
      <c r="F432" s="297">
        <f t="shared" si="15"/>
        <v>1</v>
      </c>
      <c r="G432" s="297"/>
      <c r="H432" s="297"/>
      <c r="I432" s="297"/>
      <c r="J432" s="305"/>
      <c r="K432" s="305"/>
      <c r="L432" s="297">
        <v>21835.68</v>
      </c>
      <c r="M432" s="297">
        <v>1</v>
      </c>
      <c r="N432" s="297">
        <v>1</v>
      </c>
      <c r="O432" s="297">
        <v>13101</v>
      </c>
      <c r="P432" s="297">
        <v>13101</v>
      </c>
      <c r="Q432" s="298" t="s">
        <v>2247</v>
      </c>
      <c r="R432" s="293" t="s">
        <v>243</v>
      </c>
    </row>
    <row r="433" spans="1:18" ht="36.75" customHeight="1">
      <c r="A433" s="294" t="s">
        <v>2169</v>
      </c>
      <c r="B433" s="295" t="s">
        <v>1556</v>
      </c>
      <c r="C433" s="296" t="s">
        <v>8</v>
      </c>
      <c r="D433" s="297">
        <v>0</v>
      </c>
      <c r="E433" s="297">
        <v>355</v>
      </c>
      <c r="F433" s="297">
        <f>E433</f>
        <v>355</v>
      </c>
      <c r="G433" s="297"/>
      <c r="H433" s="297"/>
      <c r="I433" s="297"/>
      <c r="J433" s="305"/>
      <c r="K433" s="305"/>
      <c r="L433" s="297">
        <v>1859.79</v>
      </c>
      <c r="M433" s="297">
        <v>0</v>
      </c>
      <c r="N433" s="297">
        <v>355</v>
      </c>
      <c r="O433" s="297">
        <v>0</v>
      </c>
      <c r="P433" s="297">
        <v>660225.44999999995</v>
      </c>
      <c r="Q433" s="298" t="s">
        <v>242</v>
      </c>
      <c r="R433" s="293" t="s">
        <v>243</v>
      </c>
    </row>
    <row r="434" spans="1:18" ht="36.75" customHeight="1">
      <c r="A434" s="294" t="s">
        <v>2170</v>
      </c>
      <c r="B434" s="295" t="s">
        <v>29</v>
      </c>
      <c r="C434" s="296" t="s">
        <v>8</v>
      </c>
      <c r="D434" s="297">
        <v>0</v>
      </c>
      <c r="E434" s="297">
        <v>465</v>
      </c>
      <c r="F434" s="297">
        <f>E434</f>
        <v>465</v>
      </c>
      <c r="G434" s="297"/>
      <c r="H434" s="297"/>
      <c r="I434" s="297"/>
      <c r="J434" s="305"/>
      <c r="K434" s="305"/>
      <c r="L434" s="297">
        <v>293.70999999999998</v>
      </c>
      <c r="M434" s="297">
        <v>200</v>
      </c>
      <c r="N434" s="297">
        <v>313</v>
      </c>
      <c r="O434" s="297">
        <v>58742</v>
      </c>
      <c r="P434" s="297">
        <v>91931.23</v>
      </c>
      <c r="Q434" s="298" t="s">
        <v>242</v>
      </c>
      <c r="R434" s="293" t="s">
        <v>243</v>
      </c>
    </row>
    <row r="435" spans="1:18" s="240" customFormat="1" ht="36.75" customHeight="1">
      <c r="A435" s="393" t="s">
        <v>2171</v>
      </c>
      <c r="B435" s="394" t="s">
        <v>1559</v>
      </c>
      <c r="C435" s="395" t="s">
        <v>16</v>
      </c>
      <c r="D435" s="396">
        <v>0</v>
      </c>
      <c r="E435" s="396">
        <v>4920</v>
      </c>
      <c r="F435" s="396">
        <f>G435</f>
        <v>6945</v>
      </c>
      <c r="G435" s="396">
        <f>'數量計算(FOR4變)'!I634</f>
        <v>6945</v>
      </c>
      <c r="H435" s="396">
        <f>G435-E435</f>
        <v>2025</v>
      </c>
      <c r="I435" s="396">
        <f>ROUND(H435*L435,2)</f>
        <v>566959.5</v>
      </c>
      <c r="J435" s="397"/>
      <c r="K435" s="397"/>
      <c r="L435" s="396">
        <v>279.98</v>
      </c>
      <c r="M435" s="396">
        <v>75</v>
      </c>
      <c r="N435" s="396">
        <v>4920</v>
      </c>
      <c r="O435" s="396">
        <v>20998.5</v>
      </c>
      <c r="P435" s="396">
        <v>1377501.6</v>
      </c>
      <c r="Q435" s="400" t="s">
        <v>2294</v>
      </c>
      <c r="R435" s="399" t="s">
        <v>243</v>
      </c>
    </row>
    <row r="436" spans="1:18" ht="36.75" customHeight="1">
      <c r="A436" s="294" t="s">
        <v>2584</v>
      </c>
      <c r="B436" s="493" t="s">
        <v>2585</v>
      </c>
      <c r="C436" s="491" t="s">
        <v>4</v>
      </c>
      <c r="D436" s="492"/>
      <c r="E436" s="492">
        <v>1</v>
      </c>
      <c r="F436" s="489"/>
      <c r="G436" s="489"/>
      <c r="H436" s="489"/>
      <c r="I436" s="489"/>
      <c r="J436" s="490"/>
      <c r="K436" s="490"/>
      <c r="L436" s="494">
        <v>217999.11</v>
      </c>
      <c r="M436" s="489"/>
      <c r="N436" s="489"/>
      <c r="O436" s="489"/>
      <c r="P436" s="489"/>
      <c r="Q436" s="301"/>
      <c r="R436" s="293"/>
    </row>
    <row r="437" spans="1:18" ht="36.75" customHeight="1">
      <c r="A437" s="294" t="s">
        <v>2255</v>
      </c>
      <c r="B437" s="295" t="s">
        <v>34</v>
      </c>
      <c r="C437" s="296" t="s">
        <v>4</v>
      </c>
      <c r="D437" s="297">
        <v>1</v>
      </c>
      <c r="E437" s="297"/>
      <c r="F437" s="297"/>
      <c r="G437" s="297"/>
      <c r="H437" s="297"/>
      <c r="I437" s="297"/>
      <c r="J437" s="305"/>
      <c r="K437" s="305"/>
      <c r="L437" s="297">
        <v>3112577.47</v>
      </c>
      <c r="M437" s="297">
        <v>1</v>
      </c>
      <c r="N437" s="297">
        <v>1</v>
      </c>
      <c r="O437" s="297">
        <v>163236</v>
      </c>
      <c r="P437" s="297">
        <v>1859795</v>
      </c>
      <c r="Q437" s="298" t="s">
        <v>242</v>
      </c>
      <c r="R437" s="293" t="s">
        <v>243</v>
      </c>
    </row>
    <row r="438" spans="1:18" ht="36.75" customHeight="1">
      <c r="A438" s="294" t="s">
        <v>2154</v>
      </c>
      <c r="B438" s="295" t="s">
        <v>146</v>
      </c>
      <c r="C438" s="296" t="s">
        <v>1007</v>
      </c>
      <c r="D438" s="297">
        <v>10</v>
      </c>
      <c r="E438" s="297">
        <f>D438</f>
        <v>10</v>
      </c>
      <c r="F438" s="297">
        <f>D438</f>
        <v>10</v>
      </c>
      <c r="G438" s="297"/>
      <c r="H438" s="297"/>
      <c r="I438" s="297"/>
      <c r="J438" s="305"/>
      <c r="K438" s="305"/>
      <c r="L438" s="297">
        <v>770</v>
      </c>
      <c r="M438" s="297">
        <v>0</v>
      </c>
      <c r="N438" s="297">
        <v>10</v>
      </c>
      <c r="O438" s="297">
        <v>0</v>
      </c>
      <c r="P438" s="297">
        <v>7700</v>
      </c>
      <c r="Q438" s="298" t="s">
        <v>242</v>
      </c>
      <c r="R438" s="293" t="s">
        <v>243</v>
      </c>
    </row>
    <row r="439" spans="1:18" ht="36.75" customHeight="1">
      <c r="A439" s="294" t="s">
        <v>2155</v>
      </c>
      <c r="B439" s="295" t="s">
        <v>145</v>
      </c>
      <c r="C439" s="296" t="s">
        <v>1</v>
      </c>
      <c r="D439" s="297">
        <v>100</v>
      </c>
      <c r="E439" s="297">
        <f t="shared" ref="E439:E463" si="16">D439</f>
        <v>100</v>
      </c>
      <c r="F439" s="297">
        <f t="shared" ref="F439:F461" si="17">D439</f>
        <v>100</v>
      </c>
      <c r="G439" s="297"/>
      <c r="H439" s="297"/>
      <c r="I439" s="297"/>
      <c r="J439" s="305"/>
      <c r="K439" s="305"/>
      <c r="L439" s="297">
        <v>201</v>
      </c>
      <c r="M439" s="297">
        <v>0</v>
      </c>
      <c r="N439" s="297">
        <v>100</v>
      </c>
      <c r="O439" s="297">
        <v>0</v>
      </c>
      <c r="P439" s="297">
        <v>20100</v>
      </c>
      <c r="Q439" s="298" t="s">
        <v>242</v>
      </c>
      <c r="R439" s="293" t="s">
        <v>243</v>
      </c>
    </row>
    <row r="440" spans="1:18" ht="36.75" customHeight="1">
      <c r="A440" s="294" t="s">
        <v>2156</v>
      </c>
      <c r="B440" s="295" t="s">
        <v>144</v>
      </c>
      <c r="C440" s="296" t="s">
        <v>9</v>
      </c>
      <c r="D440" s="297">
        <v>50</v>
      </c>
      <c r="E440" s="297">
        <f t="shared" si="16"/>
        <v>50</v>
      </c>
      <c r="F440" s="297">
        <f t="shared" si="17"/>
        <v>50</v>
      </c>
      <c r="G440" s="297"/>
      <c r="H440" s="297"/>
      <c r="I440" s="297"/>
      <c r="J440" s="305"/>
      <c r="K440" s="305"/>
      <c r="L440" s="297">
        <v>300</v>
      </c>
      <c r="M440" s="297">
        <v>0</v>
      </c>
      <c r="N440" s="297">
        <v>30</v>
      </c>
      <c r="O440" s="297">
        <v>0</v>
      </c>
      <c r="P440" s="297">
        <v>9000</v>
      </c>
      <c r="Q440" s="298" t="s">
        <v>242</v>
      </c>
      <c r="R440" s="293" t="s">
        <v>243</v>
      </c>
    </row>
    <row r="441" spans="1:18" ht="36.75" customHeight="1">
      <c r="A441" s="294" t="s">
        <v>2157</v>
      </c>
      <c r="B441" s="295" t="s">
        <v>35</v>
      </c>
      <c r="C441" s="296" t="s">
        <v>15</v>
      </c>
      <c r="D441" s="297">
        <v>75</v>
      </c>
      <c r="E441" s="297">
        <f t="shared" si="16"/>
        <v>75</v>
      </c>
      <c r="F441" s="297">
        <f t="shared" si="17"/>
        <v>75</v>
      </c>
      <c r="G441" s="297"/>
      <c r="H441" s="297"/>
      <c r="I441" s="297"/>
      <c r="J441" s="305"/>
      <c r="K441" s="305"/>
      <c r="L441" s="297">
        <v>650</v>
      </c>
      <c r="M441" s="297">
        <v>0</v>
      </c>
      <c r="N441" s="297">
        <v>40</v>
      </c>
      <c r="O441" s="297">
        <v>0</v>
      </c>
      <c r="P441" s="297">
        <v>26000</v>
      </c>
      <c r="Q441" s="298" t="s">
        <v>242</v>
      </c>
      <c r="R441" s="293" t="s">
        <v>243</v>
      </c>
    </row>
    <row r="442" spans="1:18" ht="36.75" customHeight="1">
      <c r="A442" s="294" t="s">
        <v>2158</v>
      </c>
      <c r="B442" s="295" t="s">
        <v>143</v>
      </c>
      <c r="C442" s="296" t="s">
        <v>3</v>
      </c>
      <c r="D442" s="297">
        <v>200</v>
      </c>
      <c r="E442" s="297">
        <f t="shared" si="16"/>
        <v>200</v>
      </c>
      <c r="F442" s="297">
        <f t="shared" si="17"/>
        <v>200</v>
      </c>
      <c r="G442" s="297"/>
      <c r="H442" s="297"/>
      <c r="I442" s="297"/>
      <c r="J442" s="305"/>
      <c r="K442" s="305"/>
      <c r="L442" s="297">
        <v>28</v>
      </c>
      <c r="M442" s="297">
        <v>0</v>
      </c>
      <c r="N442" s="297">
        <v>70</v>
      </c>
      <c r="O442" s="297">
        <v>0</v>
      </c>
      <c r="P442" s="297">
        <v>1960</v>
      </c>
      <c r="Q442" s="298" t="s">
        <v>242</v>
      </c>
      <c r="R442" s="293" t="s">
        <v>243</v>
      </c>
    </row>
    <row r="443" spans="1:18" ht="36.75" customHeight="1">
      <c r="A443" s="294" t="s">
        <v>2159</v>
      </c>
      <c r="B443" s="295" t="s">
        <v>36</v>
      </c>
      <c r="C443" s="296" t="s">
        <v>3</v>
      </c>
      <c r="D443" s="297">
        <v>100</v>
      </c>
      <c r="E443" s="297">
        <f t="shared" si="16"/>
        <v>100</v>
      </c>
      <c r="F443" s="297">
        <f t="shared" si="17"/>
        <v>100</v>
      </c>
      <c r="G443" s="297"/>
      <c r="H443" s="297"/>
      <c r="I443" s="297"/>
      <c r="J443" s="305"/>
      <c r="K443" s="305"/>
      <c r="L443" s="297">
        <v>500</v>
      </c>
      <c r="M443" s="297">
        <v>0</v>
      </c>
      <c r="N443" s="297">
        <v>100</v>
      </c>
      <c r="O443" s="297">
        <v>0</v>
      </c>
      <c r="P443" s="297">
        <v>50000</v>
      </c>
      <c r="Q443" s="298" t="s">
        <v>242</v>
      </c>
      <c r="R443" s="293" t="s">
        <v>243</v>
      </c>
    </row>
    <row r="444" spans="1:18" ht="36.75" customHeight="1">
      <c r="A444" s="294" t="s">
        <v>2160</v>
      </c>
      <c r="B444" s="295" t="s">
        <v>1159</v>
      </c>
      <c r="C444" s="296" t="s">
        <v>18</v>
      </c>
      <c r="D444" s="297">
        <v>75</v>
      </c>
      <c r="E444" s="297">
        <f t="shared" si="16"/>
        <v>75</v>
      </c>
      <c r="F444" s="297">
        <v>75</v>
      </c>
      <c r="G444" s="297"/>
      <c r="H444" s="297"/>
      <c r="I444" s="297"/>
      <c r="J444" s="305"/>
      <c r="K444" s="305"/>
      <c r="L444" s="297">
        <v>280</v>
      </c>
      <c r="M444" s="297">
        <v>0</v>
      </c>
      <c r="N444" s="297">
        <v>0</v>
      </c>
      <c r="O444" s="297">
        <v>0</v>
      </c>
      <c r="P444" s="297">
        <v>0</v>
      </c>
      <c r="Q444" s="457" t="s">
        <v>2519</v>
      </c>
      <c r="R444" s="293" t="s">
        <v>243</v>
      </c>
    </row>
    <row r="445" spans="1:18" ht="36.75" customHeight="1">
      <c r="A445" s="294" t="s">
        <v>2161</v>
      </c>
      <c r="B445" s="295" t="s">
        <v>37</v>
      </c>
      <c r="C445" s="296" t="s">
        <v>18</v>
      </c>
      <c r="D445" s="297">
        <v>50</v>
      </c>
      <c r="E445" s="297">
        <f t="shared" si="16"/>
        <v>50</v>
      </c>
      <c r="F445" s="297">
        <f t="shared" si="17"/>
        <v>50</v>
      </c>
      <c r="G445" s="297"/>
      <c r="H445" s="297"/>
      <c r="I445" s="297"/>
      <c r="J445" s="305"/>
      <c r="K445" s="305"/>
      <c r="L445" s="297">
        <v>350</v>
      </c>
      <c r="M445" s="297">
        <v>0</v>
      </c>
      <c r="N445" s="297">
        <v>50</v>
      </c>
      <c r="O445" s="297">
        <v>0</v>
      </c>
      <c r="P445" s="297">
        <v>17500</v>
      </c>
      <c r="Q445" s="298" t="s">
        <v>242</v>
      </c>
      <c r="R445" s="293" t="s">
        <v>243</v>
      </c>
    </row>
    <row r="446" spans="1:18" ht="36.75" customHeight="1">
      <c r="A446" s="294" t="s">
        <v>2162</v>
      </c>
      <c r="B446" s="295" t="s">
        <v>1162</v>
      </c>
      <c r="C446" s="296" t="s">
        <v>15</v>
      </c>
      <c r="D446" s="297">
        <v>10</v>
      </c>
      <c r="E446" s="297">
        <f t="shared" si="16"/>
        <v>10</v>
      </c>
      <c r="F446" s="297">
        <f t="shared" si="17"/>
        <v>10</v>
      </c>
      <c r="G446" s="297"/>
      <c r="H446" s="297"/>
      <c r="I446" s="297"/>
      <c r="J446" s="305"/>
      <c r="K446" s="305"/>
      <c r="L446" s="297">
        <v>560</v>
      </c>
      <c r="M446" s="297">
        <v>0</v>
      </c>
      <c r="N446" s="297">
        <v>10</v>
      </c>
      <c r="O446" s="297">
        <v>0</v>
      </c>
      <c r="P446" s="297">
        <v>5600</v>
      </c>
      <c r="Q446" s="298" t="s">
        <v>242</v>
      </c>
      <c r="R446" s="293" t="s">
        <v>243</v>
      </c>
    </row>
    <row r="447" spans="1:18" ht="36.75" customHeight="1">
      <c r="A447" s="294" t="s">
        <v>2163</v>
      </c>
      <c r="B447" s="295" t="s">
        <v>38</v>
      </c>
      <c r="C447" s="296" t="s">
        <v>7</v>
      </c>
      <c r="D447" s="297">
        <v>4</v>
      </c>
      <c r="E447" s="297">
        <f t="shared" si="16"/>
        <v>4</v>
      </c>
      <c r="F447" s="297">
        <f t="shared" si="17"/>
        <v>4</v>
      </c>
      <c r="G447" s="297"/>
      <c r="H447" s="297"/>
      <c r="I447" s="297"/>
      <c r="J447" s="305"/>
      <c r="K447" s="305"/>
      <c r="L447" s="297">
        <v>250</v>
      </c>
      <c r="M447" s="297">
        <v>0</v>
      </c>
      <c r="N447" s="297">
        <v>4</v>
      </c>
      <c r="O447" s="297">
        <v>0</v>
      </c>
      <c r="P447" s="297">
        <v>1000</v>
      </c>
      <c r="Q447" s="298" t="s">
        <v>242</v>
      </c>
      <c r="R447" s="293" t="s">
        <v>243</v>
      </c>
    </row>
    <row r="448" spans="1:18" ht="36.75" customHeight="1">
      <c r="A448" s="294" t="s">
        <v>2164</v>
      </c>
      <c r="B448" s="295" t="s">
        <v>1165</v>
      </c>
      <c r="C448" s="296" t="s">
        <v>15</v>
      </c>
      <c r="D448" s="297">
        <v>5</v>
      </c>
      <c r="E448" s="297">
        <f t="shared" si="16"/>
        <v>5</v>
      </c>
      <c r="F448" s="297">
        <f t="shared" si="17"/>
        <v>5</v>
      </c>
      <c r="G448" s="297"/>
      <c r="H448" s="297"/>
      <c r="I448" s="297"/>
      <c r="J448" s="305"/>
      <c r="K448" s="305"/>
      <c r="L448" s="297">
        <v>8300</v>
      </c>
      <c r="M448" s="297">
        <v>0</v>
      </c>
      <c r="N448" s="297">
        <v>5</v>
      </c>
      <c r="O448" s="297">
        <v>0</v>
      </c>
      <c r="P448" s="297">
        <v>41500</v>
      </c>
      <c r="Q448" s="298" t="s">
        <v>242</v>
      </c>
      <c r="R448" s="293" t="s">
        <v>243</v>
      </c>
    </row>
    <row r="449" spans="1:18" ht="36.75" customHeight="1">
      <c r="A449" s="294" t="s">
        <v>2165</v>
      </c>
      <c r="B449" s="295" t="s">
        <v>1168</v>
      </c>
      <c r="C449" s="296" t="s">
        <v>15</v>
      </c>
      <c r="D449" s="297">
        <v>5</v>
      </c>
      <c r="E449" s="297">
        <f t="shared" si="16"/>
        <v>5</v>
      </c>
      <c r="F449" s="297">
        <f t="shared" si="17"/>
        <v>5</v>
      </c>
      <c r="G449" s="297"/>
      <c r="H449" s="297"/>
      <c r="I449" s="297"/>
      <c r="J449" s="305"/>
      <c r="K449" s="305"/>
      <c r="L449" s="297">
        <v>1160</v>
      </c>
      <c r="M449" s="297">
        <v>0</v>
      </c>
      <c r="N449" s="297">
        <v>5</v>
      </c>
      <c r="O449" s="297">
        <v>0</v>
      </c>
      <c r="P449" s="297">
        <v>5800</v>
      </c>
      <c r="Q449" s="298" t="s">
        <v>242</v>
      </c>
      <c r="R449" s="293" t="s">
        <v>243</v>
      </c>
    </row>
    <row r="450" spans="1:18" ht="36.75" customHeight="1">
      <c r="A450" s="294" t="s">
        <v>2166</v>
      </c>
      <c r="B450" s="295" t="s">
        <v>1171</v>
      </c>
      <c r="C450" s="296" t="s">
        <v>15</v>
      </c>
      <c r="D450" s="297">
        <v>5</v>
      </c>
      <c r="E450" s="297">
        <f t="shared" si="16"/>
        <v>5</v>
      </c>
      <c r="F450" s="297">
        <f t="shared" si="17"/>
        <v>5</v>
      </c>
      <c r="G450" s="297"/>
      <c r="H450" s="297"/>
      <c r="I450" s="297"/>
      <c r="J450" s="305"/>
      <c r="K450" s="305"/>
      <c r="L450" s="297">
        <v>600</v>
      </c>
      <c r="M450" s="297">
        <v>0</v>
      </c>
      <c r="N450" s="297">
        <v>5</v>
      </c>
      <c r="O450" s="297">
        <v>0</v>
      </c>
      <c r="P450" s="297">
        <v>3000</v>
      </c>
      <c r="Q450" s="298" t="s">
        <v>242</v>
      </c>
      <c r="R450" s="293" t="s">
        <v>243</v>
      </c>
    </row>
    <row r="451" spans="1:18" ht="36.75" customHeight="1">
      <c r="A451" s="294" t="s">
        <v>2167</v>
      </c>
      <c r="B451" s="295" t="s">
        <v>1174</v>
      </c>
      <c r="C451" s="296" t="s">
        <v>15</v>
      </c>
      <c r="D451" s="297">
        <v>5</v>
      </c>
      <c r="E451" s="297">
        <f t="shared" si="16"/>
        <v>5</v>
      </c>
      <c r="F451" s="297">
        <f t="shared" si="17"/>
        <v>5</v>
      </c>
      <c r="G451" s="297"/>
      <c r="H451" s="297"/>
      <c r="I451" s="297"/>
      <c r="J451" s="305"/>
      <c r="K451" s="305"/>
      <c r="L451" s="297">
        <v>1800</v>
      </c>
      <c r="M451" s="297">
        <v>0</v>
      </c>
      <c r="N451" s="297">
        <v>5</v>
      </c>
      <c r="O451" s="297">
        <v>0</v>
      </c>
      <c r="P451" s="297">
        <v>9000</v>
      </c>
      <c r="Q451" s="298" t="s">
        <v>242</v>
      </c>
      <c r="R451" s="293" t="s">
        <v>243</v>
      </c>
    </row>
    <row r="452" spans="1:18" ht="36.75" customHeight="1">
      <c r="A452" s="294" t="s">
        <v>2168</v>
      </c>
      <c r="B452" s="295" t="s">
        <v>1177</v>
      </c>
      <c r="C452" s="296" t="s">
        <v>15</v>
      </c>
      <c r="D452" s="297">
        <v>80</v>
      </c>
      <c r="E452" s="297">
        <f t="shared" si="16"/>
        <v>80</v>
      </c>
      <c r="F452" s="297">
        <f t="shared" si="17"/>
        <v>80</v>
      </c>
      <c r="G452" s="297"/>
      <c r="H452" s="297"/>
      <c r="I452" s="297"/>
      <c r="J452" s="305"/>
      <c r="K452" s="305"/>
      <c r="L452" s="297">
        <v>2200</v>
      </c>
      <c r="M452" s="297">
        <v>0</v>
      </c>
      <c r="N452" s="297">
        <v>80</v>
      </c>
      <c r="O452" s="297">
        <v>0</v>
      </c>
      <c r="P452" s="297">
        <v>176000</v>
      </c>
      <c r="Q452" s="298" t="s">
        <v>242</v>
      </c>
      <c r="R452" s="293" t="s">
        <v>243</v>
      </c>
    </row>
    <row r="453" spans="1:18" ht="36.75" customHeight="1">
      <c r="A453" s="294" t="s">
        <v>2169</v>
      </c>
      <c r="B453" s="295" t="s">
        <v>39</v>
      </c>
      <c r="C453" s="296" t="s">
        <v>4</v>
      </c>
      <c r="D453" s="297">
        <v>1</v>
      </c>
      <c r="E453" s="297">
        <f t="shared" si="16"/>
        <v>1</v>
      </c>
      <c r="F453" s="297">
        <f t="shared" si="17"/>
        <v>1</v>
      </c>
      <c r="G453" s="297"/>
      <c r="H453" s="297"/>
      <c r="I453" s="297"/>
      <c r="J453" s="305"/>
      <c r="K453" s="305"/>
      <c r="L453" s="297">
        <v>232697.98</v>
      </c>
      <c r="M453" s="297">
        <v>1</v>
      </c>
      <c r="N453" s="297">
        <v>1</v>
      </c>
      <c r="O453" s="297">
        <v>46530</v>
      </c>
      <c r="P453" s="297">
        <v>139610</v>
      </c>
      <c r="Q453" s="298" t="s">
        <v>2247</v>
      </c>
      <c r="R453" s="293" t="s">
        <v>243</v>
      </c>
    </row>
    <row r="454" spans="1:18" ht="36.75" customHeight="1">
      <c r="A454" s="294" t="s">
        <v>2170</v>
      </c>
      <c r="B454" s="295" t="s">
        <v>1182</v>
      </c>
      <c r="C454" s="296" t="s">
        <v>8</v>
      </c>
      <c r="D454" s="297">
        <v>5000</v>
      </c>
      <c r="E454" s="297">
        <f t="shared" si="16"/>
        <v>5000</v>
      </c>
      <c r="F454" s="297">
        <f t="shared" si="17"/>
        <v>5000</v>
      </c>
      <c r="G454" s="297"/>
      <c r="H454" s="297"/>
      <c r="I454" s="297"/>
      <c r="J454" s="305"/>
      <c r="K454" s="305"/>
      <c r="L454" s="297">
        <v>13</v>
      </c>
      <c r="M454" s="297">
        <v>0</v>
      </c>
      <c r="N454" s="297">
        <v>3580</v>
      </c>
      <c r="O454" s="297">
        <v>0</v>
      </c>
      <c r="P454" s="297">
        <v>46540</v>
      </c>
      <c r="Q454" s="298" t="s">
        <v>242</v>
      </c>
      <c r="R454" s="293" t="s">
        <v>243</v>
      </c>
    </row>
    <row r="455" spans="1:18" ht="36.75" customHeight="1">
      <c r="A455" s="294" t="s">
        <v>2171</v>
      </c>
      <c r="B455" s="295" t="s">
        <v>225</v>
      </c>
      <c r="C455" s="296" t="s">
        <v>226</v>
      </c>
      <c r="D455" s="297">
        <v>48</v>
      </c>
      <c r="E455" s="297">
        <f t="shared" si="16"/>
        <v>48</v>
      </c>
      <c r="F455" s="297">
        <f t="shared" si="17"/>
        <v>48</v>
      </c>
      <c r="G455" s="297"/>
      <c r="H455" s="297"/>
      <c r="I455" s="297"/>
      <c r="J455" s="305"/>
      <c r="K455" s="305"/>
      <c r="L455" s="297">
        <v>47468</v>
      </c>
      <c r="M455" s="297">
        <v>2</v>
      </c>
      <c r="N455" s="297">
        <v>26</v>
      </c>
      <c r="O455" s="297">
        <v>94936</v>
      </c>
      <c r="P455" s="297">
        <v>1234168</v>
      </c>
      <c r="Q455" s="298" t="s">
        <v>242</v>
      </c>
      <c r="R455" s="293" t="s">
        <v>243</v>
      </c>
    </row>
    <row r="456" spans="1:18" ht="36.75" customHeight="1">
      <c r="A456" s="294" t="s">
        <v>2172</v>
      </c>
      <c r="B456" s="295" t="s">
        <v>1187</v>
      </c>
      <c r="C456" s="296" t="s">
        <v>4</v>
      </c>
      <c r="D456" s="297">
        <v>1</v>
      </c>
      <c r="E456" s="297">
        <f t="shared" si="16"/>
        <v>1</v>
      </c>
      <c r="F456" s="297">
        <f t="shared" si="17"/>
        <v>1</v>
      </c>
      <c r="G456" s="297"/>
      <c r="H456" s="297"/>
      <c r="I456" s="297"/>
      <c r="J456" s="305"/>
      <c r="K456" s="305"/>
      <c r="L456" s="297">
        <v>108865.49</v>
      </c>
      <c r="M456" s="297">
        <v>1</v>
      </c>
      <c r="N456" s="297">
        <v>1</v>
      </c>
      <c r="O456" s="297">
        <v>21770</v>
      </c>
      <c r="P456" s="297">
        <v>65317</v>
      </c>
      <c r="Q456" s="298" t="s">
        <v>2247</v>
      </c>
      <c r="R456" s="293" t="s">
        <v>243</v>
      </c>
    </row>
    <row r="457" spans="1:18" ht="36.75" customHeight="1">
      <c r="A457" s="294" t="s">
        <v>2256</v>
      </c>
      <c r="B457" s="295" t="s">
        <v>227</v>
      </c>
      <c r="C457" s="296" t="s">
        <v>4</v>
      </c>
      <c r="D457" s="297">
        <v>1</v>
      </c>
      <c r="E457" s="297">
        <f t="shared" si="16"/>
        <v>1</v>
      </c>
      <c r="F457" s="297">
        <f t="shared" si="17"/>
        <v>1</v>
      </c>
      <c r="G457" s="297"/>
      <c r="H457" s="297"/>
      <c r="I457" s="297"/>
      <c r="J457" s="305"/>
      <c r="K457" s="305"/>
      <c r="L457" s="297">
        <v>2769229.16</v>
      </c>
      <c r="M457" s="297">
        <v>1</v>
      </c>
      <c r="N457" s="297">
        <v>1</v>
      </c>
      <c r="O457" s="297">
        <v>188286</v>
      </c>
      <c r="P457" s="297">
        <v>1528623</v>
      </c>
      <c r="Q457" s="298" t="s">
        <v>242</v>
      </c>
      <c r="R457" s="293" t="s">
        <v>243</v>
      </c>
    </row>
    <row r="458" spans="1:18" ht="36.75" customHeight="1">
      <c r="A458" s="294" t="s">
        <v>2154</v>
      </c>
      <c r="B458" s="295" t="s">
        <v>228</v>
      </c>
      <c r="C458" s="296" t="s">
        <v>226</v>
      </c>
      <c r="D458" s="297">
        <v>48</v>
      </c>
      <c r="E458" s="297">
        <f t="shared" si="16"/>
        <v>48</v>
      </c>
      <c r="F458" s="297">
        <f t="shared" si="17"/>
        <v>48</v>
      </c>
      <c r="G458" s="297"/>
      <c r="H458" s="297"/>
      <c r="I458" s="297"/>
      <c r="J458" s="305"/>
      <c r="K458" s="305"/>
      <c r="L458" s="297">
        <v>47468</v>
      </c>
      <c r="M458" s="297">
        <v>2</v>
      </c>
      <c r="N458" s="297">
        <v>26</v>
      </c>
      <c r="O458" s="297">
        <v>94936</v>
      </c>
      <c r="P458" s="297">
        <v>1234168</v>
      </c>
      <c r="Q458" s="298" t="s">
        <v>242</v>
      </c>
      <c r="R458" s="293" t="s">
        <v>243</v>
      </c>
    </row>
    <row r="459" spans="1:18" ht="36.75" customHeight="1">
      <c r="A459" s="294" t="s">
        <v>2155</v>
      </c>
      <c r="B459" s="295" t="s">
        <v>1193</v>
      </c>
      <c r="C459" s="296" t="s">
        <v>4</v>
      </c>
      <c r="D459" s="297">
        <v>1</v>
      </c>
      <c r="E459" s="297">
        <f t="shared" si="16"/>
        <v>1</v>
      </c>
      <c r="F459" s="297">
        <f t="shared" si="17"/>
        <v>1</v>
      </c>
      <c r="G459" s="297"/>
      <c r="H459" s="297"/>
      <c r="I459" s="297"/>
      <c r="J459" s="305"/>
      <c r="K459" s="305"/>
      <c r="L459" s="297">
        <v>490765.16</v>
      </c>
      <c r="M459" s="297">
        <v>1</v>
      </c>
      <c r="N459" s="297">
        <v>1</v>
      </c>
      <c r="O459" s="297">
        <v>93350</v>
      </c>
      <c r="P459" s="297">
        <v>294455</v>
      </c>
      <c r="Q459" s="298" t="s">
        <v>2247</v>
      </c>
      <c r="R459" s="293" t="s">
        <v>243</v>
      </c>
    </row>
    <row r="460" spans="1:18" ht="36.75" customHeight="1">
      <c r="A460" s="294" t="s">
        <v>2257</v>
      </c>
      <c r="B460" s="295" t="s">
        <v>1196</v>
      </c>
      <c r="C460" s="296" t="s">
        <v>4</v>
      </c>
      <c r="D460" s="297">
        <v>1</v>
      </c>
      <c r="E460" s="297">
        <f t="shared" si="16"/>
        <v>1</v>
      </c>
      <c r="F460" s="297">
        <f t="shared" si="17"/>
        <v>1</v>
      </c>
      <c r="G460" s="297"/>
      <c r="H460" s="297"/>
      <c r="I460" s="297"/>
      <c r="J460" s="305"/>
      <c r="K460" s="305"/>
      <c r="L460" s="297">
        <v>29883681.059999999</v>
      </c>
      <c r="M460" s="297">
        <v>1</v>
      </c>
      <c r="N460" s="297">
        <v>1</v>
      </c>
      <c r="O460" s="297">
        <v>727770.75</v>
      </c>
      <c r="P460" s="297">
        <v>18764537.870000001</v>
      </c>
      <c r="Q460" s="298" t="s">
        <v>2258</v>
      </c>
      <c r="R460" s="293" t="s">
        <v>243</v>
      </c>
    </row>
    <row r="461" spans="1:18" ht="36.75" customHeight="1">
      <c r="A461" s="294" t="s">
        <v>2259</v>
      </c>
      <c r="B461" s="295" t="s">
        <v>1199</v>
      </c>
      <c r="C461" s="296" t="s">
        <v>4</v>
      </c>
      <c r="D461" s="297">
        <v>1</v>
      </c>
      <c r="E461" s="297">
        <f t="shared" si="16"/>
        <v>1</v>
      </c>
      <c r="F461" s="297">
        <f t="shared" si="17"/>
        <v>1</v>
      </c>
      <c r="G461" s="297"/>
      <c r="H461" s="297"/>
      <c r="I461" s="297"/>
      <c r="J461" s="305"/>
      <c r="K461" s="305"/>
      <c r="L461" s="297">
        <v>1987650</v>
      </c>
      <c r="M461" s="297">
        <v>1</v>
      </c>
      <c r="N461" s="297">
        <v>1</v>
      </c>
      <c r="O461" s="297">
        <v>23400</v>
      </c>
      <c r="P461" s="297">
        <v>1584000</v>
      </c>
      <c r="Q461" s="298" t="s">
        <v>1200</v>
      </c>
      <c r="R461" s="293" t="s">
        <v>243</v>
      </c>
    </row>
    <row r="462" spans="1:18" ht="36.75" customHeight="1">
      <c r="A462" s="294" t="s">
        <v>2154</v>
      </c>
      <c r="B462" s="295" t="s">
        <v>1199</v>
      </c>
      <c r="C462" s="296" t="s">
        <v>6</v>
      </c>
      <c r="D462" s="297">
        <v>13251</v>
      </c>
      <c r="E462" s="297">
        <f t="shared" si="16"/>
        <v>13251</v>
      </c>
      <c r="F462" s="297">
        <f>'數量計算(FOR4變)'!I661</f>
        <v>18245</v>
      </c>
      <c r="G462" s="297"/>
      <c r="H462" s="297"/>
      <c r="I462" s="297"/>
      <c r="J462" s="305"/>
      <c r="K462" s="305"/>
      <c r="L462" s="297">
        <v>150</v>
      </c>
      <c r="M462" s="297">
        <v>156</v>
      </c>
      <c r="N462" s="297">
        <v>10560</v>
      </c>
      <c r="O462" s="297">
        <v>23400</v>
      </c>
      <c r="P462" s="297">
        <v>1584000</v>
      </c>
      <c r="Q462" s="298" t="s">
        <v>242</v>
      </c>
      <c r="R462" s="293" t="s">
        <v>243</v>
      </c>
    </row>
    <row r="463" spans="1:18" ht="36.75" customHeight="1">
      <c r="A463" s="294" t="s">
        <v>2260</v>
      </c>
      <c r="B463" s="295" t="s">
        <v>1204</v>
      </c>
      <c r="C463" s="296" t="s">
        <v>4</v>
      </c>
      <c r="D463" s="297">
        <v>1</v>
      </c>
      <c r="E463" s="297">
        <f t="shared" si="16"/>
        <v>1</v>
      </c>
      <c r="F463" s="297">
        <v>1</v>
      </c>
      <c r="G463" s="297"/>
      <c r="H463" s="297"/>
      <c r="I463" s="297"/>
      <c r="J463" s="305"/>
      <c r="K463" s="305"/>
      <c r="L463" s="297">
        <v>179691.68</v>
      </c>
      <c r="M463" s="297">
        <v>0</v>
      </c>
      <c r="N463" s="297">
        <v>1</v>
      </c>
      <c r="O463" s="297">
        <v>0</v>
      </c>
      <c r="P463" s="297">
        <v>161973.84</v>
      </c>
      <c r="Q463" s="298" t="s">
        <v>1205</v>
      </c>
      <c r="R463" s="293" t="s">
        <v>243</v>
      </c>
    </row>
    <row r="464" spans="1:18" ht="36.75" customHeight="1">
      <c r="A464" s="294" t="s">
        <v>2154</v>
      </c>
      <c r="B464" s="295" t="s">
        <v>1207</v>
      </c>
      <c r="C464" s="296" t="s">
        <v>13</v>
      </c>
      <c r="D464" s="297">
        <v>1000</v>
      </c>
      <c r="E464" s="297">
        <v>3208.78</v>
      </c>
      <c r="F464" s="297">
        <f>E464</f>
        <v>3208.78</v>
      </c>
      <c r="G464" s="297"/>
      <c r="H464" s="297"/>
      <c r="I464" s="297"/>
      <c r="J464" s="305"/>
      <c r="K464" s="305"/>
      <c r="L464" s="297">
        <v>56</v>
      </c>
      <c r="M464" s="297">
        <v>0</v>
      </c>
      <c r="N464" s="297">
        <v>2892.39</v>
      </c>
      <c r="O464" s="297">
        <v>0</v>
      </c>
      <c r="P464" s="297">
        <v>161973.84</v>
      </c>
      <c r="Q464" s="298" t="s">
        <v>242</v>
      </c>
      <c r="R464" s="293" t="s">
        <v>243</v>
      </c>
    </row>
    <row r="465" spans="1:18" ht="36.75" customHeight="1">
      <c r="A465" s="294" t="s">
        <v>2154</v>
      </c>
      <c r="B465" s="295" t="s">
        <v>1874</v>
      </c>
      <c r="C465" s="296"/>
      <c r="D465" s="297"/>
      <c r="E465" s="297"/>
      <c r="F465" s="297"/>
      <c r="G465" s="297"/>
      <c r="H465" s="297"/>
      <c r="I465" s="297"/>
      <c r="J465" s="305"/>
      <c r="K465" s="305"/>
      <c r="L465" s="297"/>
      <c r="M465" s="297"/>
      <c r="N465" s="297"/>
      <c r="O465" s="297">
        <v>7397700</v>
      </c>
      <c r="P465" s="297">
        <v>191886300</v>
      </c>
      <c r="Q465" s="298"/>
      <c r="R465" s="293" t="s">
        <v>243</v>
      </c>
    </row>
    <row r="466" spans="1:18" ht="36.75" customHeight="1">
      <c r="A466" s="294" t="s">
        <v>2261</v>
      </c>
      <c r="B466" s="295" t="s">
        <v>2262</v>
      </c>
      <c r="C466" s="296" t="s">
        <v>4</v>
      </c>
      <c r="D466" s="297"/>
      <c r="E466" s="297"/>
      <c r="F466" s="297"/>
      <c r="G466" s="297"/>
      <c r="H466" s="297"/>
      <c r="I466" s="297"/>
      <c r="J466" s="305"/>
      <c r="K466" s="305"/>
      <c r="L466" s="297"/>
      <c r="M466" s="297"/>
      <c r="N466" s="297"/>
      <c r="O466" s="297">
        <v>25126</v>
      </c>
      <c r="P466" s="297">
        <v>116836</v>
      </c>
      <c r="Q466" s="298" t="s">
        <v>2263</v>
      </c>
      <c r="R466" s="293" t="s">
        <v>243</v>
      </c>
    </row>
    <row r="467" spans="1:18" ht="36.75" customHeight="1">
      <c r="A467" s="294" t="s">
        <v>2154</v>
      </c>
      <c r="B467" s="295" t="s">
        <v>2264</v>
      </c>
      <c r="C467" s="296"/>
      <c r="D467" s="297"/>
      <c r="E467" s="297"/>
      <c r="F467" s="297"/>
      <c r="G467" s="297"/>
      <c r="H467" s="297"/>
      <c r="I467" s="297"/>
      <c r="J467" s="305"/>
      <c r="K467" s="305"/>
      <c r="L467" s="297"/>
      <c r="M467" s="297"/>
      <c r="N467" s="297"/>
      <c r="O467" s="297">
        <v>7422826</v>
      </c>
      <c r="P467" s="297">
        <v>192003136</v>
      </c>
      <c r="Q467" s="298"/>
      <c r="R467" s="293" t="s">
        <v>243</v>
      </c>
    </row>
    <row r="468" spans="1:18" ht="36.75" customHeight="1">
      <c r="A468" s="294" t="s">
        <v>2265</v>
      </c>
      <c r="B468" s="295" t="s">
        <v>2266</v>
      </c>
      <c r="C468" s="296" t="s">
        <v>4</v>
      </c>
      <c r="D468" s="297"/>
      <c r="E468" s="297"/>
      <c r="F468" s="297"/>
      <c r="G468" s="297"/>
      <c r="H468" s="297"/>
      <c r="I468" s="297"/>
      <c r="J468" s="305"/>
      <c r="K468" s="305"/>
      <c r="L468" s="297"/>
      <c r="M468" s="297"/>
      <c r="N468" s="297"/>
      <c r="O468" s="297">
        <v>0</v>
      </c>
      <c r="P468" s="297">
        <v>778525</v>
      </c>
      <c r="Q468" s="298" t="s">
        <v>242</v>
      </c>
      <c r="R468" s="293" t="s">
        <v>243</v>
      </c>
    </row>
    <row r="469" spans="1:18" ht="36.75" customHeight="1">
      <c r="A469" s="294" t="s">
        <v>2154</v>
      </c>
      <c r="B469" s="295" t="s">
        <v>2267</v>
      </c>
      <c r="C469" s="296" t="s">
        <v>6</v>
      </c>
      <c r="D469" s="297"/>
      <c r="E469" s="297"/>
      <c r="F469" s="297"/>
      <c r="G469" s="297"/>
      <c r="H469" s="297"/>
      <c r="I469" s="297"/>
      <c r="J469" s="305"/>
      <c r="K469" s="305"/>
      <c r="L469" s="297">
        <v>575</v>
      </c>
      <c r="M469" s="297">
        <v>0</v>
      </c>
      <c r="N469" s="297">
        <v>569.4</v>
      </c>
      <c r="O469" s="297">
        <v>0</v>
      </c>
      <c r="P469" s="297">
        <v>327405</v>
      </c>
      <c r="Q469" s="298" t="s">
        <v>242</v>
      </c>
      <c r="R469" s="293" t="s">
        <v>243</v>
      </c>
    </row>
    <row r="470" spans="1:18" ht="36.75" customHeight="1">
      <c r="A470" s="294" t="s">
        <v>2155</v>
      </c>
      <c r="B470" s="295" t="s">
        <v>2268</v>
      </c>
      <c r="C470" s="296" t="s">
        <v>17</v>
      </c>
      <c r="D470" s="297"/>
      <c r="E470" s="297"/>
      <c r="F470" s="297"/>
      <c r="G470" s="297"/>
      <c r="H470" s="297"/>
      <c r="I470" s="297"/>
      <c r="J470" s="305"/>
      <c r="K470" s="305"/>
      <c r="L470" s="297">
        <v>20</v>
      </c>
      <c r="M470" s="297">
        <v>0</v>
      </c>
      <c r="N470" s="297">
        <v>0</v>
      </c>
      <c r="O470" s="297">
        <v>0</v>
      </c>
      <c r="P470" s="297">
        <v>0</v>
      </c>
      <c r="Q470" s="298" t="s">
        <v>242</v>
      </c>
      <c r="R470" s="293" t="s">
        <v>243</v>
      </c>
    </row>
    <row r="471" spans="1:18" ht="36.75" customHeight="1">
      <c r="A471" s="294" t="s">
        <v>2156</v>
      </c>
      <c r="B471" s="295" t="s">
        <v>2269</v>
      </c>
      <c r="C471" s="296" t="s">
        <v>17</v>
      </c>
      <c r="D471" s="297"/>
      <c r="E471" s="297"/>
      <c r="F471" s="297"/>
      <c r="G471" s="297"/>
      <c r="H471" s="297"/>
      <c r="I471" s="297"/>
      <c r="J471" s="305"/>
      <c r="K471" s="305"/>
      <c r="L471" s="297">
        <v>8</v>
      </c>
      <c r="M471" s="297">
        <v>0</v>
      </c>
      <c r="N471" s="297">
        <v>56390</v>
      </c>
      <c r="O471" s="297">
        <v>0</v>
      </c>
      <c r="P471" s="297">
        <v>451120</v>
      </c>
      <c r="Q471" s="298" t="s">
        <v>242</v>
      </c>
      <c r="R471" s="293" t="s">
        <v>243</v>
      </c>
    </row>
    <row r="472" spans="1:18" ht="30" customHeight="1">
      <c r="A472" s="316"/>
      <c r="B472" s="318" t="s">
        <v>142</v>
      </c>
      <c r="C472" s="91"/>
      <c r="D472" s="91"/>
      <c r="E472" s="91"/>
      <c r="F472" s="392"/>
      <c r="G472" s="91"/>
      <c r="H472" s="320" t="s">
        <v>2295</v>
      </c>
      <c r="I472" s="319">
        <f>SUM(I5:I471)</f>
        <v>25088559.959999993</v>
      </c>
      <c r="J472" s="320" t="s">
        <v>2296</v>
      </c>
      <c r="K472" s="321">
        <f>SUM(K5:K471)</f>
        <v>-765382.37</v>
      </c>
      <c r="L472" s="91"/>
      <c r="M472" s="91"/>
      <c r="N472" s="91"/>
      <c r="O472" s="91"/>
      <c r="P472" s="91"/>
      <c r="Q472" s="319">
        <f>I472+K472</f>
        <v>24323177.589999992</v>
      </c>
    </row>
    <row r="473" spans="1:18" ht="27.75" customHeight="1">
      <c r="A473" s="316"/>
      <c r="B473" s="91"/>
      <c r="C473" s="91"/>
      <c r="D473" s="91"/>
      <c r="E473" s="91"/>
      <c r="F473" s="392"/>
      <c r="G473" s="91"/>
      <c r="H473" s="91"/>
      <c r="I473" s="91"/>
      <c r="J473" s="317"/>
      <c r="K473" s="317"/>
      <c r="L473" s="91"/>
      <c r="M473" s="91"/>
      <c r="N473" s="91"/>
      <c r="O473" s="91"/>
      <c r="P473" s="91"/>
      <c r="Q473" s="91"/>
    </row>
    <row r="474" spans="1:18" ht="33" customHeight="1">
      <c r="H474" s="82" t="s">
        <v>2472</v>
      </c>
      <c r="I474" s="101">
        <f>L5+I472+K472</f>
        <v>329298456.58999997</v>
      </c>
    </row>
    <row r="475" spans="1:18" ht="33" customHeight="1">
      <c r="I475" s="101">
        <f>L5+Q472</f>
        <v>329298456.58999997</v>
      </c>
      <c r="J475" s="306">
        <f>I475-契約!F7</f>
        <v>71698456.589999974</v>
      </c>
    </row>
    <row r="476" spans="1:18" ht="36.75" customHeight="1"/>
    <row r="477" spans="1:18" ht="36.75" customHeight="1"/>
    <row r="478" spans="1:18" ht="36.75" customHeight="1"/>
    <row r="479" spans="1:18" ht="36.75" customHeight="1"/>
    <row r="480" spans="1:18" ht="36.75" customHeight="1"/>
    <row r="481" ht="36.75" customHeight="1"/>
    <row r="482" ht="36.75" customHeight="1"/>
    <row r="483" ht="36.75" customHeight="1"/>
    <row r="484" ht="36.75" customHeight="1"/>
    <row r="485" ht="36.75" customHeight="1"/>
    <row r="486" ht="36.75" customHeight="1"/>
    <row r="487" ht="36.75" customHeight="1"/>
    <row r="488" ht="36.75" customHeight="1"/>
    <row r="489" ht="36.75" customHeight="1"/>
    <row r="490" ht="36.75" customHeight="1"/>
    <row r="491" ht="36.75" customHeight="1"/>
    <row r="492" ht="36.75" customHeight="1"/>
    <row r="493" ht="36.75" customHeight="1"/>
    <row r="494" ht="36.75" customHeight="1"/>
    <row r="495" ht="36.75" customHeight="1"/>
    <row r="496" ht="36.75" customHeight="1"/>
    <row r="497" ht="36.75" customHeight="1"/>
    <row r="498" ht="36.75" customHeight="1"/>
    <row r="499" ht="36.75" customHeight="1"/>
    <row r="500" ht="36.75" customHeight="1"/>
    <row r="501" ht="36.75" customHeight="1"/>
    <row r="502" ht="36.75" customHeight="1"/>
    <row r="503" ht="36.75" customHeight="1"/>
    <row r="504" ht="36.75" customHeight="1"/>
    <row r="505" ht="36.75" customHeight="1"/>
    <row r="506" ht="36.75" customHeight="1"/>
    <row r="507" ht="36.75" customHeight="1"/>
    <row r="508" ht="36.75" customHeight="1"/>
    <row r="509" ht="36.75" customHeight="1"/>
    <row r="510" ht="36.75" customHeight="1"/>
    <row r="511" ht="36.75" customHeight="1"/>
    <row r="512" ht="36.75" customHeight="1"/>
    <row r="513" ht="36.75" customHeight="1"/>
    <row r="514" ht="36.75" customHeight="1"/>
    <row r="515" ht="36.75" customHeight="1"/>
    <row r="516" ht="36.75" customHeight="1"/>
    <row r="517" ht="36.75" customHeight="1"/>
    <row r="518" ht="36.75" customHeight="1"/>
    <row r="519" ht="36.75" customHeight="1"/>
    <row r="520" ht="36.75" customHeight="1"/>
    <row r="521" ht="36.75" customHeight="1"/>
    <row r="522" ht="36.75" customHeight="1"/>
    <row r="523" ht="36.75" customHeight="1"/>
    <row r="524" ht="36.75" customHeight="1"/>
    <row r="525" ht="36.75" customHeight="1"/>
    <row r="526" ht="36.75" customHeight="1"/>
    <row r="527" ht="36.75" customHeight="1"/>
    <row r="528" ht="36.75" customHeight="1"/>
    <row r="529" ht="36.75" customHeight="1"/>
    <row r="530" ht="36.75" customHeight="1"/>
    <row r="531" ht="36.75" customHeight="1"/>
    <row r="532" ht="36.75" customHeight="1"/>
    <row r="533" ht="36.75" customHeight="1"/>
    <row r="534" ht="36.75" customHeight="1"/>
    <row r="535" ht="36.75" customHeight="1"/>
    <row r="536" ht="36.75" customHeight="1"/>
    <row r="537" ht="36.75" customHeight="1"/>
    <row r="538" ht="36.75" customHeight="1"/>
    <row r="539" ht="36.75" customHeight="1"/>
    <row r="540" ht="36.75" customHeight="1"/>
    <row r="541" ht="36.75" customHeight="1"/>
    <row r="542" ht="36.75" customHeight="1"/>
    <row r="543" ht="36.75" customHeight="1"/>
    <row r="544" ht="36.75" customHeight="1"/>
    <row r="545" ht="36.75" customHeight="1"/>
    <row r="546" ht="36.75" customHeight="1"/>
    <row r="547" ht="36.75" customHeight="1"/>
    <row r="548" ht="36.75" customHeight="1"/>
    <row r="549" ht="36.75" customHeight="1"/>
    <row r="550" ht="36.75" customHeight="1"/>
    <row r="551" ht="36.75" customHeight="1"/>
    <row r="552" ht="36.75" customHeight="1"/>
    <row r="553" ht="36.75" customHeight="1"/>
    <row r="554" ht="36.75" customHeight="1"/>
    <row r="555" ht="36.75" customHeight="1"/>
    <row r="556" ht="36.75" customHeight="1"/>
    <row r="557" ht="36.75" customHeight="1"/>
    <row r="558" ht="36.75" customHeight="1"/>
    <row r="559" ht="36.75" customHeight="1"/>
    <row r="560" ht="36.75" customHeight="1"/>
    <row r="561" ht="36.75" customHeight="1"/>
    <row r="562" ht="36.75" customHeight="1"/>
    <row r="563" ht="36.75" customHeight="1"/>
    <row r="564" ht="36.75" customHeight="1"/>
    <row r="565" ht="36.75" customHeight="1"/>
    <row r="566" ht="36.75" customHeight="1"/>
    <row r="567" ht="36.75" customHeight="1"/>
    <row r="568" ht="36.75" customHeight="1"/>
    <row r="569" ht="36.75" customHeight="1"/>
    <row r="570" ht="36.75" customHeight="1"/>
    <row r="571" ht="36.75" customHeight="1"/>
    <row r="572" ht="36.75" customHeight="1"/>
    <row r="573" ht="36.75" customHeight="1"/>
    <row r="574" ht="36.75" customHeight="1"/>
    <row r="575" ht="36.75" customHeight="1"/>
    <row r="576" ht="36.75" customHeight="1"/>
    <row r="577" ht="36.75" customHeight="1"/>
    <row r="578" ht="36.75" customHeight="1"/>
    <row r="579" ht="36.75" customHeight="1"/>
    <row r="580" ht="36.75" customHeight="1"/>
    <row r="581" ht="36.75" customHeight="1"/>
    <row r="582" ht="36.75" customHeight="1"/>
    <row r="583" ht="36.75" customHeight="1"/>
    <row r="584" ht="36.75" customHeight="1"/>
    <row r="585" ht="36.75" customHeight="1"/>
    <row r="586" ht="36.75" customHeight="1"/>
    <row r="587" ht="36.75" customHeight="1"/>
    <row r="588" ht="36.75" customHeight="1"/>
    <row r="589" ht="36.75" customHeight="1"/>
    <row r="590" ht="36.75" customHeight="1"/>
    <row r="591" ht="36.75" customHeight="1"/>
    <row r="592" ht="36.75" customHeight="1"/>
    <row r="593" ht="36.75" customHeight="1"/>
    <row r="594" ht="36.75" customHeight="1"/>
    <row r="595" ht="36.75" customHeight="1"/>
    <row r="596" ht="36.75" customHeight="1"/>
    <row r="597" ht="36.75" customHeight="1"/>
    <row r="598" ht="36.75" customHeight="1"/>
    <row r="599" ht="36.75" customHeight="1"/>
    <row r="600" ht="36.75" customHeight="1"/>
    <row r="601" ht="36.75" customHeight="1"/>
    <row r="602" ht="36.75" customHeight="1"/>
    <row r="603" ht="36.75" customHeight="1"/>
    <row r="604" ht="36.75" customHeight="1"/>
    <row r="605" ht="36.75" customHeight="1"/>
    <row r="606" ht="36.75" customHeight="1"/>
    <row r="607" ht="36.75" customHeight="1"/>
    <row r="608" ht="36.75" customHeight="1"/>
    <row r="609" ht="36.75" customHeight="1"/>
    <row r="610" ht="36.75" customHeight="1"/>
    <row r="611" ht="36.75" customHeight="1"/>
    <row r="612" ht="36.75" customHeight="1"/>
    <row r="613" ht="36.75" customHeight="1"/>
    <row r="614" ht="36.75" customHeight="1"/>
    <row r="615" ht="36.75" customHeight="1"/>
    <row r="616" ht="36.75" customHeight="1"/>
    <row r="617" ht="36.75" customHeight="1"/>
    <row r="618" ht="36.75" customHeight="1"/>
    <row r="619" ht="36.75" customHeight="1"/>
    <row r="620" ht="36.75" customHeight="1"/>
    <row r="621" ht="36.75" customHeight="1"/>
    <row r="622" ht="36.75" customHeight="1"/>
    <row r="623" ht="36.75" customHeight="1"/>
    <row r="624" ht="36.75" customHeight="1"/>
    <row r="625" ht="36.75" customHeight="1"/>
    <row r="626" ht="36.75" customHeight="1"/>
    <row r="627" ht="36.75" customHeight="1"/>
    <row r="628" ht="36.75" customHeight="1"/>
    <row r="629" ht="36.75" customHeight="1"/>
    <row r="630" ht="36.75" customHeight="1"/>
    <row r="631" ht="36.75" customHeight="1"/>
    <row r="632" ht="36.75" customHeight="1"/>
    <row r="633" ht="36.75" customHeight="1"/>
    <row r="634" ht="36.75" customHeight="1"/>
    <row r="635" ht="36.75" customHeight="1"/>
    <row r="636" ht="36.75" customHeight="1"/>
    <row r="637" ht="36.75" customHeight="1"/>
    <row r="638" ht="36.75" customHeight="1"/>
    <row r="639" ht="36.75" customHeight="1"/>
    <row r="640" ht="36.75" customHeight="1"/>
    <row r="641" ht="36.75" customHeight="1"/>
    <row r="642" ht="36.75" customHeight="1"/>
    <row r="643" ht="36.75" customHeight="1"/>
    <row r="644" ht="36.75" customHeight="1"/>
    <row r="645" ht="36.75" customHeight="1"/>
    <row r="646" ht="36.75" customHeight="1"/>
    <row r="647" ht="36.75" customHeight="1"/>
    <row r="648" ht="36.75" customHeight="1"/>
    <row r="649" ht="36.75" customHeight="1"/>
    <row r="650" ht="36.75" customHeight="1"/>
    <row r="651" ht="36.75" customHeight="1"/>
    <row r="652" ht="36.75" customHeight="1"/>
    <row r="653" ht="36.75" customHeight="1"/>
    <row r="654" ht="36.75" customHeight="1"/>
    <row r="655" ht="36.75" customHeight="1"/>
    <row r="656" ht="36.75" customHeight="1"/>
    <row r="657" ht="36.75" customHeight="1"/>
    <row r="658" ht="36.75" customHeight="1"/>
    <row r="659" ht="36.75" customHeight="1"/>
    <row r="660" ht="36.75" customHeight="1"/>
    <row r="661" ht="36.75" customHeight="1"/>
    <row r="662" ht="36.75" customHeight="1"/>
    <row r="663" ht="36.75" customHeight="1"/>
    <row r="664" ht="36.75" customHeight="1"/>
    <row r="665" ht="36.75" customHeight="1"/>
    <row r="666" ht="36.75" customHeight="1"/>
    <row r="667" ht="36.75" customHeight="1"/>
    <row r="668" ht="36.75" customHeight="1"/>
    <row r="669" ht="36.75" customHeight="1"/>
    <row r="670" ht="36.75" customHeight="1"/>
    <row r="671" ht="36.75" customHeight="1"/>
    <row r="672" ht="36.75" customHeight="1"/>
    <row r="673" ht="36.75" customHeight="1"/>
    <row r="674" ht="36.75" customHeight="1"/>
    <row r="675" ht="36.75" customHeight="1"/>
    <row r="676" ht="36.75" customHeight="1"/>
    <row r="677" ht="36.75" customHeight="1"/>
    <row r="678" ht="36.75" customHeight="1"/>
    <row r="679" ht="36.75" customHeight="1"/>
    <row r="680" ht="36.75" customHeight="1"/>
    <row r="681" ht="36.75" customHeight="1"/>
    <row r="682" ht="36.75" customHeight="1"/>
    <row r="683" ht="36.75" customHeight="1"/>
    <row r="684" ht="36.75" customHeight="1"/>
    <row r="685" ht="36.75" customHeight="1"/>
    <row r="686" ht="36.75" customHeight="1"/>
    <row r="687" ht="36.75" customHeight="1"/>
    <row r="688" ht="36.75" customHeight="1"/>
    <row r="689" ht="36.75" customHeight="1"/>
    <row r="690" ht="36.75" customHeight="1"/>
    <row r="691" ht="36.75" customHeight="1"/>
    <row r="692" ht="36.75" customHeight="1"/>
    <row r="693" ht="36.75" customHeight="1"/>
    <row r="694" ht="36.75" customHeight="1"/>
    <row r="695" ht="36.75" customHeight="1"/>
    <row r="696" ht="36.75" customHeight="1"/>
    <row r="697" ht="36.75" customHeight="1"/>
    <row r="698" ht="36.75" customHeight="1"/>
    <row r="699" ht="36.75" customHeight="1"/>
    <row r="700" ht="36.75" customHeight="1"/>
    <row r="701" ht="36.75" customHeight="1"/>
    <row r="702" ht="36.75" customHeight="1"/>
    <row r="703" ht="36.75" customHeight="1"/>
    <row r="704" ht="36.75" customHeight="1"/>
    <row r="705" ht="36.75" customHeight="1"/>
    <row r="706" ht="36.75" customHeight="1"/>
    <row r="707" ht="36.75" customHeight="1"/>
    <row r="708" ht="36.75" customHeight="1"/>
    <row r="709" ht="36.75" customHeight="1"/>
    <row r="710" ht="36.75" customHeight="1"/>
    <row r="711" ht="36.75" customHeight="1"/>
    <row r="712" ht="36.75" customHeight="1"/>
    <row r="713" ht="36.75" customHeight="1"/>
    <row r="714" ht="36.75" customHeight="1"/>
    <row r="715" ht="36.75" customHeight="1"/>
    <row r="716" ht="36.75" customHeight="1"/>
    <row r="717" ht="36.75" customHeight="1"/>
    <row r="718" ht="36.75" customHeight="1"/>
    <row r="719" ht="36.75" customHeight="1"/>
    <row r="720" ht="36.75" customHeight="1"/>
    <row r="721" ht="36.75" customHeight="1"/>
    <row r="722" ht="36.75" customHeight="1"/>
    <row r="723" ht="36.75" customHeight="1"/>
    <row r="724" ht="36.75" customHeight="1"/>
    <row r="725" ht="36.75" customHeight="1"/>
    <row r="726" ht="36.75" customHeight="1"/>
    <row r="727" ht="36.75" customHeight="1"/>
    <row r="728" ht="36.75" customHeight="1"/>
    <row r="729" ht="36.75" customHeight="1"/>
    <row r="730" ht="36.75" customHeight="1"/>
    <row r="731" ht="36.75" customHeight="1"/>
    <row r="732" ht="36.75" customHeight="1"/>
    <row r="733" ht="36.75" customHeight="1"/>
    <row r="734" ht="36.75" customHeight="1"/>
    <row r="735" ht="36.75" customHeight="1"/>
    <row r="736" ht="36.75" customHeight="1"/>
    <row r="737" ht="36.75" customHeight="1"/>
    <row r="738" ht="36.75" customHeight="1"/>
    <row r="739" ht="36.75" customHeight="1"/>
    <row r="740" ht="36.75" customHeight="1"/>
    <row r="741" ht="36.75" customHeight="1"/>
    <row r="742" ht="36.75" customHeight="1"/>
    <row r="743" ht="36.75" customHeight="1"/>
    <row r="744" ht="36.75" customHeight="1"/>
    <row r="745" ht="36.75" customHeight="1"/>
    <row r="746" ht="36.75" customHeight="1"/>
    <row r="747" ht="36.75" customHeight="1"/>
    <row r="748" ht="36.75" customHeight="1"/>
    <row r="749" ht="36.75" customHeight="1"/>
    <row r="750" ht="36.75" customHeight="1"/>
    <row r="751" ht="36.75" customHeight="1"/>
    <row r="752" ht="36.75" customHeight="1"/>
    <row r="753" ht="36.75" customHeight="1"/>
    <row r="754" ht="36.75" customHeight="1"/>
    <row r="755" ht="36.75" customHeight="1"/>
    <row r="756" ht="36.75" customHeight="1"/>
    <row r="757" ht="36.75" customHeight="1"/>
    <row r="758" ht="36.75" customHeight="1"/>
    <row r="759" ht="36.75" customHeight="1"/>
    <row r="760" ht="36.75" customHeight="1"/>
    <row r="761" ht="36.75" customHeight="1"/>
    <row r="762" ht="36.75" customHeight="1"/>
    <row r="763" ht="36.75" customHeight="1"/>
    <row r="764" ht="36.75" customHeight="1"/>
    <row r="765" ht="36.75" customHeight="1"/>
    <row r="766" ht="36.75" customHeight="1"/>
    <row r="767" ht="36.75" customHeight="1"/>
    <row r="768" ht="36.75" customHeight="1"/>
    <row r="769" ht="36.75" customHeight="1"/>
    <row r="770" ht="36.75" customHeight="1"/>
    <row r="771" ht="36.75" customHeight="1"/>
    <row r="772" ht="36.75" customHeight="1"/>
    <row r="773" ht="36.75" customHeight="1"/>
    <row r="774" ht="36.75" customHeight="1"/>
    <row r="775" ht="36.75" customHeight="1"/>
    <row r="776" ht="36.75" customHeight="1"/>
    <row r="777" ht="36.75" customHeight="1"/>
    <row r="778" ht="36.75" customHeight="1"/>
    <row r="779" ht="36.75" customHeight="1"/>
    <row r="780" ht="36.75" customHeight="1"/>
    <row r="781" ht="36.75" customHeight="1"/>
    <row r="782" ht="36.75" customHeight="1"/>
    <row r="783" ht="36.75" customHeight="1"/>
    <row r="784" ht="36.75" customHeight="1"/>
    <row r="785" ht="36.75" customHeight="1"/>
    <row r="786" ht="36.75" customHeight="1"/>
    <row r="787" ht="36.75" customHeight="1"/>
    <row r="788" ht="36.75" customHeight="1"/>
    <row r="789" ht="36.75" customHeight="1"/>
    <row r="790" ht="36.75" customHeight="1"/>
    <row r="791" ht="36.75" customHeight="1"/>
    <row r="792" ht="36.75" customHeight="1"/>
    <row r="793" ht="36.75" customHeight="1"/>
    <row r="794" ht="36.75" customHeight="1"/>
    <row r="795" ht="36.75" customHeight="1"/>
    <row r="796" ht="36.75" customHeight="1"/>
    <row r="797" ht="36.75" customHeight="1"/>
    <row r="798" ht="36.75" customHeight="1"/>
    <row r="799" ht="36.75" customHeight="1"/>
    <row r="800" ht="36.75" customHeight="1"/>
    <row r="801" ht="36.75" customHeight="1"/>
    <row r="802" ht="36.75" customHeight="1"/>
    <row r="803" ht="36.75" customHeight="1"/>
    <row r="804" ht="36.75" customHeight="1"/>
    <row r="805" ht="36.75" customHeight="1"/>
    <row r="806" ht="36.75" customHeight="1"/>
    <row r="807" ht="36.75" customHeight="1"/>
    <row r="808" ht="36.75" customHeight="1"/>
    <row r="809" ht="36.75" customHeight="1"/>
    <row r="810" ht="36.75" customHeight="1"/>
    <row r="811" ht="36.75" customHeight="1"/>
    <row r="812" ht="36.75" customHeight="1"/>
    <row r="813" ht="36.75" customHeight="1"/>
    <row r="814" ht="36.75" customHeight="1"/>
    <row r="815" ht="36.75" customHeight="1"/>
    <row r="816" ht="36.75" customHeight="1"/>
    <row r="817" ht="36.75" customHeight="1"/>
    <row r="818" ht="36.75" customHeight="1"/>
    <row r="819" ht="36.75" customHeight="1"/>
    <row r="820" ht="36.75" customHeight="1"/>
    <row r="821" ht="36.75" customHeight="1"/>
    <row r="822" ht="36.75" customHeight="1"/>
    <row r="823" ht="36.75" customHeight="1"/>
    <row r="824" ht="36.75" customHeight="1"/>
    <row r="825" ht="36.75" customHeight="1"/>
    <row r="826" ht="36.75" customHeight="1"/>
    <row r="827" ht="36.75" customHeight="1"/>
    <row r="828" ht="36.75" customHeight="1"/>
    <row r="829" ht="36.75" customHeight="1"/>
    <row r="830" ht="36.75" customHeight="1"/>
    <row r="831" ht="36.75" customHeight="1"/>
    <row r="832" ht="36.75" customHeight="1"/>
    <row r="833" ht="36.75" customHeight="1"/>
    <row r="834" ht="36.75" customHeight="1"/>
    <row r="835" ht="36.75" customHeight="1"/>
    <row r="836" ht="36.75" customHeight="1"/>
    <row r="837" ht="36.75" customHeight="1"/>
    <row r="838" ht="36.75" customHeight="1"/>
    <row r="839" ht="36.75" customHeight="1"/>
    <row r="840" ht="36.75" customHeight="1"/>
    <row r="841" ht="36.75" customHeight="1"/>
    <row r="842" ht="36.75" customHeight="1"/>
    <row r="843" ht="36.75" customHeight="1"/>
    <row r="844" ht="36.75" customHeight="1"/>
    <row r="845" ht="36.75" customHeight="1"/>
    <row r="846" ht="36.75" customHeight="1"/>
    <row r="847" ht="36.75" customHeight="1"/>
    <row r="848" ht="36.75" customHeight="1"/>
    <row r="849" ht="36.75" customHeight="1"/>
    <row r="850" ht="36.75" customHeight="1"/>
    <row r="851" ht="36.75" customHeight="1"/>
    <row r="852" ht="36.75" customHeight="1"/>
    <row r="853" ht="36.75" customHeight="1"/>
    <row r="854" ht="36.75" customHeight="1"/>
    <row r="855" ht="36.75" customHeight="1"/>
    <row r="856" ht="36.75" customHeight="1"/>
    <row r="857" ht="36.75" customHeight="1"/>
    <row r="858" ht="36.75" customHeight="1"/>
    <row r="859" ht="36.75" customHeight="1"/>
    <row r="860" ht="36.75" customHeight="1"/>
    <row r="861" ht="36.75" customHeight="1"/>
    <row r="862" ht="36.75" customHeight="1"/>
    <row r="863" ht="36.75" customHeight="1"/>
    <row r="864" ht="36.75" customHeight="1"/>
    <row r="865" ht="36.75" customHeight="1"/>
    <row r="866" ht="36.75" customHeight="1"/>
    <row r="867" ht="36.75" customHeight="1"/>
    <row r="868" ht="36.75" customHeight="1"/>
    <row r="869" ht="36.75" customHeight="1"/>
    <row r="870" ht="36.75" customHeight="1"/>
    <row r="871" ht="36.75" customHeight="1"/>
    <row r="872" ht="36.75" customHeight="1"/>
    <row r="873" ht="36.75" customHeight="1"/>
    <row r="874" ht="36.75" customHeight="1"/>
    <row r="875" ht="36.75" customHeight="1"/>
    <row r="876" ht="36.75" customHeight="1"/>
    <row r="877" ht="36.75" customHeight="1"/>
    <row r="878" ht="36.75" customHeight="1"/>
    <row r="879" ht="36.75" customHeight="1"/>
    <row r="880" ht="36.75" customHeight="1"/>
    <row r="881" ht="36.75" customHeight="1"/>
    <row r="882" ht="36.75" customHeight="1"/>
    <row r="883" ht="36.75" customHeight="1"/>
    <row r="884" ht="36.75" customHeight="1"/>
    <row r="885" ht="36.75" customHeight="1"/>
    <row r="886" ht="36.75" customHeight="1"/>
    <row r="887" ht="36.75" customHeight="1"/>
    <row r="888" ht="36.75" customHeight="1"/>
    <row r="889" ht="36.75" customHeight="1"/>
    <row r="890" ht="36.75" customHeight="1"/>
    <row r="891" ht="36.75" customHeight="1"/>
    <row r="892" ht="36.75" customHeight="1"/>
    <row r="893" ht="36.75" customHeight="1"/>
    <row r="894" ht="36.75" customHeight="1"/>
    <row r="895" ht="36.75" customHeight="1"/>
    <row r="896" ht="36.75" customHeight="1"/>
    <row r="897" ht="36.75" customHeight="1"/>
    <row r="898" ht="36.75" customHeight="1"/>
    <row r="899" ht="36.75" customHeight="1"/>
    <row r="900" ht="36.75" customHeight="1"/>
    <row r="901" ht="36.75" customHeight="1"/>
    <row r="902" ht="36.75" customHeight="1"/>
    <row r="903" ht="36.75" customHeight="1"/>
    <row r="904" ht="36.75" customHeight="1"/>
    <row r="905" ht="36.75" customHeight="1"/>
    <row r="906" ht="36.75" customHeight="1"/>
    <row r="907" ht="36.75" customHeight="1"/>
    <row r="908" ht="36.75" customHeight="1"/>
    <row r="909" ht="36.75" customHeight="1"/>
    <row r="910" ht="36.75" customHeight="1"/>
    <row r="911" ht="36.75" customHeight="1"/>
    <row r="912" ht="36.75" customHeight="1"/>
    <row r="913" ht="36.75" customHeight="1"/>
    <row r="914" ht="36.75" customHeight="1"/>
    <row r="915" ht="36.75" customHeight="1"/>
    <row r="916" ht="36.75" customHeight="1"/>
    <row r="917" ht="36.75" customHeight="1"/>
    <row r="918" ht="36.75" customHeight="1"/>
    <row r="919" ht="36.75" customHeight="1"/>
    <row r="920" ht="36.75" customHeight="1"/>
    <row r="921" ht="36.75" customHeight="1"/>
    <row r="922" ht="36.75" customHeight="1"/>
    <row r="923" ht="36.75" customHeight="1"/>
    <row r="924" ht="36.75" customHeight="1"/>
    <row r="925" ht="36.75" customHeight="1"/>
    <row r="926" ht="36.75" customHeight="1"/>
  </sheetData>
  <mergeCells count="4">
    <mergeCell ref="A1:Q1"/>
    <mergeCell ref="A2:Q2"/>
    <mergeCell ref="A3:N3"/>
    <mergeCell ref="P3:Q3"/>
  </mergeCells>
  <phoneticPr fontId="1" type="noConversion"/>
  <printOptions horizontalCentered="1"/>
  <pageMargins left="0.19685039370078741" right="0.19685039370078741" top="0.19685039370078741" bottom="0.19685039370078741" header="0.31496062992125984" footer="0.31496062992125984"/>
  <pageSetup paperSize="9" scale="71" orientation="landscape" r:id="rId1"/>
  <colBreaks count="1" manualBreakCount="1">
    <brk id="18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B1127-4341-4FF8-86CC-944C1432F7A4}">
  <dimension ref="A1:K423"/>
  <sheetViews>
    <sheetView topLeftCell="A8" workbookViewId="0">
      <selection activeCell="M16" sqref="M16"/>
    </sheetView>
  </sheetViews>
  <sheetFormatPr defaultColWidth="10.28515625" defaultRowHeight="16.5"/>
  <cols>
    <col min="1" max="1" width="6" style="19" customWidth="1"/>
    <col min="2" max="2" width="30" style="19" customWidth="1"/>
    <col min="3" max="3" width="6.28515625" style="19" customWidth="1"/>
    <col min="4" max="4" width="9.5703125" style="19" customWidth="1"/>
    <col min="5" max="5" width="12.42578125" style="19" customWidth="1"/>
    <col min="6" max="6" width="12.42578125" style="1" customWidth="1"/>
    <col min="7" max="7" width="17.42578125" style="1" customWidth="1"/>
    <col min="8" max="8" width="0.85546875" style="1" customWidth="1"/>
    <col min="9" max="10" width="0.7109375" style="1" customWidth="1"/>
    <col min="11" max="11" width="0.5703125" style="1" customWidth="1"/>
    <col min="257" max="257" width="6" customWidth="1"/>
    <col min="258" max="258" width="30" customWidth="1"/>
    <col min="259" max="259" width="6.28515625" customWidth="1"/>
    <col min="260" max="260" width="9.5703125" customWidth="1"/>
    <col min="261" max="262" width="12.42578125" customWidth="1"/>
    <col min="263" max="263" width="17.42578125" customWidth="1"/>
    <col min="264" max="264" width="0.85546875" customWidth="1"/>
    <col min="265" max="266" width="0.7109375" customWidth="1"/>
    <col min="267" max="267" width="0.5703125" customWidth="1"/>
    <col min="513" max="513" width="6" customWidth="1"/>
    <col min="514" max="514" width="30" customWidth="1"/>
    <col min="515" max="515" width="6.28515625" customWidth="1"/>
    <col min="516" max="516" width="9.5703125" customWidth="1"/>
    <col min="517" max="518" width="12.42578125" customWidth="1"/>
    <col min="519" max="519" width="17.42578125" customWidth="1"/>
    <col min="520" max="520" width="0.85546875" customWidth="1"/>
    <col min="521" max="522" width="0.7109375" customWidth="1"/>
    <col min="523" max="523" width="0.5703125" customWidth="1"/>
    <col min="769" max="769" width="6" customWidth="1"/>
    <col min="770" max="770" width="30" customWidth="1"/>
    <col min="771" max="771" width="6.28515625" customWidth="1"/>
    <col min="772" max="772" width="9.5703125" customWidth="1"/>
    <col min="773" max="774" width="12.42578125" customWidth="1"/>
    <col min="775" max="775" width="17.42578125" customWidth="1"/>
    <col min="776" max="776" width="0.85546875" customWidth="1"/>
    <col min="777" max="778" width="0.7109375" customWidth="1"/>
    <col min="779" max="779" width="0.5703125" customWidth="1"/>
    <col min="1025" max="1025" width="6" customWidth="1"/>
    <col min="1026" max="1026" width="30" customWidth="1"/>
    <col min="1027" max="1027" width="6.28515625" customWidth="1"/>
    <col min="1028" max="1028" width="9.5703125" customWidth="1"/>
    <col min="1029" max="1030" width="12.42578125" customWidth="1"/>
    <col min="1031" max="1031" width="17.42578125" customWidth="1"/>
    <col min="1032" max="1032" width="0.85546875" customWidth="1"/>
    <col min="1033" max="1034" width="0.7109375" customWidth="1"/>
    <col min="1035" max="1035" width="0.5703125" customWidth="1"/>
    <col min="1281" max="1281" width="6" customWidth="1"/>
    <col min="1282" max="1282" width="30" customWidth="1"/>
    <col min="1283" max="1283" width="6.28515625" customWidth="1"/>
    <col min="1284" max="1284" width="9.5703125" customWidth="1"/>
    <col min="1285" max="1286" width="12.42578125" customWidth="1"/>
    <col min="1287" max="1287" width="17.42578125" customWidth="1"/>
    <col min="1288" max="1288" width="0.85546875" customWidth="1"/>
    <col min="1289" max="1290" width="0.7109375" customWidth="1"/>
    <col min="1291" max="1291" width="0.5703125" customWidth="1"/>
    <col min="1537" max="1537" width="6" customWidth="1"/>
    <col min="1538" max="1538" width="30" customWidth="1"/>
    <col min="1539" max="1539" width="6.28515625" customWidth="1"/>
    <col min="1540" max="1540" width="9.5703125" customWidth="1"/>
    <col min="1541" max="1542" width="12.42578125" customWidth="1"/>
    <col min="1543" max="1543" width="17.42578125" customWidth="1"/>
    <col min="1544" max="1544" width="0.85546875" customWidth="1"/>
    <col min="1545" max="1546" width="0.7109375" customWidth="1"/>
    <col min="1547" max="1547" width="0.5703125" customWidth="1"/>
    <col min="1793" max="1793" width="6" customWidth="1"/>
    <col min="1794" max="1794" width="30" customWidth="1"/>
    <col min="1795" max="1795" width="6.28515625" customWidth="1"/>
    <col min="1796" max="1796" width="9.5703125" customWidth="1"/>
    <col min="1797" max="1798" width="12.42578125" customWidth="1"/>
    <col min="1799" max="1799" width="17.42578125" customWidth="1"/>
    <col min="1800" max="1800" width="0.85546875" customWidth="1"/>
    <col min="1801" max="1802" width="0.7109375" customWidth="1"/>
    <col min="1803" max="1803" width="0.5703125" customWidth="1"/>
    <col min="2049" max="2049" width="6" customWidth="1"/>
    <col min="2050" max="2050" width="30" customWidth="1"/>
    <col min="2051" max="2051" width="6.28515625" customWidth="1"/>
    <col min="2052" max="2052" width="9.5703125" customWidth="1"/>
    <col min="2053" max="2054" width="12.42578125" customWidth="1"/>
    <col min="2055" max="2055" width="17.42578125" customWidth="1"/>
    <col min="2056" max="2056" width="0.85546875" customWidth="1"/>
    <col min="2057" max="2058" width="0.7109375" customWidth="1"/>
    <col min="2059" max="2059" width="0.5703125" customWidth="1"/>
    <col min="2305" max="2305" width="6" customWidth="1"/>
    <col min="2306" max="2306" width="30" customWidth="1"/>
    <col min="2307" max="2307" width="6.28515625" customWidth="1"/>
    <col min="2308" max="2308" width="9.5703125" customWidth="1"/>
    <col min="2309" max="2310" width="12.42578125" customWidth="1"/>
    <col min="2311" max="2311" width="17.42578125" customWidth="1"/>
    <col min="2312" max="2312" width="0.85546875" customWidth="1"/>
    <col min="2313" max="2314" width="0.7109375" customWidth="1"/>
    <col min="2315" max="2315" width="0.5703125" customWidth="1"/>
    <col min="2561" max="2561" width="6" customWidth="1"/>
    <col min="2562" max="2562" width="30" customWidth="1"/>
    <col min="2563" max="2563" width="6.28515625" customWidth="1"/>
    <col min="2564" max="2564" width="9.5703125" customWidth="1"/>
    <col min="2565" max="2566" width="12.42578125" customWidth="1"/>
    <col min="2567" max="2567" width="17.42578125" customWidth="1"/>
    <col min="2568" max="2568" width="0.85546875" customWidth="1"/>
    <col min="2569" max="2570" width="0.7109375" customWidth="1"/>
    <col min="2571" max="2571" width="0.5703125" customWidth="1"/>
    <col min="2817" max="2817" width="6" customWidth="1"/>
    <col min="2818" max="2818" width="30" customWidth="1"/>
    <col min="2819" max="2819" width="6.28515625" customWidth="1"/>
    <col min="2820" max="2820" width="9.5703125" customWidth="1"/>
    <col min="2821" max="2822" width="12.42578125" customWidth="1"/>
    <col min="2823" max="2823" width="17.42578125" customWidth="1"/>
    <col min="2824" max="2824" width="0.85546875" customWidth="1"/>
    <col min="2825" max="2826" width="0.7109375" customWidth="1"/>
    <col min="2827" max="2827" width="0.5703125" customWidth="1"/>
    <col min="3073" max="3073" width="6" customWidth="1"/>
    <col min="3074" max="3074" width="30" customWidth="1"/>
    <col min="3075" max="3075" width="6.28515625" customWidth="1"/>
    <col min="3076" max="3076" width="9.5703125" customWidth="1"/>
    <col min="3077" max="3078" width="12.42578125" customWidth="1"/>
    <col min="3079" max="3079" width="17.42578125" customWidth="1"/>
    <col min="3080" max="3080" width="0.85546875" customWidth="1"/>
    <col min="3081" max="3082" width="0.7109375" customWidth="1"/>
    <col min="3083" max="3083" width="0.5703125" customWidth="1"/>
    <col min="3329" max="3329" width="6" customWidth="1"/>
    <col min="3330" max="3330" width="30" customWidth="1"/>
    <col min="3331" max="3331" width="6.28515625" customWidth="1"/>
    <col min="3332" max="3332" width="9.5703125" customWidth="1"/>
    <col min="3333" max="3334" width="12.42578125" customWidth="1"/>
    <col min="3335" max="3335" width="17.42578125" customWidth="1"/>
    <col min="3336" max="3336" width="0.85546875" customWidth="1"/>
    <col min="3337" max="3338" width="0.7109375" customWidth="1"/>
    <col min="3339" max="3339" width="0.5703125" customWidth="1"/>
    <col min="3585" max="3585" width="6" customWidth="1"/>
    <col min="3586" max="3586" width="30" customWidth="1"/>
    <col min="3587" max="3587" width="6.28515625" customWidth="1"/>
    <col min="3588" max="3588" width="9.5703125" customWidth="1"/>
    <col min="3589" max="3590" width="12.42578125" customWidth="1"/>
    <col min="3591" max="3591" width="17.42578125" customWidth="1"/>
    <col min="3592" max="3592" width="0.85546875" customWidth="1"/>
    <col min="3593" max="3594" width="0.7109375" customWidth="1"/>
    <col min="3595" max="3595" width="0.5703125" customWidth="1"/>
    <col min="3841" max="3841" width="6" customWidth="1"/>
    <col min="3842" max="3842" width="30" customWidth="1"/>
    <col min="3843" max="3843" width="6.28515625" customWidth="1"/>
    <col min="3844" max="3844" width="9.5703125" customWidth="1"/>
    <col min="3845" max="3846" width="12.42578125" customWidth="1"/>
    <col min="3847" max="3847" width="17.42578125" customWidth="1"/>
    <col min="3848" max="3848" width="0.85546875" customWidth="1"/>
    <col min="3849" max="3850" width="0.7109375" customWidth="1"/>
    <col min="3851" max="3851" width="0.5703125" customWidth="1"/>
    <col min="4097" max="4097" width="6" customWidth="1"/>
    <col min="4098" max="4098" width="30" customWidth="1"/>
    <col min="4099" max="4099" width="6.28515625" customWidth="1"/>
    <col min="4100" max="4100" width="9.5703125" customWidth="1"/>
    <col min="4101" max="4102" width="12.42578125" customWidth="1"/>
    <col min="4103" max="4103" width="17.42578125" customWidth="1"/>
    <col min="4104" max="4104" width="0.85546875" customWidth="1"/>
    <col min="4105" max="4106" width="0.7109375" customWidth="1"/>
    <col min="4107" max="4107" width="0.5703125" customWidth="1"/>
    <col min="4353" max="4353" width="6" customWidth="1"/>
    <col min="4354" max="4354" width="30" customWidth="1"/>
    <col min="4355" max="4355" width="6.28515625" customWidth="1"/>
    <col min="4356" max="4356" width="9.5703125" customWidth="1"/>
    <col min="4357" max="4358" width="12.42578125" customWidth="1"/>
    <col min="4359" max="4359" width="17.42578125" customWidth="1"/>
    <col min="4360" max="4360" width="0.85546875" customWidth="1"/>
    <col min="4361" max="4362" width="0.7109375" customWidth="1"/>
    <col min="4363" max="4363" width="0.5703125" customWidth="1"/>
    <col min="4609" max="4609" width="6" customWidth="1"/>
    <col min="4610" max="4610" width="30" customWidth="1"/>
    <col min="4611" max="4611" width="6.28515625" customWidth="1"/>
    <col min="4612" max="4612" width="9.5703125" customWidth="1"/>
    <col min="4613" max="4614" width="12.42578125" customWidth="1"/>
    <col min="4615" max="4615" width="17.42578125" customWidth="1"/>
    <col min="4616" max="4616" width="0.85546875" customWidth="1"/>
    <col min="4617" max="4618" width="0.7109375" customWidth="1"/>
    <col min="4619" max="4619" width="0.5703125" customWidth="1"/>
    <col min="4865" max="4865" width="6" customWidth="1"/>
    <col min="4866" max="4866" width="30" customWidth="1"/>
    <col min="4867" max="4867" width="6.28515625" customWidth="1"/>
    <col min="4868" max="4868" width="9.5703125" customWidth="1"/>
    <col min="4869" max="4870" width="12.42578125" customWidth="1"/>
    <col min="4871" max="4871" width="17.42578125" customWidth="1"/>
    <col min="4872" max="4872" width="0.85546875" customWidth="1"/>
    <col min="4873" max="4874" width="0.7109375" customWidth="1"/>
    <col min="4875" max="4875" width="0.5703125" customWidth="1"/>
    <col min="5121" max="5121" width="6" customWidth="1"/>
    <col min="5122" max="5122" width="30" customWidth="1"/>
    <col min="5123" max="5123" width="6.28515625" customWidth="1"/>
    <col min="5124" max="5124" width="9.5703125" customWidth="1"/>
    <col min="5125" max="5126" width="12.42578125" customWidth="1"/>
    <col min="5127" max="5127" width="17.42578125" customWidth="1"/>
    <col min="5128" max="5128" width="0.85546875" customWidth="1"/>
    <col min="5129" max="5130" width="0.7109375" customWidth="1"/>
    <col min="5131" max="5131" width="0.5703125" customWidth="1"/>
    <col min="5377" max="5377" width="6" customWidth="1"/>
    <col min="5378" max="5378" width="30" customWidth="1"/>
    <col min="5379" max="5379" width="6.28515625" customWidth="1"/>
    <col min="5380" max="5380" width="9.5703125" customWidth="1"/>
    <col min="5381" max="5382" width="12.42578125" customWidth="1"/>
    <col min="5383" max="5383" width="17.42578125" customWidth="1"/>
    <col min="5384" max="5384" width="0.85546875" customWidth="1"/>
    <col min="5385" max="5386" width="0.7109375" customWidth="1"/>
    <col min="5387" max="5387" width="0.5703125" customWidth="1"/>
    <col min="5633" max="5633" width="6" customWidth="1"/>
    <col min="5634" max="5634" width="30" customWidth="1"/>
    <col min="5635" max="5635" width="6.28515625" customWidth="1"/>
    <col min="5636" max="5636" width="9.5703125" customWidth="1"/>
    <col min="5637" max="5638" width="12.42578125" customWidth="1"/>
    <col min="5639" max="5639" width="17.42578125" customWidth="1"/>
    <col min="5640" max="5640" width="0.85546875" customWidth="1"/>
    <col min="5641" max="5642" width="0.7109375" customWidth="1"/>
    <col min="5643" max="5643" width="0.5703125" customWidth="1"/>
    <col min="5889" max="5889" width="6" customWidth="1"/>
    <col min="5890" max="5890" width="30" customWidth="1"/>
    <col min="5891" max="5891" width="6.28515625" customWidth="1"/>
    <col min="5892" max="5892" width="9.5703125" customWidth="1"/>
    <col min="5893" max="5894" width="12.42578125" customWidth="1"/>
    <col min="5895" max="5895" width="17.42578125" customWidth="1"/>
    <col min="5896" max="5896" width="0.85546875" customWidth="1"/>
    <col min="5897" max="5898" width="0.7109375" customWidth="1"/>
    <col min="5899" max="5899" width="0.5703125" customWidth="1"/>
    <col min="6145" max="6145" width="6" customWidth="1"/>
    <col min="6146" max="6146" width="30" customWidth="1"/>
    <col min="6147" max="6147" width="6.28515625" customWidth="1"/>
    <col min="6148" max="6148" width="9.5703125" customWidth="1"/>
    <col min="6149" max="6150" width="12.42578125" customWidth="1"/>
    <col min="6151" max="6151" width="17.42578125" customWidth="1"/>
    <col min="6152" max="6152" width="0.85546875" customWidth="1"/>
    <col min="6153" max="6154" width="0.7109375" customWidth="1"/>
    <col min="6155" max="6155" width="0.5703125" customWidth="1"/>
    <col min="6401" max="6401" width="6" customWidth="1"/>
    <col min="6402" max="6402" width="30" customWidth="1"/>
    <col min="6403" max="6403" width="6.28515625" customWidth="1"/>
    <col min="6404" max="6404" width="9.5703125" customWidth="1"/>
    <col min="6405" max="6406" width="12.42578125" customWidth="1"/>
    <col min="6407" max="6407" width="17.42578125" customWidth="1"/>
    <col min="6408" max="6408" width="0.85546875" customWidth="1"/>
    <col min="6409" max="6410" width="0.7109375" customWidth="1"/>
    <col min="6411" max="6411" width="0.5703125" customWidth="1"/>
    <col min="6657" max="6657" width="6" customWidth="1"/>
    <col min="6658" max="6658" width="30" customWidth="1"/>
    <col min="6659" max="6659" width="6.28515625" customWidth="1"/>
    <col min="6660" max="6660" width="9.5703125" customWidth="1"/>
    <col min="6661" max="6662" width="12.42578125" customWidth="1"/>
    <col min="6663" max="6663" width="17.42578125" customWidth="1"/>
    <col min="6664" max="6664" width="0.85546875" customWidth="1"/>
    <col min="6665" max="6666" width="0.7109375" customWidth="1"/>
    <col min="6667" max="6667" width="0.5703125" customWidth="1"/>
    <col min="6913" max="6913" width="6" customWidth="1"/>
    <col min="6914" max="6914" width="30" customWidth="1"/>
    <col min="6915" max="6915" width="6.28515625" customWidth="1"/>
    <col min="6916" max="6916" width="9.5703125" customWidth="1"/>
    <col min="6917" max="6918" width="12.42578125" customWidth="1"/>
    <col min="6919" max="6919" width="17.42578125" customWidth="1"/>
    <col min="6920" max="6920" width="0.85546875" customWidth="1"/>
    <col min="6921" max="6922" width="0.7109375" customWidth="1"/>
    <col min="6923" max="6923" width="0.5703125" customWidth="1"/>
    <col min="7169" max="7169" width="6" customWidth="1"/>
    <col min="7170" max="7170" width="30" customWidth="1"/>
    <col min="7171" max="7171" width="6.28515625" customWidth="1"/>
    <col min="7172" max="7172" width="9.5703125" customWidth="1"/>
    <col min="7173" max="7174" width="12.42578125" customWidth="1"/>
    <col min="7175" max="7175" width="17.42578125" customWidth="1"/>
    <col min="7176" max="7176" width="0.85546875" customWidth="1"/>
    <col min="7177" max="7178" width="0.7109375" customWidth="1"/>
    <col min="7179" max="7179" width="0.5703125" customWidth="1"/>
    <col min="7425" max="7425" width="6" customWidth="1"/>
    <col min="7426" max="7426" width="30" customWidth="1"/>
    <col min="7427" max="7427" width="6.28515625" customWidth="1"/>
    <col min="7428" max="7428" width="9.5703125" customWidth="1"/>
    <col min="7429" max="7430" width="12.42578125" customWidth="1"/>
    <col min="7431" max="7431" width="17.42578125" customWidth="1"/>
    <col min="7432" max="7432" width="0.85546875" customWidth="1"/>
    <col min="7433" max="7434" width="0.7109375" customWidth="1"/>
    <col min="7435" max="7435" width="0.5703125" customWidth="1"/>
    <col min="7681" max="7681" width="6" customWidth="1"/>
    <col min="7682" max="7682" width="30" customWidth="1"/>
    <col min="7683" max="7683" width="6.28515625" customWidth="1"/>
    <col min="7684" max="7684" width="9.5703125" customWidth="1"/>
    <col min="7685" max="7686" width="12.42578125" customWidth="1"/>
    <col min="7687" max="7687" width="17.42578125" customWidth="1"/>
    <col min="7688" max="7688" width="0.85546875" customWidth="1"/>
    <col min="7689" max="7690" width="0.7109375" customWidth="1"/>
    <col min="7691" max="7691" width="0.5703125" customWidth="1"/>
    <col min="7937" max="7937" width="6" customWidth="1"/>
    <col min="7938" max="7938" width="30" customWidth="1"/>
    <col min="7939" max="7939" width="6.28515625" customWidth="1"/>
    <col min="7940" max="7940" width="9.5703125" customWidth="1"/>
    <col min="7941" max="7942" width="12.42578125" customWidth="1"/>
    <col min="7943" max="7943" width="17.42578125" customWidth="1"/>
    <col min="7944" max="7944" width="0.85546875" customWidth="1"/>
    <col min="7945" max="7946" width="0.7109375" customWidth="1"/>
    <col min="7947" max="7947" width="0.5703125" customWidth="1"/>
    <col min="8193" max="8193" width="6" customWidth="1"/>
    <col min="8194" max="8194" width="30" customWidth="1"/>
    <col min="8195" max="8195" width="6.28515625" customWidth="1"/>
    <col min="8196" max="8196" width="9.5703125" customWidth="1"/>
    <col min="8197" max="8198" width="12.42578125" customWidth="1"/>
    <col min="8199" max="8199" width="17.42578125" customWidth="1"/>
    <col min="8200" max="8200" width="0.85546875" customWidth="1"/>
    <col min="8201" max="8202" width="0.7109375" customWidth="1"/>
    <col min="8203" max="8203" width="0.5703125" customWidth="1"/>
    <col min="8449" max="8449" width="6" customWidth="1"/>
    <col min="8450" max="8450" width="30" customWidth="1"/>
    <col min="8451" max="8451" width="6.28515625" customWidth="1"/>
    <col min="8452" max="8452" width="9.5703125" customWidth="1"/>
    <col min="8453" max="8454" width="12.42578125" customWidth="1"/>
    <col min="8455" max="8455" width="17.42578125" customWidth="1"/>
    <col min="8456" max="8456" width="0.85546875" customWidth="1"/>
    <col min="8457" max="8458" width="0.7109375" customWidth="1"/>
    <col min="8459" max="8459" width="0.5703125" customWidth="1"/>
    <col min="8705" max="8705" width="6" customWidth="1"/>
    <col min="8706" max="8706" width="30" customWidth="1"/>
    <col min="8707" max="8707" width="6.28515625" customWidth="1"/>
    <col min="8708" max="8708" width="9.5703125" customWidth="1"/>
    <col min="8709" max="8710" width="12.42578125" customWidth="1"/>
    <col min="8711" max="8711" width="17.42578125" customWidth="1"/>
    <col min="8712" max="8712" width="0.85546875" customWidth="1"/>
    <col min="8713" max="8714" width="0.7109375" customWidth="1"/>
    <col min="8715" max="8715" width="0.5703125" customWidth="1"/>
    <col min="8961" max="8961" width="6" customWidth="1"/>
    <col min="8962" max="8962" width="30" customWidth="1"/>
    <col min="8963" max="8963" width="6.28515625" customWidth="1"/>
    <col min="8964" max="8964" width="9.5703125" customWidth="1"/>
    <col min="8965" max="8966" width="12.42578125" customWidth="1"/>
    <col min="8967" max="8967" width="17.42578125" customWidth="1"/>
    <col min="8968" max="8968" width="0.85546875" customWidth="1"/>
    <col min="8969" max="8970" width="0.7109375" customWidth="1"/>
    <col min="8971" max="8971" width="0.5703125" customWidth="1"/>
    <col min="9217" max="9217" width="6" customWidth="1"/>
    <col min="9218" max="9218" width="30" customWidth="1"/>
    <col min="9219" max="9219" width="6.28515625" customWidth="1"/>
    <col min="9220" max="9220" width="9.5703125" customWidth="1"/>
    <col min="9221" max="9222" width="12.42578125" customWidth="1"/>
    <col min="9223" max="9223" width="17.42578125" customWidth="1"/>
    <col min="9224" max="9224" width="0.85546875" customWidth="1"/>
    <col min="9225" max="9226" width="0.7109375" customWidth="1"/>
    <col min="9227" max="9227" width="0.5703125" customWidth="1"/>
    <col min="9473" max="9473" width="6" customWidth="1"/>
    <col min="9474" max="9474" width="30" customWidth="1"/>
    <col min="9475" max="9475" width="6.28515625" customWidth="1"/>
    <col min="9476" max="9476" width="9.5703125" customWidth="1"/>
    <col min="9477" max="9478" width="12.42578125" customWidth="1"/>
    <col min="9479" max="9479" width="17.42578125" customWidth="1"/>
    <col min="9480" max="9480" width="0.85546875" customWidth="1"/>
    <col min="9481" max="9482" width="0.7109375" customWidth="1"/>
    <col min="9483" max="9483" width="0.5703125" customWidth="1"/>
    <col min="9729" max="9729" width="6" customWidth="1"/>
    <col min="9730" max="9730" width="30" customWidth="1"/>
    <col min="9731" max="9731" width="6.28515625" customWidth="1"/>
    <col min="9732" max="9732" width="9.5703125" customWidth="1"/>
    <col min="9733" max="9734" width="12.42578125" customWidth="1"/>
    <col min="9735" max="9735" width="17.42578125" customWidth="1"/>
    <col min="9736" max="9736" width="0.85546875" customWidth="1"/>
    <col min="9737" max="9738" width="0.7109375" customWidth="1"/>
    <col min="9739" max="9739" width="0.5703125" customWidth="1"/>
    <col min="9985" max="9985" width="6" customWidth="1"/>
    <col min="9986" max="9986" width="30" customWidth="1"/>
    <col min="9987" max="9987" width="6.28515625" customWidth="1"/>
    <col min="9988" max="9988" width="9.5703125" customWidth="1"/>
    <col min="9989" max="9990" width="12.42578125" customWidth="1"/>
    <col min="9991" max="9991" width="17.42578125" customWidth="1"/>
    <col min="9992" max="9992" width="0.85546875" customWidth="1"/>
    <col min="9993" max="9994" width="0.7109375" customWidth="1"/>
    <col min="9995" max="9995" width="0.5703125" customWidth="1"/>
    <col min="10241" max="10241" width="6" customWidth="1"/>
    <col min="10242" max="10242" width="30" customWidth="1"/>
    <col min="10243" max="10243" width="6.28515625" customWidth="1"/>
    <col min="10244" max="10244" width="9.5703125" customWidth="1"/>
    <col min="10245" max="10246" width="12.42578125" customWidth="1"/>
    <col min="10247" max="10247" width="17.42578125" customWidth="1"/>
    <col min="10248" max="10248" width="0.85546875" customWidth="1"/>
    <col min="10249" max="10250" width="0.7109375" customWidth="1"/>
    <col min="10251" max="10251" width="0.5703125" customWidth="1"/>
    <col min="10497" max="10497" width="6" customWidth="1"/>
    <col min="10498" max="10498" width="30" customWidth="1"/>
    <col min="10499" max="10499" width="6.28515625" customWidth="1"/>
    <col min="10500" max="10500" width="9.5703125" customWidth="1"/>
    <col min="10501" max="10502" width="12.42578125" customWidth="1"/>
    <col min="10503" max="10503" width="17.42578125" customWidth="1"/>
    <col min="10504" max="10504" width="0.85546875" customWidth="1"/>
    <col min="10505" max="10506" width="0.7109375" customWidth="1"/>
    <col min="10507" max="10507" width="0.5703125" customWidth="1"/>
    <col min="10753" max="10753" width="6" customWidth="1"/>
    <col min="10754" max="10754" width="30" customWidth="1"/>
    <col min="10755" max="10755" width="6.28515625" customWidth="1"/>
    <col min="10756" max="10756" width="9.5703125" customWidth="1"/>
    <col min="10757" max="10758" width="12.42578125" customWidth="1"/>
    <col min="10759" max="10759" width="17.42578125" customWidth="1"/>
    <col min="10760" max="10760" width="0.85546875" customWidth="1"/>
    <col min="10761" max="10762" width="0.7109375" customWidth="1"/>
    <col min="10763" max="10763" width="0.5703125" customWidth="1"/>
    <col min="11009" max="11009" width="6" customWidth="1"/>
    <col min="11010" max="11010" width="30" customWidth="1"/>
    <col min="11011" max="11011" width="6.28515625" customWidth="1"/>
    <col min="11012" max="11012" width="9.5703125" customWidth="1"/>
    <col min="11013" max="11014" width="12.42578125" customWidth="1"/>
    <col min="11015" max="11015" width="17.42578125" customWidth="1"/>
    <col min="11016" max="11016" width="0.85546875" customWidth="1"/>
    <col min="11017" max="11018" width="0.7109375" customWidth="1"/>
    <col min="11019" max="11019" width="0.5703125" customWidth="1"/>
    <col min="11265" max="11265" width="6" customWidth="1"/>
    <col min="11266" max="11266" width="30" customWidth="1"/>
    <col min="11267" max="11267" width="6.28515625" customWidth="1"/>
    <col min="11268" max="11268" width="9.5703125" customWidth="1"/>
    <col min="11269" max="11270" width="12.42578125" customWidth="1"/>
    <col min="11271" max="11271" width="17.42578125" customWidth="1"/>
    <col min="11272" max="11272" width="0.85546875" customWidth="1"/>
    <col min="11273" max="11274" width="0.7109375" customWidth="1"/>
    <col min="11275" max="11275" width="0.5703125" customWidth="1"/>
    <col min="11521" max="11521" width="6" customWidth="1"/>
    <col min="11522" max="11522" width="30" customWidth="1"/>
    <col min="11523" max="11523" width="6.28515625" customWidth="1"/>
    <col min="11524" max="11524" width="9.5703125" customWidth="1"/>
    <col min="11525" max="11526" width="12.42578125" customWidth="1"/>
    <col min="11527" max="11527" width="17.42578125" customWidth="1"/>
    <col min="11528" max="11528" width="0.85546875" customWidth="1"/>
    <col min="11529" max="11530" width="0.7109375" customWidth="1"/>
    <col min="11531" max="11531" width="0.5703125" customWidth="1"/>
    <col min="11777" max="11777" width="6" customWidth="1"/>
    <col min="11778" max="11778" width="30" customWidth="1"/>
    <col min="11779" max="11779" width="6.28515625" customWidth="1"/>
    <col min="11780" max="11780" width="9.5703125" customWidth="1"/>
    <col min="11781" max="11782" width="12.42578125" customWidth="1"/>
    <col min="11783" max="11783" width="17.42578125" customWidth="1"/>
    <col min="11784" max="11784" width="0.85546875" customWidth="1"/>
    <col min="11785" max="11786" width="0.7109375" customWidth="1"/>
    <col min="11787" max="11787" width="0.5703125" customWidth="1"/>
    <col min="12033" max="12033" width="6" customWidth="1"/>
    <col min="12034" max="12034" width="30" customWidth="1"/>
    <col min="12035" max="12035" width="6.28515625" customWidth="1"/>
    <col min="12036" max="12036" width="9.5703125" customWidth="1"/>
    <col min="12037" max="12038" width="12.42578125" customWidth="1"/>
    <col min="12039" max="12039" width="17.42578125" customWidth="1"/>
    <col min="12040" max="12040" width="0.85546875" customWidth="1"/>
    <col min="12041" max="12042" width="0.7109375" customWidth="1"/>
    <col min="12043" max="12043" width="0.5703125" customWidth="1"/>
    <col min="12289" max="12289" width="6" customWidth="1"/>
    <col min="12290" max="12290" width="30" customWidth="1"/>
    <col min="12291" max="12291" width="6.28515625" customWidth="1"/>
    <col min="12292" max="12292" width="9.5703125" customWidth="1"/>
    <col min="12293" max="12294" width="12.42578125" customWidth="1"/>
    <col min="12295" max="12295" width="17.42578125" customWidth="1"/>
    <col min="12296" max="12296" width="0.85546875" customWidth="1"/>
    <col min="12297" max="12298" width="0.7109375" customWidth="1"/>
    <col min="12299" max="12299" width="0.5703125" customWidth="1"/>
    <col min="12545" max="12545" width="6" customWidth="1"/>
    <col min="12546" max="12546" width="30" customWidth="1"/>
    <col min="12547" max="12547" width="6.28515625" customWidth="1"/>
    <col min="12548" max="12548" width="9.5703125" customWidth="1"/>
    <col min="12549" max="12550" width="12.42578125" customWidth="1"/>
    <col min="12551" max="12551" width="17.42578125" customWidth="1"/>
    <col min="12552" max="12552" width="0.85546875" customWidth="1"/>
    <col min="12553" max="12554" width="0.7109375" customWidth="1"/>
    <col min="12555" max="12555" width="0.5703125" customWidth="1"/>
    <col min="12801" max="12801" width="6" customWidth="1"/>
    <col min="12802" max="12802" width="30" customWidth="1"/>
    <col min="12803" max="12803" width="6.28515625" customWidth="1"/>
    <col min="12804" max="12804" width="9.5703125" customWidth="1"/>
    <col min="12805" max="12806" width="12.42578125" customWidth="1"/>
    <col min="12807" max="12807" width="17.42578125" customWidth="1"/>
    <col min="12808" max="12808" width="0.85546875" customWidth="1"/>
    <col min="12809" max="12810" width="0.7109375" customWidth="1"/>
    <col min="12811" max="12811" width="0.5703125" customWidth="1"/>
    <col min="13057" max="13057" width="6" customWidth="1"/>
    <col min="13058" max="13058" width="30" customWidth="1"/>
    <col min="13059" max="13059" width="6.28515625" customWidth="1"/>
    <col min="13060" max="13060" width="9.5703125" customWidth="1"/>
    <col min="13061" max="13062" width="12.42578125" customWidth="1"/>
    <col min="13063" max="13063" width="17.42578125" customWidth="1"/>
    <col min="13064" max="13064" width="0.85546875" customWidth="1"/>
    <col min="13065" max="13066" width="0.7109375" customWidth="1"/>
    <col min="13067" max="13067" width="0.5703125" customWidth="1"/>
    <col min="13313" max="13313" width="6" customWidth="1"/>
    <col min="13314" max="13314" width="30" customWidth="1"/>
    <col min="13315" max="13315" width="6.28515625" customWidth="1"/>
    <col min="13316" max="13316" width="9.5703125" customWidth="1"/>
    <col min="13317" max="13318" width="12.42578125" customWidth="1"/>
    <col min="13319" max="13319" width="17.42578125" customWidth="1"/>
    <col min="13320" max="13320" width="0.85546875" customWidth="1"/>
    <col min="13321" max="13322" width="0.7109375" customWidth="1"/>
    <col min="13323" max="13323" width="0.5703125" customWidth="1"/>
    <col min="13569" max="13569" width="6" customWidth="1"/>
    <col min="13570" max="13570" width="30" customWidth="1"/>
    <col min="13571" max="13571" width="6.28515625" customWidth="1"/>
    <col min="13572" max="13572" width="9.5703125" customWidth="1"/>
    <col min="13573" max="13574" width="12.42578125" customWidth="1"/>
    <col min="13575" max="13575" width="17.42578125" customWidth="1"/>
    <col min="13576" max="13576" width="0.85546875" customWidth="1"/>
    <col min="13577" max="13578" width="0.7109375" customWidth="1"/>
    <col min="13579" max="13579" width="0.5703125" customWidth="1"/>
    <col min="13825" max="13825" width="6" customWidth="1"/>
    <col min="13826" max="13826" width="30" customWidth="1"/>
    <col min="13827" max="13827" width="6.28515625" customWidth="1"/>
    <col min="13828" max="13828" width="9.5703125" customWidth="1"/>
    <col min="13829" max="13830" width="12.42578125" customWidth="1"/>
    <col min="13831" max="13831" width="17.42578125" customWidth="1"/>
    <col min="13832" max="13832" width="0.85546875" customWidth="1"/>
    <col min="13833" max="13834" width="0.7109375" customWidth="1"/>
    <col min="13835" max="13835" width="0.5703125" customWidth="1"/>
    <col min="14081" max="14081" width="6" customWidth="1"/>
    <col min="14082" max="14082" width="30" customWidth="1"/>
    <col min="14083" max="14083" width="6.28515625" customWidth="1"/>
    <col min="14084" max="14084" width="9.5703125" customWidth="1"/>
    <col min="14085" max="14086" width="12.42578125" customWidth="1"/>
    <col min="14087" max="14087" width="17.42578125" customWidth="1"/>
    <col min="14088" max="14088" width="0.85546875" customWidth="1"/>
    <col min="14089" max="14090" width="0.7109375" customWidth="1"/>
    <col min="14091" max="14091" width="0.5703125" customWidth="1"/>
    <col min="14337" max="14337" width="6" customWidth="1"/>
    <col min="14338" max="14338" width="30" customWidth="1"/>
    <col min="14339" max="14339" width="6.28515625" customWidth="1"/>
    <col min="14340" max="14340" width="9.5703125" customWidth="1"/>
    <col min="14341" max="14342" width="12.42578125" customWidth="1"/>
    <col min="14343" max="14343" width="17.42578125" customWidth="1"/>
    <col min="14344" max="14344" width="0.85546875" customWidth="1"/>
    <col min="14345" max="14346" width="0.7109375" customWidth="1"/>
    <col min="14347" max="14347" width="0.5703125" customWidth="1"/>
    <col min="14593" max="14593" width="6" customWidth="1"/>
    <col min="14594" max="14594" width="30" customWidth="1"/>
    <col min="14595" max="14595" width="6.28515625" customWidth="1"/>
    <col min="14596" max="14596" width="9.5703125" customWidth="1"/>
    <col min="14597" max="14598" width="12.42578125" customWidth="1"/>
    <col min="14599" max="14599" width="17.42578125" customWidth="1"/>
    <col min="14600" max="14600" width="0.85546875" customWidth="1"/>
    <col min="14601" max="14602" width="0.7109375" customWidth="1"/>
    <col min="14603" max="14603" width="0.5703125" customWidth="1"/>
    <col min="14849" max="14849" width="6" customWidth="1"/>
    <col min="14850" max="14850" width="30" customWidth="1"/>
    <col min="14851" max="14851" width="6.28515625" customWidth="1"/>
    <col min="14852" max="14852" width="9.5703125" customWidth="1"/>
    <col min="14853" max="14854" width="12.42578125" customWidth="1"/>
    <col min="14855" max="14855" width="17.42578125" customWidth="1"/>
    <col min="14856" max="14856" width="0.85546875" customWidth="1"/>
    <col min="14857" max="14858" width="0.7109375" customWidth="1"/>
    <col min="14859" max="14859" width="0.5703125" customWidth="1"/>
    <col min="15105" max="15105" width="6" customWidth="1"/>
    <col min="15106" max="15106" width="30" customWidth="1"/>
    <col min="15107" max="15107" width="6.28515625" customWidth="1"/>
    <col min="15108" max="15108" width="9.5703125" customWidth="1"/>
    <col min="15109" max="15110" width="12.42578125" customWidth="1"/>
    <col min="15111" max="15111" width="17.42578125" customWidth="1"/>
    <col min="15112" max="15112" width="0.85546875" customWidth="1"/>
    <col min="15113" max="15114" width="0.7109375" customWidth="1"/>
    <col min="15115" max="15115" width="0.5703125" customWidth="1"/>
    <col min="15361" max="15361" width="6" customWidth="1"/>
    <col min="15362" max="15362" width="30" customWidth="1"/>
    <col min="15363" max="15363" width="6.28515625" customWidth="1"/>
    <col min="15364" max="15364" width="9.5703125" customWidth="1"/>
    <col min="15365" max="15366" width="12.42578125" customWidth="1"/>
    <col min="15367" max="15367" width="17.42578125" customWidth="1"/>
    <col min="15368" max="15368" width="0.85546875" customWidth="1"/>
    <col min="15369" max="15370" width="0.7109375" customWidth="1"/>
    <col min="15371" max="15371" width="0.5703125" customWidth="1"/>
    <col min="15617" max="15617" width="6" customWidth="1"/>
    <col min="15618" max="15618" width="30" customWidth="1"/>
    <col min="15619" max="15619" width="6.28515625" customWidth="1"/>
    <col min="15620" max="15620" width="9.5703125" customWidth="1"/>
    <col min="15621" max="15622" width="12.42578125" customWidth="1"/>
    <col min="15623" max="15623" width="17.42578125" customWidth="1"/>
    <col min="15624" max="15624" width="0.85546875" customWidth="1"/>
    <col min="15625" max="15626" width="0.7109375" customWidth="1"/>
    <col min="15627" max="15627" width="0.5703125" customWidth="1"/>
    <col min="15873" max="15873" width="6" customWidth="1"/>
    <col min="15874" max="15874" width="30" customWidth="1"/>
    <col min="15875" max="15875" width="6.28515625" customWidth="1"/>
    <col min="15876" max="15876" width="9.5703125" customWidth="1"/>
    <col min="15877" max="15878" width="12.42578125" customWidth="1"/>
    <col min="15879" max="15879" width="17.42578125" customWidth="1"/>
    <col min="15880" max="15880" width="0.85546875" customWidth="1"/>
    <col min="15881" max="15882" width="0.7109375" customWidth="1"/>
    <col min="15883" max="15883" width="0.5703125" customWidth="1"/>
    <col min="16129" max="16129" width="6" customWidth="1"/>
    <col min="16130" max="16130" width="30" customWidth="1"/>
    <col min="16131" max="16131" width="6.28515625" customWidth="1"/>
    <col min="16132" max="16132" width="9.5703125" customWidth="1"/>
    <col min="16133" max="16134" width="12.42578125" customWidth="1"/>
    <col min="16135" max="16135" width="17.42578125" customWidth="1"/>
    <col min="16136" max="16136" width="0.85546875" customWidth="1"/>
    <col min="16137" max="16138" width="0.7109375" customWidth="1"/>
    <col min="16139" max="16139" width="0.5703125" customWidth="1"/>
  </cols>
  <sheetData>
    <row r="1" spans="1:8" ht="21" customHeight="1">
      <c r="A1" s="998" t="s">
        <v>230</v>
      </c>
      <c r="B1" s="998"/>
      <c r="C1" s="998"/>
      <c r="D1" s="998"/>
      <c r="E1" s="998"/>
      <c r="F1" s="998"/>
      <c r="G1" s="998"/>
    </row>
    <row r="2" spans="1:8" ht="20.25" customHeight="1">
      <c r="A2" s="998" t="s">
        <v>231</v>
      </c>
      <c r="B2" s="998"/>
      <c r="C2" s="998"/>
      <c r="D2" s="998"/>
      <c r="E2" s="998"/>
      <c r="F2" s="998"/>
      <c r="G2" s="998"/>
    </row>
    <row r="3" spans="1:8" ht="16.5" customHeight="1">
      <c r="A3" s="999"/>
      <c r="B3" s="999"/>
      <c r="C3" s="999"/>
      <c r="D3" s="999"/>
      <c r="E3" s="999"/>
      <c r="F3" s="999"/>
      <c r="G3" s="999"/>
    </row>
    <row r="4" spans="1:8" ht="16.5" customHeight="1">
      <c r="A4" s="1000" t="s">
        <v>232</v>
      </c>
      <c r="B4" s="1000"/>
      <c r="C4" s="1000"/>
      <c r="D4" s="1000"/>
      <c r="E4" s="1000"/>
      <c r="F4" s="1000"/>
      <c r="G4" s="1000"/>
    </row>
    <row r="5" spans="1:8" s="2" customFormat="1" ht="17.25" customHeight="1">
      <c r="A5" s="1000" t="s">
        <v>233</v>
      </c>
      <c r="B5" s="1000"/>
      <c r="C5" s="1000"/>
      <c r="D5" s="1000"/>
      <c r="E5" s="1000"/>
      <c r="F5" s="1001" t="s">
        <v>234</v>
      </c>
      <c r="G5" s="1001"/>
    </row>
    <row r="6" spans="1:8" ht="18.75" customHeight="1">
      <c r="A6" s="3" t="s">
        <v>235</v>
      </c>
      <c r="B6" s="4" t="s">
        <v>236</v>
      </c>
      <c r="C6" s="4" t="s">
        <v>237</v>
      </c>
      <c r="D6" s="4" t="s">
        <v>238</v>
      </c>
      <c r="E6" s="5" t="s">
        <v>239</v>
      </c>
      <c r="F6" s="5" t="s">
        <v>240</v>
      </c>
      <c r="G6" s="4" t="s">
        <v>241</v>
      </c>
    </row>
    <row r="7" spans="1:8" ht="33">
      <c r="A7" s="6" t="s">
        <v>10</v>
      </c>
      <c r="B7" s="7" t="s">
        <v>12</v>
      </c>
      <c r="C7" s="8" t="s">
        <v>4</v>
      </c>
      <c r="D7" s="9">
        <v>1</v>
      </c>
      <c r="E7" s="9"/>
      <c r="F7" s="9">
        <v>257600000</v>
      </c>
      <c r="G7" s="10" t="s">
        <v>242</v>
      </c>
      <c r="H7" s="11" t="s">
        <v>243</v>
      </c>
    </row>
    <row r="8" spans="1:8" ht="33">
      <c r="A8" s="6" t="s">
        <v>206</v>
      </c>
      <c r="B8" s="7" t="s">
        <v>2</v>
      </c>
      <c r="C8" s="8" t="s">
        <v>4</v>
      </c>
      <c r="D8" s="9">
        <v>1</v>
      </c>
      <c r="E8" s="9"/>
      <c r="F8" s="9">
        <v>204487082.94999999</v>
      </c>
      <c r="G8" s="10" t="s">
        <v>242</v>
      </c>
      <c r="H8" s="11" t="s">
        <v>243</v>
      </c>
    </row>
    <row r="9" spans="1:8" ht="33">
      <c r="A9" s="6" t="s">
        <v>40</v>
      </c>
      <c r="B9" s="7" t="s">
        <v>244</v>
      </c>
      <c r="C9" s="8" t="s">
        <v>4</v>
      </c>
      <c r="D9" s="9">
        <v>1</v>
      </c>
      <c r="E9" s="9"/>
      <c r="F9" s="9">
        <v>58782953.579999998</v>
      </c>
      <c r="G9" s="10" t="s">
        <v>242</v>
      </c>
      <c r="H9" s="11" t="s">
        <v>243</v>
      </c>
    </row>
    <row r="10" spans="1:8" ht="42.75">
      <c r="A10" s="12" t="s">
        <v>41</v>
      </c>
      <c r="B10" s="7" t="s">
        <v>245</v>
      </c>
      <c r="C10" s="8" t="s">
        <v>6</v>
      </c>
      <c r="D10" s="9">
        <v>720.24</v>
      </c>
      <c r="E10" s="9">
        <v>193.11</v>
      </c>
      <c r="F10" s="9">
        <v>139085.54999999999</v>
      </c>
      <c r="G10" s="10" t="s">
        <v>246</v>
      </c>
      <c r="H10" s="11" t="s">
        <v>243</v>
      </c>
    </row>
    <row r="11" spans="1:8" ht="42.75">
      <c r="A11" s="12" t="s">
        <v>42</v>
      </c>
      <c r="B11" s="7" t="s">
        <v>247</v>
      </c>
      <c r="C11" s="8" t="s">
        <v>6</v>
      </c>
      <c r="D11" s="9">
        <v>4813.4399999999996</v>
      </c>
      <c r="E11" s="9">
        <v>1046.1600000000001</v>
      </c>
      <c r="F11" s="9">
        <v>5035628.3899999997</v>
      </c>
      <c r="G11" s="10" t="s">
        <v>248</v>
      </c>
      <c r="H11" s="11" t="s">
        <v>243</v>
      </c>
    </row>
    <row r="12" spans="1:8" ht="57">
      <c r="A12" s="12" t="s">
        <v>43</v>
      </c>
      <c r="B12" s="7" t="s">
        <v>249</v>
      </c>
      <c r="C12" s="8" t="s">
        <v>8</v>
      </c>
      <c r="D12" s="9">
        <v>1743</v>
      </c>
      <c r="E12" s="9">
        <v>6199.66</v>
      </c>
      <c r="F12" s="9">
        <v>10806007.380000001</v>
      </c>
      <c r="G12" s="10" t="s">
        <v>250</v>
      </c>
      <c r="H12" s="11" t="s">
        <v>243</v>
      </c>
    </row>
    <row r="13" spans="1:8" ht="47.25">
      <c r="A13" s="12" t="s">
        <v>44</v>
      </c>
      <c r="B13" s="7" t="s">
        <v>194</v>
      </c>
      <c r="C13" s="8" t="s">
        <v>23</v>
      </c>
      <c r="D13" s="9">
        <v>26370</v>
      </c>
      <c r="E13" s="9">
        <v>48.28</v>
      </c>
      <c r="F13" s="9">
        <v>1273143.6000000001</v>
      </c>
      <c r="G13" s="10" t="s">
        <v>251</v>
      </c>
      <c r="H13" s="11" t="s">
        <v>243</v>
      </c>
    </row>
    <row r="14" spans="1:8" ht="42.75">
      <c r="A14" s="12" t="s">
        <v>45</v>
      </c>
      <c r="B14" s="7" t="s">
        <v>252</v>
      </c>
      <c r="C14" s="8" t="s">
        <v>6</v>
      </c>
      <c r="D14" s="9">
        <v>4726.67</v>
      </c>
      <c r="E14" s="9">
        <v>599.71</v>
      </c>
      <c r="F14" s="9">
        <v>2834631.27</v>
      </c>
      <c r="G14" s="10" t="s">
        <v>253</v>
      </c>
      <c r="H14" s="11" t="s">
        <v>243</v>
      </c>
    </row>
    <row r="15" spans="1:8" ht="42.75">
      <c r="A15" s="12" t="s">
        <v>254</v>
      </c>
      <c r="B15" s="7" t="s">
        <v>255</v>
      </c>
      <c r="C15" s="8" t="s">
        <v>6</v>
      </c>
      <c r="D15" s="9">
        <v>13120</v>
      </c>
      <c r="E15" s="9">
        <v>104.64</v>
      </c>
      <c r="F15" s="9">
        <v>1372876.8</v>
      </c>
      <c r="G15" s="10" t="s">
        <v>256</v>
      </c>
      <c r="H15" s="11" t="s">
        <v>243</v>
      </c>
    </row>
    <row r="16" spans="1:8" ht="71.25">
      <c r="A16" s="12" t="s">
        <v>257</v>
      </c>
      <c r="B16" s="7" t="s">
        <v>258</v>
      </c>
      <c r="C16" s="8" t="s">
        <v>23</v>
      </c>
      <c r="D16" s="9">
        <v>13251</v>
      </c>
      <c r="E16" s="9">
        <v>1027.3699999999999</v>
      </c>
      <c r="F16" s="9">
        <v>13613679.869999999</v>
      </c>
      <c r="G16" s="10" t="s">
        <v>259</v>
      </c>
      <c r="H16" s="11" t="s">
        <v>243</v>
      </c>
    </row>
    <row r="17" spans="1:8" ht="42.75">
      <c r="A17" s="12" t="s">
        <v>260</v>
      </c>
      <c r="B17" s="7" t="s">
        <v>261</v>
      </c>
      <c r="C17" s="8" t="s">
        <v>6</v>
      </c>
      <c r="D17" s="9">
        <v>4601.4399999999996</v>
      </c>
      <c r="E17" s="9">
        <v>1084.98</v>
      </c>
      <c r="F17" s="9">
        <v>4992470.37</v>
      </c>
      <c r="G17" s="10" t="s">
        <v>262</v>
      </c>
      <c r="H17" s="11" t="s">
        <v>243</v>
      </c>
    </row>
    <row r="18" spans="1:8" ht="47.25">
      <c r="A18" s="12" t="s">
        <v>263</v>
      </c>
      <c r="B18" s="7" t="s">
        <v>264</v>
      </c>
      <c r="C18" s="8" t="s">
        <v>13</v>
      </c>
      <c r="D18" s="9">
        <v>2588.5</v>
      </c>
      <c r="E18" s="9">
        <v>30.45</v>
      </c>
      <c r="F18" s="9">
        <v>78819.83</v>
      </c>
      <c r="G18" s="10" t="s">
        <v>265</v>
      </c>
      <c r="H18" s="11" t="s">
        <v>243</v>
      </c>
    </row>
    <row r="19" spans="1:8" ht="47.25">
      <c r="A19" s="12" t="s">
        <v>266</v>
      </c>
      <c r="B19" s="7" t="s">
        <v>267</v>
      </c>
      <c r="C19" s="8" t="s">
        <v>13</v>
      </c>
      <c r="D19" s="9">
        <v>9177</v>
      </c>
      <c r="E19" s="9">
        <v>28.48</v>
      </c>
      <c r="F19" s="9">
        <v>261360.96</v>
      </c>
      <c r="G19" s="10" t="s">
        <v>268</v>
      </c>
      <c r="H19" s="11" t="s">
        <v>243</v>
      </c>
    </row>
    <row r="20" spans="1:8" ht="42.75">
      <c r="A20" s="12" t="s">
        <v>269</v>
      </c>
      <c r="B20" s="7" t="s">
        <v>270</v>
      </c>
      <c r="C20" s="8" t="s">
        <v>8</v>
      </c>
      <c r="D20" s="9">
        <v>162.5</v>
      </c>
      <c r="E20" s="9">
        <v>65.400000000000006</v>
      </c>
      <c r="F20" s="9">
        <v>10627.5</v>
      </c>
      <c r="G20" s="10" t="s">
        <v>271</v>
      </c>
      <c r="H20" s="11" t="s">
        <v>243</v>
      </c>
    </row>
    <row r="21" spans="1:8" ht="42.75">
      <c r="A21" s="12" t="s">
        <v>272</v>
      </c>
      <c r="B21" s="7" t="s">
        <v>273</v>
      </c>
      <c r="C21" s="8" t="s">
        <v>13</v>
      </c>
      <c r="D21" s="9">
        <v>5217.7</v>
      </c>
      <c r="E21" s="9">
        <v>20.190000000000001</v>
      </c>
      <c r="F21" s="9">
        <v>105345.36</v>
      </c>
      <c r="G21" s="10" t="s">
        <v>274</v>
      </c>
      <c r="H21" s="11" t="s">
        <v>243</v>
      </c>
    </row>
    <row r="22" spans="1:8" ht="42.75">
      <c r="A22" s="12" t="s">
        <v>275</v>
      </c>
      <c r="B22" s="7" t="s">
        <v>276</v>
      </c>
      <c r="C22" s="8" t="s">
        <v>6</v>
      </c>
      <c r="D22" s="9">
        <v>782.66</v>
      </c>
      <c r="E22" s="9">
        <v>2286.6799999999998</v>
      </c>
      <c r="F22" s="9">
        <v>1789692.97</v>
      </c>
      <c r="G22" s="10" t="s">
        <v>277</v>
      </c>
      <c r="H22" s="11" t="s">
        <v>243</v>
      </c>
    </row>
    <row r="23" spans="1:8" ht="57">
      <c r="A23" s="12" t="s">
        <v>278</v>
      </c>
      <c r="B23" s="7" t="s">
        <v>279</v>
      </c>
      <c r="C23" s="8" t="s">
        <v>14</v>
      </c>
      <c r="D23" s="9">
        <v>425</v>
      </c>
      <c r="E23" s="9">
        <v>521.15</v>
      </c>
      <c r="F23" s="9">
        <v>221488.75</v>
      </c>
      <c r="G23" s="10" t="s">
        <v>280</v>
      </c>
      <c r="H23" s="11" t="s">
        <v>243</v>
      </c>
    </row>
    <row r="24" spans="1:8" ht="42.75">
      <c r="A24" s="12" t="s">
        <v>281</v>
      </c>
      <c r="B24" s="7" t="s">
        <v>282</v>
      </c>
      <c r="C24" s="8" t="s">
        <v>8</v>
      </c>
      <c r="D24" s="9">
        <v>255.5</v>
      </c>
      <c r="E24" s="9">
        <v>289.67</v>
      </c>
      <c r="F24" s="9">
        <v>74010.69</v>
      </c>
      <c r="G24" s="10" t="s">
        <v>283</v>
      </c>
      <c r="H24" s="11" t="s">
        <v>243</v>
      </c>
    </row>
    <row r="25" spans="1:8" ht="42.75">
      <c r="A25" s="12" t="s">
        <v>284</v>
      </c>
      <c r="B25" s="7" t="s">
        <v>285</v>
      </c>
      <c r="C25" s="8" t="s">
        <v>286</v>
      </c>
      <c r="D25" s="9">
        <v>2204</v>
      </c>
      <c r="E25" s="9">
        <v>3082.11</v>
      </c>
      <c r="F25" s="9">
        <v>6792970.4400000004</v>
      </c>
      <c r="G25" s="10" t="s">
        <v>287</v>
      </c>
      <c r="H25" s="11" t="s">
        <v>243</v>
      </c>
    </row>
    <row r="26" spans="1:8" ht="57">
      <c r="A26" s="12" t="s">
        <v>288</v>
      </c>
      <c r="B26" s="7" t="s">
        <v>289</v>
      </c>
      <c r="C26" s="8" t="s">
        <v>290</v>
      </c>
      <c r="D26" s="9">
        <v>66</v>
      </c>
      <c r="E26" s="9">
        <v>3311.26</v>
      </c>
      <c r="F26" s="9">
        <v>218543.16</v>
      </c>
      <c r="G26" s="10" t="s">
        <v>291</v>
      </c>
      <c r="H26" s="11" t="s">
        <v>243</v>
      </c>
    </row>
    <row r="27" spans="1:8" ht="42.75">
      <c r="A27" s="12" t="s">
        <v>292</v>
      </c>
      <c r="B27" s="7" t="s">
        <v>293</v>
      </c>
      <c r="C27" s="8" t="s">
        <v>0</v>
      </c>
      <c r="D27" s="9">
        <v>18</v>
      </c>
      <c r="E27" s="9">
        <v>1199.93</v>
      </c>
      <c r="F27" s="9">
        <v>21598.74</v>
      </c>
      <c r="G27" s="10" t="s">
        <v>294</v>
      </c>
      <c r="H27" s="11" t="s">
        <v>243</v>
      </c>
    </row>
    <row r="28" spans="1:8" ht="42.75">
      <c r="A28" s="12" t="s">
        <v>295</v>
      </c>
      <c r="B28" s="7" t="s">
        <v>296</v>
      </c>
      <c r="C28" s="8" t="s">
        <v>0</v>
      </c>
      <c r="D28" s="9">
        <v>4</v>
      </c>
      <c r="E28" s="9">
        <v>2999.84</v>
      </c>
      <c r="F28" s="9">
        <v>11999.36</v>
      </c>
      <c r="G28" s="10" t="s">
        <v>297</v>
      </c>
      <c r="H28" s="11" t="s">
        <v>243</v>
      </c>
    </row>
    <row r="29" spans="1:8" ht="42.75">
      <c r="A29" s="12" t="s">
        <v>298</v>
      </c>
      <c r="B29" s="7" t="s">
        <v>299</v>
      </c>
      <c r="C29" s="8" t="s">
        <v>0</v>
      </c>
      <c r="D29" s="9">
        <v>20</v>
      </c>
      <c r="E29" s="9">
        <v>2999.84</v>
      </c>
      <c r="F29" s="9">
        <v>59996.800000000003</v>
      </c>
      <c r="G29" s="10" t="s">
        <v>300</v>
      </c>
      <c r="H29" s="11" t="s">
        <v>243</v>
      </c>
    </row>
    <row r="30" spans="1:8" ht="42.75">
      <c r="A30" s="12" t="s">
        <v>301</v>
      </c>
      <c r="B30" s="7" t="s">
        <v>302</v>
      </c>
      <c r="C30" s="8" t="s">
        <v>0</v>
      </c>
      <c r="D30" s="9">
        <v>15</v>
      </c>
      <c r="E30" s="9">
        <v>2999.84</v>
      </c>
      <c r="F30" s="9">
        <v>44997.599999999999</v>
      </c>
      <c r="G30" s="10" t="s">
        <v>303</v>
      </c>
      <c r="H30" s="11" t="s">
        <v>243</v>
      </c>
    </row>
    <row r="31" spans="1:8" ht="33">
      <c r="A31" s="12" t="s">
        <v>304</v>
      </c>
      <c r="B31" s="7" t="s">
        <v>305</v>
      </c>
      <c r="C31" s="8" t="s">
        <v>4</v>
      </c>
      <c r="D31" s="9">
        <v>1</v>
      </c>
      <c r="E31" s="9">
        <v>399978.19</v>
      </c>
      <c r="F31" s="9">
        <v>399978.19</v>
      </c>
      <c r="G31" s="10" t="s">
        <v>306</v>
      </c>
      <c r="H31" s="11" t="s">
        <v>243</v>
      </c>
    </row>
    <row r="32" spans="1:8" ht="33">
      <c r="A32" s="12" t="s">
        <v>307</v>
      </c>
      <c r="B32" s="7" t="s">
        <v>31</v>
      </c>
      <c r="C32" s="8" t="s">
        <v>16</v>
      </c>
      <c r="D32" s="9">
        <v>30800</v>
      </c>
      <c r="E32" s="9">
        <v>280</v>
      </c>
      <c r="F32" s="9">
        <v>8624000</v>
      </c>
      <c r="G32" s="10" t="s">
        <v>308</v>
      </c>
      <c r="H32" s="11" t="s">
        <v>243</v>
      </c>
    </row>
    <row r="33" spans="1:11" ht="33">
      <c r="A33" s="6" t="s">
        <v>46</v>
      </c>
      <c r="B33" s="7" t="s">
        <v>309</v>
      </c>
      <c r="C33" s="8" t="s">
        <v>4</v>
      </c>
      <c r="D33" s="9">
        <v>1</v>
      </c>
      <c r="E33" s="9"/>
      <c r="F33" s="9">
        <v>30807124.300000001</v>
      </c>
      <c r="G33" s="10" t="s">
        <v>242</v>
      </c>
      <c r="H33" s="11" t="s">
        <v>243</v>
      </c>
    </row>
    <row r="34" spans="1:11" ht="42.75">
      <c r="A34" s="12" t="s">
        <v>47</v>
      </c>
      <c r="B34" s="7" t="s">
        <v>310</v>
      </c>
      <c r="C34" s="8" t="s">
        <v>223</v>
      </c>
      <c r="D34" s="9">
        <v>1887.64</v>
      </c>
      <c r="E34" s="9">
        <v>320.72000000000003</v>
      </c>
      <c r="F34" s="9">
        <v>605403.9</v>
      </c>
      <c r="G34" s="10" t="s">
        <v>311</v>
      </c>
      <c r="H34" s="11" t="s">
        <v>243</v>
      </c>
    </row>
    <row r="35" spans="1:11" ht="42.75">
      <c r="A35" s="12" t="s">
        <v>48</v>
      </c>
      <c r="B35" s="7" t="s">
        <v>312</v>
      </c>
      <c r="C35" s="8" t="s">
        <v>223</v>
      </c>
      <c r="D35" s="9">
        <v>402.21</v>
      </c>
      <c r="E35" s="9">
        <v>346.06</v>
      </c>
      <c r="F35" s="9">
        <v>139188.79</v>
      </c>
      <c r="G35" s="10" t="s">
        <v>313</v>
      </c>
      <c r="H35" s="11" t="s">
        <v>243</v>
      </c>
    </row>
    <row r="36" spans="1:11" ht="57">
      <c r="A36" s="12" t="s">
        <v>49</v>
      </c>
      <c r="B36" s="7" t="s">
        <v>192</v>
      </c>
      <c r="C36" s="8" t="s">
        <v>17</v>
      </c>
      <c r="D36" s="9">
        <v>18865.759999999998</v>
      </c>
      <c r="E36" s="9">
        <v>36.4</v>
      </c>
      <c r="F36" s="9">
        <v>686713.66</v>
      </c>
      <c r="G36" s="10" t="s">
        <v>314</v>
      </c>
      <c r="H36" s="11" t="s">
        <v>243</v>
      </c>
    </row>
    <row r="37" spans="1:11" ht="42.75">
      <c r="A37" s="12" t="s">
        <v>50</v>
      </c>
      <c r="B37" s="7" t="s">
        <v>315</v>
      </c>
      <c r="C37" s="8" t="s">
        <v>6</v>
      </c>
      <c r="D37" s="9">
        <v>107.91</v>
      </c>
      <c r="E37" s="9">
        <v>3114.97</v>
      </c>
      <c r="F37" s="9">
        <v>336136.41</v>
      </c>
      <c r="G37" s="10" t="s">
        <v>316</v>
      </c>
      <c r="H37" s="11" t="s">
        <v>243</v>
      </c>
    </row>
    <row r="38" spans="1:11" ht="42.75">
      <c r="A38" s="12" t="s">
        <v>51</v>
      </c>
      <c r="B38" s="7" t="s">
        <v>24</v>
      </c>
      <c r="C38" s="8" t="s">
        <v>6</v>
      </c>
      <c r="D38" s="9">
        <v>564.01</v>
      </c>
      <c r="E38" s="9">
        <v>3320.96</v>
      </c>
      <c r="F38" s="9">
        <v>1873054.65</v>
      </c>
      <c r="G38" s="10" t="s">
        <v>317</v>
      </c>
      <c r="H38" s="11" t="s">
        <v>243</v>
      </c>
    </row>
    <row r="39" spans="1:11" s="15" customFormat="1" ht="85.5">
      <c r="A39" s="12" t="s">
        <v>52</v>
      </c>
      <c r="B39" s="7" t="s">
        <v>193</v>
      </c>
      <c r="C39" s="8" t="s">
        <v>13</v>
      </c>
      <c r="D39" s="9">
        <v>1926.87</v>
      </c>
      <c r="E39" s="9">
        <v>533.61</v>
      </c>
      <c r="F39" s="9">
        <v>1028197.1</v>
      </c>
      <c r="G39" s="10" t="s">
        <v>318</v>
      </c>
      <c r="H39" s="13" t="s">
        <v>243</v>
      </c>
      <c r="I39" s="14"/>
      <c r="J39" s="14"/>
      <c r="K39" s="14"/>
    </row>
    <row r="40" spans="1:11" s="15" customFormat="1" ht="71.25">
      <c r="A40" s="12" t="s">
        <v>53</v>
      </c>
      <c r="B40" s="7" t="s">
        <v>319</v>
      </c>
      <c r="C40" s="8" t="s">
        <v>13</v>
      </c>
      <c r="D40" s="9">
        <v>301.33</v>
      </c>
      <c r="E40" s="9">
        <v>1299.82</v>
      </c>
      <c r="F40" s="9">
        <v>391674.76</v>
      </c>
      <c r="G40" s="10" t="s">
        <v>320</v>
      </c>
      <c r="H40" s="13" t="s">
        <v>243</v>
      </c>
      <c r="I40" s="14"/>
      <c r="J40" s="14"/>
      <c r="K40" s="14"/>
    </row>
    <row r="41" spans="1:11" ht="71.25">
      <c r="A41" s="12" t="s">
        <v>54</v>
      </c>
      <c r="B41" s="7" t="s">
        <v>321</v>
      </c>
      <c r="C41" s="8" t="s">
        <v>17</v>
      </c>
      <c r="D41" s="9">
        <v>5991.34</v>
      </c>
      <c r="E41" s="9">
        <v>60</v>
      </c>
      <c r="F41" s="9">
        <v>359480.4</v>
      </c>
      <c r="G41" s="10" t="s">
        <v>322</v>
      </c>
      <c r="H41" s="11" t="s">
        <v>243</v>
      </c>
    </row>
    <row r="42" spans="1:11" ht="33">
      <c r="A42" s="12" t="s">
        <v>55</v>
      </c>
      <c r="B42" s="7" t="s">
        <v>323</v>
      </c>
      <c r="C42" s="8" t="s">
        <v>17</v>
      </c>
      <c r="D42" s="9">
        <v>5991.34</v>
      </c>
      <c r="E42" s="9">
        <v>31.9</v>
      </c>
      <c r="F42" s="9">
        <v>191123.75</v>
      </c>
      <c r="G42" s="10" t="s">
        <v>324</v>
      </c>
      <c r="H42" s="11" t="s">
        <v>243</v>
      </c>
    </row>
    <row r="43" spans="1:11" ht="71.25">
      <c r="A43" s="12" t="s">
        <v>56</v>
      </c>
      <c r="B43" s="7" t="s">
        <v>325</v>
      </c>
      <c r="C43" s="8" t="s">
        <v>17</v>
      </c>
      <c r="D43" s="9">
        <v>1180.03</v>
      </c>
      <c r="E43" s="9">
        <v>107.3</v>
      </c>
      <c r="F43" s="9">
        <v>126617.22</v>
      </c>
      <c r="G43" s="10" t="s">
        <v>326</v>
      </c>
      <c r="H43" s="11" t="s">
        <v>243</v>
      </c>
    </row>
    <row r="44" spans="1:11" ht="42.75">
      <c r="A44" s="12" t="s">
        <v>57</v>
      </c>
      <c r="B44" s="7" t="s">
        <v>327</v>
      </c>
      <c r="C44" s="8" t="s">
        <v>13</v>
      </c>
      <c r="D44" s="9">
        <v>3879.21</v>
      </c>
      <c r="E44" s="9">
        <v>3092.69</v>
      </c>
      <c r="F44" s="9">
        <v>11997193.970000001</v>
      </c>
      <c r="G44" s="10" t="s">
        <v>328</v>
      </c>
      <c r="H44" s="11" t="s">
        <v>243</v>
      </c>
    </row>
    <row r="45" spans="1:11" ht="42.75">
      <c r="A45" s="12" t="s">
        <v>58</v>
      </c>
      <c r="B45" s="7" t="s">
        <v>329</v>
      </c>
      <c r="C45" s="8" t="s">
        <v>13</v>
      </c>
      <c r="D45" s="9">
        <v>462.9</v>
      </c>
      <c r="E45" s="9">
        <v>3961.37</v>
      </c>
      <c r="F45" s="9">
        <v>1833718.17</v>
      </c>
      <c r="G45" s="10" t="s">
        <v>330</v>
      </c>
      <c r="H45" s="11" t="s">
        <v>243</v>
      </c>
    </row>
    <row r="46" spans="1:11" ht="42.75">
      <c r="A46" s="12" t="s">
        <v>59</v>
      </c>
      <c r="B46" s="7" t="s">
        <v>331</v>
      </c>
      <c r="C46" s="8" t="s">
        <v>13</v>
      </c>
      <c r="D46" s="9">
        <v>5.09</v>
      </c>
      <c r="E46" s="9">
        <v>3965.59</v>
      </c>
      <c r="F46" s="9">
        <v>20184.849999999999</v>
      </c>
      <c r="G46" s="10" t="s">
        <v>332</v>
      </c>
      <c r="H46" s="11" t="s">
        <v>243</v>
      </c>
    </row>
    <row r="47" spans="1:11" ht="42.75">
      <c r="A47" s="12" t="s">
        <v>60</v>
      </c>
      <c r="B47" s="7" t="s">
        <v>333</v>
      </c>
      <c r="C47" s="8" t="s">
        <v>13</v>
      </c>
      <c r="D47" s="9">
        <v>18.760000000000002</v>
      </c>
      <c r="E47" s="9">
        <v>3391.22</v>
      </c>
      <c r="F47" s="9">
        <v>63619.29</v>
      </c>
      <c r="G47" s="10" t="s">
        <v>334</v>
      </c>
      <c r="H47" s="11" t="s">
        <v>243</v>
      </c>
    </row>
    <row r="48" spans="1:11" ht="42.75">
      <c r="A48" s="12" t="s">
        <v>61</v>
      </c>
      <c r="B48" s="7" t="s">
        <v>335</v>
      </c>
      <c r="C48" s="8" t="s">
        <v>13</v>
      </c>
      <c r="D48" s="9">
        <v>118.92</v>
      </c>
      <c r="E48" s="9">
        <v>773.85</v>
      </c>
      <c r="F48" s="9">
        <v>92026.240000000005</v>
      </c>
      <c r="G48" s="10" t="s">
        <v>336</v>
      </c>
      <c r="H48" s="11" t="s">
        <v>243</v>
      </c>
    </row>
    <row r="49" spans="1:8" ht="42.75">
      <c r="A49" s="12" t="s">
        <v>62</v>
      </c>
      <c r="B49" s="7" t="s">
        <v>337</v>
      </c>
      <c r="C49" s="8" t="s">
        <v>13</v>
      </c>
      <c r="D49" s="9">
        <v>173.3</v>
      </c>
      <c r="E49" s="9">
        <v>948.34</v>
      </c>
      <c r="F49" s="9">
        <v>164347.32</v>
      </c>
      <c r="G49" s="10" t="s">
        <v>338</v>
      </c>
      <c r="H49" s="11" t="s">
        <v>243</v>
      </c>
    </row>
    <row r="50" spans="1:8" ht="42.75">
      <c r="A50" s="12" t="s">
        <v>63</v>
      </c>
      <c r="B50" s="7" t="s">
        <v>339</v>
      </c>
      <c r="C50" s="8" t="s">
        <v>0</v>
      </c>
      <c r="D50" s="9">
        <v>1</v>
      </c>
      <c r="E50" s="9">
        <v>144378.63</v>
      </c>
      <c r="F50" s="9">
        <v>144378.63</v>
      </c>
      <c r="G50" s="10" t="s">
        <v>340</v>
      </c>
      <c r="H50" s="11" t="s">
        <v>243</v>
      </c>
    </row>
    <row r="51" spans="1:8" ht="42.75">
      <c r="A51" s="12" t="s">
        <v>64</v>
      </c>
      <c r="B51" s="7" t="s">
        <v>341</v>
      </c>
      <c r="C51" s="8" t="s">
        <v>223</v>
      </c>
      <c r="D51" s="9">
        <v>156.68</v>
      </c>
      <c r="E51" s="9">
        <v>145.21</v>
      </c>
      <c r="F51" s="9">
        <v>22751.5</v>
      </c>
      <c r="G51" s="10" t="s">
        <v>342</v>
      </c>
      <c r="H51" s="11" t="s">
        <v>243</v>
      </c>
    </row>
    <row r="52" spans="1:8" ht="42.75">
      <c r="A52" s="12" t="s">
        <v>65</v>
      </c>
      <c r="B52" s="7" t="s">
        <v>343</v>
      </c>
      <c r="C52" s="8" t="s">
        <v>8</v>
      </c>
      <c r="D52" s="9">
        <v>689.86</v>
      </c>
      <c r="E52" s="9">
        <v>2755.78</v>
      </c>
      <c r="F52" s="9">
        <v>1901102.39</v>
      </c>
      <c r="G52" s="10" t="s">
        <v>344</v>
      </c>
      <c r="H52" s="11" t="s">
        <v>243</v>
      </c>
    </row>
    <row r="53" spans="1:8" ht="42.75">
      <c r="A53" s="12" t="s">
        <v>66</v>
      </c>
      <c r="B53" s="7" t="s">
        <v>345</v>
      </c>
      <c r="C53" s="8" t="s">
        <v>8</v>
      </c>
      <c r="D53" s="9">
        <v>12.91</v>
      </c>
      <c r="E53" s="9">
        <v>576.77</v>
      </c>
      <c r="F53" s="9">
        <v>7446.1</v>
      </c>
      <c r="G53" s="10" t="s">
        <v>346</v>
      </c>
      <c r="H53" s="11" t="s">
        <v>243</v>
      </c>
    </row>
    <row r="54" spans="1:8" ht="42.75">
      <c r="A54" s="12" t="s">
        <v>67</v>
      </c>
      <c r="B54" s="7" t="s">
        <v>347</v>
      </c>
      <c r="C54" s="8" t="s">
        <v>8</v>
      </c>
      <c r="D54" s="9">
        <v>56.09</v>
      </c>
      <c r="E54" s="9">
        <v>615.30999999999995</v>
      </c>
      <c r="F54" s="9">
        <v>34512.74</v>
      </c>
      <c r="G54" s="10" t="s">
        <v>348</v>
      </c>
      <c r="H54" s="11" t="s">
        <v>243</v>
      </c>
    </row>
    <row r="55" spans="1:8" ht="42.75">
      <c r="A55" s="12" t="s">
        <v>68</v>
      </c>
      <c r="B55" s="7" t="s">
        <v>349</v>
      </c>
      <c r="C55" s="8" t="s">
        <v>8</v>
      </c>
      <c r="D55" s="9">
        <v>656.91</v>
      </c>
      <c r="E55" s="9">
        <v>685.27</v>
      </c>
      <c r="F55" s="9">
        <v>450160.72</v>
      </c>
      <c r="G55" s="10" t="s">
        <v>350</v>
      </c>
      <c r="H55" s="11" t="s">
        <v>243</v>
      </c>
    </row>
    <row r="56" spans="1:8" ht="42.75">
      <c r="A56" s="12" t="s">
        <v>69</v>
      </c>
      <c r="B56" s="7" t="s">
        <v>351</v>
      </c>
      <c r="C56" s="8" t="s">
        <v>8</v>
      </c>
      <c r="D56" s="9">
        <v>1254.1300000000001</v>
      </c>
      <c r="E56" s="9">
        <v>699.69</v>
      </c>
      <c r="F56" s="9">
        <v>877502.22</v>
      </c>
      <c r="G56" s="10" t="s">
        <v>352</v>
      </c>
      <c r="H56" s="11" t="s">
        <v>243</v>
      </c>
    </row>
    <row r="57" spans="1:8" ht="42.75">
      <c r="A57" s="12" t="s">
        <v>70</v>
      </c>
      <c r="B57" s="7" t="s">
        <v>353</v>
      </c>
      <c r="C57" s="8" t="s">
        <v>8</v>
      </c>
      <c r="D57" s="9">
        <v>44.64</v>
      </c>
      <c r="E57" s="9">
        <v>1199.27</v>
      </c>
      <c r="F57" s="9">
        <v>53535.41</v>
      </c>
      <c r="G57" s="10" t="s">
        <v>354</v>
      </c>
      <c r="H57" s="11" t="s">
        <v>243</v>
      </c>
    </row>
    <row r="58" spans="1:8" ht="42.75">
      <c r="A58" s="12" t="s">
        <v>71</v>
      </c>
      <c r="B58" s="7" t="s">
        <v>355</v>
      </c>
      <c r="C58" s="8" t="s">
        <v>8</v>
      </c>
      <c r="D58" s="9">
        <v>142.26</v>
      </c>
      <c r="E58" s="9">
        <v>57.68</v>
      </c>
      <c r="F58" s="9">
        <v>8205.56</v>
      </c>
      <c r="G58" s="10" t="s">
        <v>356</v>
      </c>
      <c r="H58" s="11" t="s">
        <v>243</v>
      </c>
    </row>
    <row r="59" spans="1:8" ht="42.75">
      <c r="A59" s="12" t="s">
        <v>72</v>
      </c>
      <c r="B59" s="7" t="s">
        <v>357</v>
      </c>
      <c r="C59" s="8" t="s">
        <v>8</v>
      </c>
      <c r="D59" s="9">
        <v>8.5</v>
      </c>
      <c r="E59" s="9">
        <v>138.84</v>
      </c>
      <c r="F59" s="9">
        <v>1180.1400000000001</v>
      </c>
      <c r="G59" s="10" t="s">
        <v>358</v>
      </c>
      <c r="H59" s="11" t="s">
        <v>243</v>
      </c>
    </row>
    <row r="60" spans="1:8" ht="42.75">
      <c r="A60" s="12" t="s">
        <v>73</v>
      </c>
      <c r="B60" s="7" t="s">
        <v>359</v>
      </c>
      <c r="C60" s="8" t="s">
        <v>13</v>
      </c>
      <c r="D60" s="9">
        <v>20.48</v>
      </c>
      <c r="E60" s="9">
        <v>2145.31</v>
      </c>
      <c r="F60" s="9">
        <v>43935.95</v>
      </c>
      <c r="G60" s="10" t="s">
        <v>360</v>
      </c>
      <c r="H60" s="11" t="s">
        <v>243</v>
      </c>
    </row>
    <row r="61" spans="1:8" ht="42.75">
      <c r="A61" s="12" t="s">
        <v>74</v>
      </c>
      <c r="B61" s="7" t="s">
        <v>361</v>
      </c>
      <c r="C61" s="8" t="s">
        <v>8</v>
      </c>
      <c r="D61" s="9">
        <v>56.1</v>
      </c>
      <c r="E61" s="9">
        <v>511.36</v>
      </c>
      <c r="F61" s="9">
        <v>28687.3</v>
      </c>
      <c r="G61" s="10" t="s">
        <v>362</v>
      </c>
      <c r="H61" s="11" t="s">
        <v>243</v>
      </c>
    </row>
    <row r="62" spans="1:8" ht="42.75">
      <c r="A62" s="12" t="s">
        <v>75</v>
      </c>
      <c r="B62" s="7" t="s">
        <v>363</v>
      </c>
      <c r="C62" s="8" t="s">
        <v>8</v>
      </c>
      <c r="D62" s="9">
        <v>16.600000000000001</v>
      </c>
      <c r="E62" s="9">
        <v>829.1</v>
      </c>
      <c r="F62" s="9">
        <v>13763.06</v>
      </c>
      <c r="G62" s="10" t="s">
        <v>364</v>
      </c>
      <c r="H62" s="11" t="s">
        <v>243</v>
      </c>
    </row>
    <row r="63" spans="1:8" ht="42.75">
      <c r="A63" s="12" t="s">
        <v>76</v>
      </c>
      <c r="B63" s="7" t="s">
        <v>365</v>
      </c>
      <c r="C63" s="8" t="s">
        <v>8</v>
      </c>
      <c r="D63" s="9">
        <v>2</v>
      </c>
      <c r="E63" s="9">
        <v>443.91</v>
      </c>
      <c r="F63" s="9">
        <v>887.82</v>
      </c>
      <c r="G63" s="10" t="s">
        <v>366</v>
      </c>
      <c r="H63" s="11" t="s">
        <v>243</v>
      </c>
    </row>
    <row r="64" spans="1:8" ht="42.75">
      <c r="A64" s="12" t="s">
        <v>215</v>
      </c>
      <c r="B64" s="7" t="s">
        <v>367</v>
      </c>
      <c r="C64" s="8" t="s">
        <v>0</v>
      </c>
      <c r="D64" s="9">
        <v>7</v>
      </c>
      <c r="E64" s="9">
        <v>26450.3</v>
      </c>
      <c r="F64" s="9">
        <v>185152.1</v>
      </c>
      <c r="G64" s="10" t="s">
        <v>368</v>
      </c>
      <c r="H64" s="11" t="s">
        <v>243</v>
      </c>
    </row>
    <row r="65" spans="1:8" ht="42.75">
      <c r="A65" s="12" t="s">
        <v>216</v>
      </c>
      <c r="B65" s="7" t="s">
        <v>369</v>
      </c>
      <c r="C65" s="8" t="s">
        <v>8</v>
      </c>
      <c r="D65" s="9">
        <v>19.2</v>
      </c>
      <c r="E65" s="9">
        <v>443.91</v>
      </c>
      <c r="F65" s="9">
        <v>8523.07</v>
      </c>
      <c r="G65" s="10" t="s">
        <v>370</v>
      </c>
      <c r="H65" s="11" t="s">
        <v>243</v>
      </c>
    </row>
    <row r="66" spans="1:8" ht="42.75">
      <c r="A66" s="12" t="s">
        <v>371</v>
      </c>
      <c r="B66" s="7" t="s">
        <v>372</v>
      </c>
      <c r="C66" s="8" t="s">
        <v>0</v>
      </c>
      <c r="D66" s="9">
        <v>2</v>
      </c>
      <c r="E66" s="9">
        <v>23899.56</v>
      </c>
      <c r="F66" s="9">
        <v>47799.12</v>
      </c>
      <c r="G66" s="10" t="s">
        <v>373</v>
      </c>
      <c r="H66" s="11" t="s">
        <v>243</v>
      </c>
    </row>
    <row r="67" spans="1:8" ht="42.75">
      <c r="A67" s="12" t="s">
        <v>208</v>
      </c>
      <c r="B67" s="7" t="s">
        <v>374</v>
      </c>
      <c r="C67" s="8" t="s">
        <v>0</v>
      </c>
      <c r="D67" s="9">
        <v>8</v>
      </c>
      <c r="E67" s="9">
        <v>25125.57</v>
      </c>
      <c r="F67" s="9">
        <v>201004.56</v>
      </c>
      <c r="G67" s="10" t="s">
        <v>375</v>
      </c>
      <c r="H67" s="11" t="s">
        <v>243</v>
      </c>
    </row>
    <row r="68" spans="1:8" ht="42.75">
      <c r="A68" s="12" t="s">
        <v>209</v>
      </c>
      <c r="B68" s="7" t="s">
        <v>376</v>
      </c>
      <c r="C68" s="8" t="s">
        <v>0</v>
      </c>
      <c r="D68" s="9">
        <v>3</v>
      </c>
      <c r="E68" s="9">
        <v>24022.04</v>
      </c>
      <c r="F68" s="9">
        <v>72066.12</v>
      </c>
      <c r="G68" s="10" t="s">
        <v>377</v>
      </c>
      <c r="H68" s="11" t="s">
        <v>243</v>
      </c>
    </row>
    <row r="69" spans="1:8" ht="42.75">
      <c r="A69" s="12" t="s">
        <v>210</v>
      </c>
      <c r="B69" s="7" t="s">
        <v>378</v>
      </c>
      <c r="C69" s="8" t="s">
        <v>8</v>
      </c>
      <c r="D69" s="9">
        <v>30.1</v>
      </c>
      <c r="E69" s="9">
        <v>545.1</v>
      </c>
      <c r="F69" s="9">
        <v>16407.509999999998</v>
      </c>
      <c r="G69" s="10" t="s">
        <v>379</v>
      </c>
      <c r="H69" s="11" t="s">
        <v>243</v>
      </c>
    </row>
    <row r="70" spans="1:8" ht="42.75">
      <c r="A70" s="12" t="s">
        <v>211</v>
      </c>
      <c r="B70" s="7" t="s">
        <v>380</v>
      </c>
      <c r="C70" s="8" t="s">
        <v>8</v>
      </c>
      <c r="D70" s="9">
        <v>31.2</v>
      </c>
      <c r="E70" s="9">
        <v>8355.11</v>
      </c>
      <c r="F70" s="9">
        <v>260679.43</v>
      </c>
      <c r="G70" s="10" t="s">
        <v>381</v>
      </c>
      <c r="H70" s="11" t="s">
        <v>243</v>
      </c>
    </row>
    <row r="71" spans="1:8" ht="42.75">
      <c r="A71" s="12" t="s">
        <v>382</v>
      </c>
      <c r="B71" s="7" t="s">
        <v>383</v>
      </c>
      <c r="C71" s="8" t="s">
        <v>8</v>
      </c>
      <c r="D71" s="9">
        <v>17.899999999999999</v>
      </c>
      <c r="E71" s="9">
        <v>5394.64</v>
      </c>
      <c r="F71" s="9">
        <v>96564.06</v>
      </c>
      <c r="G71" s="10" t="s">
        <v>384</v>
      </c>
      <c r="H71" s="11" t="s">
        <v>243</v>
      </c>
    </row>
    <row r="72" spans="1:8" ht="42.75">
      <c r="A72" s="12" t="s">
        <v>385</v>
      </c>
      <c r="B72" s="7" t="s">
        <v>386</v>
      </c>
      <c r="C72" s="8" t="s">
        <v>8</v>
      </c>
      <c r="D72" s="9">
        <v>19.600000000000001</v>
      </c>
      <c r="E72" s="9">
        <v>432.57</v>
      </c>
      <c r="F72" s="9">
        <v>8478.3700000000008</v>
      </c>
      <c r="G72" s="10" t="s">
        <v>387</v>
      </c>
      <c r="H72" s="11" t="s">
        <v>243</v>
      </c>
    </row>
    <row r="73" spans="1:8" ht="42.75">
      <c r="A73" s="12" t="s">
        <v>388</v>
      </c>
      <c r="B73" s="7" t="s">
        <v>389</v>
      </c>
      <c r="C73" s="8" t="s">
        <v>8</v>
      </c>
      <c r="D73" s="9">
        <v>24.9</v>
      </c>
      <c r="E73" s="9">
        <v>1224.22</v>
      </c>
      <c r="F73" s="9">
        <v>30483.08</v>
      </c>
      <c r="G73" s="10" t="s">
        <v>390</v>
      </c>
      <c r="H73" s="11" t="s">
        <v>243</v>
      </c>
    </row>
    <row r="74" spans="1:8" ht="42.75">
      <c r="A74" s="12" t="s">
        <v>391</v>
      </c>
      <c r="B74" s="7" t="s">
        <v>392</v>
      </c>
      <c r="C74" s="8" t="s">
        <v>8</v>
      </c>
      <c r="D74" s="9">
        <v>3.5</v>
      </c>
      <c r="E74" s="9">
        <v>1148.6300000000001</v>
      </c>
      <c r="F74" s="9">
        <v>4020.21</v>
      </c>
      <c r="G74" s="10" t="s">
        <v>393</v>
      </c>
      <c r="H74" s="11" t="s">
        <v>243</v>
      </c>
    </row>
    <row r="75" spans="1:8" ht="42.75">
      <c r="A75" s="12" t="s">
        <v>394</v>
      </c>
      <c r="B75" s="7" t="s">
        <v>395</v>
      </c>
      <c r="C75" s="8" t="s">
        <v>0</v>
      </c>
      <c r="D75" s="9">
        <v>1</v>
      </c>
      <c r="E75" s="9">
        <v>5698.63</v>
      </c>
      <c r="F75" s="9">
        <v>5698.63</v>
      </c>
      <c r="G75" s="10" t="s">
        <v>396</v>
      </c>
      <c r="H75" s="11" t="s">
        <v>243</v>
      </c>
    </row>
    <row r="76" spans="1:8" ht="42.75">
      <c r="A76" s="12" t="s">
        <v>397</v>
      </c>
      <c r="B76" s="7" t="s">
        <v>398</v>
      </c>
      <c r="C76" s="8" t="s">
        <v>0</v>
      </c>
      <c r="D76" s="9">
        <v>1</v>
      </c>
      <c r="E76" s="9">
        <v>5963.22</v>
      </c>
      <c r="F76" s="9">
        <v>5963.22</v>
      </c>
      <c r="G76" s="10" t="s">
        <v>399</v>
      </c>
      <c r="H76" s="11" t="s">
        <v>243</v>
      </c>
    </row>
    <row r="77" spans="1:8" ht="42.75">
      <c r="A77" s="12" t="s">
        <v>400</v>
      </c>
      <c r="B77" s="7" t="s">
        <v>401</v>
      </c>
      <c r="C77" s="8" t="s">
        <v>0</v>
      </c>
      <c r="D77" s="9">
        <v>1</v>
      </c>
      <c r="E77" s="9">
        <v>1421.11</v>
      </c>
      <c r="F77" s="9">
        <v>1421.11</v>
      </c>
      <c r="G77" s="10" t="s">
        <v>402</v>
      </c>
      <c r="H77" s="11" t="s">
        <v>243</v>
      </c>
    </row>
    <row r="78" spans="1:8" ht="42.75">
      <c r="A78" s="12" t="s">
        <v>403</v>
      </c>
      <c r="B78" s="7" t="s">
        <v>404</v>
      </c>
      <c r="C78" s="8" t="s">
        <v>0</v>
      </c>
      <c r="D78" s="9">
        <v>1</v>
      </c>
      <c r="E78" s="9">
        <v>4031.83</v>
      </c>
      <c r="F78" s="9">
        <v>4031.83</v>
      </c>
      <c r="G78" s="10" t="s">
        <v>405</v>
      </c>
      <c r="H78" s="11" t="s">
        <v>243</v>
      </c>
    </row>
    <row r="79" spans="1:8" ht="42.75">
      <c r="A79" s="12" t="s">
        <v>406</v>
      </c>
      <c r="B79" s="7" t="s">
        <v>407</v>
      </c>
      <c r="C79" s="8" t="s">
        <v>0</v>
      </c>
      <c r="D79" s="9">
        <v>1</v>
      </c>
      <c r="E79" s="9">
        <v>3313.67</v>
      </c>
      <c r="F79" s="9">
        <v>3313.67</v>
      </c>
      <c r="G79" s="10" t="s">
        <v>408</v>
      </c>
      <c r="H79" s="11" t="s">
        <v>243</v>
      </c>
    </row>
    <row r="80" spans="1:8" ht="42.75">
      <c r="A80" s="12" t="s">
        <v>409</v>
      </c>
      <c r="B80" s="7" t="s">
        <v>410</v>
      </c>
      <c r="C80" s="8" t="s">
        <v>8</v>
      </c>
      <c r="D80" s="9">
        <v>149.5</v>
      </c>
      <c r="E80" s="9">
        <v>1975.94</v>
      </c>
      <c r="F80" s="9">
        <v>295403.03000000003</v>
      </c>
      <c r="G80" s="10" t="s">
        <v>411</v>
      </c>
      <c r="H80" s="11" t="s">
        <v>243</v>
      </c>
    </row>
    <row r="81" spans="1:8" ht="42.75">
      <c r="A81" s="12" t="s">
        <v>412</v>
      </c>
      <c r="B81" s="7" t="s">
        <v>413</v>
      </c>
      <c r="C81" s="8" t="s">
        <v>8</v>
      </c>
      <c r="D81" s="9">
        <v>39.299999999999997</v>
      </c>
      <c r="E81" s="9">
        <v>4874.2299999999996</v>
      </c>
      <c r="F81" s="9">
        <v>191557.24</v>
      </c>
      <c r="G81" s="10" t="s">
        <v>414</v>
      </c>
      <c r="H81" s="11" t="s">
        <v>243</v>
      </c>
    </row>
    <row r="82" spans="1:8" ht="42.75">
      <c r="A82" s="12" t="s">
        <v>415</v>
      </c>
      <c r="B82" s="7" t="s">
        <v>416</v>
      </c>
      <c r="C82" s="8" t="s">
        <v>8</v>
      </c>
      <c r="D82" s="9">
        <v>51.3</v>
      </c>
      <c r="E82" s="9">
        <v>2938.96</v>
      </c>
      <c r="F82" s="9">
        <v>150768.65</v>
      </c>
      <c r="G82" s="10" t="s">
        <v>417</v>
      </c>
      <c r="H82" s="11" t="s">
        <v>243</v>
      </c>
    </row>
    <row r="83" spans="1:8" ht="42.75">
      <c r="A83" s="12" t="s">
        <v>418</v>
      </c>
      <c r="B83" s="7" t="s">
        <v>419</v>
      </c>
      <c r="C83" s="8" t="s">
        <v>0</v>
      </c>
      <c r="D83" s="9">
        <v>1</v>
      </c>
      <c r="E83" s="9">
        <v>23029.53</v>
      </c>
      <c r="F83" s="9">
        <v>23029.53</v>
      </c>
      <c r="G83" s="10" t="s">
        <v>420</v>
      </c>
      <c r="H83" s="11" t="s">
        <v>243</v>
      </c>
    </row>
    <row r="84" spans="1:8" ht="42.75">
      <c r="A84" s="12" t="s">
        <v>421</v>
      </c>
      <c r="B84" s="7" t="s">
        <v>422</v>
      </c>
      <c r="C84" s="8" t="s">
        <v>0</v>
      </c>
      <c r="D84" s="9">
        <v>2</v>
      </c>
      <c r="E84" s="9">
        <v>18604.87</v>
      </c>
      <c r="F84" s="9">
        <v>37209.74</v>
      </c>
      <c r="G84" s="10" t="s">
        <v>423</v>
      </c>
      <c r="H84" s="11" t="s">
        <v>243</v>
      </c>
    </row>
    <row r="85" spans="1:8" ht="42.75">
      <c r="A85" s="12" t="s">
        <v>424</v>
      </c>
      <c r="B85" s="7" t="s">
        <v>425</v>
      </c>
      <c r="C85" s="8" t="s">
        <v>0</v>
      </c>
      <c r="D85" s="9">
        <v>1</v>
      </c>
      <c r="E85" s="9">
        <v>18604.87</v>
      </c>
      <c r="F85" s="9">
        <v>18604.87</v>
      </c>
      <c r="G85" s="10" t="s">
        <v>426</v>
      </c>
      <c r="H85" s="11" t="s">
        <v>243</v>
      </c>
    </row>
    <row r="86" spans="1:8" ht="42.75">
      <c r="A86" s="12" t="s">
        <v>427</v>
      </c>
      <c r="B86" s="7" t="s">
        <v>428</v>
      </c>
      <c r="C86" s="8" t="s">
        <v>0</v>
      </c>
      <c r="D86" s="9">
        <v>2</v>
      </c>
      <c r="E86" s="9">
        <v>11654.82</v>
      </c>
      <c r="F86" s="9">
        <v>23309.64</v>
      </c>
      <c r="G86" s="10" t="s">
        <v>429</v>
      </c>
      <c r="H86" s="11" t="s">
        <v>243</v>
      </c>
    </row>
    <row r="87" spans="1:8" ht="42.75">
      <c r="A87" s="12" t="s">
        <v>430</v>
      </c>
      <c r="B87" s="7" t="s">
        <v>431</v>
      </c>
      <c r="C87" s="8" t="s">
        <v>0</v>
      </c>
      <c r="D87" s="9">
        <v>2</v>
      </c>
      <c r="E87" s="9">
        <v>25107.48</v>
      </c>
      <c r="F87" s="9">
        <v>50214.96</v>
      </c>
      <c r="G87" s="10" t="s">
        <v>432</v>
      </c>
      <c r="H87" s="11" t="s">
        <v>243</v>
      </c>
    </row>
    <row r="88" spans="1:8" ht="42.75">
      <c r="A88" s="12" t="s">
        <v>433</v>
      </c>
      <c r="B88" s="7" t="s">
        <v>434</v>
      </c>
      <c r="C88" s="8" t="s">
        <v>0</v>
      </c>
      <c r="D88" s="9">
        <v>1</v>
      </c>
      <c r="E88" s="9">
        <v>22415.66</v>
      </c>
      <c r="F88" s="9">
        <v>22415.66</v>
      </c>
      <c r="G88" s="10" t="s">
        <v>435</v>
      </c>
      <c r="H88" s="11" t="s">
        <v>243</v>
      </c>
    </row>
    <row r="89" spans="1:8" ht="42.75">
      <c r="A89" s="12" t="s">
        <v>436</v>
      </c>
      <c r="B89" s="7" t="s">
        <v>437</v>
      </c>
      <c r="C89" s="8" t="s">
        <v>0</v>
      </c>
      <c r="D89" s="9">
        <v>1</v>
      </c>
      <c r="E89" s="9">
        <v>21723.54</v>
      </c>
      <c r="F89" s="9">
        <v>21723.54</v>
      </c>
      <c r="G89" s="10" t="s">
        <v>438</v>
      </c>
      <c r="H89" s="11" t="s">
        <v>243</v>
      </c>
    </row>
    <row r="90" spans="1:8" ht="42.75">
      <c r="A90" s="12" t="s">
        <v>439</v>
      </c>
      <c r="B90" s="7" t="s">
        <v>440</v>
      </c>
      <c r="C90" s="8" t="s">
        <v>0</v>
      </c>
      <c r="D90" s="9">
        <v>1</v>
      </c>
      <c r="E90" s="9">
        <v>22646.36</v>
      </c>
      <c r="F90" s="9">
        <v>22646.36</v>
      </c>
      <c r="G90" s="10" t="s">
        <v>441</v>
      </c>
      <c r="H90" s="11" t="s">
        <v>243</v>
      </c>
    </row>
    <row r="91" spans="1:8" ht="42.75">
      <c r="A91" s="12" t="s">
        <v>442</v>
      </c>
      <c r="B91" s="7" t="s">
        <v>443</v>
      </c>
      <c r="C91" s="8" t="s">
        <v>0</v>
      </c>
      <c r="D91" s="9">
        <v>4</v>
      </c>
      <c r="E91" s="9">
        <v>17340.05</v>
      </c>
      <c r="F91" s="9">
        <v>69360.2</v>
      </c>
      <c r="G91" s="10" t="s">
        <v>444</v>
      </c>
      <c r="H91" s="11" t="s">
        <v>243</v>
      </c>
    </row>
    <row r="92" spans="1:8" ht="42.75">
      <c r="A92" s="12" t="s">
        <v>445</v>
      </c>
      <c r="B92" s="7" t="s">
        <v>446</v>
      </c>
      <c r="C92" s="8" t="s">
        <v>0</v>
      </c>
      <c r="D92" s="9">
        <v>6</v>
      </c>
      <c r="E92" s="9">
        <v>17340.05</v>
      </c>
      <c r="F92" s="9">
        <v>104040.3</v>
      </c>
      <c r="G92" s="10" t="s">
        <v>447</v>
      </c>
      <c r="H92" s="11" t="s">
        <v>243</v>
      </c>
    </row>
    <row r="93" spans="1:8" ht="42.75">
      <c r="A93" s="12" t="s">
        <v>448</v>
      </c>
      <c r="B93" s="7" t="s">
        <v>449</v>
      </c>
      <c r="C93" s="8" t="s">
        <v>0</v>
      </c>
      <c r="D93" s="9">
        <v>1</v>
      </c>
      <c r="E93" s="9">
        <v>17496.650000000001</v>
      </c>
      <c r="F93" s="9">
        <v>17496.650000000001</v>
      </c>
      <c r="G93" s="10" t="s">
        <v>450</v>
      </c>
      <c r="H93" s="11" t="s">
        <v>243</v>
      </c>
    </row>
    <row r="94" spans="1:8" ht="42.75">
      <c r="A94" s="12" t="s">
        <v>451</v>
      </c>
      <c r="B94" s="7" t="s">
        <v>452</v>
      </c>
      <c r="C94" s="8" t="s">
        <v>0</v>
      </c>
      <c r="D94" s="9">
        <v>1</v>
      </c>
      <c r="E94" s="9">
        <v>1501.66</v>
      </c>
      <c r="F94" s="9">
        <v>1501.66</v>
      </c>
      <c r="G94" s="10" t="s">
        <v>453</v>
      </c>
      <c r="H94" s="11" t="s">
        <v>243</v>
      </c>
    </row>
    <row r="95" spans="1:8" ht="42.75">
      <c r="A95" s="12" t="s">
        <v>454</v>
      </c>
      <c r="B95" s="7" t="s">
        <v>455</v>
      </c>
      <c r="C95" s="8" t="s">
        <v>0</v>
      </c>
      <c r="D95" s="9">
        <v>1</v>
      </c>
      <c r="E95" s="9">
        <v>1240.05</v>
      </c>
      <c r="F95" s="9">
        <v>1240.05</v>
      </c>
      <c r="G95" s="10" t="s">
        <v>456</v>
      </c>
      <c r="H95" s="11" t="s">
        <v>243</v>
      </c>
    </row>
    <row r="96" spans="1:8" ht="42.75">
      <c r="A96" s="12" t="s">
        <v>457</v>
      </c>
      <c r="B96" s="7" t="s">
        <v>458</v>
      </c>
      <c r="C96" s="8" t="s">
        <v>0</v>
      </c>
      <c r="D96" s="9">
        <v>1</v>
      </c>
      <c r="E96" s="9">
        <v>1470.75</v>
      </c>
      <c r="F96" s="9">
        <v>1470.75</v>
      </c>
      <c r="G96" s="10" t="s">
        <v>459</v>
      </c>
      <c r="H96" s="11" t="s">
        <v>243</v>
      </c>
    </row>
    <row r="97" spans="1:8" ht="42.75">
      <c r="A97" s="12" t="s">
        <v>460</v>
      </c>
      <c r="B97" s="7" t="s">
        <v>461</v>
      </c>
      <c r="C97" s="8" t="s">
        <v>0</v>
      </c>
      <c r="D97" s="9">
        <v>1</v>
      </c>
      <c r="E97" s="9">
        <v>1326.56</v>
      </c>
      <c r="F97" s="9">
        <v>1326.56</v>
      </c>
      <c r="G97" s="10" t="s">
        <v>462</v>
      </c>
      <c r="H97" s="11" t="s">
        <v>243</v>
      </c>
    </row>
    <row r="98" spans="1:8" ht="42.75">
      <c r="A98" s="12" t="s">
        <v>463</v>
      </c>
      <c r="B98" s="7" t="s">
        <v>464</v>
      </c>
      <c r="C98" s="8" t="s">
        <v>0</v>
      </c>
      <c r="D98" s="9">
        <v>3</v>
      </c>
      <c r="E98" s="9">
        <v>331.64</v>
      </c>
      <c r="F98" s="9">
        <v>994.92</v>
      </c>
      <c r="G98" s="10" t="s">
        <v>465</v>
      </c>
      <c r="H98" s="11" t="s">
        <v>243</v>
      </c>
    </row>
    <row r="99" spans="1:8" ht="42.75">
      <c r="A99" s="12" t="s">
        <v>466</v>
      </c>
      <c r="B99" s="7" t="s">
        <v>467</v>
      </c>
      <c r="C99" s="8" t="s">
        <v>0</v>
      </c>
      <c r="D99" s="9">
        <v>7</v>
      </c>
      <c r="E99" s="9">
        <v>952.18</v>
      </c>
      <c r="F99" s="9">
        <v>6665.26</v>
      </c>
      <c r="G99" s="10" t="s">
        <v>468</v>
      </c>
      <c r="H99" s="11" t="s">
        <v>243</v>
      </c>
    </row>
    <row r="100" spans="1:8" ht="42.75">
      <c r="A100" s="12" t="s">
        <v>469</v>
      </c>
      <c r="B100" s="7" t="s">
        <v>470</v>
      </c>
      <c r="C100" s="8" t="s">
        <v>0</v>
      </c>
      <c r="D100" s="9">
        <v>1</v>
      </c>
      <c r="E100" s="9">
        <v>272825.21000000002</v>
      </c>
      <c r="F100" s="9">
        <v>272825.21000000002</v>
      </c>
      <c r="G100" s="10" t="s">
        <v>471</v>
      </c>
      <c r="H100" s="11" t="s">
        <v>243</v>
      </c>
    </row>
    <row r="101" spans="1:8" ht="47.25">
      <c r="A101" s="12" t="s">
        <v>472</v>
      </c>
      <c r="B101" s="7" t="s">
        <v>473</v>
      </c>
      <c r="C101" s="8" t="s">
        <v>13</v>
      </c>
      <c r="D101" s="9">
        <v>759.43</v>
      </c>
      <c r="E101" s="9">
        <v>647.65</v>
      </c>
      <c r="F101" s="9">
        <v>491844.84</v>
      </c>
      <c r="G101" s="10" t="s">
        <v>474</v>
      </c>
      <c r="H101" s="11" t="s">
        <v>243</v>
      </c>
    </row>
    <row r="102" spans="1:8" ht="42.75">
      <c r="A102" s="12" t="s">
        <v>475</v>
      </c>
      <c r="B102" s="7" t="s">
        <v>476</v>
      </c>
      <c r="C102" s="8" t="s">
        <v>15</v>
      </c>
      <c r="D102" s="9">
        <v>1</v>
      </c>
      <c r="E102" s="9">
        <v>10412.73</v>
      </c>
      <c r="F102" s="9">
        <v>10412.73</v>
      </c>
      <c r="G102" s="10" t="s">
        <v>477</v>
      </c>
      <c r="H102" s="11" t="s">
        <v>243</v>
      </c>
    </row>
    <row r="103" spans="1:8" ht="42.75">
      <c r="A103" s="12" t="s">
        <v>478</v>
      </c>
      <c r="B103" s="7" t="s">
        <v>479</v>
      </c>
      <c r="C103" s="8" t="s">
        <v>15</v>
      </c>
      <c r="D103" s="9">
        <v>3</v>
      </c>
      <c r="E103" s="9">
        <v>4575.03</v>
      </c>
      <c r="F103" s="9">
        <v>13725.09</v>
      </c>
      <c r="G103" s="10" t="s">
        <v>480</v>
      </c>
      <c r="H103" s="11" t="s">
        <v>243</v>
      </c>
    </row>
    <row r="104" spans="1:8" ht="33">
      <c r="A104" s="12" t="s">
        <v>481</v>
      </c>
      <c r="B104" s="7" t="s">
        <v>482</v>
      </c>
      <c r="C104" s="8" t="s">
        <v>483</v>
      </c>
      <c r="D104" s="9">
        <v>88.17</v>
      </c>
      <c r="E104" s="9">
        <v>15299.17</v>
      </c>
      <c r="F104" s="9">
        <v>1348927.82</v>
      </c>
      <c r="G104" s="10" t="s">
        <v>484</v>
      </c>
      <c r="H104" s="11" t="s">
        <v>243</v>
      </c>
    </row>
    <row r="105" spans="1:8" ht="42.75">
      <c r="A105" s="12" t="s">
        <v>485</v>
      </c>
      <c r="B105" s="7" t="s">
        <v>486</v>
      </c>
      <c r="C105" s="8" t="s">
        <v>0</v>
      </c>
      <c r="D105" s="9">
        <v>25</v>
      </c>
      <c r="E105" s="9">
        <v>4498.3100000000004</v>
      </c>
      <c r="F105" s="9">
        <v>112457.75</v>
      </c>
      <c r="G105" s="10" t="s">
        <v>487</v>
      </c>
      <c r="H105" s="11" t="s">
        <v>243</v>
      </c>
    </row>
    <row r="106" spans="1:8" ht="42.75">
      <c r="A106" s="12" t="s">
        <v>488</v>
      </c>
      <c r="B106" s="7" t="s">
        <v>489</v>
      </c>
      <c r="C106" s="8" t="s">
        <v>0</v>
      </c>
      <c r="D106" s="9">
        <v>13</v>
      </c>
      <c r="E106" s="9">
        <v>3353.5</v>
      </c>
      <c r="F106" s="9">
        <v>43595.5</v>
      </c>
      <c r="G106" s="10" t="s">
        <v>490</v>
      </c>
      <c r="H106" s="11" t="s">
        <v>243</v>
      </c>
    </row>
    <row r="107" spans="1:8" ht="42.75">
      <c r="A107" s="12" t="s">
        <v>491</v>
      </c>
      <c r="B107" s="7" t="s">
        <v>492</v>
      </c>
      <c r="C107" s="8" t="s">
        <v>8</v>
      </c>
      <c r="D107" s="9">
        <v>9.8000000000000007</v>
      </c>
      <c r="E107" s="9">
        <v>9873.85</v>
      </c>
      <c r="F107" s="9">
        <v>96763.73</v>
      </c>
      <c r="G107" s="10" t="s">
        <v>493</v>
      </c>
      <c r="H107" s="11" t="s">
        <v>243</v>
      </c>
    </row>
    <row r="108" spans="1:8" ht="42.75">
      <c r="A108" s="12" t="s">
        <v>494</v>
      </c>
      <c r="B108" s="7" t="s">
        <v>495</v>
      </c>
      <c r="C108" s="8" t="s">
        <v>8</v>
      </c>
      <c r="D108" s="9">
        <v>6.2</v>
      </c>
      <c r="E108" s="9">
        <v>6554</v>
      </c>
      <c r="F108" s="9">
        <v>40634.800000000003</v>
      </c>
      <c r="G108" s="10" t="s">
        <v>496</v>
      </c>
      <c r="H108" s="11" t="s">
        <v>243</v>
      </c>
    </row>
    <row r="109" spans="1:8" ht="42.75">
      <c r="A109" s="12" t="s">
        <v>497</v>
      </c>
      <c r="B109" s="7" t="s">
        <v>498</v>
      </c>
      <c r="C109" s="8" t="s">
        <v>8</v>
      </c>
      <c r="D109" s="9">
        <v>3.3</v>
      </c>
      <c r="E109" s="9">
        <v>8390.27</v>
      </c>
      <c r="F109" s="9">
        <v>27687.89</v>
      </c>
      <c r="G109" s="10" t="s">
        <v>499</v>
      </c>
      <c r="H109" s="11" t="s">
        <v>243</v>
      </c>
    </row>
    <row r="110" spans="1:8" ht="42.75">
      <c r="A110" s="12" t="s">
        <v>500</v>
      </c>
      <c r="B110" s="7" t="s">
        <v>501</v>
      </c>
      <c r="C110" s="8" t="s">
        <v>8</v>
      </c>
      <c r="D110" s="9">
        <v>40.6</v>
      </c>
      <c r="E110" s="9">
        <v>671.95</v>
      </c>
      <c r="F110" s="9">
        <v>27281.17</v>
      </c>
      <c r="G110" s="10" t="s">
        <v>502</v>
      </c>
      <c r="H110" s="11" t="s">
        <v>243</v>
      </c>
    </row>
    <row r="111" spans="1:8" ht="42.75">
      <c r="A111" s="12" t="s">
        <v>503</v>
      </c>
      <c r="B111" s="7" t="s">
        <v>504</v>
      </c>
      <c r="C111" s="8" t="s">
        <v>8</v>
      </c>
      <c r="D111" s="9">
        <v>176.7</v>
      </c>
      <c r="E111" s="9">
        <v>658.27</v>
      </c>
      <c r="F111" s="9">
        <v>116316.31</v>
      </c>
      <c r="G111" s="10" t="s">
        <v>505</v>
      </c>
      <c r="H111" s="11" t="s">
        <v>243</v>
      </c>
    </row>
    <row r="112" spans="1:8" ht="42.75">
      <c r="A112" s="12" t="s">
        <v>506</v>
      </c>
      <c r="B112" s="7" t="s">
        <v>507</v>
      </c>
      <c r="C112" s="8" t="s">
        <v>8</v>
      </c>
      <c r="D112" s="9">
        <v>251.7</v>
      </c>
      <c r="E112" s="9">
        <v>730.37</v>
      </c>
      <c r="F112" s="9">
        <v>183834.13</v>
      </c>
      <c r="G112" s="10" t="s">
        <v>508</v>
      </c>
      <c r="H112" s="11" t="s">
        <v>243</v>
      </c>
    </row>
    <row r="113" spans="1:11" ht="42.75">
      <c r="A113" s="12" t="s">
        <v>509</v>
      </c>
      <c r="B113" s="7" t="s">
        <v>510</v>
      </c>
      <c r="C113" s="8" t="s">
        <v>8</v>
      </c>
      <c r="D113" s="9">
        <v>6.8</v>
      </c>
      <c r="E113" s="9">
        <v>406.38</v>
      </c>
      <c r="F113" s="9">
        <v>2763.38</v>
      </c>
      <c r="G113" s="10" t="s">
        <v>511</v>
      </c>
      <c r="H113" s="11" t="s">
        <v>243</v>
      </c>
    </row>
    <row r="114" spans="1:11" ht="42.75">
      <c r="A114" s="12" t="s">
        <v>512</v>
      </c>
      <c r="B114" s="7" t="s">
        <v>513</v>
      </c>
      <c r="C114" s="8" t="s">
        <v>8</v>
      </c>
      <c r="D114" s="9">
        <v>44.2</v>
      </c>
      <c r="E114" s="9">
        <v>457.88</v>
      </c>
      <c r="F114" s="9">
        <v>20238.3</v>
      </c>
      <c r="G114" s="10" t="s">
        <v>514</v>
      </c>
      <c r="H114" s="11" t="s">
        <v>243</v>
      </c>
    </row>
    <row r="115" spans="1:11" ht="42.75">
      <c r="A115" s="12" t="s">
        <v>515</v>
      </c>
      <c r="B115" s="7" t="s">
        <v>516</v>
      </c>
      <c r="C115" s="8" t="s">
        <v>8</v>
      </c>
      <c r="D115" s="9">
        <v>10.7</v>
      </c>
      <c r="E115" s="9">
        <v>499.08</v>
      </c>
      <c r="F115" s="9">
        <v>5340.16</v>
      </c>
      <c r="G115" s="10" t="s">
        <v>517</v>
      </c>
      <c r="H115" s="11" t="s">
        <v>243</v>
      </c>
    </row>
    <row r="116" spans="1:11" ht="42.75">
      <c r="A116" s="12" t="s">
        <v>518</v>
      </c>
      <c r="B116" s="7" t="s">
        <v>519</v>
      </c>
      <c r="C116" s="8" t="s">
        <v>8</v>
      </c>
      <c r="D116" s="9">
        <v>62.5</v>
      </c>
      <c r="E116" s="9">
        <v>545.82000000000005</v>
      </c>
      <c r="F116" s="9">
        <v>34113.75</v>
      </c>
      <c r="G116" s="10" t="s">
        <v>520</v>
      </c>
      <c r="H116" s="11" t="s">
        <v>243</v>
      </c>
    </row>
    <row r="117" spans="1:11" ht="71.25">
      <c r="A117" s="12" t="s">
        <v>521</v>
      </c>
      <c r="B117" s="7" t="s">
        <v>522</v>
      </c>
      <c r="C117" s="8" t="s">
        <v>8</v>
      </c>
      <c r="D117" s="9">
        <v>84.8</v>
      </c>
      <c r="E117" s="9">
        <v>7340.02</v>
      </c>
      <c r="F117" s="9">
        <v>622433.69999999995</v>
      </c>
      <c r="G117" s="10" t="s">
        <v>523</v>
      </c>
      <c r="H117" s="11" t="s">
        <v>243</v>
      </c>
    </row>
    <row r="118" spans="1:11" ht="42.75">
      <c r="A118" s="12" t="s">
        <v>524</v>
      </c>
      <c r="B118" s="7" t="s">
        <v>525</v>
      </c>
      <c r="C118" s="8" t="s">
        <v>0</v>
      </c>
      <c r="D118" s="9">
        <v>2</v>
      </c>
      <c r="E118" s="9">
        <v>913306.18</v>
      </c>
      <c r="F118" s="9">
        <v>1826612.36</v>
      </c>
      <c r="G118" s="10" t="s">
        <v>526</v>
      </c>
      <c r="H118" s="11" t="s">
        <v>243</v>
      </c>
    </row>
    <row r="119" spans="1:11" ht="33">
      <c r="A119" s="6" t="s">
        <v>77</v>
      </c>
      <c r="B119" s="7" t="s">
        <v>527</v>
      </c>
      <c r="C119" s="8" t="s">
        <v>4</v>
      </c>
      <c r="D119" s="9">
        <v>1</v>
      </c>
      <c r="E119" s="9"/>
      <c r="F119" s="9">
        <v>40947246.439999998</v>
      </c>
      <c r="G119" s="10" t="s">
        <v>242</v>
      </c>
      <c r="H119" s="11" t="s">
        <v>243</v>
      </c>
    </row>
    <row r="120" spans="1:11" ht="42.75">
      <c r="A120" s="12" t="s">
        <v>78</v>
      </c>
      <c r="B120" s="7" t="s">
        <v>310</v>
      </c>
      <c r="C120" s="8" t="s">
        <v>223</v>
      </c>
      <c r="D120" s="9">
        <v>185.59</v>
      </c>
      <c r="E120" s="9">
        <v>320.72000000000003</v>
      </c>
      <c r="F120" s="9">
        <v>59522.42</v>
      </c>
      <c r="G120" s="10" t="s">
        <v>311</v>
      </c>
      <c r="H120" s="11" t="s">
        <v>243</v>
      </c>
    </row>
    <row r="121" spans="1:11" ht="42.75">
      <c r="A121" s="12" t="s">
        <v>79</v>
      </c>
      <c r="B121" s="7" t="s">
        <v>315</v>
      </c>
      <c r="C121" s="8" t="s">
        <v>6</v>
      </c>
      <c r="D121" s="9">
        <v>26.33</v>
      </c>
      <c r="E121" s="9">
        <v>3114.97</v>
      </c>
      <c r="F121" s="9">
        <v>82017.16</v>
      </c>
      <c r="G121" s="10" t="s">
        <v>316</v>
      </c>
      <c r="H121" s="11" t="s">
        <v>243</v>
      </c>
    </row>
    <row r="122" spans="1:11" ht="42.75">
      <c r="A122" s="12" t="s">
        <v>80</v>
      </c>
      <c r="B122" s="7" t="s">
        <v>24</v>
      </c>
      <c r="C122" s="8" t="s">
        <v>6</v>
      </c>
      <c r="D122" s="9">
        <v>36.86</v>
      </c>
      <c r="E122" s="9">
        <v>3320.96</v>
      </c>
      <c r="F122" s="9">
        <v>122410.59</v>
      </c>
      <c r="G122" s="10" t="s">
        <v>317</v>
      </c>
      <c r="H122" s="11" t="s">
        <v>243</v>
      </c>
    </row>
    <row r="123" spans="1:11" ht="42.75">
      <c r="A123" s="12" t="s">
        <v>81</v>
      </c>
      <c r="B123" s="7" t="s">
        <v>528</v>
      </c>
      <c r="C123" s="8" t="s">
        <v>6</v>
      </c>
      <c r="D123" s="9">
        <v>654.83000000000004</v>
      </c>
      <c r="E123" s="9">
        <v>3643.53</v>
      </c>
      <c r="F123" s="9">
        <v>2385892.75</v>
      </c>
      <c r="G123" s="10" t="s">
        <v>529</v>
      </c>
      <c r="H123" s="11" t="s">
        <v>243</v>
      </c>
    </row>
    <row r="124" spans="1:11" ht="57">
      <c r="A124" s="12" t="s">
        <v>82</v>
      </c>
      <c r="B124" s="7" t="s">
        <v>192</v>
      </c>
      <c r="C124" s="8" t="s">
        <v>17</v>
      </c>
      <c r="D124" s="9">
        <v>6240.88</v>
      </c>
      <c r="E124" s="9">
        <v>36.4</v>
      </c>
      <c r="F124" s="9">
        <v>227168.03</v>
      </c>
      <c r="G124" s="10" t="s">
        <v>314</v>
      </c>
      <c r="H124" s="11" t="s">
        <v>243</v>
      </c>
    </row>
    <row r="125" spans="1:11" ht="57">
      <c r="A125" s="12" t="s">
        <v>83</v>
      </c>
      <c r="B125" s="7" t="s">
        <v>530</v>
      </c>
      <c r="C125" s="8" t="s">
        <v>17</v>
      </c>
      <c r="D125" s="9">
        <v>102796.95</v>
      </c>
      <c r="E125" s="9">
        <v>38.71</v>
      </c>
      <c r="F125" s="9">
        <v>3979269.93</v>
      </c>
      <c r="G125" s="10" t="s">
        <v>531</v>
      </c>
      <c r="H125" s="11" t="s">
        <v>243</v>
      </c>
    </row>
    <row r="126" spans="1:11" s="15" customFormat="1" ht="71.25">
      <c r="A126" s="12" t="s">
        <v>84</v>
      </c>
      <c r="B126" s="7" t="s">
        <v>532</v>
      </c>
      <c r="C126" s="8" t="s">
        <v>13</v>
      </c>
      <c r="D126" s="9">
        <v>223.3</v>
      </c>
      <c r="E126" s="9">
        <v>1154.9100000000001</v>
      </c>
      <c r="F126" s="9">
        <v>257891.4</v>
      </c>
      <c r="G126" s="10" t="s">
        <v>533</v>
      </c>
      <c r="H126" s="13" t="s">
        <v>243</v>
      </c>
      <c r="I126" s="14"/>
      <c r="J126" s="14"/>
      <c r="K126" s="14"/>
    </row>
    <row r="127" spans="1:11" s="15" customFormat="1" ht="114">
      <c r="A127" s="12" t="s">
        <v>85</v>
      </c>
      <c r="B127" s="7" t="s">
        <v>534</v>
      </c>
      <c r="C127" s="8" t="s">
        <v>13</v>
      </c>
      <c r="D127" s="9">
        <v>450.04</v>
      </c>
      <c r="E127" s="9">
        <v>982.93</v>
      </c>
      <c r="F127" s="9">
        <v>442357.82</v>
      </c>
      <c r="G127" s="10" t="s">
        <v>535</v>
      </c>
      <c r="H127" s="13" t="s">
        <v>243</v>
      </c>
      <c r="I127" s="14"/>
      <c r="J127" s="14"/>
      <c r="K127" s="14"/>
    </row>
    <row r="128" spans="1:11" s="15" customFormat="1" ht="85.5">
      <c r="A128" s="12" t="s">
        <v>86</v>
      </c>
      <c r="B128" s="7" t="s">
        <v>536</v>
      </c>
      <c r="C128" s="8" t="s">
        <v>13</v>
      </c>
      <c r="D128" s="9">
        <v>28.27</v>
      </c>
      <c r="E128" s="9">
        <v>804.75</v>
      </c>
      <c r="F128" s="9">
        <v>22750.28</v>
      </c>
      <c r="G128" s="10" t="s">
        <v>537</v>
      </c>
      <c r="H128" s="13" t="s">
        <v>243</v>
      </c>
      <c r="I128" s="14"/>
      <c r="J128" s="14"/>
      <c r="K128" s="14"/>
    </row>
    <row r="129" spans="1:8" ht="33">
      <c r="A129" s="12" t="s">
        <v>87</v>
      </c>
      <c r="B129" s="7" t="s">
        <v>538</v>
      </c>
      <c r="C129" s="8" t="s">
        <v>539</v>
      </c>
      <c r="D129" s="9">
        <v>25655</v>
      </c>
      <c r="E129" s="9">
        <v>75</v>
      </c>
      <c r="F129" s="9">
        <v>1924125</v>
      </c>
      <c r="G129" s="10" t="s">
        <v>540</v>
      </c>
      <c r="H129" s="11" t="s">
        <v>243</v>
      </c>
    </row>
    <row r="130" spans="1:8" ht="71.25">
      <c r="A130" s="12" t="s">
        <v>541</v>
      </c>
      <c r="B130" s="7" t="s">
        <v>321</v>
      </c>
      <c r="C130" s="8" t="s">
        <v>17</v>
      </c>
      <c r="D130" s="9">
        <v>3691</v>
      </c>
      <c r="E130" s="9">
        <v>60</v>
      </c>
      <c r="F130" s="9">
        <v>221460</v>
      </c>
      <c r="G130" s="10" t="s">
        <v>322</v>
      </c>
      <c r="H130" s="11" t="s">
        <v>243</v>
      </c>
    </row>
    <row r="131" spans="1:8" ht="33">
      <c r="A131" s="12" t="s">
        <v>88</v>
      </c>
      <c r="B131" s="7" t="s">
        <v>323</v>
      </c>
      <c r="C131" s="8" t="s">
        <v>17</v>
      </c>
      <c r="D131" s="9">
        <v>3691</v>
      </c>
      <c r="E131" s="9">
        <v>31.9</v>
      </c>
      <c r="F131" s="9">
        <v>117742.9</v>
      </c>
      <c r="G131" s="10" t="s">
        <v>324</v>
      </c>
      <c r="H131" s="11" t="s">
        <v>243</v>
      </c>
    </row>
    <row r="132" spans="1:8" ht="42.75">
      <c r="A132" s="12" t="s">
        <v>89</v>
      </c>
      <c r="B132" s="7" t="s">
        <v>542</v>
      </c>
      <c r="C132" s="8" t="s">
        <v>17</v>
      </c>
      <c r="D132" s="9">
        <v>2162</v>
      </c>
      <c r="E132" s="9">
        <v>278.08</v>
      </c>
      <c r="F132" s="9">
        <v>601208.96</v>
      </c>
      <c r="G132" s="10" t="s">
        <v>543</v>
      </c>
      <c r="H132" s="11" t="s">
        <v>243</v>
      </c>
    </row>
    <row r="133" spans="1:8" ht="33">
      <c r="A133" s="12" t="s">
        <v>90</v>
      </c>
      <c r="B133" s="7" t="s">
        <v>544</v>
      </c>
      <c r="C133" s="8" t="s">
        <v>13</v>
      </c>
      <c r="D133" s="9">
        <v>99.7</v>
      </c>
      <c r="E133" s="9">
        <v>1399.92</v>
      </c>
      <c r="F133" s="9">
        <v>139572.01999999999</v>
      </c>
      <c r="G133" s="10" t="s">
        <v>545</v>
      </c>
      <c r="H133" s="11" t="s">
        <v>243</v>
      </c>
    </row>
    <row r="134" spans="1:8" ht="71.25">
      <c r="A134" s="12" t="s">
        <v>91</v>
      </c>
      <c r="B134" s="7" t="s">
        <v>325</v>
      </c>
      <c r="C134" s="8" t="s">
        <v>17</v>
      </c>
      <c r="D134" s="9">
        <v>95900</v>
      </c>
      <c r="E134" s="9">
        <v>107.3</v>
      </c>
      <c r="F134" s="9">
        <v>10290070</v>
      </c>
      <c r="G134" s="10" t="s">
        <v>326</v>
      </c>
      <c r="H134" s="11" t="s">
        <v>243</v>
      </c>
    </row>
    <row r="135" spans="1:8" ht="57">
      <c r="A135" s="12" t="s">
        <v>203</v>
      </c>
      <c r="B135" s="7" t="s">
        <v>222</v>
      </c>
      <c r="C135" s="8" t="s">
        <v>13</v>
      </c>
      <c r="D135" s="9">
        <v>438.86</v>
      </c>
      <c r="E135" s="9">
        <v>692.12</v>
      </c>
      <c r="F135" s="9">
        <v>303743.78000000003</v>
      </c>
      <c r="G135" s="10" t="s">
        <v>546</v>
      </c>
      <c r="H135" s="11" t="s">
        <v>243</v>
      </c>
    </row>
    <row r="136" spans="1:8" ht="47.25">
      <c r="A136" s="12" t="s">
        <v>202</v>
      </c>
      <c r="B136" s="7" t="s">
        <v>194</v>
      </c>
      <c r="C136" s="8" t="s">
        <v>23</v>
      </c>
      <c r="D136" s="9">
        <v>342.71</v>
      </c>
      <c r="E136" s="9">
        <v>48.28</v>
      </c>
      <c r="F136" s="9">
        <v>16546.04</v>
      </c>
      <c r="G136" s="10" t="s">
        <v>251</v>
      </c>
      <c r="H136" s="11" t="s">
        <v>243</v>
      </c>
    </row>
    <row r="137" spans="1:8" ht="42.75">
      <c r="A137" s="12" t="s">
        <v>201</v>
      </c>
      <c r="B137" s="7" t="s">
        <v>205</v>
      </c>
      <c r="C137" s="8" t="s">
        <v>23</v>
      </c>
      <c r="D137" s="9">
        <v>231.09</v>
      </c>
      <c r="E137" s="9">
        <v>721.02</v>
      </c>
      <c r="F137" s="9">
        <v>166620.51</v>
      </c>
      <c r="G137" s="10" t="s">
        <v>547</v>
      </c>
      <c r="H137" s="11" t="s">
        <v>243</v>
      </c>
    </row>
    <row r="138" spans="1:8" ht="33">
      <c r="A138" s="12" t="s">
        <v>200</v>
      </c>
      <c r="B138" s="7" t="s">
        <v>548</v>
      </c>
      <c r="C138" s="8" t="s">
        <v>13</v>
      </c>
      <c r="D138" s="9">
        <v>183</v>
      </c>
      <c r="E138" s="9">
        <v>28</v>
      </c>
      <c r="F138" s="9">
        <v>5124</v>
      </c>
      <c r="G138" s="10" t="s">
        <v>549</v>
      </c>
      <c r="H138" s="11" t="s">
        <v>243</v>
      </c>
    </row>
    <row r="139" spans="1:8" ht="57">
      <c r="A139" s="12" t="s">
        <v>199</v>
      </c>
      <c r="B139" s="7" t="s">
        <v>550</v>
      </c>
      <c r="C139" s="8" t="s">
        <v>8</v>
      </c>
      <c r="D139" s="9">
        <v>322</v>
      </c>
      <c r="E139" s="9">
        <v>19011.37</v>
      </c>
      <c r="F139" s="9">
        <v>6121661.1399999997</v>
      </c>
      <c r="G139" s="10" t="s">
        <v>551</v>
      </c>
      <c r="H139" s="11" t="s">
        <v>243</v>
      </c>
    </row>
    <row r="140" spans="1:8" ht="42.75">
      <c r="A140" s="12" t="s">
        <v>198</v>
      </c>
      <c r="B140" s="7" t="s">
        <v>552</v>
      </c>
      <c r="C140" s="8" t="s">
        <v>13</v>
      </c>
      <c r="D140" s="9">
        <v>100</v>
      </c>
      <c r="E140" s="9">
        <v>373.08</v>
      </c>
      <c r="F140" s="9">
        <v>37308</v>
      </c>
      <c r="G140" s="10" t="s">
        <v>553</v>
      </c>
      <c r="H140" s="11" t="s">
        <v>243</v>
      </c>
    </row>
    <row r="141" spans="1:8" ht="42.75">
      <c r="A141" s="12" t="s">
        <v>197</v>
      </c>
      <c r="B141" s="7" t="s">
        <v>554</v>
      </c>
      <c r="C141" s="8" t="s">
        <v>13</v>
      </c>
      <c r="D141" s="9">
        <v>83</v>
      </c>
      <c r="E141" s="9">
        <v>616.49</v>
      </c>
      <c r="F141" s="9">
        <v>51168.67</v>
      </c>
      <c r="G141" s="10" t="s">
        <v>555</v>
      </c>
      <c r="H141" s="11" t="s">
        <v>243</v>
      </c>
    </row>
    <row r="142" spans="1:8" ht="42.75">
      <c r="A142" s="12" t="s">
        <v>196</v>
      </c>
      <c r="B142" s="7" t="s">
        <v>556</v>
      </c>
      <c r="C142" s="8" t="s">
        <v>13</v>
      </c>
      <c r="D142" s="9">
        <v>2.1</v>
      </c>
      <c r="E142" s="9">
        <v>1874.26</v>
      </c>
      <c r="F142" s="9">
        <v>3935.95</v>
      </c>
      <c r="G142" s="10" t="s">
        <v>557</v>
      </c>
      <c r="H142" s="11" t="s">
        <v>243</v>
      </c>
    </row>
    <row r="143" spans="1:8" ht="42.75">
      <c r="A143" s="12" t="s">
        <v>195</v>
      </c>
      <c r="B143" s="7" t="s">
        <v>558</v>
      </c>
      <c r="C143" s="8" t="s">
        <v>8</v>
      </c>
      <c r="D143" s="9">
        <v>62</v>
      </c>
      <c r="E143" s="9">
        <v>2388.4299999999998</v>
      </c>
      <c r="F143" s="9">
        <v>148082.66</v>
      </c>
      <c r="G143" s="10" t="s">
        <v>559</v>
      </c>
      <c r="H143" s="11" t="s">
        <v>243</v>
      </c>
    </row>
    <row r="144" spans="1:8" ht="42.75">
      <c r="A144" s="12" t="s">
        <v>212</v>
      </c>
      <c r="B144" s="7" t="s">
        <v>560</v>
      </c>
      <c r="C144" s="8" t="s">
        <v>8</v>
      </c>
      <c r="D144" s="9">
        <v>33</v>
      </c>
      <c r="E144" s="9">
        <v>12777.68</v>
      </c>
      <c r="F144" s="9">
        <v>421663.44</v>
      </c>
      <c r="G144" s="10" t="s">
        <v>561</v>
      </c>
      <c r="H144" s="11" t="s">
        <v>243</v>
      </c>
    </row>
    <row r="145" spans="1:8" ht="42.75">
      <c r="A145" s="12" t="s">
        <v>213</v>
      </c>
      <c r="B145" s="7" t="s">
        <v>562</v>
      </c>
      <c r="C145" s="8" t="s">
        <v>8</v>
      </c>
      <c r="D145" s="9">
        <v>32.6</v>
      </c>
      <c r="E145" s="9">
        <v>71914.34</v>
      </c>
      <c r="F145" s="9">
        <v>2344407.48</v>
      </c>
      <c r="G145" s="10" t="s">
        <v>563</v>
      </c>
      <c r="H145" s="11" t="s">
        <v>243</v>
      </c>
    </row>
    <row r="146" spans="1:8" ht="42.75">
      <c r="A146" s="12" t="s">
        <v>217</v>
      </c>
      <c r="B146" s="7" t="s">
        <v>564</v>
      </c>
      <c r="C146" s="8" t="s">
        <v>8</v>
      </c>
      <c r="D146" s="9">
        <v>32.6</v>
      </c>
      <c r="E146" s="9">
        <v>189793.78</v>
      </c>
      <c r="F146" s="9">
        <v>6187277.2300000004</v>
      </c>
      <c r="G146" s="10" t="s">
        <v>565</v>
      </c>
      <c r="H146" s="11" t="s">
        <v>243</v>
      </c>
    </row>
    <row r="147" spans="1:8" ht="42.75">
      <c r="A147" s="12" t="s">
        <v>566</v>
      </c>
      <c r="B147" s="7" t="s">
        <v>567</v>
      </c>
      <c r="C147" s="8" t="s">
        <v>0</v>
      </c>
      <c r="D147" s="9">
        <v>1</v>
      </c>
      <c r="E147" s="9">
        <v>78208.240000000005</v>
      </c>
      <c r="F147" s="9">
        <v>78208.240000000005</v>
      </c>
      <c r="G147" s="10" t="s">
        <v>568</v>
      </c>
      <c r="H147" s="11" t="s">
        <v>243</v>
      </c>
    </row>
    <row r="148" spans="1:8" ht="42.75">
      <c r="A148" s="12" t="s">
        <v>569</v>
      </c>
      <c r="B148" s="7" t="s">
        <v>570</v>
      </c>
      <c r="C148" s="8" t="s">
        <v>8</v>
      </c>
      <c r="D148" s="9">
        <v>9.6</v>
      </c>
      <c r="E148" s="9">
        <v>4213.4799999999996</v>
      </c>
      <c r="F148" s="9">
        <v>40449.410000000003</v>
      </c>
      <c r="G148" s="10" t="s">
        <v>571</v>
      </c>
      <c r="H148" s="11" t="s">
        <v>243</v>
      </c>
    </row>
    <row r="149" spans="1:8" ht="42.75">
      <c r="A149" s="12" t="s">
        <v>572</v>
      </c>
      <c r="B149" s="7" t="s">
        <v>573</v>
      </c>
      <c r="C149" s="8" t="s">
        <v>0</v>
      </c>
      <c r="D149" s="9">
        <v>1</v>
      </c>
      <c r="E149" s="9">
        <v>2005.23</v>
      </c>
      <c r="F149" s="9">
        <v>2005.23</v>
      </c>
      <c r="G149" s="10" t="s">
        <v>574</v>
      </c>
      <c r="H149" s="11" t="s">
        <v>243</v>
      </c>
    </row>
    <row r="150" spans="1:8" ht="42.75">
      <c r="A150" s="12" t="s">
        <v>575</v>
      </c>
      <c r="B150" s="7" t="s">
        <v>576</v>
      </c>
      <c r="C150" s="8" t="s">
        <v>8</v>
      </c>
      <c r="D150" s="9">
        <v>32.6</v>
      </c>
      <c r="E150" s="9">
        <v>21727.78</v>
      </c>
      <c r="F150" s="9">
        <v>708325.63</v>
      </c>
      <c r="G150" s="10" t="s">
        <v>577</v>
      </c>
      <c r="H150" s="11" t="s">
        <v>243</v>
      </c>
    </row>
    <row r="151" spans="1:8" ht="42.75">
      <c r="A151" s="12" t="s">
        <v>578</v>
      </c>
      <c r="B151" s="7" t="s">
        <v>579</v>
      </c>
      <c r="C151" s="8" t="s">
        <v>8</v>
      </c>
      <c r="D151" s="9">
        <v>32.6</v>
      </c>
      <c r="E151" s="9">
        <v>15955.67</v>
      </c>
      <c r="F151" s="9">
        <v>520154.84</v>
      </c>
      <c r="G151" s="10" t="s">
        <v>580</v>
      </c>
      <c r="H151" s="11" t="s">
        <v>243</v>
      </c>
    </row>
    <row r="152" spans="1:8" ht="33">
      <c r="A152" s="12" t="s">
        <v>581</v>
      </c>
      <c r="B152" s="7" t="s">
        <v>582</v>
      </c>
      <c r="C152" s="8" t="s">
        <v>583</v>
      </c>
      <c r="D152" s="9">
        <v>4</v>
      </c>
      <c r="E152" s="9">
        <v>299.98</v>
      </c>
      <c r="F152" s="9">
        <v>1199.92</v>
      </c>
      <c r="G152" s="10" t="s">
        <v>584</v>
      </c>
      <c r="H152" s="11" t="s">
        <v>243</v>
      </c>
    </row>
    <row r="153" spans="1:8" ht="33">
      <c r="A153" s="12" t="s">
        <v>585</v>
      </c>
      <c r="B153" s="7" t="s">
        <v>586</v>
      </c>
      <c r="C153" s="8" t="s">
        <v>8</v>
      </c>
      <c r="D153" s="9">
        <v>4.8</v>
      </c>
      <c r="E153" s="9">
        <v>119.99</v>
      </c>
      <c r="F153" s="9">
        <v>575.95000000000005</v>
      </c>
      <c r="G153" s="10" t="s">
        <v>587</v>
      </c>
      <c r="H153" s="11" t="s">
        <v>243</v>
      </c>
    </row>
    <row r="154" spans="1:8" ht="42.75">
      <c r="A154" s="12" t="s">
        <v>588</v>
      </c>
      <c r="B154" s="7" t="s">
        <v>589</v>
      </c>
      <c r="C154" s="8" t="s">
        <v>0</v>
      </c>
      <c r="D154" s="9">
        <v>1</v>
      </c>
      <c r="E154" s="9">
        <v>849172.02</v>
      </c>
      <c r="F154" s="9">
        <v>849172.02</v>
      </c>
      <c r="G154" s="10" t="s">
        <v>590</v>
      </c>
      <c r="H154" s="11" t="s">
        <v>243</v>
      </c>
    </row>
    <row r="155" spans="1:8" ht="42.75">
      <c r="A155" s="12" t="s">
        <v>591</v>
      </c>
      <c r="B155" s="7" t="s">
        <v>592</v>
      </c>
      <c r="C155" s="8" t="s">
        <v>0</v>
      </c>
      <c r="D155" s="9">
        <v>1</v>
      </c>
      <c r="E155" s="9">
        <v>2066157.04</v>
      </c>
      <c r="F155" s="9">
        <v>2066157.04</v>
      </c>
      <c r="G155" s="10" t="s">
        <v>593</v>
      </c>
      <c r="H155" s="11" t="s">
        <v>243</v>
      </c>
    </row>
    <row r="156" spans="1:8" ht="33">
      <c r="A156" s="6" t="s">
        <v>92</v>
      </c>
      <c r="B156" s="7" t="s">
        <v>594</v>
      </c>
      <c r="C156" s="8" t="s">
        <v>4</v>
      </c>
      <c r="D156" s="9">
        <v>1</v>
      </c>
      <c r="E156" s="9"/>
      <c r="F156" s="9">
        <v>24142855.91</v>
      </c>
      <c r="G156" s="10" t="s">
        <v>242</v>
      </c>
      <c r="H156" s="11" t="s">
        <v>243</v>
      </c>
    </row>
    <row r="157" spans="1:8" ht="42.75">
      <c r="A157" s="12" t="s">
        <v>93</v>
      </c>
      <c r="B157" s="7" t="s">
        <v>315</v>
      </c>
      <c r="C157" s="8" t="s">
        <v>6</v>
      </c>
      <c r="D157" s="9">
        <v>22</v>
      </c>
      <c r="E157" s="9">
        <v>3114.97</v>
      </c>
      <c r="F157" s="9">
        <v>68529.34</v>
      </c>
      <c r="G157" s="10" t="s">
        <v>316</v>
      </c>
      <c r="H157" s="11" t="s">
        <v>243</v>
      </c>
    </row>
    <row r="158" spans="1:8" ht="42.75">
      <c r="A158" s="12" t="s">
        <v>94</v>
      </c>
      <c r="B158" s="7" t="s">
        <v>24</v>
      </c>
      <c r="C158" s="8" t="s">
        <v>6</v>
      </c>
      <c r="D158" s="9">
        <v>302</v>
      </c>
      <c r="E158" s="9">
        <v>3320.96</v>
      </c>
      <c r="F158" s="9">
        <v>1002929.92</v>
      </c>
      <c r="G158" s="10" t="s">
        <v>317</v>
      </c>
      <c r="H158" s="11" t="s">
        <v>243</v>
      </c>
    </row>
    <row r="159" spans="1:8" ht="42.75">
      <c r="A159" s="12" t="s">
        <v>95</v>
      </c>
      <c r="B159" s="7" t="s">
        <v>528</v>
      </c>
      <c r="C159" s="8" t="s">
        <v>6</v>
      </c>
      <c r="D159" s="9">
        <v>766</v>
      </c>
      <c r="E159" s="9">
        <v>3643.53</v>
      </c>
      <c r="F159" s="9">
        <v>2790943.98</v>
      </c>
      <c r="G159" s="10" t="s">
        <v>529</v>
      </c>
      <c r="H159" s="11" t="s">
        <v>243</v>
      </c>
    </row>
    <row r="160" spans="1:8" ht="33">
      <c r="A160" s="12" t="s">
        <v>96</v>
      </c>
      <c r="B160" s="7" t="s">
        <v>595</v>
      </c>
      <c r="C160" s="8" t="s">
        <v>6</v>
      </c>
      <c r="D160" s="9">
        <v>1090</v>
      </c>
      <c r="E160" s="9">
        <v>199.99</v>
      </c>
      <c r="F160" s="9">
        <v>217989.1</v>
      </c>
      <c r="G160" s="10" t="s">
        <v>596</v>
      </c>
      <c r="H160" s="11" t="s">
        <v>243</v>
      </c>
    </row>
    <row r="161" spans="1:11" s="15" customFormat="1" ht="114">
      <c r="A161" s="12" t="s">
        <v>191</v>
      </c>
      <c r="B161" s="7" t="s">
        <v>534</v>
      </c>
      <c r="C161" s="8" t="s">
        <v>13</v>
      </c>
      <c r="D161" s="9">
        <v>1203</v>
      </c>
      <c r="E161" s="9">
        <v>982.93</v>
      </c>
      <c r="F161" s="9">
        <v>1182464.79</v>
      </c>
      <c r="G161" s="10" t="s">
        <v>535</v>
      </c>
      <c r="H161" s="13" t="s">
        <v>243</v>
      </c>
      <c r="I161" s="14"/>
      <c r="J161" s="14"/>
      <c r="K161" s="14"/>
    </row>
    <row r="162" spans="1:11" s="15" customFormat="1" ht="85.5">
      <c r="A162" s="12" t="s">
        <v>190</v>
      </c>
      <c r="B162" s="7" t="s">
        <v>536</v>
      </c>
      <c r="C162" s="8" t="s">
        <v>13</v>
      </c>
      <c r="D162" s="9">
        <v>393</v>
      </c>
      <c r="E162" s="9">
        <v>804.75</v>
      </c>
      <c r="F162" s="9">
        <v>316266.75</v>
      </c>
      <c r="G162" s="10" t="s">
        <v>537</v>
      </c>
      <c r="H162" s="13" t="s">
        <v>243</v>
      </c>
      <c r="I162" s="14"/>
      <c r="J162" s="14"/>
      <c r="K162" s="14"/>
    </row>
    <row r="163" spans="1:11" ht="57">
      <c r="A163" s="12" t="s">
        <v>189</v>
      </c>
      <c r="B163" s="7" t="s">
        <v>192</v>
      </c>
      <c r="C163" s="8" t="s">
        <v>17</v>
      </c>
      <c r="D163" s="9">
        <v>13138</v>
      </c>
      <c r="E163" s="9">
        <v>36.4</v>
      </c>
      <c r="F163" s="9">
        <v>478223.2</v>
      </c>
      <c r="G163" s="10" t="s">
        <v>314</v>
      </c>
      <c r="H163" s="11" t="s">
        <v>243</v>
      </c>
    </row>
    <row r="164" spans="1:11" ht="57">
      <c r="A164" s="12" t="s">
        <v>188</v>
      </c>
      <c r="B164" s="7" t="s">
        <v>530</v>
      </c>
      <c r="C164" s="8" t="s">
        <v>17</v>
      </c>
      <c r="D164" s="9">
        <v>15589</v>
      </c>
      <c r="E164" s="9">
        <v>38.71</v>
      </c>
      <c r="F164" s="9">
        <v>603450.18999999994</v>
      </c>
      <c r="G164" s="10" t="s">
        <v>531</v>
      </c>
      <c r="H164" s="11" t="s">
        <v>243</v>
      </c>
    </row>
    <row r="165" spans="1:11" ht="57">
      <c r="A165" s="12" t="s">
        <v>187</v>
      </c>
      <c r="B165" s="7" t="s">
        <v>597</v>
      </c>
      <c r="C165" s="8" t="s">
        <v>13</v>
      </c>
      <c r="D165" s="9">
        <v>776</v>
      </c>
      <c r="E165" s="9">
        <v>2510.64</v>
      </c>
      <c r="F165" s="9">
        <v>1948256.64</v>
      </c>
      <c r="G165" s="10" t="s">
        <v>598</v>
      </c>
      <c r="H165" s="11" t="s">
        <v>243</v>
      </c>
    </row>
    <row r="166" spans="1:11" ht="42.75">
      <c r="A166" s="12" t="s">
        <v>186</v>
      </c>
      <c r="B166" s="7" t="s">
        <v>599</v>
      </c>
      <c r="C166" s="8" t="s">
        <v>223</v>
      </c>
      <c r="D166" s="9">
        <v>235</v>
      </c>
      <c r="E166" s="9">
        <v>3297.86</v>
      </c>
      <c r="F166" s="9">
        <v>774997.1</v>
      </c>
      <c r="G166" s="10" t="s">
        <v>600</v>
      </c>
      <c r="H166" s="11" t="s">
        <v>243</v>
      </c>
    </row>
    <row r="167" spans="1:11" ht="42.75">
      <c r="A167" s="12" t="s">
        <v>185</v>
      </c>
      <c r="B167" s="7" t="s">
        <v>601</v>
      </c>
      <c r="C167" s="8" t="s">
        <v>13</v>
      </c>
      <c r="D167" s="9">
        <v>102</v>
      </c>
      <c r="E167" s="9">
        <v>2952.01</v>
      </c>
      <c r="F167" s="9">
        <v>301105.02</v>
      </c>
      <c r="G167" s="10" t="s">
        <v>602</v>
      </c>
      <c r="H167" s="11" t="s">
        <v>243</v>
      </c>
    </row>
    <row r="168" spans="1:11" ht="42.75">
      <c r="A168" s="12" t="s">
        <v>184</v>
      </c>
      <c r="B168" s="7" t="s">
        <v>603</v>
      </c>
      <c r="C168" s="8" t="s">
        <v>13</v>
      </c>
      <c r="D168" s="9">
        <v>400</v>
      </c>
      <c r="E168" s="9">
        <v>1454.49</v>
      </c>
      <c r="F168" s="9">
        <v>581796</v>
      </c>
      <c r="G168" s="10" t="s">
        <v>604</v>
      </c>
      <c r="H168" s="11" t="s">
        <v>243</v>
      </c>
    </row>
    <row r="169" spans="1:11" ht="33">
      <c r="A169" s="12" t="s">
        <v>183</v>
      </c>
      <c r="B169" s="7" t="s">
        <v>605</v>
      </c>
      <c r="C169" s="8" t="s">
        <v>606</v>
      </c>
      <c r="D169" s="9">
        <v>333</v>
      </c>
      <c r="E169" s="9">
        <v>434.98</v>
      </c>
      <c r="F169" s="9">
        <v>144848.34</v>
      </c>
      <c r="G169" s="10" t="s">
        <v>607</v>
      </c>
      <c r="H169" s="11" t="s">
        <v>243</v>
      </c>
    </row>
    <row r="170" spans="1:11" ht="42.75">
      <c r="A170" s="12" t="s">
        <v>182</v>
      </c>
      <c r="B170" s="7" t="s">
        <v>608</v>
      </c>
      <c r="C170" s="8" t="s">
        <v>13</v>
      </c>
      <c r="D170" s="9">
        <v>1702</v>
      </c>
      <c r="E170" s="9">
        <v>885.76</v>
      </c>
      <c r="F170" s="9">
        <v>1507563.52</v>
      </c>
      <c r="G170" s="10" t="s">
        <v>609</v>
      </c>
      <c r="H170" s="11" t="s">
        <v>243</v>
      </c>
    </row>
    <row r="171" spans="1:11" ht="42.75">
      <c r="A171" s="12" t="s">
        <v>181</v>
      </c>
      <c r="B171" s="7" t="s">
        <v>357</v>
      </c>
      <c r="C171" s="8" t="s">
        <v>8</v>
      </c>
      <c r="D171" s="9">
        <v>49</v>
      </c>
      <c r="E171" s="9">
        <v>138.84</v>
      </c>
      <c r="F171" s="9">
        <v>6803.16</v>
      </c>
      <c r="G171" s="10" t="s">
        <v>358</v>
      </c>
      <c r="H171" s="11" t="s">
        <v>243</v>
      </c>
    </row>
    <row r="172" spans="1:11" ht="42.75">
      <c r="A172" s="12" t="s">
        <v>610</v>
      </c>
      <c r="B172" s="7" t="s">
        <v>611</v>
      </c>
      <c r="C172" s="8" t="s">
        <v>8</v>
      </c>
      <c r="D172" s="9">
        <v>85</v>
      </c>
      <c r="E172" s="9">
        <v>326.27999999999997</v>
      </c>
      <c r="F172" s="9">
        <v>27733.8</v>
      </c>
      <c r="G172" s="10" t="s">
        <v>612</v>
      </c>
      <c r="H172" s="11" t="s">
        <v>243</v>
      </c>
    </row>
    <row r="173" spans="1:11" ht="57">
      <c r="A173" s="12" t="s">
        <v>613</v>
      </c>
      <c r="B173" s="7" t="s">
        <v>222</v>
      </c>
      <c r="C173" s="8" t="s">
        <v>13</v>
      </c>
      <c r="D173" s="9">
        <v>385</v>
      </c>
      <c r="E173" s="9">
        <v>692.12</v>
      </c>
      <c r="F173" s="9">
        <v>266466.2</v>
      </c>
      <c r="G173" s="10" t="s">
        <v>546</v>
      </c>
      <c r="H173" s="11" t="s">
        <v>243</v>
      </c>
    </row>
    <row r="174" spans="1:11" ht="85.5">
      <c r="A174" s="12" t="s">
        <v>614</v>
      </c>
      <c r="B174" s="7" t="s">
        <v>615</v>
      </c>
      <c r="C174" s="8" t="s">
        <v>8</v>
      </c>
      <c r="D174" s="9">
        <v>686</v>
      </c>
      <c r="E174" s="9">
        <v>1706.44</v>
      </c>
      <c r="F174" s="9">
        <v>1170617.8400000001</v>
      </c>
      <c r="G174" s="10" t="s">
        <v>616</v>
      </c>
      <c r="H174" s="11" t="s">
        <v>243</v>
      </c>
    </row>
    <row r="175" spans="1:11" ht="33">
      <c r="A175" s="12" t="s">
        <v>617</v>
      </c>
      <c r="B175" s="7" t="s">
        <v>618</v>
      </c>
      <c r="C175" s="8" t="s">
        <v>23</v>
      </c>
      <c r="D175" s="9">
        <v>1070.5</v>
      </c>
      <c r="E175" s="9">
        <v>49</v>
      </c>
      <c r="F175" s="9">
        <v>52454.5</v>
      </c>
      <c r="G175" s="10" t="s">
        <v>619</v>
      </c>
      <c r="H175" s="11" t="s">
        <v>243</v>
      </c>
    </row>
    <row r="176" spans="1:11" ht="33">
      <c r="A176" s="12" t="s">
        <v>620</v>
      </c>
      <c r="B176" s="7" t="s">
        <v>621</v>
      </c>
      <c r="C176" s="8" t="s">
        <v>19</v>
      </c>
      <c r="D176" s="9">
        <v>2</v>
      </c>
      <c r="E176" s="9">
        <v>5349708.26</v>
      </c>
      <c r="F176" s="9">
        <v>10699416.52</v>
      </c>
      <c r="G176" s="10" t="s">
        <v>622</v>
      </c>
      <c r="H176" s="11" t="s">
        <v>243</v>
      </c>
    </row>
    <row r="177" spans="1:11" ht="33">
      <c r="A177" s="6" t="s">
        <v>97</v>
      </c>
      <c r="B177" s="7" t="s">
        <v>623</v>
      </c>
      <c r="C177" s="8" t="s">
        <v>4</v>
      </c>
      <c r="D177" s="9">
        <v>1</v>
      </c>
      <c r="E177" s="9"/>
      <c r="F177" s="9">
        <v>27512956.199999999</v>
      </c>
      <c r="G177" s="10" t="s">
        <v>242</v>
      </c>
      <c r="H177" s="11" t="s">
        <v>243</v>
      </c>
    </row>
    <row r="178" spans="1:11" ht="42.75">
      <c r="A178" s="12" t="s">
        <v>98</v>
      </c>
      <c r="B178" s="7" t="s">
        <v>315</v>
      </c>
      <c r="C178" s="8" t="s">
        <v>6</v>
      </c>
      <c r="D178" s="9">
        <v>252</v>
      </c>
      <c r="E178" s="9">
        <v>3114.97</v>
      </c>
      <c r="F178" s="9">
        <v>784972.44</v>
      </c>
      <c r="G178" s="10" t="s">
        <v>316</v>
      </c>
      <c r="H178" s="11" t="s">
        <v>243</v>
      </c>
    </row>
    <row r="179" spans="1:11" ht="42.75">
      <c r="A179" s="12" t="s">
        <v>99</v>
      </c>
      <c r="B179" s="7" t="s">
        <v>24</v>
      </c>
      <c r="C179" s="8" t="s">
        <v>6</v>
      </c>
      <c r="D179" s="9">
        <v>2490</v>
      </c>
      <c r="E179" s="9">
        <v>3320.96</v>
      </c>
      <c r="F179" s="9">
        <v>8269190.4000000004</v>
      </c>
      <c r="G179" s="10" t="s">
        <v>317</v>
      </c>
      <c r="H179" s="11" t="s">
        <v>243</v>
      </c>
    </row>
    <row r="180" spans="1:11" ht="42.75">
      <c r="A180" s="12" t="s">
        <v>100</v>
      </c>
      <c r="B180" s="7" t="s">
        <v>624</v>
      </c>
      <c r="C180" s="8" t="s">
        <v>6</v>
      </c>
      <c r="D180" s="9">
        <v>998</v>
      </c>
      <c r="E180" s="9">
        <v>1749.16</v>
      </c>
      <c r="F180" s="9">
        <v>1745661.68</v>
      </c>
      <c r="G180" s="10" t="s">
        <v>625</v>
      </c>
      <c r="H180" s="11" t="s">
        <v>243</v>
      </c>
    </row>
    <row r="181" spans="1:11" ht="33">
      <c r="A181" s="12" t="s">
        <v>101</v>
      </c>
      <c r="B181" s="7" t="s">
        <v>595</v>
      </c>
      <c r="C181" s="8" t="s">
        <v>6</v>
      </c>
      <c r="D181" s="9">
        <v>3740</v>
      </c>
      <c r="E181" s="9">
        <v>199.99</v>
      </c>
      <c r="F181" s="9">
        <v>747962.6</v>
      </c>
      <c r="G181" s="10" t="s">
        <v>596</v>
      </c>
      <c r="H181" s="11" t="s">
        <v>243</v>
      </c>
    </row>
    <row r="182" spans="1:11" s="15" customFormat="1" ht="114">
      <c r="A182" s="12" t="s">
        <v>102</v>
      </c>
      <c r="B182" s="7" t="s">
        <v>534</v>
      </c>
      <c r="C182" s="8" t="s">
        <v>13</v>
      </c>
      <c r="D182" s="9">
        <v>3740</v>
      </c>
      <c r="E182" s="9">
        <v>982.93</v>
      </c>
      <c r="F182" s="9">
        <v>3676158.2</v>
      </c>
      <c r="G182" s="10" t="s">
        <v>535</v>
      </c>
      <c r="H182" s="13" t="s">
        <v>243</v>
      </c>
      <c r="I182" s="14"/>
      <c r="J182" s="14"/>
      <c r="K182" s="14"/>
    </row>
    <row r="183" spans="1:11" s="15" customFormat="1" ht="57">
      <c r="A183" s="12" t="s">
        <v>180</v>
      </c>
      <c r="B183" s="7" t="s">
        <v>626</v>
      </c>
      <c r="C183" s="8" t="s">
        <v>13</v>
      </c>
      <c r="D183" s="9">
        <v>38</v>
      </c>
      <c r="E183" s="9">
        <v>698.28</v>
      </c>
      <c r="F183" s="9">
        <v>26534.639999999999</v>
      </c>
      <c r="G183" s="10" t="s">
        <v>627</v>
      </c>
      <c r="H183" s="13" t="s">
        <v>243</v>
      </c>
      <c r="I183" s="14"/>
      <c r="J183" s="14"/>
      <c r="K183" s="14"/>
    </row>
    <row r="184" spans="1:11" s="15" customFormat="1" ht="85.5">
      <c r="A184" s="12" t="s">
        <v>179</v>
      </c>
      <c r="B184" s="7" t="s">
        <v>536</v>
      </c>
      <c r="C184" s="8" t="s">
        <v>13</v>
      </c>
      <c r="D184" s="9">
        <v>783</v>
      </c>
      <c r="E184" s="9">
        <v>804.75</v>
      </c>
      <c r="F184" s="9">
        <v>630119.25</v>
      </c>
      <c r="G184" s="10" t="s">
        <v>537</v>
      </c>
      <c r="H184" s="13" t="s">
        <v>243</v>
      </c>
      <c r="I184" s="14"/>
      <c r="J184" s="14"/>
      <c r="K184" s="14"/>
    </row>
    <row r="185" spans="1:11" s="15" customFormat="1" ht="85.5">
      <c r="A185" s="12" t="s">
        <v>178</v>
      </c>
      <c r="B185" s="7" t="s">
        <v>193</v>
      </c>
      <c r="C185" s="8" t="s">
        <v>13</v>
      </c>
      <c r="D185" s="9">
        <v>300</v>
      </c>
      <c r="E185" s="9">
        <v>533.61</v>
      </c>
      <c r="F185" s="9">
        <v>160083</v>
      </c>
      <c r="G185" s="10" t="s">
        <v>318</v>
      </c>
      <c r="H185" s="13" t="s">
        <v>243</v>
      </c>
      <c r="I185" s="14"/>
      <c r="J185" s="14"/>
      <c r="K185" s="14"/>
    </row>
    <row r="186" spans="1:11" ht="57">
      <c r="A186" s="12" t="s">
        <v>177</v>
      </c>
      <c r="B186" s="7" t="s">
        <v>192</v>
      </c>
      <c r="C186" s="8" t="s">
        <v>17</v>
      </c>
      <c r="D186" s="9">
        <v>137462</v>
      </c>
      <c r="E186" s="9">
        <v>36.4</v>
      </c>
      <c r="F186" s="9">
        <v>5003616.8</v>
      </c>
      <c r="G186" s="10" t="s">
        <v>314</v>
      </c>
      <c r="H186" s="11" t="s">
        <v>243</v>
      </c>
    </row>
    <row r="187" spans="1:11" ht="57">
      <c r="A187" s="12" t="s">
        <v>176</v>
      </c>
      <c r="B187" s="7" t="s">
        <v>530</v>
      </c>
      <c r="C187" s="8" t="s">
        <v>17</v>
      </c>
      <c r="D187" s="9">
        <v>116638</v>
      </c>
      <c r="E187" s="9">
        <v>38.71</v>
      </c>
      <c r="F187" s="9">
        <v>4515056.9800000004</v>
      </c>
      <c r="G187" s="10" t="s">
        <v>531</v>
      </c>
      <c r="H187" s="11" t="s">
        <v>243</v>
      </c>
    </row>
    <row r="188" spans="1:11" ht="47.25">
      <c r="A188" s="12" t="s">
        <v>175</v>
      </c>
      <c r="B188" s="7" t="s">
        <v>628</v>
      </c>
      <c r="C188" s="8" t="s">
        <v>8</v>
      </c>
      <c r="D188" s="9">
        <v>112</v>
      </c>
      <c r="E188" s="9">
        <v>2865.8</v>
      </c>
      <c r="F188" s="9">
        <v>320969.59999999998</v>
      </c>
      <c r="G188" s="10" t="s">
        <v>629</v>
      </c>
      <c r="H188" s="11" t="s">
        <v>243</v>
      </c>
    </row>
    <row r="189" spans="1:11" ht="42.75">
      <c r="A189" s="12" t="s">
        <v>174</v>
      </c>
      <c r="B189" s="7" t="s">
        <v>630</v>
      </c>
      <c r="C189" s="8" t="s">
        <v>0</v>
      </c>
      <c r="D189" s="9">
        <v>47</v>
      </c>
      <c r="E189" s="9">
        <v>1477.97</v>
      </c>
      <c r="F189" s="9">
        <v>69464.59</v>
      </c>
      <c r="G189" s="10" t="s">
        <v>631</v>
      </c>
      <c r="H189" s="11" t="s">
        <v>243</v>
      </c>
    </row>
    <row r="190" spans="1:11" ht="47.25">
      <c r="A190" s="12" t="s">
        <v>173</v>
      </c>
      <c r="B190" s="7" t="s">
        <v>632</v>
      </c>
      <c r="C190" s="8" t="s">
        <v>8</v>
      </c>
      <c r="D190" s="9">
        <v>148</v>
      </c>
      <c r="E190" s="9">
        <v>151.71</v>
      </c>
      <c r="F190" s="9">
        <v>22453.08</v>
      </c>
      <c r="G190" s="10" t="s">
        <v>633</v>
      </c>
      <c r="H190" s="11" t="s">
        <v>243</v>
      </c>
    </row>
    <row r="191" spans="1:11" ht="42.75">
      <c r="A191" s="12" t="s">
        <v>218</v>
      </c>
      <c r="B191" s="7" t="s">
        <v>634</v>
      </c>
      <c r="C191" s="8" t="s">
        <v>15</v>
      </c>
      <c r="D191" s="9">
        <v>6</v>
      </c>
      <c r="E191" s="9">
        <v>15778.75</v>
      </c>
      <c r="F191" s="9">
        <v>94672.5</v>
      </c>
      <c r="G191" s="10" t="s">
        <v>635</v>
      </c>
      <c r="H191" s="11" t="s">
        <v>243</v>
      </c>
    </row>
    <row r="192" spans="1:11" ht="42.75">
      <c r="A192" s="12" t="s">
        <v>636</v>
      </c>
      <c r="B192" s="7" t="s">
        <v>357</v>
      </c>
      <c r="C192" s="8" t="s">
        <v>8</v>
      </c>
      <c r="D192" s="9">
        <v>746</v>
      </c>
      <c r="E192" s="9">
        <v>138.84</v>
      </c>
      <c r="F192" s="9">
        <v>103574.64</v>
      </c>
      <c r="G192" s="10" t="s">
        <v>358</v>
      </c>
      <c r="H192" s="11" t="s">
        <v>243</v>
      </c>
    </row>
    <row r="193" spans="1:11" ht="42.75">
      <c r="A193" s="12" t="s">
        <v>637</v>
      </c>
      <c r="B193" s="7" t="s">
        <v>611</v>
      </c>
      <c r="C193" s="8" t="s">
        <v>8</v>
      </c>
      <c r="D193" s="9">
        <v>1740</v>
      </c>
      <c r="E193" s="9">
        <v>326.27999999999997</v>
      </c>
      <c r="F193" s="9">
        <v>567727.19999999995</v>
      </c>
      <c r="G193" s="10" t="s">
        <v>612</v>
      </c>
      <c r="H193" s="11" t="s">
        <v>243</v>
      </c>
    </row>
    <row r="194" spans="1:11" ht="57">
      <c r="A194" s="12" t="s">
        <v>638</v>
      </c>
      <c r="B194" s="7" t="s">
        <v>222</v>
      </c>
      <c r="C194" s="8" t="s">
        <v>13</v>
      </c>
      <c r="D194" s="9">
        <v>783</v>
      </c>
      <c r="E194" s="9">
        <v>692.12</v>
      </c>
      <c r="F194" s="9">
        <v>541929.96</v>
      </c>
      <c r="G194" s="10" t="s">
        <v>546</v>
      </c>
      <c r="H194" s="11" t="s">
        <v>243</v>
      </c>
    </row>
    <row r="195" spans="1:11" ht="42.75">
      <c r="A195" s="12" t="s">
        <v>639</v>
      </c>
      <c r="B195" s="7" t="s">
        <v>640</v>
      </c>
      <c r="C195" s="8" t="s">
        <v>15</v>
      </c>
      <c r="D195" s="9">
        <v>1</v>
      </c>
      <c r="E195" s="9">
        <v>214228.32</v>
      </c>
      <c r="F195" s="9">
        <v>214228.32</v>
      </c>
      <c r="G195" s="10" t="s">
        <v>641</v>
      </c>
      <c r="H195" s="11" t="s">
        <v>243</v>
      </c>
    </row>
    <row r="196" spans="1:11" ht="42.75">
      <c r="A196" s="12" t="s">
        <v>642</v>
      </c>
      <c r="B196" s="7" t="s">
        <v>643</v>
      </c>
      <c r="C196" s="8" t="s">
        <v>5</v>
      </c>
      <c r="D196" s="9">
        <v>44</v>
      </c>
      <c r="E196" s="9">
        <v>422.28</v>
      </c>
      <c r="F196" s="9">
        <v>18580.32</v>
      </c>
      <c r="G196" s="10" t="s">
        <v>644</v>
      </c>
      <c r="H196" s="11" t="s">
        <v>243</v>
      </c>
    </row>
    <row r="197" spans="1:11" ht="33">
      <c r="A197" s="6" t="s">
        <v>172</v>
      </c>
      <c r="B197" s="7" t="s">
        <v>645</v>
      </c>
      <c r="C197" s="8" t="s">
        <v>4</v>
      </c>
      <c r="D197" s="9">
        <v>1</v>
      </c>
      <c r="E197" s="9"/>
      <c r="F197" s="9">
        <v>11413214.08</v>
      </c>
      <c r="G197" s="10" t="s">
        <v>242</v>
      </c>
      <c r="H197" s="11" t="s">
        <v>243</v>
      </c>
    </row>
    <row r="198" spans="1:11" ht="42.75">
      <c r="A198" s="12" t="s">
        <v>171</v>
      </c>
      <c r="B198" s="7" t="s">
        <v>646</v>
      </c>
      <c r="C198" s="8" t="s">
        <v>6</v>
      </c>
      <c r="D198" s="9">
        <v>230</v>
      </c>
      <c r="E198" s="9">
        <v>7517.15</v>
      </c>
      <c r="F198" s="9">
        <v>1728944.5</v>
      </c>
      <c r="G198" s="10" t="s">
        <v>647</v>
      </c>
      <c r="H198" s="11" t="s">
        <v>243</v>
      </c>
    </row>
    <row r="199" spans="1:11" ht="42.75">
      <c r="A199" s="12" t="s">
        <v>170</v>
      </c>
      <c r="B199" s="7" t="s">
        <v>648</v>
      </c>
      <c r="C199" s="8" t="s">
        <v>6</v>
      </c>
      <c r="D199" s="9">
        <v>689</v>
      </c>
      <c r="E199" s="9">
        <v>7496.55</v>
      </c>
      <c r="F199" s="9">
        <v>5165122.95</v>
      </c>
      <c r="G199" s="10" t="s">
        <v>649</v>
      </c>
      <c r="H199" s="11" t="s">
        <v>243</v>
      </c>
    </row>
    <row r="200" spans="1:11" ht="42.75">
      <c r="A200" s="12" t="s">
        <v>169</v>
      </c>
      <c r="B200" s="7" t="s">
        <v>650</v>
      </c>
      <c r="C200" s="8" t="s">
        <v>13</v>
      </c>
      <c r="D200" s="9">
        <v>4589</v>
      </c>
      <c r="E200" s="9">
        <v>11.6</v>
      </c>
      <c r="F200" s="9">
        <v>53232.4</v>
      </c>
      <c r="G200" s="10" t="s">
        <v>651</v>
      </c>
      <c r="H200" s="11" t="s">
        <v>243</v>
      </c>
    </row>
    <row r="201" spans="1:11" ht="42.75">
      <c r="A201" s="12" t="s">
        <v>168</v>
      </c>
      <c r="B201" s="7" t="s">
        <v>652</v>
      </c>
      <c r="C201" s="8" t="s">
        <v>13</v>
      </c>
      <c r="D201" s="9">
        <v>4589</v>
      </c>
      <c r="E201" s="9">
        <v>42.46</v>
      </c>
      <c r="F201" s="9">
        <v>194848.94</v>
      </c>
      <c r="G201" s="10" t="s">
        <v>653</v>
      </c>
      <c r="H201" s="11" t="s">
        <v>243</v>
      </c>
    </row>
    <row r="202" spans="1:11" ht="42.75">
      <c r="A202" s="12" t="s">
        <v>167</v>
      </c>
      <c r="B202" s="7" t="s">
        <v>204</v>
      </c>
      <c r="C202" s="8" t="s">
        <v>13</v>
      </c>
      <c r="D202" s="9">
        <v>13765</v>
      </c>
      <c r="E202" s="9">
        <v>15.96</v>
      </c>
      <c r="F202" s="9">
        <v>219689.4</v>
      </c>
      <c r="G202" s="10" t="s">
        <v>654</v>
      </c>
      <c r="H202" s="11" t="s">
        <v>243</v>
      </c>
    </row>
    <row r="203" spans="1:11" ht="42.75">
      <c r="A203" s="12" t="s">
        <v>166</v>
      </c>
      <c r="B203" s="7" t="s">
        <v>315</v>
      </c>
      <c r="C203" s="8" t="s">
        <v>6</v>
      </c>
      <c r="D203" s="9">
        <v>49</v>
      </c>
      <c r="E203" s="9">
        <v>3114.97</v>
      </c>
      <c r="F203" s="9">
        <v>152633.53</v>
      </c>
      <c r="G203" s="10" t="s">
        <v>316</v>
      </c>
      <c r="H203" s="11" t="s">
        <v>243</v>
      </c>
    </row>
    <row r="204" spans="1:11" ht="42.75">
      <c r="A204" s="12" t="s">
        <v>165</v>
      </c>
      <c r="B204" s="7" t="s">
        <v>24</v>
      </c>
      <c r="C204" s="8" t="s">
        <v>6</v>
      </c>
      <c r="D204" s="9">
        <v>328</v>
      </c>
      <c r="E204" s="9">
        <v>3320.96</v>
      </c>
      <c r="F204" s="9">
        <v>1089274.8799999999</v>
      </c>
      <c r="G204" s="10" t="s">
        <v>317</v>
      </c>
      <c r="H204" s="11" t="s">
        <v>243</v>
      </c>
    </row>
    <row r="205" spans="1:11" ht="33">
      <c r="A205" s="12" t="s">
        <v>164</v>
      </c>
      <c r="B205" s="7" t="s">
        <v>595</v>
      </c>
      <c r="C205" s="8" t="s">
        <v>6</v>
      </c>
      <c r="D205" s="9">
        <v>377</v>
      </c>
      <c r="E205" s="9">
        <v>199.99</v>
      </c>
      <c r="F205" s="9">
        <v>75396.23</v>
      </c>
      <c r="G205" s="10" t="s">
        <v>596</v>
      </c>
      <c r="H205" s="11" t="s">
        <v>243</v>
      </c>
    </row>
    <row r="206" spans="1:11" s="15" customFormat="1" ht="57">
      <c r="A206" s="12" t="s">
        <v>163</v>
      </c>
      <c r="B206" s="7" t="s">
        <v>626</v>
      </c>
      <c r="C206" s="8" t="s">
        <v>13</v>
      </c>
      <c r="D206" s="9">
        <v>867</v>
      </c>
      <c r="E206" s="9">
        <v>698.28</v>
      </c>
      <c r="F206" s="9">
        <v>605408.76</v>
      </c>
      <c r="G206" s="10" t="s">
        <v>627</v>
      </c>
      <c r="H206" s="13" t="s">
        <v>243</v>
      </c>
      <c r="I206" s="14"/>
      <c r="J206" s="14"/>
      <c r="K206" s="14"/>
    </row>
    <row r="207" spans="1:11" s="15" customFormat="1" ht="85.5">
      <c r="A207" s="12" t="s">
        <v>162</v>
      </c>
      <c r="B207" s="7" t="s">
        <v>193</v>
      </c>
      <c r="C207" s="8" t="s">
        <v>13</v>
      </c>
      <c r="D207" s="9">
        <v>1257</v>
      </c>
      <c r="E207" s="9">
        <v>533.61</v>
      </c>
      <c r="F207" s="9">
        <v>670747.77</v>
      </c>
      <c r="G207" s="10" t="s">
        <v>318</v>
      </c>
      <c r="H207" s="13" t="s">
        <v>243</v>
      </c>
      <c r="I207" s="14"/>
      <c r="J207" s="14"/>
      <c r="K207" s="14"/>
    </row>
    <row r="208" spans="1:11" ht="57">
      <c r="A208" s="12" t="s">
        <v>161</v>
      </c>
      <c r="B208" s="7" t="s">
        <v>192</v>
      </c>
      <c r="C208" s="8" t="s">
        <v>17</v>
      </c>
      <c r="D208" s="9">
        <v>12810</v>
      </c>
      <c r="E208" s="9">
        <v>36.4</v>
      </c>
      <c r="F208" s="9">
        <v>466284</v>
      </c>
      <c r="G208" s="10" t="s">
        <v>314</v>
      </c>
      <c r="H208" s="11" t="s">
        <v>243</v>
      </c>
    </row>
    <row r="209" spans="1:11" ht="71.25">
      <c r="A209" s="12" t="s">
        <v>160</v>
      </c>
      <c r="B209" s="7" t="s">
        <v>655</v>
      </c>
      <c r="C209" s="8" t="s">
        <v>15</v>
      </c>
      <c r="D209" s="9">
        <v>158</v>
      </c>
      <c r="E209" s="9">
        <v>3615.1</v>
      </c>
      <c r="F209" s="9">
        <v>571185.80000000005</v>
      </c>
      <c r="G209" s="10" t="s">
        <v>656</v>
      </c>
      <c r="H209" s="11" t="s">
        <v>243</v>
      </c>
    </row>
    <row r="210" spans="1:11" ht="71.25">
      <c r="A210" s="12" t="s">
        <v>159</v>
      </c>
      <c r="B210" s="7" t="s">
        <v>657</v>
      </c>
      <c r="C210" s="8" t="s">
        <v>17</v>
      </c>
      <c r="D210" s="9">
        <v>3713</v>
      </c>
      <c r="E210" s="9">
        <v>107.44</v>
      </c>
      <c r="F210" s="9">
        <v>398924.72</v>
      </c>
      <c r="G210" s="10" t="s">
        <v>658</v>
      </c>
      <c r="H210" s="11" t="s">
        <v>243</v>
      </c>
    </row>
    <row r="211" spans="1:11" ht="42.75">
      <c r="A211" s="12" t="s">
        <v>158</v>
      </c>
      <c r="B211" s="7" t="s">
        <v>357</v>
      </c>
      <c r="C211" s="8" t="s">
        <v>8</v>
      </c>
      <c r="D211" s="9">
        <v>155</v>
      </c>
      <c r="E211" s="9">
        <v>138.84</v>
      </c>
      <c r="F211" s="9">
        <v>21520.2</v>
      </c>
      <c r="G211" s="10" t="s">
        <v>358</v>
      </c>
      <c r="H211" s="11" t="s">
        <v>243</v>
      </c>
    </row>
    <row r="212" spans="1:11" s="18" customFormat="1" ht="33">
      <c r="A212" s="6" t="s">
        <v>659</v>
      </c>
      <c r="B212" s="7" t="s">
        <v>660</v>
      </c>
      <c r="C212" s="8" t="s">
        <v>4</v>
      </c>
      <c r="D212" s="9">
        <v>1</v>
      </c>
      <c r="E212" s="9"/>
      <c r="F212" s="9">
        <v>441541.64</v>
      </c>
      <c r="G212" s="10" t="s">
        <v>242</v>
      </c>
      <c r="H212" s="16" t="s">
        <v>243</v>
      </c>
      <c r="I212" s="17"/>
      <c r="J212" s="17"/>
      <c r="K212" s="17"/>
    </row>
    <row r="213" spans="1:11" s="18" customFormat="1" ht="57">
      <c r="A213" s="12" t="s">
        <v>661</v>
      </c>
      <c r="B213" s="7" t="s">
        <v>662</v>
      </c>
      <c r="C213" s="8" t="s">
        <v>223</v>
      </c>
      <c r="D213" s="9">
        <v>1</v>
      </c>
      <c r="E213" s="9">
        <v>704.48</v>
      </c>
      <c r="F213" s="9">
        <v>704.48</v>
      </c>
      <c r="G213" s="10" t="s">
        <v>663</v>
      </c>
      <c r="H213" s="16" t="s">
        <v>243</v>
      </c>
      <c r="I213" s="17"/>
      <c r="J213" s="17"/>
      <c r="K213" s="17"/>
    </row>
    <row r="214" spans="1:11" s="18" customFormat="1" ht="42.75">
      <c r="A214" s="12" t="s">
        <v>664</v>
      </c>
      <c r="B214" s="7" t="s">
        <v>665</v>
      </c>
      <c r="C214" s="8" t="s">
        <v>5</v>
      </c>
      <c r="D214" s="9">
        <v>1</v>
      </c>
      <c r="E214" s="9">
        <v>399.98</v>
      </c>
      <c r="F214" s="9">
        <v>399.98</v>
      </c>
      <c r="G214" s="10" t="s">
        <v>666</v>
      </c>
      <c r="H214" s="16" t="s">
        <v>243</v>
      </c>
      <c r="I214" s="17"/>
      <c r="J214" s="17"/>
      <c r="K214" s="17"/>
    </row>
    <row r="215" spans="1:11" s="18" customFormat="1" ht="42.75">
      <c r="A215" s="12" t="s">
        <v>667</v>
      </c>
      <c r="B215" s="7" t="s">
        <v>668</v>
      </c>
      <c r="C215" s="8" t="s">
        <v>669</v>
      </c>
      <c r="D215" s="9">
        <v>1</v>
      </c>
      <c r="E215" s="9">
        <v>3569.75</v>
      </c>
      <c r="F215" s="9">
        <v>3569.75</v>
      </c>
      <c r="G215" s="10" t="s">
        <v>670</v>
      </c>
      <c r="H215" s="16" t="s">
        <v>243</v>
      </c>
      <c r="I215" s="17"/>
      <c r="J215" s="17"/>
      <c r="K215" s="17"/>
    </row>
    <row r="216" spans="1:11" s="18" customFormat="1" ht="42.75">
      <c r="A216" s="12" t="s">
        <v>671</v>
      </c>
      <c r="B216" s="7" t="s">
        <v>672</v>
      </c>
      <c r="C216" s="8" t="s">
        <v>669</v>
      </c>
      <c r="D216" s="9">
        <v>1</v>
      </c>
      <c r="E216" s="9">
        <v>4082.87</v>
      </c>
      <c r="F216" s="9">
        <v>4082.87</v>
      </c>
      <c r="G216" s="10" t="s">
        <v>673</v>
      </c>
      <c r="H216" s="16" t="s">
        <v>243</v>
      </c>
      <c r="I216" s="17"/>
      <c r="J216" s="17"/>
      <c r="K216" s="17"/>
    </row>
    <row r="217" spans="1:11" s="18" customFormat="1" ht="42.75">
      <c r="A217" s="12" t="s">
        <v>674</v>
      </c>
      <c r="B217" s="7" t="s">
        <v>675</v>
      </c>
      <c r="C217" s="8" t="s">
        <v>669</v>
      </c>
      <c r="D217" s="9">
        <v>1</v>
      </c>
      <c r="E217" s="9">
        <v>7408.14</v>
      </c>
      <c r="F217" s="9">
        <v>7408.14</v>
      </c>
      <c r="G217" s="10" t="s">
        <v>676</v>
      </c>
      <c r="H217" s="16" t="s">
        <v>243</v>
      </c>
      <c r="I217" s="17"/>
      <c r="J217" s="17"/>
      <c r="K217" s="17"/>
    </row>
    <row r="218" spans="1:11" s="18" customFormat="1" ht="42.75">
      <c r="A218" s="12" t="s">
        <v>677</v>
      </c>
      <c r="B218" s="7" t="s">
        <v>678</v>
      </c>
      <c r="C218" s="8" t="s">
        <v>669</v>
      </c>
      <c r="D218" s="9">
        <v>1</v>
      </c>
      <c r="E218" s="9">
        <v>10318.74</v>
      </c>
      <c r="F218" s="9">
        <v>10318.74</v>
      </c>
      <c r="G218" s="10" t="s">
        <v>679</v>
      </c>
      <c r="H218" s="16" t="s">
        <v>243</v>
      </c>
      <c r="I218" s="17"/>
      <c r="J218" s="17"/>
      <c r="K218" s="17"/>
    </row>
    <row r="219" spans="1:11" s="18" customFormat="1" ht="42.75">
      <c r="A219" s="12" t="s">
        <v>680</v>
      </c>
      <c r="B219" s="7" t="s">
        <v>681</v>
      </c>
      <c r="C219" s="8" t="s">
        <v>669</v>
      </c>
      <c r="D219" s="9">
        <v>1</v>
      </c>
      <c r="E219" s="9">
        <v>15163.34</v>
      </c>
      <c r="F219" s="9">
        <v>15163.34</v>
      </c>
      <c r="G219" s="10" t="s">
        <v>682</v>
      </c>
      <c r="H219" s="16" t="s">
        <v>243</v>
      </c>
      <c r="I219" s="17"/>
      <c r="J219" s="17"/>
      <c r="K219" s="17"/>
    </row>
    <row r="220" spans="1:11" s="18" customFormat="1" ht="42.75">
      <c r="A220" s="12" t="s">
        <v>683</v>
      </c>
      <c r="B220" s="7" t="s">
        <v>684</v>
      </c>
      <c r="C220" s="8" t="s">
        <v>669</v>
      </c>
      <c r="D220" s="9">
        <v>1</v>
      </c>
      <c r="E220" s="9">
        <v>21801.91</v>
      </c>
      <c r="F220" s="9">
        <v>21801.91</v>
      </c>
      <c r="G220" s="10" t="s">
        <v>685</v>
      </c>
      <c r="H220" s="16" t="s">
        <v>243</v>
      </c>
      <c r="I220" s="17"/>
      <c r="J220" s="17"/>
      <c r="K220" s="17"/>
    </row>
    <row r="221" spans="1:11" s="18" customFormat="1" ht="42.75">
      <c r="A221" s="12" t="s">
        <v>686</v>
      </c>
      <c r="B221" s="7" t="s">
        <v>687</v>
      </c>
      <c r="C221" s="8" t="s">
        <v>669</v>
      </c>
      <c r="D221" s="9">
        <v>1</v>
      </c>
      <c r="E221" s="9">
        <v>29983.23</v>
      </c>
      <c r="F221" s="9">
        <v>29983.23</v>
      </c>
      <c r="G221" s="10" t="s">
        <v>688</v>
      </c>
      <c r="H221" s="16" t="s">
        <v>243</v>
      </c>
      <c r="I221" s="17"/>
      <c r="J221" s="17"/>
      <c r="K221" s="17"/>
    </row>
    <row r="222" spans="1:11" s="18" customFormat="1" ht="42.75">
      <c r="A222" s="12" t="s">
        <v>689</v>
      </c>
      <c r="B222" s="7" t="s">
        <v>690</v>
      </c>
      <c r="C222" s="8" t="s">
        <v>669</v>
      </c>
      <c r="D222" s="9">
        <v>1</v>
      </c>
      <c r="E222" s="9">
        <v>28372.400000000001</v>
      </c>
      <c r="F222" s="9">
        <v>28372.400000000001</v>
      </c>
      <c r="G222" s="10" t="s">
        <v>691</v>
      </c>
      <c r="H222" s="16" t="s">
        <v>243</v>
      </c>
      <c r="I222" s="17"/>
      <c r="J222" s="17"/>
      <c r="K222" s="17"/>
    </row>
    <row r="223" spans="1:11" s="18" customFormat="1" ht="42.75">
      <c r="A223" s="12" t="s">
        <v>692</v>
      </c>
      <c r="B223" s="7" t="s">
        <v>693</v>
      </c>
      <c r="C223" s="8" t="s">
        <v>669</v>
      </c>
      <c r="D223" s="9">
        <v>1</v>
      </c>
      <c r="E223" s="9">
        <v>73084.87</v>
      </c>
      <c r="F223" s="9">
        <v>73084.87</v>
      </c>
      <c r="G223" s="10" t="s">
        <v>694</v>
      </c>
      <c r="H223" s="16" t="s">
        <v>243</v>
      </c>
      <c r="I223" s="17"/>
      <c r="J223" s="17"/>
      <c r="K223" s="17"/>
    </row>
    <row r="224" spans="1:11" s="18" customFormat="1" ht="71.25">
      <c r="A224" s="12" t="s">
        <v>695</v>
      </c>
      <c r="B224" s="7" t="s">
        <v>696</v>
      </c>
      <c r="C224" s="8" t="s">
        <v>669</v>
      </c>
      <c r="D224" s="9">
        <v>1</v>
      </c>
      <c r="E224" s="9">
        <v>22813.26</v>
      </c>
      <c r="F224" s="9">
        <v>22813.26</v>
      </c>
      <c r="G224" s="10" t="s">
        <v>697</v>
      </c>
      <c r="H224" s="16" t="s">
        <v>243</v>
      </c>
      <c r="I224" s="17"/>
      <c r="J224" s="17"/>
      <c r="K224" s="17"/>
    </row>
    <row r="225" spans="1:11" s="18" customFormat="1" ht="42.75">
      <c r="A225" s="12" t="s">
        <v>698</v>
      </c>
      <c r="B225" s="7" t="s">
        <v>699</v>
      </c>
      <c r="C225" s="8" t="s">
        <v>669</v>
      </c>
      <c r="D225" s="9">
        <v>1</v>
      </c>
      <c r="E225" s="9">
        <v>1079.8499999999999</v>
      </c>
      <c r="F225" s="9">
        <v>1079.8499999999999</v>
      </c>
      <c r="G225" s="10" t="s">
        <v>700</v>
      </c>
      <c r="H225" s="16" t="s">
        <v>243</v>
      </c>
      <c r="I225" s="17"/>
      <c r="J225" s="17"/>
      <c r="K225" s="17"/>
    </row>
    <row r="226" spans="1:11" s="18" customFormat="1" ht="47.25">
      <c r="A226" s="12" t="s">
        <v>701</v>
      </c>
      <c r="B226" s="7" t="s">
        <v>702</v>
      </c>
      <c r="C226" s="8" t="s">
        <v>669</v>
      </c>
      <c r="D226" s="9">
        <v>1</v>
      </c>
      <c r="E226" s="9">
        <v>1963.19</v>
      </c>
      <c r="F226" s="9">
        <v>1963.19</v>
      </c>
      <c r="G226" s="10" t="s">
        <v>703</v>
      </c>
      <c r="H226" s="16" t="s">
        <v>243</v>
      </c>
      <c r="I226" s="17"/>
      <c r="J226" s="17"/>
      <c r="K226" s="17"/>
    </row>
    <row r="227" spans="1:11" s="18" customFormat="1" ht="47.25">
      <c r="A227" s="12" t="s">
        <v>704</v>
      </c>
      <c r="B227" s="7" t="s">
        <v>705</v>
      </c>
      <c r="C227" s="8" t="s">
        <v>669</v>
      </c>
      <c r="D227" s="9">
        <v>1</v>
      </c>
      <c r="E227" s="9">
        <v>2216.48</v>
      </c>
      <c r="F227" s="9">
        <v>2216.48</v>
      </c>
      <c r="G227" s="10" t="s">
        <v>706</v>
      </c>
      <c r="H227" s="16" t="s">
        <v>243</v>
      </c>
      <c r="I227" s="17"/>
      <c r="J227" s="17"/>
      <c r="K227" s="17"/>
    </row>
    <row r="228" spans="1:11" s="18" customFormat="1" ht="47.25">
      <c r="A228" s="12" t="s">
        <v>707</v>
      </c>
      <c r="B228" s="7" t="s">
        <v>708</v>
      </c>
      <c r="C228" s="8" t="s">
        <v>669</v>
      </c>
      <c r="D228" s="9">
        <v>1</v>
      </c>
      <c r="E228" s="9">
        <v>4720.3100000000004</v>
      </c>
      <c r="F228" s="9">
        <v>4720.3100000000004</v>
      </c>
      <c r="G228" s="10" t="s">
        <v>709</v>
      </c>
      <c r="H228" s="16" t="s">
        <v>243</v>
      </c>
      <c r="I228" s="17"/>
      <c r="J228" s="17"/>
      <c r="K228" s="17"/>
    </row>
    <row r="229" spans="1:11" s="18" customFormat="1" ht="57">
      <c r="A229" s="12" t="s">
        <v>710</v>
      </c>
      <c r="B229" s="7" t="s">
        <v>147</v>
      </c>
      <c r="C229" s="8" t="s">
        <v>8</v>
      </c>
      <c r="D229" s="9">
        <v>1</v>
      </c>
      <c r="E229" s="9">
        <v>1859.79</v>
      </c>
      <c r="F229" s="9">
        <v>1859.79</v>
      </c>
      <c r="G229" s="10" t="s">
        <v>711</v>
      </c>
      <c r="H229" s="16" t="s">
        <v>243</v>
      </c>
      <c r="I229" s="17"/>
      <c r="J229" s="17"/>
      <c r="K229" s="17"/>
    </row>
    <row r="230" spans="1:11" s="18" customFormat="1" ht="42.75">
      <c r="A230" s="12" t="s">
        <v>712</v>
      </c>
      <c r="B230" s="7" t="s">
        <v>713</v>
      </c>
      <c r="C230" s="8" t="s">
        <v>15</v>
      </c>
      <c r="D230" s="9">
        <v>1</v>
      </c>
      <c r="E230" s="9">
        <v>10254.44</v>
      </c>
      <c r="F230" s="9">
        <v>10254.44</v>
      </c>
      <c r="G230" s="10" t="s">
        <v>714</v>
      </c>
      <c r="H230" s="16" t="s">
        <v>243</v>
      </c>
      <c r="I230" s="17"/>
      <c r="J230" s="17"/>
      <c r="K230" s="17"/>
    </row>
    <row r="231" spans="1:11" s="18" customFormat="1" ht="42.75">
      <c r="A231" s="12" t="s">
        <v>715</v>
      </c>
      <c r="B231" s="7" t="s">
        <v>716</v>
      </c>
      <c r="C231" s="8" t="s">
        <v>15</v>
      </c>
      <c r="D231" s="9">
        <v>1</v>
      </c>
      <c r="E231" s="9">
        <v>40</v>
      </c>
      <c r="F231" s="9">
        <v>40</v>
      </c>
      <c r="G231" s="10" t="s">
        <v>717</v>
      </c>
      <c r="H231" s="16" t="s">
        <v>243</v>
      </c>
      <c r="I231" s="17"/>
      <c r="J231" s="17"/>
      <c r="K231" s="17"/>
    </row>
    <row r="232" spans="1:11" s="18" customFormat="1" ht="47.25">
      <c r="A232" s="12" t="s">
        <v>718</v>
      </c>
      <c r="B232" s="7" t="s">
        <v>719</v>
      </c>
      <c r="C232" s="8" t="s">
        <v>7</v>
      </c>
      <c r="D232" s="9">
        <v>1</v>
      </c>
      <c r="E232" s="9">
        <v>35</v>
      </c>
      <c r="F232" s="9">
        <v>35</v>
      </c>
      <c r="G232" s="10" t="s">
        <v>720</v>
      </c>
      <c r="H232" s="16" t="s">
        <v>243</v>
      </c>
      <c r="I232" s="17"/>
      <c r="J232" s="17"/>
      <c r="K232" s="17"/>
    </row>
    <row r="233" spans="1:11" s="18" customFormat="1" ht="33">
      <c r="A233" s="12" t="s">
        <v>721</v>
      </c>
      <c r="B233" s="7" t="s">
        <v>722</v>
      </c>
      <c r="C233" s="8" t="s">
        <v>8</v>
      </c>
      <c r="D233" s="9">
        <v>1</v>
      </c>
      <c r="E233" s="9">
        <v>10</v>
      </c>
      <c r="F233" s="9">
        <v>10</v>
      </c>
      <c r="G233" s="10" t="s">
        <v>723</v>
      </c>
      <c r="H233" s="16" t="s">
        <v>243</v>
      </c>
      <c r="I233" s="17"/>
      <c r="J233" s="17"/>
      <c r="K233" s="17"/>
    </row>
    <row r="234" spans="1:11" s="18" customFormat="1" ht="33">
      <c r="A234" s="12" t="s">
        <v>724</v>
      </c>
      <c r="B234" s="7" t="s">
        <v>725</v>
      </c>
      <c r="C234" s="8" t="s">
        <v>13</v>
      </c>
      <c r="D234" s="9">
        <v>1</v>
      </c>
      <c r="E234" s="9">
        <v>530.97</v>
      </c>
      <c r="F234" s="9">
        <v>530.97</v>
      </c>
      <c r="G234" s="10" t="s">
        <v>726</v>
      </c>
      <c r="H234" s="16" t="s">
        <v>243</v>
      </c>
      <c r="I234" s="17"/>
      <c r="J234" s="17"/>
      <c r="K234" s="17"/>
    </row>
    <row r="235" spans="1:11" s="18" customFormat="1" ht="42.75">
      <c r="A235" s="12" t="s">
        <v>727</v>
      </c>
      <c r="B235" s="7" t="s">
        <v>728</v>
      </c>
      <c r="C235" s="8" t="s">
        <v>6</v>
      </c>
      <c r="D235" s="9">
        <v>1</v>
      </c>
      <c r="E235" s="9">
        <v>3386.34</v>
      </c>
      <c r="F235" s="9">
        <v>3386.34</v>
      </c>
      <c r="G235" s="10" t="s">
        <v>729</v>
      </c>
      <c r="H235" s="16" t="s">
        <v>243</v>
      </c>
      <c r="I235" s="17"/>
      <c r="J235" s="17"/>
      <c r="K235" s="17"/>
    </row>
    <row r="236" spans="1:11" s="18" customFormat="1" ht="42.75">
      <c r="A236" s="12" t="s">
        <v>730</v>
      </c>
      <c r="B236" s="7" t="s">
        <v>731</v>
      </c>
      <c r="C236" s="8" t="s">
        <v>4</v>
      </c>
      <c r="D236" s="9">
        <v>1</v>
      </c>
      <c r="E236" s="9">
        <v>107994.11</v>
      </c>
      <c r="F236" s="9">
        <v>107994.11</v>
      </c>
      <c r="G236" s="10" t="s">
        <v>732</v>
      </c>
      <c r="H236" s="16" t="s">
        <v>243</v>
      </c>
      <c r="I236" s="17"/>
      <c r="J236" s="17"/>
      <c r="K236" s="17"/>
    </row>
    <row r="237" spans="1:11" s="18" customFormat="1" ht="33">
      <c r="A237" s="12" t="s">
        <v>733</v>
      </c>
      <c r="B237" s="7" t="s">
        <v>734</v>
      </c>
      <c r="C237" s="8" t="s">
        <v>13</v>
      </c>
      <c r="D237" s="9">
        <v>1</v>
      </c>
      <c r="E237" s="9">
        <v>499.97</v>
      </c>
      <c r="F237" s="9">
        <v>499.97</v>
      </c>
      <c r="G237" s="10" t="s">
        <v>735</v>
      </c>
      <c r="H237" s="16" t="s">
        <v>243</v>
      </c>
      <c r="I237" s="17"/>
      <c r="J237" s="17"/>
      <c r="K237" s="17"/>
    </row>
    <row r="238" spans="1:11" s="18" customFormat="1" ht="47.25">
      <c r="A238" s="12" t="s">
        <v>736</v>
      </c>
      <c r="B238" s="7" t="s">
        <v>737</v>
      </c>
      <c r="C238" s="8" t="s">
        <v>669</v>
      </c>
      <c r="D238" s="9">
        <v>1</v>
      </c>
      <c r="E238" s="9">
        <v>10067.84</v>
      </c>
      <c r="F238" s="9">
        <v>10067.84</v>
      </c>
      <c r="G238" s="10" t="s">
        <v>738</v>
      </c>
      <c r="H238" s="16" t="s">
        <v>243</v>
      </c>
      <c r="I238" s="17"/>
      <c r="J238" s="17"/>
      <c r="K238" s="17"/>
    </row>
    <row r="239" spans="1:11" s="18" customFormat="1" ht="47.25">
      <c r="A239" s="12" t="s">
        <v>739</v>
      </c>
      <c r="B239" s="7" t="s">
        <v>740</v>
      </c>
      <c r="C239" s="8" t="s">
        <v>669</v>
      </c>
      <c r="D239" s="9">
        <v>1</v>
      </c>
      <c r="E239" s="9">
        <v>6487.57</v>
      </c>
      <c r="F239" s="9">
        <v>6487.57</v>
      </c>
      <c r="G239" s="10" t="s">
        <v>741</v>
      </c>
      <c r="H239" s="16" t="s">
        <v>243</v>
      </c>
      <c r="I239" s="17"/>
      <c r="J239" s="17"/>
      <c r="K239" s="17"/>
    </row>
    <row r="240" spans="1:11" s="18" customFormat="1" ht="47.25">
      <c r="A240" s="12" t="s">
        <v>742</v>
      </c>
      <c r="B240" s="7" t="s">
        <v>743</v>
      </c>
      <c r="C240" s="8" t="s">
        <v>669</v>
      </c>
      <c r="D240" s="9">
        <v>1</v>
      </c>
      <c r="E240" s="9">
        <v>8473.2999999999993</v>
      </c>
      <c r="F240" s="9">
        <v>8473.2999999999993</v>
      </c>
      <c r="G240" s="10" t="s">
        <v>744</v>
      </c>
      <c r="H240" s="16" t="s">
        <v>243</v>
      </c>
      <c r="I240" s="17"/>
      <c r="J240" s="17"/>
      <c r="K240" s="17"/>
    </row>
    <row r="241" spans="1:11" s="18" customFormat="1" ht="47.25">
      <c r="A241" s="12" t="s">
        <v>745</v>
      </c>
      <c r="B241" s="7" t="s">
        <v>746</v>
      </c>
      <c r="C241" s="8" t="s">
        <v>669</v>
      </c>
      <c r="D241" s="9">
        <v>1</v>
      </c>
      <c r="E241" s="9">
        <v>17742.79</v>
      </c>
      <c r="F241" s="9">
        <v>17742.79</v>
      </c>
      <c r="G241" s="10" t="s">
        <v>747</v>
      </c>
      <c r="H241" s="16" t="s">
        <v>243</v>
      </c>
      <c r="I241" s="17"/>
      <c r="J241" s="17"/>
      <c r="K241" s="17"/>
    </row>
    <row r="242" spans="1:11" s="18" customFormat="1" ht="47.25">
      <c r="A242" s="12" t="s">
        <v>748</v>
      </c>
      <c r="B242" s="7" t="s">
        <v>749</v>
      </c>
      <c r="C242" s="8" t="s">
        <v>669</v>
      </c>
      <c r="D242" s="9">
        <v>1</v>
      </c>
      <c r="E242" s="9">
        <v>5164.09</v>
      </c>
      <c r="F242" s="9">
        <v>5164.09</v>
      </c>
      <c r="G242" s="10" t="s">
        <v>750</v>
      </c>
      <c r="H242" s="16" t="s">
        <v>243</v>
      </c>
      <c r="I242" s="17"/>
      <c r="J242" s="17"/>
      <c r="K242" s="17"/>
    </row>
    <row r="243" spans="1:11" s="18" customFormat="1" ht="47.25">
      <c r="A243" s="12" t="s">
        <v>751</v>
      </c>
      <c r="B243" s="7" t="s">
        <v>752</v>
      </c>
      <c r="C243" s="8" t="s">
        <v>669</v>
      </c>
      <c r="D243" s="9">
        <v>1</v>
      </c>
      <c r="E243" s="9">
        <v>5164.09</v>
      </c>
      <c r="F243" s="9">
        <v>5164.09</v>
      </c>
      <c r="G243" s="10" t="s">
        <v>753</v>
      </c>
      <c r="H243" s="16" t="s">
        <v>243</v>
      </c>
      <c r="I243" s="17"/>
      <c r="J243" s="17"/>
      <c r="K243" s="17"/>
    </row>
    <row r="244" spans="1:11" s="18" customFormat="1" ht="47.25">
      <c r="A244" s="12" t="s">
        <v>754</v>
      </c>
      <c r="B244" s="7" t="s">
        <v>755</v>
      </c>
      <c r="C244" s="8" t="s">
        <v>669</v>
      </c>
      <c r="D244" s="9">
        <v>1</v>
      </c>
      <c r="E244" s="9">
        <v>5730.56</v>
      </c>
      <c r="F244" s="9">
        <v>5730.56</v>
      </c>
      <c r="G244" s="10" t="s">
        <v>756</v>
      </c>
      <c r="H244" s="16" t="s">
        <v>243</v>
      </c>
      <c r="I244" s="17"/>
      <c r="J244" s="17"/>
      <c r="K244" s="17"/>
    </row>
    <row r="245" spans="1:11" s="18" customFormat="1" ht="47.25">
      <c r="A245" s="12" t="s">
        <v>757</v>
      </c>
      <c r="B245" s="7" t="s">
        <v>758</v>
      </c>
      <c r="C245" s="8" t="s">
        <v>669</v>
      </c>
      <c r="D245" s="9">
        <v>1</v>
      </c>
      <c r="E245" s="9">
        <v>7081</v>
      </c>
      <c r="F245" s="9">
        <v>7081</v>
      </c>
      <c r="G245" s="10" t="s">
        <v>759</v>
      </c>
      <c r="H245" s="16" t="s">
        <v>243</v>
      </c>
      <c r="I245" s="17"/>
      <c r="J245" s="17"/>
      <c r="K245" s="17"/>
    </row>
    <row r="246" spans="1:11" s="18" customFormat="1" ht="47.25">
      <c r="A246" s="12" t="s">
        <v>760</v>
      </c>
      <c r="B246" s="7" t="s">
        <v>761</v>
      </c>
      <c r="C246" s="8" t="s">
        <v>669</v>
      </c>
      <c r="D246" s="9">
        <v>1</v>
      </c>
      <c r="E246" s="9">
        <v>4752.1099999999997</v>
      </c>
      <c r="F246" s="9">
        <v>4752.1099999999997</v>
      </c>
      <c r="G246" s="10" t="s">
        <v>762</v>
      </c>
      <c r="H246" s="16" t="s">
        <v>243</v>
      </c>
      <c r="I246" s="17"/>
      <c r="J246" s="17"/>
      <c r="K246" s="17"/>
    </row>
    <row r="247" spans="1:11" s="18" customFormat="1" ht="47.25">
      <c r="A247" s="12" t="s">
        <v>763</v>
      </c>
      <c r="B247" s="7" t="s">
        <v>764</v>
      </c>
      <c r="C247" s="8" t="s">
        <v>669</v>
      </c>
      <c r="D247" s="9">
        <v>1</v>
      </c>
      <c r="E247" s="9">
        <v>14691.08</v>
      </c>
      <c r="F247" s="9">
        <v>14691.08</v>
      </c>
      <c r="G247" s="10" t="s">
        <v>765</v>
      </c>
      <c r="H247" s="16" t="s">
        <v>243</v>
      </c>
      <c r="I247" s="17"/>
      <c r="J247" s="17"/>
      <c r="K247" s="17"/>
    </row>
    <row r="248" spans="1:11" s="18" customFormat="1" ht="42.75">
      <c r="A248" s="12" t="s">
        <v>766</v>
      </c>
      <c r="B248" s="7" t="s">
        <v>767</v>
      </c>
      <c r="C248" s="8" t="s">
        <v>669</v>
      </c>
      <c r="D248" s="9">
        <v>1</v>
      </c>
      <c r="E248" s="9">
        <v>224.3</v>
      </c>
      <c r="F248" s="9">
        <v>224.3</v>
      </c>
      <c r="G248" s="10" t="s">
        <v>768</v>
      </c>
      <c r="H248" s="16" t="s">
        <v>243</v>
      </c>
      <c r="I248" s="17"/>
      <c r="J248" s="17"/>
      <c r="K248" s="17"/>
    </row>
    <row r="249" spans="1:11" s="18" customFormat="1" ht="42.75">
      <c r="A249" s="12" t="s">
        <v>769</v>
      </c>
      <c r="B249" s="7" t="s">
        <v>770</v>
      </c>
      <c r="C249" s="8" t="s">
        <v>669</v>
      </c>
      <c r="D249" s="9">
        <v>1</v>
      </c>
      <c r="E249" s="9">
        <v>275.64</v>
      </c>
      <c r="F249" s="9">
        <v>275.64</v>
      </c>
      <c r="G249" s="10" t="s">
        <v>771</v>
      </c>
      <c r="H249" s="16" t="s">
        <v>243</v>
      </c>
      <c r="I249" s="17"/>
      <c r="J249" s="17"/>
      <c r="K249" s="17"/>
    </row>
    <row r="250" spans="1:11" s="18" customFormat="1" ht="42.75">
      <c r="A250" s="12" t="s">
        <v>772</v>
      </c>
      <c r="B250" s="7" t="s">
        <v>773</v>
      </c>
      <c r="C250" s="8" t="s">
        <v>669</v>
      </c>
      <c r="D250" s="9">
        <v>1</v>
      </c>
      <c r="E250" s="9">
        <v>283.52999999999997</v>
      </c>
      <c r="F250" s="9">
        <v>283.52999999999997</v>
      </c>
      <c r="G250" s="10" t="s">
        <v>774</v>
      </c>
      <c r="H250" s="16" t="s">
        <v>243</v>
      </c>
      <c r="I250" s="17"/>
      <c r="J250" s="17"/>
      <c r="K250" s="17"/>
    </row>
    <row r="251" spans="1:11" s="18" customFormat="1" ht="42.75">
      <c r="A251" s="12" t="s">
        <v>775</v>
      </c>
      <c r="B251" s="7" t="s">
        <v>776</v>
      </c>
      <c r="C251" s="8" t="s">
        <v>669</v>
      </c>
      <c r="D251" s="9">
        <v>1</v>
      </c>
      <c r="E251" s="9">
        <v>88.95</v>
      </c>
      <c r="F251" s="9">
        <v>88.95</v>
      </c>
      <c r="G251" s="10" t="s">
        <v>777</v>
      </c>
      <c r="H251" s="16" t="s">
        <v>243</v>
      </c>
      <c r="I251" s="17"/>
      <c r="J251" s="17"/>
      <c r="K251" s="17"/>
    </row>
    <row r="252" spans="1:11" s="18" customFormat="1" ht="42.75">
      <c r="A252" s="12" t="s">
        <v>778</v>
      </c>
      <c r="B252" s="7" t="s">
        <v>779</v>
      </c>
      <c r="C252" s="8" t="s">
        <v>669</v>
      </c>
      <c r="D252" s="9">
        <v>1</v>
      </c>
      <c r="E252" s="9">
        <v>123.72</v>
      </c>
      <c r="F252" s="9">
        <v>123.72</v>
      </c>
      <c r="G252" s="10" t="s">
        <v>780</v>
      </c>
      <c r="H252" s="16" t="s">
        <v>243</v>
      </c>
      <c r="I252" s="17"/>
      <c r="J252" s="17"/>
      <c r="K252" s="17"/>
    </row>
    <row r="253" spans="1:11" s="18" customFormat="1" ht="42.75">
      <c r="A253" s="12" t="s">
        <v>781</v>
      </c>
      <c r="B253" s="7" t="s">
        <v>782</v>
      </c>
      <c r="C253" s="8" t="s">
        <v>669</v>
      </c>
      <c r="D253" s="9">
        <v>1</v>
      </c>
      <c r="E253" s="9">
        <v>121.41</v>
      </c>
      <c r="F253" s="9">
        <v>121.41</v>
      </c>
      <c r="G253" s="10" t="s">
        <v>783</v>
      </c>
      <c r="H253" s="16" t="s">
        <v>243</v>
      </c>
      <c r="I253" s="17"/>
      <c r="J253" s="17"/>
      <c r="K253" s="17"/>
    </row>
    <row r="254" spans="1:11" s="18" customFormat="1" ht="42.75">
      <c r="A254" s="12" t="s">
        <v>784</v>
      </c>
      <c r="B254" s="7" t="s">
        <v>785</v>
      </c>
      <c r="C254" s="8" t="s">
        <v>669</v>
      </c>
      <c r="D254" s="9">
        <v>1</v>
      </c>
      <c r="E254" s="9">
        <v>134.28</v>
      </c>
      <c r="F254" s="9">
        <v>134.28</v>
      </c>
      <c r="G254" s="10" t="s">
        <v>786</v>
      </c>
      <c r="H254" s="16" t="s">
        <v>243</v>
      </c>
      <c r="I254" s="17"/>
      <c r="J254" s="17"/>
      <c r="K254" s="17"/>
    </row>
    <row r="255" spans="1:11" s="18" customFormat="1" ht="42.75">
      <c r="A255" s="12" t="s">
        <v>787</v>
      </c>
      <c r="B255" s="7" t="s">
        <v>788</v>
      </c>
      <c r="C255" s="8" t="s">
        <v>669</v>
      </c>
      <c r="D255" s="9">
        <v>1</v>
      </c>
      <c r="E255" s="9">
        <v>36.549999999999997</v>
      </c>
      <c r="F255" s="9">
        <v>36.549999999999997</v>
      </c>
      <c r="G255" s="10" t="s">
        <v>789</v>
      </c>
      <c r="H255" s="16" t="s">
        <v>243</v>
      </c>
      <c r="I255" s="17"/>
      <c r="J255" s="17"/>
      <c r="K255" s="17"/>
    </row>
    <row r="256" spans="1:11" s="18" customFormat="1" ht="42.75">
      <c r="A256" s="12" t="s">
        <v>790</v>
      </c>
      <c r="B256" s="7" t="s">
        <v>791</v>
      </c>
      <c r="C256" s="8" t="s">
        <v>669</v>
      </c>
      <c r="D256" s="9">
        <v>1</v>
      </c>
      <c r="E256" s="9">
        <v>103.76</v>
      </c>
      <c r="F256" s="9">
        <v>103.76</v>
      </c>
      <c r="G256" s="10" t="s">
        <v>792</v>
      </c>
      <c r="H256" s="16" t="s">
        <v>243</v>
      </c>
      <c r="I256" s="17"/>
      <c r="J256" s="17"/>
      <c r="K256" s="17"/>
    </row>
    <row r="257" spans="1:11" s="18" customFormat="1" ht="42.75">
      <c r="A257" s="12" t="s">
        <v>793</v>
      </c>
      <c r="B257" s="7" t="s">
        <v>794</v>
      </c>
      <c r="C257" s="8" t="s">
        <v>669</v>
      </c>
      <c r="D257" s="9">
        <v>1</v>
      </c>
      <c r="E257" s="9">
        <v>140.84</v>
      </c>
      <c r="F257" s="9">
        <v>140.84</v>
      </c>
      <c r="G257" s="10" t="s">
        <v>795</v>
      </c>
      <c r="H257" s="16" t="s">
        <v>243</v>
      </c>
      <c r="I257" s="17"/>
      <c r="J257" s="17"/>
      <c r="K257" s="17"/>
    </row>
    <row r="258" spans="1:11" s="18" customFormat="1" ht="42.75">
      <c r="A258" s="12" t="s">
        <v>796</v>
      </c>
      <c r="B258" s="7" t="s">
        <v>797</v>
      </c>
      <c r="C258" s="8" t="s">
        <v>669</v>
      </c>
      <c r="D258" s="9">
        <v>1</v>
      </c>
      <c r="E258" s="9">
        <v>51.75</v>
      </c>
      <c r="F258" s="9">
        <v>51.75</v>
      </c>
      <c r="G258" s="10" t="s">
        <v>798</v>
      </c>
      <c r="H258" s="16" t="s">
        <v>243</v>
      </c>
      <c r="I258" s="17"/>
      <c r="J258" s="17"/>
      <c r="K258" s="17"/>
    </row>
    <row r="259" spans="1:11" s="18" customFormat="1" ht="42.75">
      <c r="A259" s="12" t="s">
        <v>799</v>
      </c>
      <c r="B259" s="7" t="s">
        <v>800</v>
      </c>
      <c r="C259" s="8" t="s">
        <v>669</v>
      </c>
      <c r="D259" s="9">
        <v>1</v>
      </c>
      <c r="E259" s="9">
        <v>35.01</v>
      </c>
      <c r="F259" s="9">
        <v>35.01</v>
      </c>
      <c r="G259" s="10" t="s">
        <v>801</v>
      </c>
      <c r="H259" s="16" t="s">
        <v>243</v>
      </c>
      <c r="I259" s="17"/>
      <c r="J259" s="17"/>
      <c r="K259" s="17"/>
    </row>
    <row r="260" spans="1:11" s="18" customFormat="1" ht="42.75">
      <c r="A260" s="12" t="s">
        <v>802</v>
      </c>
      <c r="B260" s="7" t="s">
        <v>803</v>
      </c>
      <c r="C260" s="8" t="s">
        <v>669</v>
      </c>
      <c r="D260" s="9">
        <v>1</v>
      </c>
      <c r="E260" s="9">
        <v>58.37</v>
      </c>
      <c r="F260" s="9">
        <v>58.37</v>
      </c>
      <c r="G260" s="10" t="s">
        <v>804</v>
      </c>
      <c r="H260" s="16" t="s">
        <v>243</v>
      </c>
      <c r="I260" s="17"/>
      <c r="J260" s="17"/>
      <c r="K260" s="17"/>
    </row>
    <row r="261" spans="1:11" s="18" customFormat="1" ht="42.75">
      <c r="A261" s="12" t="s">
        <v>805</v>
      </c>
      <c r="B261" s="7" t="s">
        <v>806</v>
      </c>
      <c r="C261" s="8" t="s">
        <v>669</v>
      </c>
      <c r="D261" s="9">
        <v>1</v>
      </c>
      <c r="E261" s="9">
        <v>79.040000000000006</v>
      </c>
      <c r="F261" s="9">
        <v>79.040000000000006</v>
      </c>
      <c r="G261" s="10" t="s">
        <v>807</v>
      </c>
      <c r="H261" s="16" t="s">
        <v>243</v>
      </c>
      <c r="I261" s="17"/>
      <c r="J261" s="17"/>
      <c r="K261" s="17"/>
    </row>
    <row r="262" spans="1:11" s="18" customFormat="1" ht="42.75">
      <c r="A262" s="12" t="s">
        <v>808</v>
      </c>
      <c r="B262" s="7" t="s">
        <v>809</v>
      </c>
      <c r="C262" s="8" t="s">
        <v>669</v>
      </c>
      <c r="D262" s="9">
        <v>1</v>
      </c>
      <c r="E262" s="9">
        <v>63.59</v>
      </c>
      <c r="F262" s="9">
        <v>63.59</v>
      </c>
      <c r="G262" s="10" t="s">
        <v>810</v>
      </c>
      <c r="H262" s="16" t="s">
        <v>243</v>
      </c>
      <c r="I262" s="17"/>
      <c r="J262" s="17"/>
      <c r="K262" s="17"/>
    </row>
    <row r="263" spans="1:11" s="18" customFormat="1" ht="42.75">
      <c r="A263" s="12" t="s">
        <v>811</v>
      </c>
      <c r="B263" s="7" t="s">
        <v>812</v>
      </c>
      <c r="C263" s="8" t="s">
        <v>669</v>
      </c>
      <c r="D263" s="9">
        <v>1</v>
      </c>
      <c r="E263" s="9">
        <v>94.49</v>
      </c>
      <c r="F263" s="9">
        <v>94.49</v>
      </c>
      <c r="G263" s="10" t="s">
        <v>813</v>
      </c>
      <c r="H263" s="16" t="s">
        <v>243</v>
      </c>
      <c r="I263" s="17"/>
      <c r="J263" s="17"/>
      <c r="K263" s="17"/>
    </row>
    <row r="264" spans="1:11" s="18" customFormat="1" ht="42.75">
      <c r="A264" s="12" t="s">
        <v>814</v>
      </c>
      <c r="B264" s="7" t="s">
        <v>815</v>
      </c>
      <c r="C264" s="8" t="s">
        <v>669</v>
      </c>
      <c r="D264" s="9">
        <v>1</v>
      </c>
      <c r="E264" s="9">
        <v>73.89</v>
      </c>
      <c r="F264" s="9">
        <v>73.89</v>
      </c>
      <c r="G264" s="10" t="s">
        <v>816</v>
      </c>
      <c r="H264" s="16" t="s">
        <v>243</v>
      </c>
      <c r="I264" s="17"/>
      <c r="J264" s="17"/>
      <c r="K264" s="17"/>
    </row>
    <row r="265" spans="1:11" s="18" customFormat="1" ht="42.75">
      <c r="A265" s="12" t="s">
        <v>817</v>
      </c>
      <c r="B265" s="7" t="s">
        <v>818</v>
      </c>
      <c r="C265" s="8" t="s">
        <v>669</v>
      </c>
      <c r="D265" s="9">
        <v>1</v>
      </c>
      <c r="E265" s="9">
        <v>92.43</v>
      </c>
      <c r="F265" s="9">
        <v>92.43</v>
      </c>
      <c r="G265" s="10" t="s">
        <v>819</v>
      </c>
      <c r="H265" s="16" t="s">
        <v>243</v>
      </c>
      <c r="I265" s="17"/>
      <c r="J265" s="17"/>
      <c r="K265" s="17"/>
    </row>
    <row r="266" spans="1:11" s="18" customFormat="1" ht="42.75">
      <c r="A266" s="12" t="s">
        <v>820</v>
      </c>
      <c r="B266" s="7" t="s">
        <v>821</v>
      </c>
      <c r="C266" s="8" t="s">
        <v>669</v>
      </c>
      <c r="D266" s="9">
        <v>1</v>
      </c>
      <c r="E266" s="9">
        <v>61.98</v>
      </c>
      <c r="F266" s="9">
        <v>61.98</v>
      </c>
      <c r="G266" s="10" t="s">
        <v>822</v>
      </c>
      <c r="H266" s="16" t="s">
        <v>243</v>
      </c>
      <c r="I266" s="17"/>
      <c r="J266" s="17"/>
      <c r="K266" s="17"/>
    </row>
    <row r="267" spans="1:11" s="18" customFormat="1" ht="42.75">
      <c r="A267" s="12" t="s">
        <v>823</v>
      </c>
      <c r="B267" s="7" t="s">
        <v>824</v>
      </c>
      <c r="C267" s="8" t="s">
        <v>669</v>
      </c>
      <c r="D267" s="9">
        <v>1</v>
      </c>
      <c r="E267" s="9">
        <v>154.66</v>
      </c>
      <c r="F267" s="9">
        <v>154.66</v>
      </c>
      <c r="G267" s="10" t="s">
        <v>825</v>
      </c>
      <c r="H267" s="16" t="s">
        <v>243</v>
      </c>
      <c r="I267" s="17"/>
      <c r="J267" s="17"/>
      <c r="K267" s="17"/>
    </row>
    <row r="268" spans="1:11" s="18" customFormat="1" ht="42.75">
      <c r="A268" s="12" t="s">
        <v>826</v>
      </c>
      <c r="B268" s="7" t="s">
        <v>827</v>
      </c>
      <c r="C268" s="8" t="s">
        <v>669</v>
      </c>
      <c r="D268" s="9">
        <v>1</v>
      </c>
      <c r="E268" s="9">
        <v>67.709999999999994</v>
      </c>
      <c r="F268" s="9">
        <v>67.709999999999994</v>
      </c>
      <c r="G268" s="10" t="s">
        <v>828</v>
      </c>
      <c r="H268" s="16" t="s">
        <v>243</v>
      </c>
      <c r="I268" s="17"/>
      <c r="J268" s="17"/>
      <c r="K268" s="17"/>
    </row>
    <row r="269" spans="1:11" s="18" customFormat="1" ht="42.75">
      <c r="A269" s="12" t="s">
        <v>829</v>
      </c>
      <c r="B269" s="7" t="s">
        <v>830</v>
      </c>
      <c r="C269" s="8" t="s">
        <v>669</v>
      </c>
      <c r="D269" s="9">
        <v>1</v>
      </c>
      <c r="E269" s="9">
        <v>54.25</v>
      </c>
      <c r="F269" s="9">
        <v>54.25</v>
      </c>
      <c r="G269" s="10" t="s">
        <v>831</v>
      </c>
      <c r="H269" s="16" t="s">
        <v>243</v>
      </c>
      <c r="I269" s="17"/>
      <c r="J269" s="17"/>
      <c r="K269" s="17"/>
    </row>
    <row r="270" spans="1:11" s="18" customFormat="1" ht="42.75">
      <c r="A270" s="12" t="s">
        <v>832</v>
      </c>
      <c r="B270" s="7" t="s">
        <v>833</v>
      </c>
      <c r="C270" s="8" t="s">
        <v>669</v>
      </c>
      <c r="D270" s="9">
        <v>1</v>
      </c>
      <c r="E270" s="9">
        <v>90.3</v>
      </c>
      <c r="F270" s="9">
        <v>90.3</v>
      </c>
      <c r="G270" s="10" t="s">
        <v>834</v>
      </c>
      <c r="H270" s="16" t="s">
        <v>243</v>
      </c>
      <c r="I270" s="17"/>
      <c r="J270" s="17"/>
      <c r="K270" s="17"/>
    </row>
    <row r="271" spans="1:11" s="18" customFormat="1" ht="42.75">
      <c r="A271" s="12" t="s">
        <v>835</v>
      </c>
      <c r="B271" s="7" t="s">
        <v>836</v>
      </c>
      <c r="C271" s="8" t="s">
        <v>669</v>
      </c>
      <c r="D271" s="9">
        <v>1</v>
      </c>
      <c r="E271" s="9">
        <v>67.13</v>
      </c>
      <c r="F271" s="9">
        <v>67.13</v>
      </c>
      <c r="G271" s="10" t="s">
        <v>837</v>
      </c>
      <c r="H271" s="16" t="s">
        <v>243</v>
      </c>
      <c r="I271" s="17"/>
      <c r="J271" s="17"/>
      <c r="K271" s="17"/>
    </row>
    <row r="272" spans="1:11" s="18" customFormat="1" ht="42.75">
      <c r="A272" s="12" t="s">
        <v>838</v>
      </c>
      <c r="B272" s="7" t="s">
        <v>839</v>
      </c>
      <c r="C272" s="8" t="s">
        <v>669</v>
      </c>
      <c r="D272" s="9">
        <v>1</v>
      </c>
      <c r="E272" s="9">
        <v>56.83</v>
      </c>
      <c r="F272" s="9">
        <v>56.83</v>
      </c>
      <c r="G272" s="10" t="s">
        <v>840</v>
      </c>
      <c r="H272" s="16" t="s">
        <v>243</v>
      </c>
      <c r="I272" s="17"/>
      <c r="J272" s="17"/>
      <c r="K272" s="17"/>
    </row>
    <row r="273" spans="1:11" s="18" customFormat="1" ht="42.75">
      <c r="A273" s="12" t="s">
        <v>841</v>
      </c>
      <c r="B273" s="7" t="s">
        <v>842</v>
      </c>
      <c r="C273" s="8" t="s">
        <v>669</v>
      </c>
      <c r="D273" s="9">
        <v>1</v>
      </c>
      <c r="E273" s="9">
        <v>68.67</v>
      </c>
      <c r="F273" s="9">
        <v>68.67</v>
      </c>
      <c r="G273" s="10" t="s">
        <v>843</v>
      </c>
      <c r="H273" s="16" t="s">
        <v>243</v>
      </c>
      <c r="I273" s="17"/>
      <c r="J273" s="17"/>
      <c r="K273" s="17"/>
    </row>
    <row r="274" spans="1:11" s="18" customFormat="1" ht="42.75">
      <c r="A274" s="12" t="s">
        <v>844</v>
      </c>
      <c r="B274" s="7" t="s">
        <v>845</v>
      </c>
      <c r="C274" s="8" t="s">
        <v>669</v>
      </c>
      <c r="D274" s="9">
        <v>1</v>
      </c>
      <c r="E274" s="9">
        <v>59.92</v>
      </c>
      <c r="F274" s="9">
        <v>59.92</v>
      </c>
      <c r="G274" s="10" t="s">
        <v>846</v>
      </c>
      <c r="H274" s="16" t="s">
        <v>243</v>
      </c>
      <c r="I274" s="17"/>
      <c r="J274" s="17"/>
      <c r="K274" s="17"/>
    </row>
    <row r="275" spans="1:11" s="18" customFormat="1" ht="42.75">
      <c r="A275" s="12" t="s">
        <v>847</v>
      </c>
      <c r="B275" s="7" t="s">
        <v>848</v>
      </c>
      <c r="C275" s="8" t="s">
        <v>669</v>
      </c>
      <c r="D275" s="9">
        <v>1</v>
      </c>
      <c r="E275" s="9">
        <v>58.37</v>
      </c>
      <c r="F275" s="9">
        <v>58.37</v>
      </c>
      <c r="G275" s="10" t="s">
        <v>849</v>
      </c>
      <c r="H275" s="16" t="s">
        <v>243</v>
      </c>
      <c r="I275" s="17"/>
      <c r="J275" s="17"/>
      <c r="K275" s="17"/>
    </row>
    <row r="276" spans="1:11" s="18" customFormat="1" ht="42.75">
      <c r="A276" s="12" t="s">
        <v>850</v>
      </c>
      <c r="B276" s="7" t="s">
        <v>851</v>
      </c>
      <c r="C276" s="8" t="s">
        <v>669</v>
      </c>
      <c r="D276" s="9">
        <v>1</v>
      </c>
      <c r="E276" s="9">
        <v>68.209999999999994</v>
      </c>
      <c r="F276" s="9">
        <v>68.209999999999994</v>
      </c>
      <c r="G276" s="10" t="s">
        <v>852</v>
      </c>
      <c r="H276" s="16" t="s">
        <v>243</v>
      </c>
      <c r="I276" s="17"/>
      <c r="J276" s="17"/>
      <c r="K276" s="17"/>
    </row>
    <row r="277" spans="1:11" s="18" customFormat="1" ht="42.75">
      <c r="A277" s="12" t="s">
        <v>853</v>
      </c>
      <c r="B277" s="7" t="s">
        <v>854</v>
      </c>
      <c r="C277" s="8" t="s">
        <v>669</v>
      </c>
      <c r="D277" s="9">
        <v>1</v>
      </c>
      <c r="E277" s="9">
        <v>72.33</v>
      </c>
      <c r="F277" s="9">
        <v>72.33</v>
      </c>
      <c r="G277" s="10" t="s">
        <v>855</v>
      </c>
      <c r="H277" s="16" t="s">
        <v>243</v>
      </c>
      <c r="I277" s="17"/>
      <c r="J277" s="17"/>
      <c r="K277" s="17"/>
    </row>
    <row r="278" spans="1:11" s="18" customFormat="1" ht="42.75">
      <c r="A278" s="12" t="s">
        <v>856</v>
      </c>
      <c r="B278" s="7" t="s">
        <v>857</v>
      </c>
      <c r="C278" s="8" t="s">
        <v>669</v>
      </c>
      <c r="D278" s="9">
        <v>1</v>
      </c>
      <c r="E278" s="9">
        <v>111.47</v>
      </c>
      <c r="F278" s="9">
        <v>111.47</v>
      </c>
      <c r="G278" s="10" t="s">
        <v>858</v>
      </c>
      <c r="H278" s="16" t="s">
        <v>243</v>
      </c>
      <c r="I278" s="17"/>
      <c r="J278" s="17"/>
      <c r="K278" s="17"/>
    </row>
    <row r="279" spans="1:11" s="18" customFormat="1" ht="42.75">
      <c r="A279" s="12" t="s">
        <v>859</v>
      </c>
      <c r="B279" s="7" t="s">
        <v>860</v>
      </c>
      <c r="C279" s="8" t="s">
        <v>669</v>
      </c>
      <c r="D279" s="9">
        <v>1</v>
      </c>
      <c r="E279" s="9">
        <v>101.17</v>
      </c>
      <c r="F279" s="9">
        <v>101.17</v>
      </c>
      <c r="G279" s="10" t="s">
        <v>861</v>
      </c>
      <c r="H279" s="16" t="s">
        <v>243</v>
      </c>
      <c r="I279" s="17"/>
      <c r="J279" s="17"/>
      <c r="K279" s="17"/>
    </row>
    <row r="280" spans="1:11" s="18" customFormat="1" ht="42.75">
      <c r="A280" s="12" t="s">
        <v>862</v>
      </c>
      <c r="B280" s="7" t="s">
        <v>863</v>
      </c>
      <c r="C280" s="8" t="s">
        <v>669</v>
      </c>
      <c r="D280" s="9">
        <v>1</v>
      </c>
      <c r="E280" s="9">
        <v>81.62</v>
      </c>
      <c r="F280" s="9">
        <v>81.62</v>
      </c>
      <c r="G280" s="10" t="s">
        <v>864</v>
      </c>
      <c r="H280" s="16" t="s">
        <v>243</v>
      </c>
      <c r="I280" s="17"/>
      <c r="J280" s="17"/>
      <c r="K280" s="17"/>
    </row>
    <row r="281" spans="1:11" s="18" customFormat="1" ht="42.75">
      <c r="A281" s="12" t="s">
        <v>865</v>
      </c>
      <c r="B281" s="7" t="s">
        <v>866</v>
      </c>
      <c r="C281" s="8" t="s">
        <v>669</v>
      </c>
      <c r="D281" s="9">
        <v>1</v>
      </c>
      <c r="E281" s="9">
        <v>79.040000000000006</v>
      </c>
      <c r="F281" s="9">
        <v>79.040000000000006</v>
      </c>
      <c r="G281" s="10" t="s">
        <v>867</v>
      </c>
      <c r="H281" s="16" t="s">
        <v>243</v>
      </c>
      <c r="I281" s="17"/>
      <c r="J281" s="17"/>
      <c r="K281" s="17"/>
    </row>
    <row r="282" spans="1:11" s="18" customFormat="1" ht="42.75">
      <c r="A282" s="12" t="s">
        <v>868</v>
      </c>
      <c r="B282" s="7" t="s">
        <v>869</v>
      </c>
      <c r="C282" s="8" t="s">
        <v>669</v>
      </c>
      <c r="D282" s="9">
        <v>1</v>
      </c>
      <c r="E282" s="9">
        <v>99.64</v>
      </c>
      <c r="F282" s="9">
        <v>99.64</v>
      </c>
      <c r="G282" s="10" t="s">
        <v>870</v>
      </c>
      <c r="H282" s="16" t="s">
        <v>243</v>
      </c>
      <c r="I282" s="17"/>
      <c r="J282" s="17"/>
      <c r="K282" s="17"/>
    </row>
    <row r="283" spans="1:11" s="18" customFormat="1" ht="42.75">
      <c r="A283" s="12" t="s">
        <v>871</v>
      </c>
      <c r="B283" s="7" t="s">
        <v>872</v>
      </c>
      <c r="C283" s="8" t="s">
        <v>669</v>
      </c>
      <c r="D283" s="9">
        <v>1</v>
      </c>
      <c r="E283" s="9">
        <v>74.92</v>
      </c>
      <c r="F283" s="9">
        <v>74.92</v>
      </c>
      <c r="G283" s="10" t="s">
        <v>873</v>
      </c>
      <c r="H283" s="16" t="s">
        <v>243</v>
      </c>
      <c r="I283" s="17"/>
      <c r="J283" s="17"/>
      <c r="K283" s="17"/>
    </row>
    <row r="284" spans="1:11" s="18" customFormat="1" ht="42.75">
      <c r="A284" s="12" t="s">
        <v>874</v>
      </c>
      <c r="B284" s="7" t="s">
        <v>875</v>
      </c>
      <c r="C284" s="8" t="s">
        <v>669</v>
      </c>
      <c r="D284" s="9">
        <v>1</v>
      </c>
      <c r="E284" s="9">
        <v>72.28</v>
      </c>
      <c r="F284" s="9">
        <v>72.28</v>
      </c>
      <c r="G284" s="10" t="s">
        <v>876</v>
      </c>
      <c r="H284" s="16" t="s">
        <v>243</v>
      </c>
      <c r="I284" s="17"/>
      <c r="J284" s="17"/>
      <c r="K284" s="17"/>
    </row>
    <row r="285" spans="1:11" s="18" customFormat="1" ht="42.75">
      <c r="A285" s="12" t="s">
        <v>877</v>
      </c>
      <c r="B285" s="7" t="s">
        <v>878</v>
      </c>
      <c r="C285" s="8" t="s">
        <v>13</v>
      </c>
      <c r="D285" s="9">
        <v>1</v>
      </c>
      <c r="E285" s="9">
        <v>43.77</v>
      </c>
      <c r="F285" s="9">
        <v>43.77</v>
      </c>
      <c r="G285" s="10" t="s">
        <v>879</v>
      </c>
      <c r="H285" s="16" t="s">
        <v>243</v>
      </c>
      <c r="I285" s="17"/>
      <c r="J285" s="17"/>
      <c r="K285" s="17"/>
    </row>
    <row r="286" spans="1:11" s="18" customFormat="1" ht="42.75">
      <c r="A286" s="12" t="s">
        <v>880</v>
      </c>
      <c r="B286" s="7" t="s">
        <v>881</v>
      </c>
      <c r="C286" s="8" t="s">
        <v>882</v>
      </c>
      <c r="D286" s="9">
        <v>1</v>
      </c>
      <c r="E286" s="9">
        <v>28.11</v>
      </c>
      <c r="F286" s="9">
        <v>28.11</v>
      </c>
      <c r="G286" s="10" t="s">
        <v>883</v>
      </c>
      <c r="H286" s="16" t="s">
        <v>243</v>
      </c>
      <c r="I286" s="17"/>
      <c r="J286" s="17"/>
      <c r="K286" s="17"/>
    </row>
    <row r="287" spans="1:11" s="18" customFormat="1" ht="42.75">
      <c r="A287" s="12" t="s">
        <v>884</v>
      </c>
      <c r="B287" s="7" t="s">
        <v>885</v>
      </c>
      <c r="C287" s="8" t="s">
        <v>13</v>
      </c>
      <c r="D287" s="9">
        <v>1</v>
      </c>
      <c r="E287" s="9">
        <v>239.86</v>
      </c>
      <c r="F287" s="9">
        <v>239.86</v>
      </c>
      <c r="G287" s="10" t="s">
        <v>886</v>
      </c>
      <c r="H287" s="16" t="s">
        <v>243</v>
      </c>
      <c r="I287" s="17"/>
      <c r="J287" s="17"/>
      <c r="K287" s="17"/>
    </row>
    <row r="288" spans="1:11" ht="33">
      <c r="A288" s="6" t="s">
        <v>887</v>
      </c>
      <c r="B288" s="7" t="s">
        <v>888</v>
      </c>
      <c r="C288" s="8" t="s">
        <v>4</v>
      </c>
      <c r="D288" s="9">
        <v>1</v>
      </c>
      <c r="E288" s="9"/>
      <c r="F288" s="9">
        <v>5050770.37</v>
      </c>
      <c r="G288" s="10" t="s">
        <v>242</v>
      </c>
      <c r="H288" s="11" t="s">
        <v>243</v>
      </c>
    </row>
    <row r="289" spans="1:8" ht="42.75">
      <c r="A289" s="12" t="s">
        <v>889</v>
      </c>
      <c r="B289" s="7" t="s">
        <v>890</v>
      </c>
      <c r="C289" s="8" t="s">
        <v>4</v>
      </c>
      <c r="D289" s="9">
        <v>1</v>
      </c>
      <c r="E289" s="9">
        <v>88179.19</v>
      </c>
      <c r="F289" s="9">
        <v>88179.19</v>
      </c>
      <c r="G289" s="10" t="s">
        <v>891</v>
      </c>
      <c r="H289" s="11" t="s">
        <v>243</v>
      </c>
    </row>
    <row r="290" spans="1:8" ht="42.75">
      <c r="A290" s="12" t="s">
        <v>892</v>
      </c>
      <c r="B290" s="7" t="s">
        <v>893</v>
      </c>
      <c r="C290" s="8" t="s">
        <v>4</v>
      </c>
      <c r="D290" s="9">
        <v>1</v>
      </c>
      <c r="E290" s="9">
        <v>149702.84</v>
      </c>
      <c r="F290" s="9">
        <v>149702.84</v>
      </c>
      <c r="G290" s="10" t="s">
        <v>894</v>
      </c>
      <c r="H290" s="11" t="s">
        <v>243</v>
      </c>
    </row>
    <row r="291" spans="1:8" ht="42.75">
      <c r="A291" s="12" t="s">
        <v>895</v>
      </c>
      <c r="B291" s="7" t="s">
        <v>896</v>
      </c>
      <c r="C291" s="8" t="s">
        <v>4</v>
      </c>
      <c r="D291" s="9">
        <v>1</v>
      </c>
      <c r="E291" s="9">
        <v>168290.82</v>
      </c>
      <c r="F291" s="9">
        <v>168290.82</v>
      </c>
      <c r="G291" s="10" t="s">
        <v>897</v>
      </c>
      <c r="H291" s="11" t="s">
        <v>243</v>
      </c>
    </row>
    <row r="292" spans="1:8" ht="42.75">
      <c r="A292" s="12" t="s">
        <v>898</v>
      </c>
      <c r="B292" s="7" t="s">
        <v>899</v>
      </c>
      <c r="C292" s="8" t="s">
        <v>4</v>
      </c>
      <c r="D292" s="9">
        <v>1</v>
      </c>
      <c r="E292" s="9">
        <v>23946.69</v>
      </c>
      <c r="F292" s="9">
        <v>23946.69</v>
      </c>
      <c r="G292" s="10" t="s">
        <v>900</v>
      </c>
      <c r="H292" s="11" t="s">
        <v>243</v>
      </c>
    </row>
    <row r="293" spans="1:8" ht="47.25">
      <c r="A293" s="12" t="s">
        <v>901</v>
      </c>
      <c r="B293" s="7" t="s">
        <v>902</v>
      </c>
      <c r="C293" s="8" t="s">
        <v>0</v>
      </c>
      <c r="D293" s="9">
        <v>11</v>
      </c>
      <c r="E293" s="9">
        <v>42797.67</v>
      </c>
      <c r="F293" s="9">
        <v>470774.37</v>
      </c>
      <c r="G293" s="10" t="s">
        <v>903</v>
      </c>
      <c r="H293" s="11" t="s">
        <v>243</v>
      </c>
    </row>
    <row r="294" spans="1:8" ht="47.25">
      <c r="A294" s="12" t="s">
        <v>904</v>
      </c>
      <c r="B294" s="7" t="s">
        <v>905</v>
      </c>
      <c r="C294" s="8" t="s">
        <v>0</v>
      </c>
      <c r="D294" s="9">
        <v>9</v>
      </c>
      <c r="E294" s="9">
        <v>60396.71</v>
      </c>
      <c r="F294" s="9">
        <v>543570.39</v>
      </c>
      <c r="G294" s="10" t="s">
        <v>906</v>
      </c>
      <c r="H294" s="11" t="s">
        <v>243</v>
      </c>
    </row>
    <row r="295" spans="1:8" ht="47.25">
      <c r="A295" s="12" t="s">
        <v>907</v>
      </c>
      <c r="B295" s="7" t="s">
        <v>908</v>
      </c>
      <c r="C295" s="8" t="s">
        <v>0</v>
      </c>
      <c r="D295" s="9">
        <v>10</v>
      </c>
      <c r="E295" s="9">
        <v>34998.089999999997</v>
      </c>
      <c r="F295" s="9">
        <v>349980.9</v>
      </c>
      <c r="G295" s="10" t="s">
        <v>909</v>
      </c>
      <c r="H295" s="11" t="s">
        <v>243</v>
      </c>
    </row>
    <row r="296" spans="1:8" ht="33">
      <c r="A296" s="12" t="s">
        <v>910</v>
      </c>
      <c r="B296" s="7" t="s">
        <v>911</v>
      </c>
      <c r="C296" s="8" t="s">
        <v>0</v>
      </c>
      <c r="D296" s="9">
        <v>8</v>
      </c>
      <c r="E296" s="9">
        <v>9999.4500000000007</v>
      </c>
      <c r="F296" s="9">
        <v>79995.600000000006</v>
      </c>
      <c r="G296" s="10" t="s">
        <v>912</v>
      </c>
      <c r="H296" s="11" t="s">
        <v>243</v>
      </c>
    </row>
    <row r="297" spans="1:8" ht="33">
      <c r="A297" s="12" t="s">
        <v>913</v>
      </c>
      <c r="B297" s="7" t="s">
        <v>914</v>
      </c>
      <c r="C297" s="8" t="s">
        <v>15</v>
      </c>
      <c r="D297" s="9">
        <v>2</v>
      </c>
      <c r="E297" s="9">
        <v>1499.92</v>
      </c>
      <c r="F297" s="9">
        <v>2999.84</v>
      </c>
      <c r="G297" s="10" t="s">
        <v>915</v>
      </c>
      <c r="H297" s="11" t="s">
        <v>243</v>
      </c>
    </row>
    <row r="298" spans="1:8" ht="33">
      <c r="A298" s="12" t="s">
        <v>916</v>
      </c>
      <c r="B298" s="7" t="s">
        <v>917</v>
      </c>
      <c r="C298" s="8" t="s">
        <v>15</v>
      </c>
      <c r="D298" s="9">
        <v>2</v>
      </c>
      <c r="E298" s="9">
        <v>3999.78</v>
      </c>
      <c r="F298" s="9">
        <v>7999.56</v>
      </c>
      <c r="G298" s="10" t="s">
        <v>918</v>
      </c>
      <c r="H298" s="11" t="s">
        <v>243</v>
      </c>
    </row>
    <row r="299" spans="1:8" ht="33">
      <c r="A299" s="12" t="s">
        <v>919</v>
      </c>
      <c r="B299" s="7" t="s">
        <v>920</v>
      </c>
      <c r="C299" s="8" t="s">
        <v>8</v>
      </c>
      <c r="D299" s="9">
        <v>44.6</v>
      </c>
      <c r="E299" s="9">
        <v>799.96</v>
      </c>
      <c r="F299" s="9">
        <v>35678.22</v>
      </c>
      <c r="G299" s="10" t="s">
        <v>921</v>
      </c>
      <c r="H299" s="11" t="s">
        <v>243</v>
      </c>
    </row>
    <row r="300" spans="1:8" ht="33">
      <c r="A300" s="12" t="s">
        <v>922</v>
      </c>
      <c r="B300" s="7" t="s">
        <v>923</v>
      </c>
      <c r="C300" s="8" t="s">
        <v>15</v>
      </c>
      <c r="D300" s="9">
        <v>10</v>
      </c>
      <c r="E300" s="9">
        <v>11299.38</v>
      </c>
      <c r="F300" s="9">
        <v>112993.8</v>
      </c>
      <c r="G300" s="10" t="s">
        <v>924</v>
      </c>
      <c r="H300" s="11" t="s">
        <v>243</v>
      </c>
    </row>
    <row r="301" spans="1:8" ht="33">
      <c r="A301" s="12" t="s">
        <v>925</v>
      </c>
      <c r="B301" s="7" t="s">
        <v>926</v>
      </c>
      <c r="C301" s="8" t="s">
        <v>15</v>
      </c>
      <c r="D301" s="9">
        <v>5</v>
      </c>
      <c r="E301" s="9">
        <v>17999.02</v>
      </c>
      <c r="F301" s="9">
        <v>89995.1</v>
      </c>
      <c r="G301" s="10" t="s">
        <v>927</v>
      </c>
      <c r="H301" s="11" t="s">
        <v>243</v>
      </c>
    </row>
    <row r="302" spans="1:8" ht="33">
      <c r="A302" s="12" t="s">
        <v>928</v>
      </c>
      <c r="B302" s="7" t="s">
        <v>929</v>
      </c>
      <c r="C302" s="8" t="s">
        <v>15</v>
      </c>
      <c r="D302" s="9">
        <v>17</v>
      </c>
      <c r="E302" s="9">
        <v>4199.7700000000004</v>
      </c>
      <c r="F302" s="9">
        <v>71396.09</v>
      </c>
      <c r="G302" s="10" t="s">
        <v>930</v>
      </c>
      <c r="H302" s="11" t="s">
        <v>243</v>
      </c>
    </row>
    <row r="303" spans="1:8" ht="57">
      <c r="A303" s="12" t="s">
        <v>931</v>
      </c>
      <c r="B303" s="7" t="s">
        <v>932</v>
      </c>
      <c r="C303" s="8" t="s">
        <v>290</v>
      </c>
      <c r="D303" s="9">
        <v>1</v>
      </c>
      <c r="E303" s="9">
        <v>112957.32</v>
      </c>
      <c r="F303" s="9">
        <v>112957.32</v>
      </c>
      <c r="G303" s="10" t="s">
        <v>933</v>
      </c>
      <c r="H303" s="11" t="s">
        <v>243</v>
      </c>
    </row>
    <row r="304" spans="1:8" ht="57">
      <c r="A304" s="12" t="s">
        <v>934</v>
      </c>
      <c r="B304" s="7" t="s">
        <v>935</v>
      </c>
      <c r="C304" s="8" t="s">
        <v>4</v>
      </c>
      <c r="D304" s="9">
        <v>1</v>
      </c>
      <c r="E304" s="9">
        <v>322482.40999999997</v>
      </c>
      <c r="F304" s="9">
        <v>322482.40999999997</v>
      </c>
      <c r="G304" s="10" t="s">
        <v>936</v>
      </c>
      <c r="H304" s="11" t="s">
        <v>243</v>
      </c>
    </row>
    <row r="305" spans="1:8" ht="33">
      <c r="A305" s="12" t="s">
        <v>937</v>
      </c>
      <c r="B305" s="7" t="s">
        <v>938</v>
      </c>
      <c r="C305" s="8" t="s">
        <v>15</v>
      </c>
      <c r="D305" s="9">
        <v>17</v>
      </c>
      <c r="E305" s="9">
        <v>99994.55</v>
      </c>
      <c r="F305" s="9">
        <v>1699907.35</v>
      </c>
      <c r="G305" s="10" t="s">
        <v>939</v>
      </c>
      <c r="H305" s="11" t="s">
        <v>243</v>
      </c>
    </row>
    <row r="306" spans="1:8" ht="33">
      <c r="A306" s="12" t="s">
        <v>940</v>
      </c>
      <c r="B306" s="7" t="s">
        <v>941</v>
      </c>
      <c r="C306" s="8" t="s">
        <v>583</v>
      </c>
      <c r="D306" s="9">
        <v>2</v>
      </c>
      <c r="E306" s="9">
        <v>14999.18</v>
      </c>
      <c r="F306" s="9">
        <v>29998.36</v>
      </c>
      <c r="G306" s="10" t="s">
        <v>942</v>
      </c>
      <c r="H306" s="11" t="s">
        <v>243</v>
      </c>
    </row>
    <row r="307" spans="1:8" ht="33">
      <c r="A307" s="12" t="s">
        <v>943</v>
      </c>
      <c r="B307" s="7" t="s">
        <v>944</v>
      </c>
      <c r="C307" s="8" t="s">
        <v>15</v>
      </c>
      <c r="D307" s="9">
        <v>1</v>
      </c>
      <c r="E307" s="9">
        <v>1499.92</v>
      </c>
      <c r="F307" s="9">
        <v>1499.92</v>
      </c>
      <c r="G307" s="10" t="s">
        <v>945</v>
      </c>
      <c r="H307" s="11" t="s">
        <v>243</v>
      </c>
    </row>
    <row r="308" spans="1:8" ht="33">
      <c r="A308" s="12" t="s">
        <v>946</v>
      </c>
      <c r="B308" s="7" t="s">
        <v>947</v>
      </c>
      <c r="C308" s="8" t="s">
        <v>19</v>
      </c>
      <c r="D308" s="9">
        <v>2</v>
      </c>
      <c r="E308" s="9">
        <v>2599.86</v>
      </c>
      <c r="F308" s="9">
        <v>5199.72</v>
      </c>
      <c r="G308" s="10" t="s">
        <v>948</v>
      </c>
      <c r="H308" s="11" t="s">
        <v>243</v>
      </c>
    </row>
    <row r="309" spans="1:8" ht="33">
      <c r="A309" s="12" t="s">
        <v>949</v>
      </c>
      <c r="B309" s="7" t="s">
        <v>950</v>
      </c>
      <c r="C309" s="8" t="s">
        <v>19</v>
      </c>
      <c r="D309" s="9">
        <v>9</v>
      </c>
      <c r="E309" s="9">
        <v>4459.76</v>
      </c>
      <c r="F309" s="9">
        <v>40137.839999999997</v>
      </c>
      <c r="G309" s="10" t="s">
        <v>951</v>
      </c>
      <c r="H309" s="11" t="s">
        <v>243</v>
      </c>
    </row>
    <row r="310" spans="1:8" ht="33">
      <c r="A310" s="12" t="s">
        <v>952</v>
      </c>
      <c r="B310" s="7" t="s">
        <v>953</v>
      </c>
      <c r="C310" s="8" t="s">
        <v>8</v>
      </c>
      <c r="D310" s="9">
        <v>180</v>
      </c>
      <c r="E310" s="9">
        <v>596.98</v>
      </c>
      <c r="F310" s="9">
        <v>107456.4</v>
      </c>
      <c r="G310" s="10" t="s">
        <v>954</v>
      </c>
      <c r="H310" s="11" t="s">
        <v>243</v>
      </c>
    </row>
    <row r="311" spans="1:8" ht="33">
      <c r="A311" s="12" t="s">
        <v>955</v>
      </c>
      <c r="B311" s="7" t="s">
        <v>956</v>
      </c>
      <c r="C311" s="8" t="s">
        <v>8</v>
      </c>
      <c r="D311" s="9">
        <v>60</v>
      </c>
      <c r="E311" s="9">
        <v>67.42</v>
      </c>
      <c r="F311" s="9">
        <v>4045.2</v>
      </c>
      <c r="G311" s="10" t="s">
        <v>957</v>
      </c>
      <c r="H311" s="11" t="s">
        <v>243</v>
      </c>
    </row>
    <row r="312" spans="1:8" ht="33">
      <c r="A312" s="12" t="s">
        <v>958</v>
      </c>
      <c r="B312" s="7" t="s">
        <v>959</v>
      </c>
      <c r="C312" s="8" t="s">
        <v>8</v>
      </c>
      <c r="D312" s="9">
        <v>1032</v>
      </c>
      <c r="E312" s="9">
        <v>29.42</v>
      </c>
      <c r="F312" s="9">
        <v>30361.439999999999</v>
      </c>
      <c r="G312" s="10" t="s">
        <v>960</v>
      </c>
      <c r="H312" s="11" t="s">
        <v>243</v>
      </c>
    </row>
    <row r="313" spans="1:8" ht="33">
      <c r="A313" s="12" t="s">
        <v>961</v>
      </c>
      <c r="B313" s="7" t="s">
        <v>962</v>
      </c>
      <c r="C313" s="8" t="s">
        <v>8</v>
      </c>
      <c r="D313" s="9">
        <v>1103</v>
      </c>
      <c r="E313" s="9">
        <v>147.1</v>
      </c>
      <c r="F313" s="9">
        <v>162251.29999999999</v>
      </c>
      <c r="G313" s="10" t="s">
        <v>963</v>
      </c>
      <c r="H313" s="11" t="s">
        <v>243</v>
      </c>
    </row>
    <row r="314" spans="1:8" ht="47.25">
      <c r="A314" s="12" t="s">
        <v>964</v>
      </c>
      <c r="B314" s="7" t="s">
        <v>219</v>
      </c>
      <c r="C314" s="8" t="s">
        <v>8</v>
      </c>
      <c r="D314" s="9">
        <v>2064</v>
      </c>
      <c r="E314" s="9">
        <v>78.459999999999994</v>
      </c>
      <c r="F314" s="9">
        <v>161941.44</v>
      </c>
      <c r="G314" s="10" t="s">
        <v>965</v>
      </c>
      <c r="H314" s="11" t="s">
        <v>243</v>
      </c>
    </row>
    <row r="315" spans="1:8" ht="33">
      <c r="A315" s="12" t="s">
        <v>966</v>
      </c>
      <c r="B315" s="7" t="s">
        <v>967</v>
      </c>
      <c r="C315" s="8" t="s">
        <v>4</v>
      </c>
      <c r="D315" s="9">
        <v>1</v>
      </c>
      <c r="E315" s="9">
        <v>24062.69</v>
      </c>
      <c r="F315" s="9">
        <v>24062.69</v>
      </c>
      <c r="G315" s="10" t="s">
        <v>968</v>
      </c>
      <c r="H315" s="11" t="s">
        <v>243</v>
      </c>
    </row>
    <row r="316" spans="1:8" ht="33">
      <c r="A316" s="12" t="s">
        <v>969</v>
      </c>
      <c r="B316" s="7" t="s">
        <v>970</v>
      </c>
      <c r="C316" s="8" t="s">
        <v>8</v>
      </c>
      <c r="D316" s="9">
        <v>1011</v>
      </c>
      <c r="E316" s="9">
        <v>35.549999999999997</v>
      </c>
      <c r="F316" s="9">
        <v>35941.050000000003</v>
      </c>
      <c r="G316" s="10" t="s">
        <v>971</v>
      </c>
      <c r="H316" s="11" t="s">
        <v>243</v>
      </c>
    </row>
    <row r="317" spans="1:8" ht="33">
      <c r="A317" s="12" t="s">
        <v>972</v>
      </c>
      <c r="B317" s="7" t="s">
        <v>220</v>
      </c>
      <c r="C317" s="8" t="s">
        <v>8</v>
      </c>
      <c r="D317" s="9">
        <v>946</v>
      </c>
      <c r="E317" s="9">
        <v>60.07</v>
      </c>
      <c r="F317" s="9">
        <v>56826.22</v>
      </c>
      <c r="G317" s="10" t="s">
        <v>973</v>
      </c>
      <c r="H317" s="11" t="s">
        <v>243</v>
      </c>
    </row>
    <row r="318" spans="1:8" ht="33">
      <c r="A318" s="12" t="s">
        <v>974</v>
      </c>
      <c r="B318" s="7" t="s">
        <v>975</v>
      </c>
      <c r="C318" s="8" t="s">
        <v>8</v>
      </c>
      <c r="D318" s="9">
        <v>55</v>
      </c>
      <c r="E318" s="9">
        <v>125.03</v>
      </c>
      <c r="F318" s="9">
        <v>6876.65</v>
      </c>
      <c r="G318" s="10" t="s">
        <v>976</v>
      </c>
      <c r="H318" s="11" t="s">
        <v>243</v>
      </c>
    </row>
    <row r="319" spans="1:8" ht="33">
      <c r="A319" s="12" t="s">
        <v>977</v>
      </c>
      <c r="B319" s="7" t="s">
        <v>978</v>
      </c>
      <c r="C319" s="8" t="s">
        <v>8</v>
      </c>
      <c r="D319" s="9">
        <v>22</v>
      </c>
      <c r="E319" s="9">
        <v>178.97</v>
      </c>
      <c r="F319" s="9">
        <v>3937.34</v>
      </c>
      <c r="G319" s="10" t="s">
        <v>979</v>
      </c>
      <c r="H319" s="11" t="s">
        <v>243</v>
      </c>
    </row>
    <row r="320" spans="1:8" ht="33">
      <c r="A320" s="12" t="s">
        <v>980</v>
      </c>
      <c r="B320" s="7" t="s">
        <v>981</v>
      </c>
      <c r="C320" s="8" t="s">
        <v>4</v>
      </c>
      <c r="D320" s="9">
        <v>1</v>
      </c>
      <c r="E320" s="9">
        <v>19812.919999999998</v>
      </c>
      <c r="F320" s="9">
        <v>19812.919999999998</v>
      </c>
      <c r="G320" s="10" t="s">
        <v>982</v>
      </c>
      <c r="H320" s="11" t="s">
        <v>243</v>
      </c>
    </row>
    <row r="321" spans="1:8" ht="33">
      <c r="A321" s="12" t="s">
        <v>983</v>
      </c>
      <c r="B321" s="7" t="s">
        <v>984</v>
      </c>
      <c r="C321" s="8" t="s">
        <v>4</v>
      </c>
      <c r="D321" s="9">
        <v>1</v>
      </c>
      <c r="E321" s="9">
        <v>29571.39</v>
      </c>
      <c r="F321" s="9">
        <v>29571.39</v>
      </c>
      <c r="G321" s="10" t="s">
        <v>985</v>
      </c>
      <c r="H321" s="11" t="s">
        <v>243</v>
      </c>
    </row>
    <row r="322" spans="1:8" ht="33">
      <c r="A322" s="6" t="s">
        <v>986</v>
      </c>
      <c r="B322" s="7" t="s">
        <v>987</v>
      </c>
      <c r="C322" s="8" t="s">
        <v>4</v>
      </c>
      <c r="D322" s="9">
        <v>1</v>
      </c>
      <c r="E322" s="9"/>
      <c r="F322" s="9">
        <v>5388420.4299999997</v>
      </c>
      <c r="G322" s="10" t="s">
        <v>242</v>
      </c>
      <c r="H322" s="11" t="s">
        <v>243</v>
      </c>
    </row>
    <row r="323" spans="1:8" ht="42.75">
      <c r="A323" s="12" t="s">
        <v>988</v>
      </c>
      <c r="B323" s="7" t="s">
        <v>989</v>
      </c>
      <c r="C323" s="8" t="s">
        <v>8</v>
      </c>
      <c r="D323" s="9">
        <v>1132</v>
      </c>
      <c r="E323" s="9">
        <v>247.19</v>
      </c>
      <c r="F323" s="9">
        <v>279819.08</v>
      </c>
      <c r="G323" s="10" t="s">
        <v>990</v>
      </c>
      <c r="H323" s="11" t="s">
        <v>243</v>
      </c>
    </row>
    <row r="324" spans="1:8" ht="42.75">
      <c r="A324" s="12" t="s">
        <v>991</v>
      </c>
      <c r="B324" s="7" t="s">
        <v>992</v>
      </c>
      <c r="C324" s="8" t="s">
        <v>8</v>
      </c>
      <c r="D324" s="9">
        <v>1132</v>
      </c>
      <c r="E324" s="9">
        <v>236.89</v>
      </c>
      <c r="F324" s="9">
        <v>268159.48</v>
      </c>
      <c r="G324" s="10" t="s">
        <v>993</v>
      </c>
      <c r="H324" s="11" t="s">
        <v>243</v>
      </c>
    </row>
    <row r="325" spans="1:8" ht="33">
      <c r="A325" s="12" t="s">
        <v>994</v>
      </c>
      <c r="B325" s="7" t="s">
        <v>995</v>
      </c>
      <c r="C325" s="8" t="s">
        <v>13</v>
      </c>
      <c r="D325" s="9">
        <v>6198</v>
      </c>
      <c r="E325" s="9">
        <v>252.34</v>
      </c>
      <c r="F325" s="9">
        <v>1564003.32</v>
      </c>
      <c r="G325" s="10" t="s">
        <v>996</v>
      </c>
      <c r="H325" s="11" t="s">
        <v>243</v>
      </c>
    </row>
    <row r="326" spans="1:8" ht="47.25">
      <c r="A326" s="12" t="s">
        <v>997</v>
      </c>
      <c r="B326" s="7" t="s">
        <v>998</v>
      </c>
      <c r="C326" s="8" t="s">
        <v>4</v>
      </c>
      <c r="D326" s="9">
        <v>1</v>
      </c>
      <c r="E326" s="9">
        <v>349980.91</v>
      </c>
      <c r="F326" s="9">
        <v>349980.91</v>
      </c>
      <c r="G326" s="10" t="s">
        <v>999</v>
      </c>
      <c r="H326" s="11" t="s">
        <v>243</v>
      </c>
    </row>
    <row r="327" spans="1:8" ht="42.75">
      <c r="A327" s="12" t="s">
        <v>1000</v>
      </c>
      <c r="B327" s="7" t="s">
        <v>1001</v>
      </c>
      <c r="C327" s="8" t="s">
        <v>16</v>
      </c>
      <c r="D327" s="9">
        <v>2052</v>
      </c>
      <c r="E327" s="9">
        <v>931.07</v>
      </c>
      <c r="F327" s="9">
        <v>1910555.64</v>
      </c>
      <c r="G327" s="10" t="s">
        <v>1002</v>
      </c>
      <c r="H327" s="11" t="s">
        <v>243</v>
      </c>
    </row>
    <row r="328" spans="1:8" ht="42.75">
      <c r="A328" s="12" t="s">
        <v>1003</v>
      </c>
      <c r="B328" s="7" t="s">
        <v>728</v>
      </c>
      <c r="C328" s="8" t="s">
        <v>6</v>
      </c>
      <c r="D328" s="9">
        <v>300</v>
      </c>
      <c r="E328" s="9">
        <v>3386.34</v>
      </c>
      <c r="F328" s="9">
        <v>1015902</v>
      </c>
      <c r="G328" s="10" t="s">
        <v>729</v>
      </c>
      <c r="H328" s="11" t="s">
        <v>243</v>
      </c>
    </row>
    <row r="329" spans="1:8" ht="33">
      <c r="A329" s="6" t="s">
        <v>103</v>
      </c>
      <c r="B329" s="7" t="s">
        <v>11</v>
      </c>
      <c r="C329" s="8" t="s">
        <v>4</v>
      </c>
      <c r="D329" s="9">
        <v>1</v>
      </c>
      <c r="E329" s="9"/>
      <c r="F329" s="9">
        <v>8155586.3899999997</v>
      </c>
      <c r="G329" s="10" t="s">
        <v>242</v>
      </c>
      <c r="H329" s="11" t="s">
        <v>243</v>
      </c>
    </row>
    <row r="330" spans="1:8" ht="33">
      <c r="A330" s="12" t="s">
        <v>104</v>
      </c>
      <c r="B330" s="7" t="s">
        <v>1004</v>
      </c>
      <c r="C330" s="8" t="s">
        <v>4</v>
      </c>
      <c r="D330" s="9">
        <v>1</v>
      </c>
      <c r="E330" s="9">
        <v>716633.92</v>
      </c>
      <c r="F330" s="9">
        <v>716633.92</v>
      </c>
      <c r="G330" s="10" t="s">
        <v>1005</v>
      </c>
      <c r="H330" s="11" t="s">
        <v>243</v>
      </c>
    </row>
    <row r="331" spans="1:8" ht="33">
      <c r="A331" s="12" t="s">
        <v>105</v>
      </c>
      <c r="B331" s="7" t="s">
        <v>1006</v>
      </c>
      <c r="C331" s="8" t="s">
        <v>1007</v>
      </c>
      <c r="D331" s="9">
        <v>7</v>
      </c>
      <c r="E331" s="9">
        <v>49997.27</v>
      </c>
      <c r="F331" s="9">
        <v>349980.89</v>
      </c>
      <c r="G331" s="10" t="s">
        <v>1008</v>
      </c>
      <c r="H331" s="11" t="s">
        <v>243</v>
      </c>
    </row>
    <row r="332" spans="1:8" ht="71.25">
      <c r="A332" s="12" t="s">
        <v>106</v>
      </c>
      <c r="B332" s="7" t="s">
        <v>1009</v>
      </c>
      <c r="C332" s="8" t="s">
        <v>1010</v>
      </c>
      <c r="D332" s="9">
        <v>730</v>
      </c>
      <c r="E332" s="9">
        <v>805.95</v>
      </c>
      <c r="F332" s="9">
        <v>588343.5</v>
      </c>
      <c r="G332" s="10" t="s">
        <v>1011</v>
      </c>
      <c r="H332" s="11" t="s">
        <v>243</v>
      </c>
    </row>
    <row r="333" spans="1:8" ht="33">
      <c r="A333" s="12" t="s">
        <v>107</v>
      </c>
      <c r="B333" s="7" t="s">
        <v>1012</v>
      </c>
      <c r="C333" s="8" t="s">
        <v>1007</v>
      </c>
      <c r="D333" s="9">
        <v>2</v>
      </c>
      <c r="E333" s="9">
        <v>49997.27</v>
      </c>
      <c r="F333" s="9">
        <v>99994.54</v>
      </c>
      <c r="G333" s="10" t="s">
        <v>1013</v>
      </c>
      <c r="H333" s="11" t="s">
        <v>243</v>
      </c>
    </row>
    <row r="334" spans="1:8" ht="33">
      <c r="A334" s="12" t="s">
        <v>108</v>
      </c>
      <c r="B334" s="7" t="s">
        <v>1014</v>
      </c>
      <c r="C334" s="8" t="s">
        <v>1015</v>
      </c>
      <c r="D334" s="9">
        <v>19</v>
      </c>
      <c r="E334" s="9">
        <v>179990.18</v>
      </c>
      <c r="F334" s="9">
        <v>3419813.42</v>
      </c>
      <c r="G334" s="10" t="s">
        <v>1016</v>
      </c>
      <c r="H334" s="11" t="s">
        <v>243</v>
      </c>
    </row>
    <row r="335" spans="1:8" ht="42.75">
      <c r="A335" s="12" t="s">
        <v>109</v>
      </c>
      <c r="B335" s="7" t="s">
        <v>1017</v>
      </c>
      <c r="C335" s="8" t="s">
        <v>4</v>
      </c>
      <c r="D335" s="9">
        <v>1</v>
      </c>
      <c r="E335" s="9">
        <v>205971.45</v>
      </c>
      <c r="F335" s="9">
        <v>205971.45</v>
      </c>
      <c r="G335" s="10" t="s">
        <v>1018</v>
      </c>
      <c r="H335" s="11" t="s">
        <v>243</v>
      </c>
    </row>
    <row r="336" spans="1:8" ht="33">
      <c r="A336" s="12" t="s">
        <v>156</v>
      </c>
      <c r="B336" s="7" t="s">
        <v>1019</v>
      </c>
      <c r="C336" s="8" t="s">
        <v>4</v>
      </c>
      <c r="D336" s="9">
        <v>1</v>
      </c>
      <c r="E336" s="9">
        <v>2424867.7599999998</v>
      </c>
      <c r="F336" s="9">
        <v>2424867.7599999998</v>
      </c>
      <c r="G336" s="10" t="s">
        <v>1020</v>
      </c>
      <c r="H336" s="11" t="s">
        <v>243</v>
      </c>
    </row>
    <row r="337" spans="1:8" ht="33">
      <c r="A337" s="12" t="s">
        <v>155</v>
      </c>
      <c r="B337" s="7" t="s">
        <v>1021</v>
      </c>
      <c r="C337" s="8" t="s">
        <v>4</v>
      </c>
      <c r="D337" s="9">
        <v>1</v>
      </c>
      <c r="E337" s="9">
        <v>349980.91</v>
      </c>
      <c r="F337" s="9">
        <v>349980.91</v>
      </c>
      <c r="G337" s="10" t="s">
        <v>1022</v>
      </c>
      <c r="H337" s="11" t="s">
        <v>243</v>
      </c>
    </row>
    <row r="338" spans="1:8" ht="33">
      <c r="A338" s="6" t="s">
        <v>110</v>
      </c>
      <c r="B338" s="7" t="s">
        <v>25</v>
      </c>
      <c r="C338" s="8" t="s">
        <v>4</v>
      </c>
      <c r="D338" s="9">
        <v>1</v>
      </c>
      <c r="E338" s="9"/>
      <c r="F338" s="9">
        <v>3063382.33</v>
      </c>
      <c r="G338" s="10" t="s">
        <v>242</v>
      </c>
      <c r="H338" s="11" t="s">
        <v>243</v>
      </c>
    </row>
    <row r="339" spans="1:8" ht="63">
      <c r="A339" s="12" t="s">
        <v>111</v>
      </c>
      <c r="B339" s="7" t="s">
        <v>1023</v>
      </c>
      <c r="C339" s="8" t="s">
        <v>7</v>
      </c>
      <c r="D339" s="9">
        <v>295</v>
      </c>
      <c r="E339" s="9">
        <v>299.98</v>
      </c>
      <c r="F339" s="9">
        <v>88494.1</v>
      </c>
      <c r="G339" s="10" t="s">
        <v>1024</v>
      </c>
      <c r="H339" s="11" t="s">
        <v>243</v>
      </c>
    </row>
    <row r="340" spans="1:8" ht="47.25">
      <c r="A340" s="12" t="s">
        <v>112</v>
      </c>
      <c r="B340" s="7" t="s">
        <v>1025</v>
      </c>
      <c r="C340" s="8" t="s">
        <v>15</v>
      </c>
      <c r="D340" s="9">
        <v>59</v>
      </c>
      <c r="E340" s="9">
        <v>2999.84</v>
      </c>
      <c r="F340" s="9">
        <v>176990.56</v>
      </c>
      <c r="G340" s="10" t="s">
        <v>1026</v>
      </c>
      <c r="H340" s="11" t="s">
        <v>243</v>
      </c>
    </row>
    <row r="341" spans="1:8" ht="33">
      <c r="A341" s="12" t="s">
        <v>113</v>
      </c>
      <c r="B341" s="7" t="s">
        <v>1027</v>
      </c>
      <c r="C341" s="8" t="s">
        <v>15</v>
      </c>
      <c r="D341" s="9">
        <v>59</v>
      </c>
      <c r="E341" s="9">
        <v>149.99</v>
      </c>
      <c r="F341" s="9">
        <v>8849.41</v>
      </c>
      <c r="G341" s="10" t="s">
        <v>1028</v>
      </c>
      <c r="H341" s="11" t="s">
        <v>243</v>
      </c>
    </row>
    <row r="342" spans="1:8" ht="47.25">
      <c r="A342" s="12" t="s">
        <v>114</v>
      </c>
      <c r="B342" s="7" t="s">
        <v>1029</v>
      </c>
      <c r="C342" s="8" t="s">
        <v>1030</v>
      </c>
      <c r="D342" s="9">
        <v>9</v>
      </c>
      <c r="E342" s="9">
        <v>1199.93</v>
      </c>
      <c r="F342" s="9">
        <v>10799.37</v>
      </c>
      <c r="G342" s="10" t="s">
        <v>1031</v>
      </c>
      <c r="H342" s="11" t="s">
        <v>243</v>
      </c>
    </row>
    <row r="343" spans="1:8" ht="63">
      <c r="A343" s="12" t="s">
        <v>152</v>
      </c>
      <c r="B343" s="7" t="s">
        <v>1032</v>
      </c>
      <c r="C343" s="8" t="s">
        <v>15</v>
      </c>
      <c r="D343" s="9">
        <v>22</v>
      </c>
      <c r="E343" s="9">
        <v>649.96</v>
      </c>
      <c r="F343" s="9">
        <v>14299.12</v>
      </c>
      <c r="G343" s="10" t="s">
        <v>1033</v>
      </c>
      <c r="H343" s="11" t="s">
        <v>243</v>
      </c>
    </row>
    <row r="344" spans="1:8" ht="63">
      <c r="A344" s="12" t="s">
        <v>151</v>
      </c>
      <c r="B344" s="7" t="s">
        <v>1034</v>
      </c>
      <c r="C344" s="8" t="s">
        <v>15</v>
      </c>
      <c r="D344" s="9">
        <v>22</v>
      </c>
      <c r="E344" s="9">
        <v>1299.93</v>
      </c>
      <c r="F344" s="9">
        <v>28598.46</v>
      </c>
      <c r="G344" s="10" t="s">
        <v>1035</v>
      </c>
      <c r="H344" s="11" t="s">
        <v>243</v>
      </c>
    </row>
    <row r="345" spans="1:8" ht="63">
      <c r="A345" s="12" t="s">
        <v>150</v>
      </c>
      <c r="B345" s="7" t="s">
        <v>1036</v>
      </c>
      <c r="C345" s="8" t="s">
        <v>15</v>
      </c>
      <c r="D345" s="9">
        <v>5</v>
      </c>
      <c r="E345" s="9">
        <v>3499.81</v>
      </c>
      <c r="F345" s="9">
        <v>17499.05</v>
      </c>
      <c r="G345" s="10" t="s">
        <v>1037</v>
      </c>
      <c r="H345" s="11" t="s">
        <v>243</v>
      </c>
    </row>
    <row r="346" spans="1:8" ht="63">
      <c r="A346" s="12" t="s">
        <v>149</v>
      </c>
      <c r="B346" s="7" t="s">
        <v>1038</v>
      </c>
      <c r="C346" s="8" t="s">
        <v>15</v>
      </c>
      <c r="D346" s="9">
        <v>5</v>
      </c>
      <c r="E346" s="9">
        <v>699.96</v>
      </c>
      <c r="F346" s="9">
        <v>3499.8</v>
      </c>
      <c r="G346" s="10" t="s">
        <v>1039</v>
      </c>
      <c r="H346" s="11" t="s">
        <v>243</v>
      </c>
    </row>
    <row r="347" spans="1:8" ht="47.25">
      <c r="A347" s="12" t="s">
        <v>148</v>
      </c>
      <c r="B347" s="7" t="s">
        <v>1040</v>
      </c>
      <c r="C347" s="8" t="s">
        <v>14</v>
      </c>
      <c r="D347" s="9">
        <v>1</v>
      </c>
      <c r="E347" s="9">
        <v>14999.18</v>
      </c>
      <c r="F347" s="9">
        <v>14999.18</v>
      </c>
      <c r="G347" s="10" t="s">
        <v>1041</v>
      </c>
      <c r="H347" s="11" t="s">
        <v>243</v>
      </c>
    </row>
    <row r="348" spans="1:8" ht="47.25">
      <c r="A348" s="12" t="s">
        <v>1042</v>
      </c>
      <c r="B348" s="7" t="s">
        <v>1043</v>
      </c>
      <c r="C348" s="8" t="s">
        <v>15</v>
      </c>
      <c r="D348" s="9">
        <v>1</v>
      </c>
      <c r="E348" s="9">
        <v>5999.67</v>
      </c>
      <c r="F348" s="9">
        <v>5999.67</v>
      </c>
      <c r="G348" s="10" t="s">
        <v>1044</v>
      </c>
      <c r="H348" s="11" t="s">
        <v>243</v>
      </c>
    </row>
    <row r="349" spans="1:8" ht="94.5">
      <c r="A349" s="12" t="s">
        <v>1045</v>
      </c>
      <c r="B349" s="7" t="s">
        <v>1046</v>
      </c>
      <c r="C349" s="8" t="s">
        <v>15</v>
      </c>
      <c r="D349" s="9">
        <v>1</v>
      </c>
      <c r="E349" s="9">
        <v>49497.3</v>
      </c>
      <c r="F349" s="9">
        <v>49497.3</v>
      </c>
      <c r="G349" s="10" t="s">
        <v>1047</v>
      </c>
      <c r="H349" s="11" t="s">
        <v>243</v>
      </c>
    </row>
    <row r="350" spans="1:8" ht="63">
      <c r="A350" s="12" t="s">
        <v>1048</v>
      </c>
      <c r="B350" s="7" t="s">
        <v>1049</v>
      </c>
      <c r="C350" s="8" t="s">
        <v>15</v>
      </c>
      <c r="D350" s="9">
        <v>6</v>
      </c>
      <c r="E350" s="9">
        <v>2999.84</v>
      </c>
      <c r="F350" s="9">
        <v>17999.04</v>
      </c>
      <c r="G350" s="10" t="s">
        <v>1050</v>
      </c>
      <c r="H350" s="11" t="s">
        <v>243</v>
      </c>
    </row>
    <row r="351" spans="1:8" ht="33">
      <c r="A351" s="12" t="s">
        <v>1051</v>
      </c>
      <c r="B351" s="7" t="s">
        <v>1052</v>
      </c>
      <c r="C351" s="8" t="s">
        <v>14</v>
      </c>
      <c r="D351" s="9">
        <v>75</v>
      </c>
      <c r="E351" s="9">
        <v>11999.35</v>
      </c>
      <c r="F351" s="9">
        <v>899951.25</v>
      </c>
      <c r="G351" s="10" t="s">
        <v>1053</v>
      </c>
      <c r="H351" s="11" t="s">
        <v>243</v>
      </c>
    </row>
    <row r="352" spans="1:8" ht="33">
      <c r="A352" s="12" t="s">
        <v>1054</v>
      </c>
      <c r="B352" s="7" t="s">
        <v>1055</v>
      </c>
      <c r="C352" s="8" t="s">
        <v>1007</v>
      </c>
      <c r="D352" s="9">
        <v>75</v>
      </c>
      <c r="E352" s="9">
        <v>1499.92</v>
      </c>
      <c r="F352" s="9">
        <v>112494</v>
      </c>
      <c r="G352" s="10" t="s">
        <v>1056</v>
      </c>
      <c r="H352" s="11" t="s">
        <v>243</v>
      </c>
    </row>
    <row r="353" spans="1:8" ht="63">
      <c r="A353" s="12" t="s">
        <v>1057</v>
      </c>
      <c r="B353" s="7" t="s">
        <v>1058</v>
      </c>
      <c r="C353" s="8" t="s">
        <v>15</v>
      </c>
      <c r="D353" s="9">
        <v>1</v>
      </c>
      <c r="E353" s="9">
        <v>11999.35</v>
      </c>
      <c r="F353" s="9">
        <v>11999.35</v>
      </c>
      <c r="G353" s="10" t="s">
        <v>1059</v>
      </c>
      <c r="H353" s="11" t="s">
        <v>243</v>
      </c>
    </row>
    <row r="354" spans="1:8" ht="47.25">
      <c r="A354" s="12" t="s">
        <v>1060</v>
      </c>
      <c r="B354" s="7" t="s">
        <v>1061</v>
      </c>
      <c r="C354" s="8" t="s">
        <v>15</v>
      </c>
      <c r="D354" s="9">
        <v>1</v>
      </c>
      <c r="E354" s="9">
        <v>1999.89</v>
      </c>
      <c r="F354" s="9">
        <v>1999.89</v>
      </c>
      <c r="G354" s="10" t="s">
        <v>1062</v>
      </c>
      <c r="H354" s="11" t="s">
        <v>243</v>
      </c>
    </row>
    <row r="355" spans="1:8" ht="63">
      <c r="A355" s="12" t="s">
        <v>1063</v>
      </c>
      <c r="B355" s="7" t="s">
        <v>1064</v>
      </c>
      <c r="C355" s="8" t="s">
        <v>15</v>
      </c>
      <c r="D355" s="9">
        <v>11</v>
      </c>
      <c r="E355" s="9">
        <v>2999.84</v>
      </c>
      <c r="F355" s="9">
        <v>32998.239999999998</v>
      </c>
      <c r="G355" s="10" t="s">
        <v>1065</v>
      </c>
      <c r="H355" s="11" t="s">
        <v>243</v>
      </c>
    </row>
    <row r="356" spans="1:8" ht="47.25">
      <c r="A356" s="12" t="s">
        <v>1066</v>
      </c>
      <c r="B356" s="7" t="s">
        <v>1067</v>
      </c>
      <c r="C356" s="8" t="s">
        <v>15</v>
      </c>
      <c r="D356" s="9">
        <v>3</v>
      </c>
      <c r="E356" s="9">
        <v>1399.92</v>
      </c>
      <c r="F356" s="9">
        <v>4199.76</v>
      </c>
      <c r="G356" s="10" t="s">
        <v>1068</v>
      </c>
      <c r="H356" s="11" t="s">
        <v>243</v>
      </c>
    </row>
    <row r="357" spans="1:8" ht="63">
      <c r="A357" s="12" t="s">
        <v>1069</v>
      </c>
      <c r="B357" s="7" t="s">
        <v>1070</v>
      </c>
      <c r="C357" s="8" t="s">
        <v>14</v>
      </c>
      <c r="D357" s="9">
        <v>5</v>
      </c>
      <c r="E357" s="9">
        <v>17999.02</v>
      </c>
      <c r="F357" s="9">
        <v>89995.1</v>
      </c>
      <c r="G357" s="10" t="s">
        <v>1071</v>
      </c>
      <c r="H357" s="11" t="s">
        <v>243</v>
      </c>
    </row>
    <row r="358" spans="1:8" ht="47.25">
      <c r="A358" s="12" t="s">
        <v>1072</v>
      </c>
      <c r="B358" s="7" t="s">
        <v>1073</v>
      </c>
      <c r="C358" s="8" t="s">
        <v>14</v>
      </c>
      <c r="D358" s="9">
        <v>1</v>
      </c>
      <c r="E358" s="9">
        <v>8999.51</v>
      </c>
      <c r="F358" s="9">
        <v>8999.51</v>
      </c>
      <c r="G358" s="10" t="s">
        <v>1074</v>
      </c>
      <c r="H358" s="11" t="s">
        <v>243</v>
      </c>
    </row>
    <row r="359" spans="1:8" ht="47.25">
      <c r="A359" s="12" t="s">
        <v>1075</v>
      </c>
      <c r="B359" s="7" t="s">
        <v>1076</v>
      </c>
      <c r="C359" s="8" t="s">
        <v>15</v>
      </c>
      <c r="D359" s="9">
        <v>2</v>
      </c>
      <c r="E359" s="9">
        <v>5999.67</v>
      </c>
      <c r="F359" s="9">
        <v>11999.34</v>
      </c>
      <c r="G359" s="10" t="s">
        <v>1077</v>
      </c>
      <c r="H359" s="11" t="s">
        <v>243</v>
      </c>
    </row>
    <row r="360" spans="1:8" ht="47.25">
      <c r="A360" s="12" t="s">
        <v>1078</v>
      </c>
      <c r="B360" s="7" t="s">
        <v>1079</v>
      </c>
      <c r="C360" s="8" t="s">
        <v>14</v>
      </c>
      <c r="D360" s="9">
        <v>1</v>
      </c>
      <c r="E360" s="9">
        <v>2499.86</v>
      </c>
      <c r="F360" s="9">
        <v>2499.86</v>
      </c>
      <c r="G360" s="10" t="s">
        <v>1080</v>
      </c>
      <c r="H360" s="11" t="s">
        <v>243</v>
      </c>
    </row>
    <row r="361" spans="1:8" ht="47.25">
      <c r="A361" s="12" t="s">
        <v>1081</v>
      </c>
      <c r="B361" s="7" t="s">
        <v>1082</v>
      </c>
      <c r="C361" s="8" t="s">
        <v>14</v>
      </c>
      <c r="D361" s="9">
        <v>1</v>
      </c>
      <c r="E361" s="9">
        <v>2499.86</v>
      </c>
      <c r="F361" s="9">
        <v>2499.86</v>
      </c>
      <c r="G361" s="10" t="s">
        <v>1083</v>
      </c>
      <c r="H361" s="11" t="s">
        <v>243</v>
      </c>
    </row>
    <row r="362" spans="1:8" ht="47.25">
      <c r="A362" s="12" t="s">
        <v>1084</v>
      </c>
      <c r="B362" s="7" t="s">
        <v>1085</v>
      </c>
      <c r="C362" s="8" t="s">
        <v>15</v>
      </c>
      <c r="D362" s="9">
        <v>4</v>
      </c>
      <c r="E362" s="9">
        <v>2999.84</v>
      </c>
      <c r="F362" s="9">
        <v>11999.36</v>
      </c>
      <c r="G362" s="10" t="s">
        <v>1086</v>
      </c>
      <c r="H362" s="11" t="s">
        <v>243</v>
      </c>
    </row>
    <row r="363" spans="1:8" ht="63">
      <c r="A363" s="12" t="s">
        <v>1087</v>
      </c>
      <c r="B363" s="7" t="s">
        <v>1088</v>
      </c>
      <c r="C363" s="8" t="s">
        <v>15</v>
      </c>
      <c r="D363" s="9">
        <v>2</v>
      </c>
      <c r="E363" s="9">
        <v>19998.91</v>
      </c>
      <c r="F363" s="9">
        <v>39997.82</v>
      </c>
      <c r="G363" s="10" t="s">
        <v>1089</v>
      </c>
      <c r="H363" s="11" t="s">
        <v>243</v>
      </c>
    </row>
    <row r="364" spans="1:8" ht="47.25">
      <c r="A364" s="12" t="s">
        <v>1090</v>
      </c>
      <c r="B364" s="7" t="s">
        <v>1091</v>
      </c>
      <c r="C364" s="8" t="s">
        <v>14</v>
      </c>
      <c r="D364" s="9">
        <v>1</v>
      </c>
      <c r="E364" s="9">
        <v>14999.18</v>
      </c>
      <c r="F364" s="9">
        <v>14999.18</v>
      </c>
      <c r="G364" s="10" t="s">
        <v>1092</v>
      </c>
      <c r="H364" s="11" t="s">
        <v>243</v>
      </c>
    </row>
    <row r="365" spans="1:8" ht="47.25">
      <c r="A365" s="12" t="s">
        <v>1093</v>
      </c>
      <c r="B365" s="7" t="s">
        <v>1094</v>
      </c>
      <c r="C365" s="8" t="s">
        <v>1095</v>
      </c>
      <c r="D365" s="9">
        <v>3</v>
      </c>
      <c r="E365" s="9">
        <v>1299.93</v>
      </c>
      <c r="F365" s="9">
        <v>3899.79</v>
      </c>
      <c r="G365" s="10" t="s">
        <v>1096</v>
      </c>
      <c r="H365" s="11" t="s">
        <v>243</v>
      </c>
    </row>
    <row r="366" spans="1:8" ht="33">
      <c r="A366" s="12" t="s">
        <v>1097</v>
      </c>
      <c r="B366" s="7" t="s">
        <v>1098</v>
      </c>
      <c r="C366" s="8" t="s">
        <v>1095</v>
      </c>
      <c r="D366" s="9">
        <v>4</v>
      </c>
      <c r="E366" s="9">
        <v>999.95</v>
      </c>
      <c r="F366" s="9">
        <v>3999.8</v>
      </c>
      <c r="G366" s="10" t="s">
        <v>1099</v>
      </c>
      <c r="H366" s="11" t="s">
        <v>243</v>
      </c>
    </row>
    <row r="367" spans="1:8" ht="33">
      <c r="A367" s="12" t="s">
        <v>1100</v>
      </c>
      <c r="B367" s="7" t="s">
        <v>1101</v>
      </c>
      <c r="C367" s="8" t="s">
        <v>15</v>
      </c>
      <c r="D367" s="9">
        <v>2</v>
      </c>
      <c r="E367" s="9">
        <v>8999.51</v>
      </c>
      <c r="F367" s="9">
        <v>17999.02</v>
      </c>
      <c r="G367" s="10" t="s">
        <v>1102</v>
      </c>
      <c r="H367" s="11" t="s">
        <v>243</v>
      </c>
    </row>
    <row r="368" spans="1:8" ht="47.25">
      <c r="A368" s="12" t="s">
        <v>1103</v>
      </c>
      <c r="B368" s="7" t="s">
        <v>1104</v>
      </c>
      <c r="C368" s="8" t="s">
        <v>15</v>
      </c>
      <c r="D368" s="9">
        <v>4</v>
      </c>
      <c r="E368" s="9">
        <v>4199.7700000000004</v>
      </c>
      <c r="F368" s="9">
        <v>16799.080000000002</v>
      </c>
      <c r="G368" s="10" t="s">
        <v>1105</v>
      </c>
      <c r="H368" s="11" t="s">
        <v>243</v>
      </c>
    </row>
    <row r="369" spans="1:8" ht="47.25">
      <c r="A369" s="12" t="s">
        <v>1106</v>
      </c>
      <c r="B369" s="7" t="s">
        <v>1107</v>
      </c>
      <c r="C369" s="8" t="s">
        <v>14</v>
      </c>
      <c r="D369" s="9">
        <v>2</v>
      </c>
      <c r="E369" s="9">
        <v>999.95</v>
      </c>
      <c r="F369" s="9">
        <v>1999.9</v>
      </c>
      <c r="G369" s="10" t="s">
        <v>1108</v>
      </c>
      <c r="H369" s="11" t="s">
        <v>243</v>
      </c>
    </row>
    <row r="370" spans="1:8" ht="47.25">
      <c r="A370" s="12" t="s">
        <v>1109</v>
      </c>
      <c r="B370" s="7" t="s">
        <v>224</v>
      </c>
      <c r="C370" s="8" t="s">
        <v>15</v>
      </c>
      <c r="D370" s="9">
        <v>12</v>
      </c>
      <c r="E370" s="9">
        <v>4499.75</v>
      </c>
      <c r="F370" s="9">
        <v>53997</v>
      </c>
      <c r="G370" s="10" t="s">
        <v>1110</v>
      </c>
      <c r="H370" s="11" t="s">
        <v>243</v>
      </c>
    </row>
    <row r="371" spans="1:8" ht="33">
      <c r="A371" s="12" t="s">
        <v>1111</v>
      </c>
      <c r="B371" s="7" t="s">
        <v>1112</v>
      </c>
      <c r="C371" s="8" t="s">
        <v>15</v>
      </c>
      <c r="D371" s="9">
        <v>2</v>
      </c>
      <c r="E371" s="9">
        <v>636265.30000000005</v>
      </c>
      <c r="F371" s="9">
        <v>1272530.6000000001</v>
      </c>
      <c r="G371" s="10" t="s">
        <v>1113</v>
      </c>
      <c r="H371" s="11" t="s">
        <v>243</v>
      </c>
    </row>
    <row r="372" spans="1:8" ht="47.25">
      <c r="A372" s="12" t="s">
        <v>1114</v>
      </c>
      <c r="B372" s="7" t="s">
        <v>1115</v>
      </c>
      <c r="C372" s="8" t="s">
        <v>1116</v>
      </c>
      <c r="D372" s="9">
        <v>4</v>
      </c>
      <c r="E372" s="9">
        <v>1999.89</v>
      </c>
      <c r="F372" s="9">
        <v>7999.56</v>
      </c>
      <c r="G372" s="10" t="s">
        <v>1117</v>
      </c>
      <c r="H372" s="11" t="s">
        <v>243</v>
      </c>
    </row>
    <row r="373" spans="1:8" ht="33">
      <c r="A373" s="6" t="s">
        <v>115</v>
      </c>
      <c r="B373" s="7" t="s">
        <v>1118</v>
      </c>
      <c r="C373" s="8" t="s">
        <v>4</v>
      </c>
      <c r="D373" s="9">
        <v>1</v>
      </c>
      <c r="E373" s="9"/>
      <c r="F373" s="9">
        <v>993885.6</v>
      </c>
      <c r="G373" s="10" t="s">
        <v>242</v>
      </c>
      <c r="H373" s="11" t="s">
        <v>243</v>
      </c>
    </row>
    <row r="374" spans="1:8" ht="42.75">
      <c r="A374" s="12" t="s">
        <v>116</v>
      </c>
      <c r="B374" s="7" t="s">
        <v>26</v>
      </c>
      <c r="C374" s="8" t="s">
        <v>20</v>
      </c>
      <c r="D374" s="9">
        <v>48</v>
      </c>
      <c r="E374" s="9">
        <v>13067.55</v>
      </c>
      <c r="F374" s="9">
        <v>627242.4</v>
      </c>
      <c r="G374" s="10" t="s">
        <v>1119</v>
      </c>
      <c r="H374" s="11" t="s">
        <v>243</v>
      </c>
    </row>
    <row r="375" spans="1:8" ht="57">
      <c r="A375" s="12" t="s">
        <v>117</v>
      </c>
      <c r="B375" s="7" t="s">
        <v>27</v>
      </c>
      <c r="C375" s="8" t="s">
        <v>21</v>
      </c>
      <c r="D375" s="9">
        <v>6720</v>
      </c>
      <c r="E375" s="9">
        <v>54.56</v>
      </c>
      <c r="F375" s="9">
        <v>366643.20000000001</v>
      </c>
      <c r="G375" s="10" t="s">
        <v>1120</v>
      </c>
      <c r="H375" s="11" t="s">
        <v>243</v>
      </c>
    </row>
    <row r="376" spans="1:8" ht="33">
      <c r="A376" s="6" t="s">
        <v>118</v>
      </c>
      <c r="B376" s="7" t="s">
        <v>1121</v>
      </c>
      <c r="C376" s="8" t="s">
        <v>4</v>
      </c>
      <c r="D376" s="9">
        <v>1</v>
      </c>
      <c r="E376" s="9"/>
      <c r="F376" s="9">
        <v>7754116.6299999999</v>
      </c>
      <c r="G376" s="10" t="s">
        <v>242</v>
      </c>
      <c r="H376" s="11" t="s">
        <v>243</v>
      </c>
    </row>
    <row r="377" spans="1:8" ht="42.75">
      <c r="A377" s="12" t="s">
        <v>119</v>
      </c>
      <c r="B377" s="7" t="s">
        <v>1122</v>
      </c>
      <c r="C377" s="8" t="s">
        <v>8</v>
      </c>
      <c r="D377" s="9">
        <v>1294.97</v>
      </c>
      <c r="E377" s="9">
        <v>3662.03</v>
      </c>
      <c r="F377" s="9">
        <v>4742218.99</v>
      </c>
      <c r="G377" s="10" t="s">
        <v>1123</v>
      </c>
      <c r="H377" s="11" t="s">
        <v>243</v>
      </c>
    </row>
    <row r="378" spans="1:8" ht="47.25">
      <c r="A378" s="12" t="s">
        <v>120</v>
      </c>
      <c r="B378" s="7" t="s">
        <v>1124</v>
      </c>
      <c r="C378" s="8" t="s">
        <v>13</v>
      </c>
      <c r="D378" s="9">
        <v>1840.93</v>
      </c>
      <c r="E378" s="9">
        <v>352.98</v>
      </c>
      <c r="F378" s="9">
        <v>649811.47</v>
      </c>
      <c r="G378" s="10" t="s">
        <v>1125</v>
      </c>
      <c r="H378" s="11" t="s">
        <v>243</v>
      </c>
    </row>
    <row r="379" spans="1:8" ht="42.75">
      <c r="A379" s="12" t="s">
        <v>121</v>
      </c>
      <c r="B379" s="7" t="s">
        <v>32</v>
      </c>
      <c r="C379" s="8" t="s">
        <v>7</v>
      </c>
      <c r="D379" s="9">
        <v>59</v>
      </c>
      <c r="E379" s="9">
        <v>217.01</v>
      </c>
      <c r="F379" s="9">
        <v>12803.59</v>
      </c>
      <c r="G379" s="10" t="s">
        <v>1126</v>
      </c>
      <c r="H379" s="11" t="s">
        <v>243</v>
      </c>
    </row>
    <row r="380" spans="1:8" ht="33">
      <c r="A380" s="12" t="s">
        <v>122</v>
      </c>
      <c r="B380" s="7" t="s">
        <v>33</v>
      </c>
      <c r="C380" s="8" t="s">
        <v>5</v>
      </c>
      <c r="D380" s="9">
        <v>30</v>
      </c>
      <c r="E380" s="9">
        <v>50</v>
      </c>
      <c r="F380" s="9">
        <v>1500</v>
      </c>
      <c r="G380" s="10" t="s">
        <v>1127</v>
      </c>
      <c r="H380" s="11" t="s">
        <v>243</v>
      </c>
    </row>
    <row r="381" spans="1:8" ht="42.75">
      <c r="A381" s="12" t="s">
        <v>123</v>
      </c>
      <c r="B381" s="7" t="s">
        <v>1128</v>
      </c>
      <c r="C381" s="8" t="s">
        <v>0</v>
      </c>
      <c r="D381" s="9">
        <v>19</v>
      </c>
      <c r="E381" s="9">
        <v>1900.88</v>
      </c>
      <c r="F381" s="9">
        <v>36116.720000000001</v>
      </c>
      <c r="G381" s="10" t="s">
        <v>1129</v>
      </c>
      <c r="H381" s="11" t="s">
        <v>243</v>
      </c>
    </row>
    <row r="382" spans="1:8" ht="42.75">
      <c r="A382" s="12" t="s">
        <v>124</v>
      </c>
      <c r="B382" s="7" t="s">
        <v>1130</v>
      </c>
      <c r="C382" s="8" t="s">
        <v>0</v>
      </c>
      <c r="D382" s="9">
        <v>10</v>
      </c>
      <c r="E382" s="9">
        <v>1230.67</v>
      </c>
      <c r="F382" s="9">
        <v>12306.7</v>
      </c>
      <c r="G382" s="10" t="s">
        <v>1131</v>
      </c>
      <c r="H382" s="11" t="s">
        <v>243</v>
      </c>
    </row>
    <row r="383" spans="1:8" ht="42.75">
      <c r="A383" s="12" t="s">
        <v>125</v>
      </c>
      <c r="B383" s="7" t="s">
        <v>30</v>
      </c>
      <c r="C383" s="8" t="s">
        <v>0</v>
      </c>
      <c r="D383" s="9">
        <v>577</v>
      </c>
      <c r="E383" s="9">
        <v>1666.03</v>
      </c>
      <c r="F383" s="9">
        <v>961299.31</v>
      </c>
      <c r="G383" s="10" t="s">
        <v>1132</v>
      </c>
      <c r="H383" s="11" t="s">
        <v>243</v>
      </c>
    </row>
    <row r="384" spans="1:8" ht="47.25">
      <c r="A384" s="12" t="s">
        <v>126</v>
      </c>
      <c r="B384" s="7" t="s">
        <v>1133</v>
      </c>
      <c r="C384" s="8" t="s">
        <v>0</v>
      </c>
      <c r="D384" s="9">
        <v>2</v>
      </c>
      <c r="E384" s="9">
        <v>48510.35</v>
      </c>
      <c r="F384" s="9">
        <v>97020.7</v>
      </c>
      <c r="G384" s="10" t="s">
        <v>1134</v>
      </c>
      <c r="H384" s="11" t="s">
        <v>243</v>
      </c>
    </row>
    <row r="385" spans="1:8" ht="85.5">
      <c r="A385" s="12" t="s">
        <v>127</v>
      </c>
      <c r="B385" s="7" t="s">
        <v>28</v>
      </c>
      <c r="C385" s="8" t="s">
        <v>22</v>
      </c>
      <c r="D385" s="9">
        <v>19</v>
      </c>
      <c r="E385" s="9">
        <v>587.07000000000005</v>
      </c>
      <c r="F385" s="9">
        <v>11154.33</v>
      </c>
      <c r="G385" s="10" t="s">
        <v>1135</v>
      </c>
      <c r="H385" s="11" t="s">
        <v>243</v>
      </c>
    </row>
    <row r="386" spans="1:8" ht="42.75">
      <c r="A386" s="12" t="s">
        <v>128</v>
      </c>
      <c r="B386" s="7" t="s">
        <v>1136</v>
      </c>
      <c r="C386" s="8" t="s">
        <v>7</v>
      </c>
      <c r="D386" s="9">
        <v>19</v>
      </c>
      <c r="E386" s="9">
        <v>664.14</v>
      </c>
      <c r="F386" s="9">
        <v>12618.66</v>
      </c>
      <c r="G386" s="10" t="s">
        <v>1137</v>
      </c>
      <c r="H386" s="11" t="s">
        <v>243</v>
      </c>
    </row>
    <row r="387" spans="1:8" ht="33">
      <c r="A387" s="12" t="s">
        <v>129</v>
      </c>
      <c r="B387" s="7" t="s">
        <v>1138</v>
      </c>
      <c r="C387" s="8" t="s">
        <v>1139</v>
      </c>
      <c r="D387" s="9">
        <v>2</v>
      </c>
      <c r="E387" s="9">
        <v>9999.4500000000007</v>
      </c>
      <c r="F387" s="9">
        <v>19998.900000000001</v>
      </c>
      <c r="G387" s="10" t="s">
        <v>1140</v>
      </c>
      <c r="H387" s="11" t="s">
        <v>243</v>
      </c>
    </row>
    <row r="388" spans="1:8" ht="33">
      <c r="A388" s="12" t="s">
        <v>1141</v>
      </c>
      <c r="B388" s="7" t="s">
        <v>1142</v>
      </c>
      <c r="C388" s="8" t="s">
        <v>8</v>
      </c>
      <c r="D388" s="9">
        <v>698.15</v>
      </c>
      <c r="E388" s="9">
        <v>209.99</v>
      </c>
      <c r="F388" s="9">
        <v>146604.51999999999</v>
      </c>
      <c r="G388" s="10" t="s">
        <v>1143</v>
      </c>
      <c r="H388" s="11" t="s">
        <v>243</v>
      </c>
    </row>
    <row r="389" spans="1:8" ht="33">
      <c r="A389" s="12" t="s">
        <v>1144</v>
      </c>
      <c r="B389" s="7" t="s">
        <v>1145</v>
      </c>
      <c r="C389" s="8" t="s">
        <v>8</v>
      </c>
      <c r="D389" s="9">
        <v>2498.77</v>
      </c>
      <c r="E389" s="9">
        <v>299.98</v>
      </c>
      <c r="F389" s="9">
        <v>749581.02</v>
      </c>
      <c r="G389" s="10" t="s">
        <v>1146</v>
      </c>
      <c r="H389" s="11" t="s">
        <v>243</v>
      </c>
    </row>
    <row r="390" spans="1:8" ht="33">
      <c r="A390" s="12" t="s">
        <v>1147</v>
      </c>
      <c r="B390" s="7" t="s">
        <v>1148</v>
      </c>
      <c r="C390" s="8" t="s">
        <v>8</v>
      </c>
      <c r="D390" s="9">
        <v>1396.3</v>
      </c>
      <c r="E390" s="9">
        <v>199.99</v>
      </c>
      <c r="F390" s="9">
        <v>279246.03999999998</v>
      </c>
      <c r="G390" s="10" t="s">
        <v>1149</v>
      </c>
      <c r="H390" s="11" t="s">
        <v>243</v>
      </c>
    </row>
    <row r="391" spans="1:8" ht="33">
      <c r="A391" s="12" t="s">
        <v>1150</v>
      </c>
      <c r="B391" s="7" t="s">
        <v>1151</v>
      </c>
      <c r="C391" s="8" t="s">
        <v>4</v>
      </c>
      <c r="D391" s="9">
        <v>1</v>
      </c>
      <c r="E391" s="9">
        <v>21835.68</v>
      </c>
      <c r="F391" s="9">
        <v>21835.68</v>
      </c>
      <c r="G391" s="10" t="s">
        <v>1152</v>
      </c>
      <c r="H391" s="11" t="s">
        <v>243</v>
      </c>
    </row>
    <row r="392" spans="1:8" ht="33">
      <c r="A392" s="6" t="s">
        <v>130</v>
      </c>
      <c r="B392" s="7" t="s">
        <v>34</v>
      </c>
      <c r="C392" s="8" t="s">
        <v>4</v>
      </c>
      <c r="D392" s="9">
        <v>1</v>
      </c>
      <c r="E392" s="9"/>
      <c r="F392" s="9">
        <v>3112577.47</v>
      </c>
      <c r="G392" s="10" t="s">
        <v>242</v>
      </c>
      <c r="H392" s="11" t="s">
        <v>243</v>
      </c>
    </row>
    <row r="393" spans="1:8" ht="33">
      <c r="A393" s="12" t="s">
        <v>131</v>
      </c>
      <c r="B393" s="7" t="s">
        <v>146</v>
      </c>
      <c r="C393" s="8" t="s">
        <v>1007</v>
      </c>
      <c r="D393" s="9">
        <v>10</v>
      </c>
      <c r="E393" s="9">
        <v>770</v>
      </c>
      <c r="F393" s="9">
        <v>7700</v>
      </c>
      <c r="G393" s="10" t="s">
        <v>1153</v>
      </c>
      <c r="H393" s="11" t="s">
        <v>243</v>
      </c>
    </row>
    <row r="394" spans="1:8" ht="33">
      <c r="A394" s="12" t="s">
        <v>132</v>
      </c>
      <c r="B394" s="7" t="s">
        <v>145</v>
      </c>
      <c r="C394" s="8" t="s">
        <v>1</v>
      </c>
      <c r="D394" s="9">
        <v>100</v>
      </c>
      <c r="E394" s="9">
        <v>201</v>
      </c>
      <c r="F394" s="9">
        <v>20100</v>
      </c>
      <c r="G394" s="10" t="s">
        <v>1154</v>
      </c>
      <c r="H394" s="11" t="s">
        <v>243</v>
      </c>
    </row>
    <row r="395" spans="1:8" ht="33">
      <c r="A395" s="12" t="s">
        <v>133</v>
      </c>
      <c r="B395" s="7" t="s">
        <v>144</v>
      </c>
      <c r="C395" s="8" t="s">
        <v>9</v>
      </c>
      <c r="D395" s="9">
        <v>50</v>
      </c>
      <c r="E395" s="9">
        <v>300</v>
      </c>
      <c r="F395" s="9">
        <v>15000</v>
      </c>
      <c r="G395" s="10" t="s">
        <v>1155</v>
      </c>
      <c r="H395" s="11" t="s">
        <v>243</v>
      </c>
    </row>
    <row r="396" spans="1:8" ht="33">
      <c r="A396" s="12" t="s">
        <v>134</v>
      </c>
      <c r="B396" s="7" t="s">
        <v>35</v>
      </c>
      <c r="C396" s="8" t="s">
        <v>15</v>
      </c>
      <c r="D396" s="9">
        <v>75</v>
      </c>
      <c r="E396" s="9">
        <v>650</v>
      </c>
      <c r="F396" s="9">
        <v>48750</v>
      </c>
      <c r="G396" s="10" t="s">
        <v>1156</v>
      </c>
      <c r="H396" s="11" t="s">
        <v>243</v>
      </c>
    </row>
    <row r="397" spans="1:8" ht="33">
      <c r="A397" s="12" t="s">
        <v>135</v>
      </c>
      <c r="B397" s="7" t="s">
        <v>143</v>
      </c>
      <c r="C397" s="8" t="s">
        <v>3</v>
      </c>
      <c r="D397" s="9">
        <v>200</v>
      </c>
      <c r="E397" s="9">
        <v>28</v>
      </c>
      <c r="F397" s="9">
        <v>5600</v>
      </c>
      <c r="G397" s="10" t="s">
        <v>1157</v>
      </c>
      <c r="H397" s="11" t="s">
        <v>243</v>
      </c>
    </row>
    <row r="398" spans="1:8" ht="33">
      <c r="A398" s="12" t="s">
        <v>136</v>
      </c>
      <c r="B398" s="7" t="s">
        <v>36</v>
      </c>
      <c r="C398" s="8" t="s">
        <v>3</v>
      </c>
      <c r="D398" s="9">
        <v>100</v>
      </c>
      <c r="E398" s="9">
        <v>500</v>
      </c>
      <c r="F398" s="9">
        <v>50000</v>
      </c>
      <c r="G398" s="10" t="s">
        <v>1158</v>
      </c>
      <c r="H398" s="11" t="s">
        <v>243</v>
      </c>
    </row>
    <row r="399" spans="1:8" ht="33">
      <c r="A399" s="12" t="s">
        <v>137</v>
      </c>
      <c r="B399" s="7" t="s">
        <v>1159</v>
      </c>
      <c r="C399" s="8" t="s">
        <v>18</v>
      </c>
      <c r="D399" s="9">
        <v>75</v>
      </c>
      <c r="E399" s="9">
        <v>280</v>
      </c>
      <c r="F399" s="9">
        <v>21000</v>
      </c>
      <c r="G399" s="10" t="s">
        <v>1160</v>
      </c>
      <c r="H399" s="11" t="s">
        <v>243</v>
      </c>
    </row>
    <row r="400" spans="1:8" ht="47.25">
      <c r="A400" s="12" t="s">
        <v>138</v>
      </c>
      <c r="B400" s="7" t="s">
        <v>37</v>
      </c>
      <c r="C400" s="8" t="s">
        <v>18</v>
      </c>
      <c r="D400" s="9">
        <v>50</v>
      </c>
      <c r="E400" s="9">
        <v>350</v>
      </c>
      <c r="F400" s="9">
        <v>17500</v>
      </c>
      <c r="G400" s="10" t="s">
        <v>1161</v>
      </c>
      <c r="H400" s="11" t="s">
        <v>243</v>
      </c>
    </row>
    <row r="401" spans="1:8" ht="33">
      <c r="A401" s="12" t="s">
        <v>139</v>
      </c>
      <c r="B401" s="7" t="s">
        <v>1162</v>
      </c>
      <c r="C401" s="8" t="s">
        <v>15</v>
      </c>
      <c r="D401" s="9">
        <v>10</v>
      </c>
      <c r="E401" s="9">
        <v>560</v>
      </c>
      <c r="F401" s="9">
        <v>5600</v>
      </c>
      <c r="G401" s="10" t="s">
        <v>1163</v>
      </c>
      <c r="H401" s="11" t="s">
        <v>243</v>
      </c>
    </row>
    <row r="402" spans="1:8" ht="33">
      <c r="A402" s="12" t="s">
        <v>140</v>
      </c>
      <c r="B402" s="7" t="s">
        <v>38</v>
      </c>
      <c r="C402" s="8" t="s">
        <v>7</v>
      </c>
      <c r="D402" s="9">
        <v>4</v>
      </c>
      <c r="E402" s="9">
        <v>250</v>
      </c>
      <c r="F402" s="9">
        <v>1000</v>
      </c>
      <c r="G402" s="10" t="s">
        <v>1164</v>
      </c>
      <c r="H402" s="11" t="s">
        <v>243</v>
      </c>
    </row>
    <row r="403" spans="1:8" ht="47.25">
      <c r="A403" s="12" t="s">
        <v>141</v>
      </c>
      <c r="B403" s="7" t="s">
        <v>1165</v>
      </c>
      <c r="C403" s="8" t="s">
        <v>15</v>
      </c>
      <c r="D403" s="9">
        <v>5</v>
      </c>
      <c r="E403" s="9">
        <v>8300</v>
      </c>
      <c r="F403" s="9">
        <v>41500</v>
      </c>
      <c r="G403" s="10" t="s">
        <v>1166</v>
      </c>
      <c r="H403" s="11" t="s">
        <v>243</v>
      </c>
    </row>
    <row r="404" spans="1:8" ht="33">
      <c r="A404" s="12" t="s">
        <v>1167</v>
      </c>
      <c r="B404" s="7" t="s">
        <v>1168</v>
      </c>
      <c r="C404" s="8" t="s">
        <v>15</v>
      </c>
      <c r="D404" s="9">
        <v>5</v>
      </c>
      <c r="E404" s="9">
        <v>1160</v>
      </c>
      <c r="F404" s="9">
        <v>5800</v>
      </c>
      <c r="G404" s="10" t="s">
        <v>1169</v>
      </c>
      <c r="H404" s="11" t="s">
        <v>243</v>
      </c>
    </row>
    <row r="405" spans="1:8" ht="47.25">
      <c r="A405" s="12" t="s">
        <v>1170</v>
      </c>
      <c r="B405" s="7" t="s">
        <v>1171</v>
      </c>
      <c r="C405" s="8" t="s">
        <v>15</v>
      </c>
      <c r="D405" s="9">
        <v>5</v>
      </c>
      <c r="E405" s="9">
        <v>600</v>
      </c>
      <c r="F405" s="9">
        <v>3000</v>
      </c>
      <c r="G405" s="10" t="s">
        <v>1172</v>
      </c>
      <c r="H405" s="11" t="s">
        <v>243</v>
      </c>
    </row>
    <row r="406" spans="1:8" ht="47.25">
      <c r="A406" s="12" t="s">
        <v>1173</v>
      </c>
      <c r="B406" s="7" t="s">
        <v>1174</v>
      </c>
      <c r="C406" s="8" t="s">
        <v>15</v>
      </c>
      <c r="D406" s="9">
        <v>5</v>
      </c>
      <c r="E406" s="9">
        <v>1800</v>
      </c>
      <c r="F406" s="9">
        <v>9000</v>
      </c>
      <c r="G406" s="10" t="s">
        <v>1175</v>
      </c>
      <c r="H406" s="11" t="s">
        <v>243</v>
      </c>
    </row>
    <row r="407" spans="1:8" ht="33">
      <c r="A407" s="12" t="s">
        <v>1176</v>
      </c>
      <c r="B407" s="7" t="s">
        <v>1177</v>
      </c>
      <c r="C407" s="8" t="s">
        <v>15</v>
      </c>
      <c r="D407" s="9">
        <v>80</v>
      </c>
      <c r="E407" s="9">
        <v>2200</v>
      </c>
      <c r="F407" s="9">
        <v>176000</v>
      </c>
      <c r="G407" s="10" t="s">
        <v>1178</v>
      </c>
      <c r="H407" s="11" t="s">
        <v>243</v>
      </c>
    </row>
    <row r="408" spans="1:8" ht="33">
      <c r="A408" s="12" t="s">
        <v>1179</v>
      </c>
      <c r="B408" s="7" t="s">
        <v>39</v>
      </c>
      <c r="C408" s="8" t="s">
        <v>4</v>
      </c>
      <c r="D408" s="9">
        <v>1</v>
      </c>
      <c r="E408" s="9">
        <v>232697.98</v>
      </c>
      <c r="F408" s="9">
        <v>232697.98</v>
      </c>
      <c r="G408" s="10" t="s">
        <v>1180</v>
      </c>
      <c r="H408" s="11" t="s">
        <v>243</v>
      </c>
    </row>
    <row r="409" spans="1:8" ht="33">
      <c r="A409" s="12" t="s">
        <v>1181</v>
      </c>
      <c r="B409" s="7" t="s">
        <v>1182</v>
      </c>
      <c r="C409" s="8" t="s">
        <v>8</v>
      </c>
      <c r="D409" s="9">
        <v>5000</v>
      </c>
      <c r="E409" s="9">
        <v>13</v>
      </c>
      <c r="F409" s="9">
        <v>65000</v>
      </c>
      <c r="G409" s="10" t="s">
        <v>1183</v>
      </c>
      <c r="H409" s="11" t="s">
        <v>243</v>
      </c>
    </row>
    <row r="410" spans="1:8" ht="42.75">
      <c r="A410" s="12" t="s">
        <v>1184</v>
      </c>
      <c r="B410" s="7" t="s">
        <v>225</v>
      </c>
      <c r="C410" s="8" t="s">
        <v>226</v>
      </c>
      <c r="D410" s="9">
        <v>48</v>
      </c>
      <c r="E410" s="9">
        <v>47468</v>
      </c>
      <c r="F410" s="9">
        <v>2278464</v>
      </c>
      <c r="G410" s="10" t="s">
        <v>1185</v>
      </c>
      <c r="H410" s="11" t="s">
        <v>243</v>
      </c>
    </row>
    <row r="411" spans="1:8" ht="42.75">
      <c r="A411" s="12" t="s">
        <v>1186</v>
      </c>
      <c r="B411" s="7" t="s">
        <v>1187</v>
      </c>
      <c r="C411" s="8" t="s">
        <v>4</v>
      </c>
      <c r="D411" s="9">
        <v>1</v>
      </c>
      <c r="E411" s="9">
        <v>108865.49</v>
      </c>
      <c r="F411" s="9">
        <v>108865.49</v>
      </c>
      <c r="G411" s="10" t="s">
        <v>1188</v>
      </c>
      <c r="H411" s="11" t="s">
        <v>243</v>
      </c>
    </row>
    <row r="412" spans="1:8" ht="33">
      <c r="A412" s="6" t="s">
        <v>1189</v>
      </c>
      <c r="B412" s="7" t="s">
        <v>227</v>
      </c>
      <c r="C412" s="8" t="s">
        <v>4</v>
      </c>
      <c r="D412" s="9">
        <v>1</v>
      </c>
      <c r="E412" s="9"/>
      <c r="F412" s="9">
        <v>2769229.16</v>
      </c>
      <c r="G412" s="10" t="s">
        <v>242</v>
      </c>
      <c r="H412" s="11" t="s">
        <v>243</v>
      </c>
    </row>
    <row r="413" spans="1:8" ht="42.75">
      <c r="A413" s="12" t="s">
        <v>1190</v>
      </c>
      <c r="B413" s="7" t="s">
        <v>228</v>
      </c>
      <c r="C413" s="8" t="s">
        <v>226</v>
      </c>
      <c r="D413" s="9">
        <v>48</v>
      </c>
      <c r="E413" s="9">
        <v>47468</v>
      </c>
      <c r="F413" s="9">
        <v>2278464</v>
      </c>
      <c r="G413" s="10" t="s">
        <v>1191</v>
      </c>
      <c r="H413" s="11" t="s">
        <v>243</v>
      </c>
    </row>
    <row r="414" spans="1:8" ht="42.75">
      <c r="A414" s="12" t="s">
        <v>1192</v>
      </c>
      <c r="B414" s="7" t="s">
        <v>1193</v>
      </c>
      <c r="C414" s="8" t="s">
        <v>4</v>
      </c>
      <c r="D414" s="9">
        <v>1</v>
      </c>
      <c r="E414" s="9">
        <v>490765.16</v>
      </c>
      <c r="F414" s="9">
        <v>490765.16</v>
      </c>
      <c r="G414" s="10" t="s">
        <v>1194</v>
      </c>
      <c r="H414" s="11" t="s">
        <v>243</v>
      </c>
    </row>
    <row r="415" spans="1:8" ht="33">
      <c r="A415" s="6" t="s">
        <v>1195</v>
      </c>
      <c r="B415" s="7" t="s">
        <v>1196</v>
      </c>
      <c r="C415" s="8" t="s">
        <v>4</v>
      </c>
      <c r="D415" s="9">
        <v>1</v>
      </c>
      <c r="E415" s="9"/>
      <c r="F415" s="9">
        <v>25220489.469999999</v>
      </c>
      <c r="G415" s="10" t="s">
        <v>1197</v>
      </c>
      <c r="H415" s="11" t="s">
        <v>243</v>
      </c>
    </row>
    <row r="416" spans="1:8" ht="85.5">
      <c r="A416" s="6" t="s">
        <v>1198</v>
      </c>
      <c r="B416" s="7" t="s">
        <v>1199</v>
      </c>
      <c r="C416" s="8" t="s">
        <v>4</v>
      </c>
      <c r="D416" s="9">
        <v>1</v>
      </c>
      <c r="E416" s="9"/>
      <c r="F416" s="9">
        <v>1987650</v>
      </c>
      <c r="G416" s="10" t="s">
        <v>1200</v>
      </c>
      <c r="H416" s="11" t="s">
        <v>243</v>
      </c>
    </row>
    <row r="417" spans="1:8" ht="33">
      <c r="A417" s="12" t="s">
        <v>1201</v>
      </c>
      <c r="B417" s="7" t="s">
        <v>1199</v>
      </c>
      <c r="C417" s="8" t="s">
        <v>6</v>
      </c>
      <c r="D417" s="9">
        <v>13251</v>
      </c>
      <c r="E417" s="9">
        <v>150</v>
      </c>
      <c r="F417" s="9">
        <v>1987650</v>
      </c>
      <c r="G417" s="10" t="s">
        <v>1202</v>
      </c>
      <c r="H417" s="11" t="s">
        <v>243</v>
      </c>
    </row>
    <row r="418" spans="1:8" ht="85.5">
      <c r="A418" s="6" t="s">
        <v>1203</v>
      </c>
      <c r="B418" s="7" t="s">
        <v>1204</v>
      </c>
      <c r="C418" s="8" t="s">
        <v>4</v>
      </c>
      <c r="D418" s="9">
        <v>1</v>
      </c>
      <c r="E418" s="9"/>
      <c r="F418" s="9">
        <v>56000</v>
      </c>
      <c r="G418" s="10" t="s">
        <v>1205</v>
      </c>
      <c r="H418" s="11" t="s">
        <v>243</v>
      </c>
    </row>
    <row r="419" spans="1:8" ht="33">
      <c r="A419" s="12" t="s">
        <v>1206</v>
      </c>
      <c r="B419" s="7" t="s">
        <v>1207</v>
      </c>
      <c r="C419" s="8" t="s">
        <v>13</v>
      </c>
      <c r="D419" s="9">
        <v>1000</v>
      </c>
      <c r="E419" s="9">
        <v>56</v>
      </c>
      <c r="F419" s="9">
        <v>56000</v>
      </c>
      <c r="G419" s="10" t="s">
        <v>1208</v>
      </c>
      <c r="H419" s="11" t="s">
        <v>243</v>
      </c>
    </row>
    <row r="420" spans="1:8" ht="33">
      <c r="A420" s="6"/>
      <c r="B420" s="7" t="s">
        <v>1209</v>
      </c>
      <c r="C420" s="8"/>
      <c r="D420" s="9"/>
      <c r="E420" s="9"/>
      <c r="F420" s="9">
        <v>257600000</v>
      </c>
      <c r="G420" s="10"/>
      <c r="H420" s="11" t="s">
        <v>243</v>
      </c>
    </row>
    <row r="421" spans="1:8" ht="33">
      <c r="A421" s="6"/>
      <c r="B421" s="7" t="s">
        <v>1210</v>
      </c>
      <c r="C421" s="8"/>
      <c r="D421" s="9"/>
      <c r="E421" s="9"/>
      <c r="F421" s="9">
        <v>257600000</v>
      </c>
      <c r="G421" s="10"/>
      <c r="H421" s="11" t="s">
        <v>243</v>
      </c>
    </row>
    <row r="422" spans="1:8">
      <c r="A422" s="992" t="s">
        <v>1211</v>
      </c>
      <c r="B422" s="993"/>
      <c r="C422" s="993"/>
      <c r="D422" s="993"/>
      <c r="E422" s="993"/>
      <c r="F422" s="993"/>
      <c r="G422" s="994"/>
    </row>
    <row r="423" spans="1:8" ht="181.5" customHeight="1">
      <c r="A423" s="995" t="s">
        <v>1212</v>
      </c>
      <c r="B423" s="996"/>
      <c r="C423" s="996"/>
      <c r="D423" s="996"/>
      <c r="E423" s="996"/>
      <c r="F423" s="996"/>
      <c r="G423" s="997"/>
    </row>
  </sheetData>
  <mergeCells count="8">
    <mergeCell ref="A422:G422"/>
    <mergeCell ref="A423:G423"/>
    <mergeCell ref="A1:G1"/>
    <mergeCell ref="A2:G2"/>
    <mergeCell ref="A3:G3"/>
    <mergeCell ref="A4:G4"/>
    <mergeCell ref="A5:E5"/>
    <mergeCell ref="F5:G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D539-3EB1-4D8C-9974-633841A871FF}">
  <sheetPr codeName="工作表1">
    <tabColor theme="5" tint="0.39997558519241921"/>
  </sheetPr>
  <dimension ref="A1:O585"/>
  <sheetViews>
    <sheetView view="pageBreakPreview" topLeftCell="A169" zoomScaleNormal="100" zoomScaleSheetLayoutView="100" workbookViewId="0">
      <selection activeCell="G180" sqref="G180:H180"/>
    </sheetView>
  </sheetViews>
  <sheetFormatPr defaultColWidth="10.28515625" defaultRowHeight="16.5"/>
  <cols>
    <col min="1" max="1" width="6" style="78" customWidth="1"/>
    <col min="2" max="2" width="18.42578125" style="78" customWidth="1"/>
    <col min="3" max="3" width="6.28515625" style="78" customWidth="1"/>
    <col min="4" max="5" width="14.28515625" style="33" customWidth="1"/>
    <col min="6" max="6" width="38.140625" style="27" customWidth="1"/>
    <col min="7" max="7" width="55.5703125" style="27" customWidth="1"/>
    <col min="8" max="9" width="14.28515625" style="29" customWidth="1"/>
    <col min="10" max="11" width="0.7109375" style="29" customWidth="1"/>
    <col min="12" max="12" width="0.5703125" style="29" customWidth="1"/>
    <col min="13" max="13" width="17" style="111" customWidth="1"/>
    <col min="14" max="14" width="17.42578125" style="25" customWidth="1"/>
    <col min="15" max="15" width="17.140625" style="30" customWidth="1"/>
    <col min="16" max="257" width="10.28515625" style="30"/>
    <col min="258" max="258" width="6" style="30" customWidth="1"/>
    <col min="259" max="259" width="30" style="30" customWidth="1"/>
    <col min="260" max="260" width="6.28515625" style="30" customWidth="1"/>
    <col min="261" max="261" width="9.5703125" style="30" customWidth="1"/>
    <col min="262" max="263" width="12.42578125" style="30" customWidth="1"/>
    <col min="264" max="264" width="17.42578125" style="30" customWidth="1"/>
    <col min="265" max="265" width="0.85546875" style="30" customWidth="1"/>
    <col min="266" max="267" width="0.7109375" style="30" customWidth="1"/>
    <col min="268" max="268" width="0.5703125" style="30" customWidth="1"/>
    <col min="269" max="513" width="10.28515625" style="30"/>
    <col min="514" max="514" width="6" style="30" customWidth="1"/>
    <col min="515" max="515" width="30" style="30" customWidth="1"/>
    <col min="516" max="516" width="6.28515625" style="30" customWidth="1"/>
    <col min="517" max="517" width="9.5703125" style="30" customWidth="1"/>
    <col min="518" max="519" width="12.42578125" style="30" customWidth="1"/>
    <col min="520" max="520" width="17.42578125" style="30" customWidth="1"/>
    <col min="521" max="521" width="0.85546875" style="30" customWidth="1"/>
    <col min="522" max="523" width="0.7109375" style="30" customWidth="1"/>
    <col min="524" max="524" width="0.5703125" style="30" customWidth="1"/>
    <col min="525" max="769" width="10.28515625" style="30"/>
    <col min="770" max="770" width="6" style="30" customWidth="1"/>
    <col min="771" max="771" width="30" style="30" customWidth="1"/>
    <col min="772" max="772" width="6.28515625" style="30" customWidth="1"/>
    <col min="773" max="773" width="9.5703125" style="30" customWidth="1"/>
    <col min="774" max="775" width="12.42578125" style="30" customWidth="1"/>
    <col min="776" max="776" width="17.42578125" style="30" customWidth="1"/>
    <col min="777" max="777" width="0.85546875" style="30" customWidth="1"/>
    <col min="778" max="779" width="0.7109375" style="30" customWidth="1"/>
    <col min="780" max="780" width="0.5703125" style="30" customWidth="1"/>
    <col min="781" max="1025" width="10.28515625" style="30"/>
    <col min="1026" max="1026" width="6" style="30" customWidth="1"/>
    <col min="1027" max="1027" width="30" style="30" customWidth="1"/>
    <col min="1028" max="1028" width="6.28515625" style="30" customWidth="1"/>
    <col min="1029" max="1029" width="9.5703125" style="30" customWidth="1"/>
    <col min="1030" max="1031" width="12.42578125" style="30" customWidth="1"/>
    <col min="1032" max="1032" width="17.42578125" style="30" customWidth="1"/>
    <col min="1033" max="1033" width="0.85546875" style="30" customWidth="1"/>
    <col min="1034" max="1035" width="0.7109375" style="30" customWidth="1"/>
    <col min="1036" max="1036" width="0.5703125" style="30" customWidth="1"/>
    <col min="1037" max="1281" width="10.28515625" style="30"/>
    <col min="1282" max="1282" width="6" style="30" customWidth="1"/>
    <col min="1283" max="1283" width="30" style="30" customWidth="1"/>
    <col min="1284" max="1284" width="6.28515625" style="30" customWidth="1"/>
    <col min="1285" max="1285" width="9.5703125" style="30" customWidth="1"/>
    <col min="1286" max="1287" width="12.42578125" style="30" customWidth="1"/>
    <col min="1288" max="1288" width="17.42578125" style="30" customWidth="1"/>
    <col min="1289" max="1289" width="0.85546875" style="30" customWidth="1"/>
    <col min="1290" max="1291" width="0.7109375" style="30" customWidth="1"/>
    <col min="1292" max="1292" width="0.5703125" style="30" customWidth="1"/>
    <col min="1293" max="1537" width="10.28515625" style="30"/>
    <col min="1538" max="1538" width="6" style="30" customWidth="1"/>
    <col min="1539" max="1539" width="30" style="30" customWidth="1"/>
    <col min="1540" max="1540" width="6.28515625" style="30" customWidth="1"/>
    <col min="1541" max="1541" width="9.5703125" style="30" customWidth="1"/>
    <col min="1542" max="1543" width="12.42578125" style="30" customWidth="1"/>
    <col min="1544" max="1544" width="17.42578125" style="30" customWidth="1"/>
    <col min="1545" max="1545" width="0.85546875" style="30" customWidth="1"/>
    <col min="1546" max="1547" width="0.7109375" style="30" customWidth="1"/>
    <col min="1548" max="1548" width="0.5703125" style="30" customWidth="1"/>
    <col min="1549" max="1793" width="10.28515625" style="30"/>
    <col min="1794" max="1794" width="6" style="30" customWidth="1"/>
    <col min="1795" max="1795" width="30" style="30" customWidth="1"/>
    <col min="1796" max="1796" width="6.28515625" style="30" customWidth="1"/>
    <col min="1797" max="1797" width="9.5703125" style="30" customWidth="1"/>
    <col min="1798" max="1799" width="12.42578125" style="30" customWidth="1"/>
    <col min="1800" max="1800" width="17.42578125" style="30" customWidth="1"/>
    <col min="1801" max="1801" width="0.85546875" style="30" customWidth="1"/>
    <col min="1802" max="1803" width="0.7109375" style="30" customWidth="1"/>
    <col min="1804" max="1804" width="0.5703125" style="30" customWidth="1"/>
    <col min="1805" max="2049" width="10.28515625" style="30"/>
    <col min="2050" max="2050" width="6" style="30" customWidth="1"/>
    <col min="2051" max="2051" width="30" style="30" customWidth="1"/>
    <col min="2052" max="2052" width="6.28515625" style="30" customWidth="1"/>
    <col min="2053" max="2053" width="9.5703125" style="30" customWidth="1"/>
    <col min="2054" max="2055" width="12.42578125" style="30" customWidth="1"/>
    <col min="2056" max="2056" width="17.42578125" style="30" customWidth="1"/>
    <col min="2057" max="2057" width="0.85546875" style="30" customWidth="1"/>
    <col min="2058" max="2059" width="0.7109375" style="30" customWidth="1"/>
    <col min="2060" max="2060" width="0.5703125" style="30" customWidth="1"/>
    <col min="2061" max="2305" width="10.28515625" style="30"/>
    <col min="2306" max="2306" width="6" style="30" customWidth="1"/>
    <col min="2307" max="2307" width="30" style="30" customWidth="1"/>
    <col min="2308" max="2308" width="6.28515625" style="30" customWidth="1"/>
    <col min="2309" max="2309" width="9.5703125" style="30" customWidth="1"/>
    <col min="2310" max="2311" width="12.42578125" style="30" customWidth="1"/>
    <col min="2312" max="2312" width="17.42578125" style="30" customWidth="1"/>
    <col min="2313" max="2313" width="0.85546875" style="30" customWidth="1"/>
    <col min="2314" max="2315" width="0.7109375" style="30" customWidth="1"/>
    <col min="2316" max="2316" width="0.5703125" style="30" customWidth="1"/>
    <col min="2317" max="2561" width="10.28515625" style="30"/>
    <col min="2562" max="2562" width="6" style="30" customWidth="1"/>
    <col min="2563" max="2563" width="30" style="30" customWidth="1"/>
    <col min="2564" max="2564" width="6.28515625" style="30" customWidth="1"/>
    <col min="2565" max="2565" width="9.5703125" style="30" customWidth="1"/>
    <col min="2566" max="2567" width="12.42578125" style="30" customWidth="1"/>
    <col min="2568" max="2568" width="17.42578125" style="30" customWidth="1"/>
    <col min="2569" max="2569" width="0.85546875" style="30" customWidth="1"/>
    <col min="2570" max="2571" width="0.7109375" style="30" customWidth="1"/>
    <col min="2572" max="2572" width="0.5703125" style="30" customWidth="1"/>
    <col min="2573" max="2817" width="10.28515625" style="30"/>
    <col min="2818" max="2818" width="6" style="30" customWidth="1"/>
    <col min="2819" max="2819" width="30" style="30" customWidth="1"/>
    <col min="2820" max="2820" width="6.28515625" style="30" customWidth="1"/>
    <col min="2821" max="2821" width="9.5703125" style="30" customWidth="1"/>
    <col min="2822" max="2823" width="12.42578125" style="30" customWidth="1"/>
    <col min="2824" max="2824" width="17.42578125" style="30" customWidth="1"/>
    <col min="2825" max="2825" width="0.85546875" style="30" customWidth="1"/>
    <col min="2826" max="2827" width="0.7109375" style="30" customWidth="1"/>
    <col min="2828" max="2828" width="0.5703125" style="30" customWidth="1"/>
    <col min="2829" max="3073" width="10.28515625" style="30"/>
    <col min="3074" max="3074" width="6" style="30" customWidth="1"/>
    <col min="3075" max="3075" width="30" style="30" customWidth="1"/>
    <col min="3076" max="3076" width="6.28515625" style="30" customWidth="1"/>
    <col min="3077" max="3077" width="9.5703125" style="30" customWidth="1"/>
    <col min="3078" max="3079" width="12.42578125" style="30" customWidth="1"/>
    <col min="3080" max="3080" width="17.42578125" style="30" customWidth="1"/>
    <col min="3081" max="3081" width="0.85546875" style="30" customWidth="1"/>
    <col min="3082" max="3083" width="0.7109375" style="30" customWidth="1"/>
    <col min="3084" max="3084" width="0.5703125" style="30" customWidth="1"/>
    <col min="3085" max="3329" width="10.28515625" style="30"/>
    <col min="3330" max="3330" width="6" style="30" customWidth="1"/>
    <col min="3331" max="3331" width="30" style="30" customWidth="1"/>
    <col min="3332" max="3332" width="6.28515625" style="30" customWidth="1"/>
    <col min="3333" max="3333" width="9.5703125" style="30" customWidth="1"/>
    <col min="3334" max="3335" width="12.42578125" style="30" customWidth="1"/>
    <col min="3336" max="3336" width="17.42578125" style="30" customWidth="1"/>
    <col min="3337" max="3337" width="0.85546875" style="30" customWidth="1"/>
    <col min="3338" max="3339" width="0.7109375" style="30" customWidth="1"/>
    <col min="3340" max="3340" width="0.5703125" style="30" customWidth="1"/>
    <col min="3341" max="3585" width="10.28515625" style="30"/>
    <col min="3586" max="3586" width="6" style="30" customWidth="1"/>
    <col min="3587" max="3587" width="30" style="30" customWidth="1"/>
    <col min="3588" max="3588" width="6.28515625" style="30" customWidth="1"/>
    <col min="3589" max="3589" width="9.5703125" style="30" customWidth="1"/>
    <col min="3590" max="3591" width="12.42578125" style="30" customWidth="1"/>
    <col min="3592" max="3592" width="17.42578125" style="30" customWidth="1"/>
    <col min="3593" max="3593" width="0.85546875" style="30" customWidth="1"/>
    <col min="3594" max="3595" width="0.7109375" style="30" customWidth="1"/>
    <col min="3596" max="3596" width="0.5703125" style="30" customWidth="1"/>
    <col min="3597" max="3841" width="10.28515625" style="30"/>
    <col min="3842" max="3842" width="6" style="30" customWidth="1"/>
    <col min="3843" max="3843" width="30" style="30" customWidth="1"/>
    <col min="3844" max="3844" width="6.28515625" style="30" customWidth="1"/>
    <col min="3845" max="3845" width="9.5703125" style="30" customWidth="1"/>
    <col min="3846" max="3847" width="12.42578125" style="30" customWidth="1"/>
    <col min="3848" max="3848" width="17.42578125" style="30" customWidth="1"/>
    <col min="3849" max="3849" width="0.85546875" style="30" customWidth="1"/>
    <col min="3850" max="3851" width="0.7109375" style="30" customWidth="1"/>
    <col min="3852" max="3852" width="0.5703125" style="30" customWidth="1"/>
    <col min="3853" max="4097" width="10.28515625" style="30"/>
    <col min="4098" max="4098" width="6" style="30" customWidth="1"/>
    <col min="4099" max="4099" width="30" style="30" customWidth="1"/>
    <col min="4100" max="4100" width="6.28515625" style="30" customWidth="1"/>
    <col min="4101" max="4101" width="9.5703125" style="30" customWidth="1"/>
    <col min="4102" max="4103" width="12.42578125" style="30" customWidth="1"/>
    <col min="4104" max="4104" width="17.42578125" style="30" customWidth="1"/>
    <col min="4105" max="4105" width="0.85546875" style="30" customWidth="1"/>
    <col min="4106" max="4107" width="0.7109375" style="30" customWidth="1"/>
    <col min="4108" max="4108" width="0.5703125" style="30" customWidth="1"/>
    <col min="4109" max="4353" width="10.28515625" style="30"/>
    <col min="4354" max="4354" width="6" style="30" customWidth="1"/>
    <col min="4355" max="4355" width="30" style="30" customWidth="1"/>
    <col min="4356" max="4356" width="6.28515625" style="30" customWidth="1"/>
    <col min="4357" max="4357" width="9.5703125" style="30" customWidth="1"/>
    <col min="4358" max="4359" width="12.42578125" style="30" customWidth="1"/>
    <col min="4360" max="4360" width="17.42578125" style="30" customWidth="1"/>
    <col min="4361" max="4361" width="0.85546875" style="30" customWidth="1"/>
    <col min="4362" max="4363" width="0.7109375" style="30" customWidth="1"/>
    <col min="4364" max="4364" width="0.5703125" style="30" customWidth="1"/>
    <col min="4365" max="4609" width="10.28515625" style="30"/>
    <col min="4610" max="4610" width="6" style="30" customWidth="1"/>
    <col min="4611" max="4611" width="30" style="30" customWidth="1"/>
    <col min="4612" max="4612" width="6.28515625" style="30" customWidth="1"/>
    <col min="4613" max="4613" width="9.5703125" style="30" customWidth="1"/>
    <col min="4614" max="4615" width="12.42578125" style="30" customWidth="1"/>
    <col min="4616" max="4616" width="17.42578125" style="30" customWidth="1"/>
    <col min="4617" max="4617" width="0.85546875" style="30" customWidth="1"/>
    <col min="4618" max="4619" width="0.7109375" style="30" customWidth="1"/>
    <col min="4620" max="4620" width="0.5703125" style="30" customWidth="1"/>
    <col min="4621" max="4865" width="10.28515625" style="30"/>
    <col min="4866" max="4866" width="6" style="30" customWidth="1"/>
    <col min="4867" max="4867" width="30" style="30" customWidth="1"/>
    <col min="4868" max="4868" width="6.28515625" style="30" customWidth="1"/>
    <col min="4869" max="4869" width="9.5703125" style="30" customWidth="1"/>
    <col min="4870" max="4871" width="12.42578125" style="30" customWidth="1"/>
    <col min="4872" max="4872" width="17.42578125" style="30" customWidth="1"/>
    <col min="4873" max="4873" width="0.85546875" style="30" customWidth="1"/>
    <col min="4874" max="4875" width="0.7109375" style="30" customWidth="1"/>
    <col min="4876" max="4876" width="0.5703125" style="30" customWidth="1"/>
    <col min="4877" max="5121" width="10.28515625" style="30"/>
    <col min="5122" max="5122" width="6" style="30" customWidth="1"/>
    <col min="5123" max="5123" width="30" style="30" customWidth="1"/>
    <col min="5124" max="5124" width="6.28515625" style="30" customWidth="1"/>
    <col min="5125" max="5125" width="9.5703125" style="30" customWidth="1"/>
    <col min="5126" max="5127" width="12.42578125" style="30" customWidth="1"/>
    <col min="5128" max="5128" width="17.42578125" style="30" customWidth="1"/>
    <col min="5129" max="5129" width="0.85546875" style="30" customWidth="1"/>
    <col min="5130" max="5131" width="0.7109375" style="30" customWidth="1"/>
    <col min="5132" max="5132" width="0.5703125" style="30" customWidth="1"/>
    <col min="5133" max="5377" width="10.28515625" style="30"/>
    <col min="5378" max="5378" width="6" style="30" customWidth="1"/>
    <col min="5379" max="5379" width="30" style="30" customWidth="1"/>
    <col min="5380" max="5380" width="6.28515625" style="30" customWidth="1"/>
    <col min="5381" max="5381" width="9.5703125" style="30" customWidth="1"/>
    <col min="5382" max="5383" width="12.42578125" style="30" customWidth="1"/>
    <col min="5384" max="5384" width="17.42578125" style="30" customWidth="1"/>
    <col min="5385" max="5385" width="0.85546875" style="30" customWidth="1"/>
    <col min="5386" max="5387" width="0.7109375" style="30" customWidth="1"/>
    <col min="5388" max="5388" width="0.5703125" style="30" customWidth="1"/>
    <col min="5389" max="5633" width="10.28515625" style="30"/>
    <col min="5634" max="5634" width="6" style="30" customWidth="1"/>
    <col min="5635" max="5635" width="30" style="30" customWidth="1"/>
    <col min="5636" max="5636" width="6.28515625" style="30" customWidth="1"/>
    <col min="5637" max="5637" width="9.5703125" style="30" customWidth="1"/>
    <col min="5638" max="5639" width="12.42578125" style="30" customWidth="1"/>
    <col min="5640" max="5640" width="17.42578125" style="30" customWidth="1"/>
    <col min="5641" max="5641" width="0.85546875" style="30" customWidth="1"/>
    <col min="5642" max="5643" width="0.7109375" style="30" customWidth="1"/>
    <col min="5644" max="5644" width="0.5703125" style="30" customWidth="1"/>
    <col min="5645" max="5889" width="10.28515625" style="30"/>
    <col min="5890" max="5890" width="6" style="30" customWidth="1"/>
    <col min="5891" max="5891" width="30" style="30" customWidth="1"/>
    <col min="5892" max="5892" width="6.28515625" style="30" customWidth="1"/>
    <col min="5893" max="5893" width="9.5703125" style="30" customWidth="1"/>
    <col min="5894" max="5895" width="12.42578125" style="30" customWidth="1"/>
    <col min="5896" max="5896" width="17.42578125" style="30" customWidth="1"/>
    <col min="5897" max="5897" width="0.85546875" style="30" customWidth="1"/>
    <col min="5898" max="5899" width="0.7109375" style="30" customWidth="1"/>
    <col min="5900" max="5900" width="0.5703125" style="30" customWidth="1"/>
    <col min="5901" max="6145" width="10.28515625" style="30"/>
    <col min="6146" max="6146" width="6" style="30" customWidth="1"/>
    <col min="6147" max="6147" width="30" style="30" customWidth="1"/>
    <col min="6148" max="6148" width="6.28515625" style="30" customWidth="1"/>
    <col min="6149" max="6149" width="9.5703125" style="30" customWidth="1"/>
    <col min="6150" max="6151" width="12.42578125" style="30" customWidth="1"/>
    <col min="6152" max="6152" width="17.42578125" style="30" customWidth="1"/>
    <col min="6153" max="6153" width="0.85546875" style="30" customWidth="1"/>
    <col min="6154" max="6155" width="0.7109375" style="30" customWidth="1"/>
    <col min="6156" max="6156" width="0.5703125" style="30" customWidth="1"/>
    <col min="6157" max="6401" width="10.28515625" style="30"/>
    <col min="6402" max="6402" width="6" style="30" customWidth="1"/>
    <col min="6403" max="6403" width="30" style="30" customWidth="1"/>
    <col min="6404" max="6404" width="6.28515625" style="30" customWidth="1"/>
    <col min="6405" max="6405" width="9.5703125" style="30" customWidth="1"/>
    <col min="6406" max="6407" width="12.42578125" style="30" customWidth="1"/>
    <col min="6408" max="6408" width="17.42578125" style="30" customWidth="1"/>
    <col min="6409" max="6409" width="0.85546875" style="30" customWidth="1"/>
    <col min="6410" max="6411" width="0.7109375" style="30" customWidth="1"/>
    <col min="6412" max="6412" width="0.5703125" style="30" customWidth="1"/>
    <col min="6413" max="6657" width="10.28515625" style="30"/>
    <col min="6658" max="6658" width="6" style="30" customWidth="1"/>
    <col min="6659" max="6659" width="30" style="30" customWidth="1"/>
    <col min="6660" max="6660" width="6.28515625" style="30" customWidth="1"/>
    <col min="6661" max="6661" width="9.5703125" style="30" customWidth="1"/>
    <col min="6662" max="6663" width="12.42578125" style="30" customWidth="1"/>
    <col min="6664" max="6664" width="17.42578125" style="30" customWidth="1"/>
    <col min="6665" max="6665" width="0.85546875" style="30" customWidth="1"/>
    <col min="6666" max="6667" width="0.7109375" style="30" customWidth="1"/>
    <col min="6668" max="6668" width="0.5703125" style="30" customWidth="1"/>
    <col min="6669" max="6913" width="10.28515625" style="30"/>
    <col min="6914" max="6914" width="6" style="30" customWidth="1"/>
    <col min="6915" max="6915" width="30" style="30" customWidth="1"/>
    <col min="6916" max="6916" width="6.28515625" style="30" customWidth="1"/>
    <col min="6917" max="6917" width="9.5703125" style="30" customWidth="1"/>
    <col min="6918" max="6919" width="12.42578125" style="30" customWidth="1"/>
    <col min="6920" max="6920" width="17.42578125" style="30" customWidth="1"/>
    <col min="6921" max="6921" width="0.85546875" style="30" customWidth="1"/>
    <col min="6922" max="6923" width="0.7109375" style="30" customWidth="1"/>
    <col min="6924" max="6924" width="0.5703125" style="30" customWidth="1"/>
    <col min="6925" max="7169" width="10.28515625" style="30"/>
    <col min="7170" max="7170" width="6" style="30" customWidth="1"/>
    <col min="7171" max="7171" width="30" style="30" customWidth="1"/>
    <col min="7172" max="7172" width="6.28515625" style="30" customWidth="1"/>
    <col min="7173" max="7173" width="9.5703125" style="30" customWidth="1"/>
    <col min="7174" max="7175" width="12.42578125" style="30" customWidth="1"/>
    <col min="7176" max="7176" width="17.42578125" style="30" customWidth="1"/>
    <col min="7177" max="7177" width="0.85546875" style="30" customWidth="1"/>
    <col min="7178" max="7179" width="0.7109375" style="30" customWidth="1"/>
    <col min="7180" max="7180" width="0.5703125" style="30" customWidth="1"/>
    <col min="7181" max="7425" width="10.28515625" style="30"/>
    <col min="7426" max="7426" width="6" style="30" customWidth="1"/>
    <col min="7427" max="7427" width="30" style="30" customWidth="1"/>
    <col min="7428" max="7428" width="6.28515625" style="30" customWidth="1"/>
    <col min="7429" max="7429" width="9.5703125" style="30" customWidth="1"/>
    <col min="7430" max="7431" width="12.42578125" style="30" customWidth="1"/>
    <col min="7432" max="7432" width="17.42578125" style="30" customWidth="1"/>
    <col min="7433" max="7433" width="0.85546875" style="30" customWidth="1"/>
    <col min="7434" max="7435" width="0.7109375" style="30" customWidth="1"/>
    <col min="7436" max="7436" width="0.5703125" style="30" customWidth="1"/>
    <col min="7437" max="7681" width="10.28515625" style="30"/>
    <col min="7682" max="7682" width="6" style="30" customWidth="1"/>
    <col min="7683" max="7683" width="30" style="30" customWidth="1"/>
    <col min="7684" max="7684" width="6.28515625" style="30" customWidth="1"/>
    <col min="7685" max="7685" width="9.5703125" style="30" customWidth="1"/>
    <col min="7686" max="7687" width="12.42578125" style="30" customWidth="1"/>
    <col min="7688" max="7688" width="17.42578125" style="30" customWidth="1"/>
    <col min="7689" max="7689" width="0.85546875" style="30" customWidth="1"/>
    <col min="7690" max="7691" width="0.7109375" style="30" customWidth="1"/>
    <col min="7692" max="7692" width="0.5703125" style="30" customWidth="1"/>
    <col min="7693" max="7937" width="10.28515625" style="30"/>
    <col min="7938" max="7938" width="6" style="30" customWidth="1"/>
    <col min="7939" max="7939" width="30" style="30" customWidth="1"/>
    <col min="7940" max="7940" width="6.28515625" style="30" customWidth="1"/>
    <col min="7941" max="7941" width="9.5703125" style="30" customWidth="1"/>
    <col min="7942" max="7943" width="12.42578125" style="30" customWidth="1"/>
    <col min="7944" max="7944" width="17.42578125" style="30" customWidth="1"/>
    <col min="7945" max="7945" width="0.85546875" style="30" customWidth="1"/>
    <col min="7946" max="7947" width="0.7109375" style="30" customWidth="1"/>
    <col min="7948" max="7948" width="0.5703125" style="30" customWidth="1"/>
    <col min="7949" max="8193" width="10.28515625" style="30"/>
    <col min="8194" max="8194" width="6" style="30" customWidth="1"/>
    <col min="8195" max="8195" width="30" style="30" customWidth="1"/>
    <col min="8196" max="8196" width="6.28515625" style="30" customWidth="1"/>
    <col min="8197" max="8197" width="9.5703125" style="30" customWidth="1"/>
    <col min="8198" max="8199" width="12.42578125" style="30" customWidth="1"/>
    <col min="8200" max="8200" width="17.42578125" style="30" customWidth="1"/>
    <col min="8201" max="8201" width="0.85546875" style="30" customWidth="1"/>
    <col min="8202" max="8203" width="0.7109375" style="30" customWidth="1"/>
    <col min="8204" max="8204" width="0.5703125" style="30" customWidth="1"/>
    <col min="8205" max="8449" width="10.28515625" style="30"/>
    <col min="8450" max="8450" width="6" style="30" customWidth="1"/>
    <col min="8451" max="8451" width="30" style="30" customWidth="1"/>
    <col min="8452" max="8452" width="6.28515625" style="30" customWidth="1"/>
    <col min="8453" max="8453" width="9.5703125" style="30" customWidth="1"/>
    <col min="8454" max="8455" width="12.42578125" style="30" customWidth="1"/>
    <col min="8456" max="8456" width="17.42578125" style="30" customWidth="1"/>
    <col min="8457" max="8457" width="0.85546875" style="30" customWidth="1"/>
    <col min="8458" max="8459" width="0.7109375" style="30" customWidth="1"/>
    <col min="8460" max="8460" width="0.5703125" style="30" customWidth="1"/>
    <col min="8461" max="8705" width="10.28515625" style="30"/>
    <col min="8706" max="8706" width="6" style="30" customWidth="1"/>
    <col min="8707" max="8707" width="30" style="30" customWidth="1"/>
    <col min="8708" max="8708" width="6.28515625" style="30" customWidth="1"/>
    <col min="8709" max="8709" width="9.5703125" style="30" customWidth="1"/>
    <col min="8710" max="8711" width="12.42578125" style="30" customWidth="1"/>
    <col min="8712" max="8712" width="17.42578125" style="30" customWidth="1"/>
    <col min="8713" max="8713" width="0.85546875" style="30" customWidth="1"/>
    <col min="8714" max="8715" width="0.7109375" style="30" customWidth="1"/>
    <col min="8716" max="8716" width="0.5703125" style="30" customWidth="1"/>
    <col min="8717" max="8961" width="10.28515625" style="30"/>
    <col min="8962" max="8962" width="6" style="30" customWidth="1"/>
    <col min="8963" max="8963" width="30" style="30" customWidth="1"/>
    <col min="8964" max="8964" width="6.28515625" style="30" customWidth="1"/>
    <col min="8965" max="8965" width="9.5703125" style="30" customWidth="1"/>
    <col min="8966" max="8967" width="12.42578125" style="30" customWidth="1"/>
    <col min="8968" max="8968" width="17.42578125" style="30" customWidth="1"/>
    <col min="8969" max="8969" width="0.85546875" style="30" customWidth="1"/>
    <col min="8970" max="8971" width="0.7109375" style="30" customWidth="1"/>
    <col min="8972" max="8972" width="0.5703125" style="30" customWidth="1"/>
    <col min="8973" max="9217" width="10.28515625" style="30"/>
    <col min="9218" max="9218" width="6" style="30" customWidth="1"/>
    <col min="9219" max="9219" width="30" style="30" customWidth="1"/>
    <col min="9220" max="9220" width="6.28515625" style="30" customWidth="1"/>
    <col min="9221" max="9221" width="9.5703125" style="30" customWidth="1"/>
    <col min="9222" max="9223" width="12.42578125" style="30" customWidth="1"/>
    <col min="9224" max="9224" width="17.42578125" style="30" customWidth="1"/>
    <col min="9225" max="9225" width="0.85546875" style="30" customWidth="1"/>
    <col min="9226" max="9227" width="0.7109375" style="30" customWidth="1"/>
    <col min="9228" max="9228" width="0.5703125" style="30" customWidth="1"/>
    <col min="9229" max="9473" width="10.28515625" style="30"/>
    <col min="9474" max="9474" width="6" style="30" customWidth="1"/>
    <col min="9475" max="9475" width="30" style="30" customWidth="1"/>
    <col min="9476" max="9476" width="6.28515625" style="30" customWidth="1"/>
    <col min="9477" max="9477" width="9.5703125" style="30" customWidth="1"/>
    <col min="9478" max="9479" width="12.42578125" style="30" customWidth="1"/>
    <col min="9480" max="9480" width="17.42578125" style="30" customWidth="1"/>
    <col min="9481" max="9481" width="0.85546875" style="30" customWidth="1"/>
    <col min="9482" max="9483" width="0.7109375" style="30" customWidth="1"/>
    <col min="9484" max="9484" width="0.5703125" style="30" customWidth="1"/>
    <col min="9485" max="9729" width="10.28515625" style="30"/>
    <col min="9730" max="9730" width="6" style="30" customWidth="1"/>
    <col min="9731" max="9731" width="30" style="30" customWidth="1"/>
    <col min="9732" max="9732" width="6.28515625" style="30" customWidth="1"/>
    <col min="9733" max="9733" width="9.5703125" style="30" customWidth="1"/>
    <col min="9734" max="9735" width="12.42578125" style="30" customWidth="1"/>
    <col min="9736" max="9736" width="17.42578125" style="30" customWidth="1"/>
    <col min="9737" max="9737" width="0.85546875" style="30" customWidth="1"/>
    <col min="9738" max="9739" width="0.7109375" style="30" customWidth="1"/>
    <col min="9740" max="9740" width="0.5703125" style="30" customWidth="1"/>
    <col min="9741" max="9985" width="10.28515625" style="30"/>
    <col min="9986" max="9986" width="6" style="30" customWidth="1"/>
    <col min="9987" max="9987" width="30" style="30" customWidth="1"/>
    <col min="9988" max="9988" width="6.28515625" style="30" customWidth="1"/>
    <col min="9989" max="9989" width="9.5703125" style="30" customWidth="1"/>
    <col min="9990" max="9991" width="12.42578125" style="30" customWidth="1"/>
    <col min="9992" max="9992" width="17.42578125" style="30" customWidth="1"/>
    <col min="9993" max="9993" width="0.85546875" style="30" customWidth="1"/>
    <col min="9994" max="9995" width="0.7109375" style="30" customWidth="1"/>
    <col min="9996" max="9996" width="0.5703125" style="30" customWidth="1"/>
    <col min="9997" max="10241" width="10.28515625" style="30"/>
    <col min="10242" max="10242" width="6" style="30" customWidth="1"/>
    <col min="10243" max="10243" width="30" style="30" customWidth="1"/>
    <col min="10244" max="10244" width="6.28515625" style="30" customWidth="1"/>
    <col min="10245" max="10245" width="9.5703125" style="30" customWidth="1"/>
    <col min="10246" max="10247" width="12.42578125" style="30" customWidth="1"/>
    <col min="10248" max="10248" width="17.42578125" style="30" customWidth="1"/>
    <col min="10249" max="10249" width="0.85546875" style="30" customWidth="1"/>
    <col min="10250" max="10251" width="0.7109375" style="30" customWidth="1"/>
    <col min="10252" max="10252" width="0.5703125" style="30" customWidth="1"/>
    <col min="10253" max="10497" width="10.28515625" style="30"/>
    <col min="10498" max="10498" width="6" style="30" customWidth="1"/>
    <col min="10499" max="10499" width="30" style="30" customWidth="1"/>
    <col min="10500" max="10500" width="6.28515625" style="30" customWidth="1"/>
    <col min="10501" max="10501" width="9.5703125" style="30" customWidth="1"/>
    <col min="10502" max="10503" width="12.42578125" style="30" customWidth="1"/>
    <col min="10504" max="10504" width="17.42578125" style="30" customWidth="1"/>
    <col min="10505" max="10505" width="0.85546875" style="30" customWidth="1"/>
    <col min="10506" max="10507" width="0.7109375" style="30" customWidth="1"/>
    <col min="10508" max="10508" width="0.5703125" style="30" customWidth="1"/>
    <col min="10509" max="10753" width="10.28515625" style="30"/>
    <col min="10754" max="10754" width="6" style="30" customWidth="1"/>
    <col min="10755" max="10755" width="30" style="30" customWidth="1"/>
    <col min="10756" max="10756" width="6.28515625" style="30" customWidth="1"/>
    <col min="10757" max="10757" width="9.5703125" style="30" customWidth="1"/>
    <col min="10758" max="10759" width="12.42578125" style="30" customWidth="1"/>
    <col min="10760" max="10760" width="17.42578125" style="30" customWidth="1"/>
    <col min="10761" max="10761" width="0.85546875" style="30" customWidth="1"/>
    <col min="10762" max="10763" width="0.7109375" style="30" customWidth="1"/>
    <col min="10764" max="10764" width="0.5703125" style="30" customWidth="1"/>
    <col min="10765" max="11009" width="10.28515625" style="30"/>
    <col min="11010" max="11010" width="6" style="30" customWidth="1"/>
    <col min="11011" max="11011" width="30" style="30" customWidth="1"/>
    <col min="11012" max="11012" width="6.28515625" style="30" customWidth="1"/>
    <col min="11013" max="11013" width="9.5703125" style="30" customWidth="1"/>
    <col min="11014" max="11015" width="12.42578125" style="30" customWidth="1"/>
    <col min="11016" max="11016" width="17.42578125" style="30" customWidth="1"/>
    <col min="11017" max="11017" width="0.85546875" style="30" customWidth="1"/>
    <col min="11018" max="11019" width="0.7109375" style="30" customWidth="1"/>
    <col min="11020" max="11020" width="0.5703125" style="30" customWidth="1"/>
    <col min="11021" max="11265" width="10.28515625" style="30"/>
    <col min="11266" max="11266" width="6" style="30" customWidth="1"/>
    <col min="11267" max="11267" width="30" style="30" customWidth="1"/>
    <col min="11268" max="11268" width="6.28515625" style="30" customWidth="1"/>
    <col min="11269" max="11269" width="9.5703125" style="30" customWidth="1"/>
    <col min="11270" max="11271" width="12.42578125" style="30" customWidth="1"/>
    <col min="11272" max="11272" width="17.42578125" style="30" customWidth="1"/>
    <col min="11273" max="11273" width="0.85546875" style="30" customWidth="1"/>
    <col min="11274" max="11275" width="0.7109375" style="30" customWidth="1"/>
    <col min="11276" max="11276" width="0.5703125" style="30" customWidth="1"/>
    <col min="11277" max="11521" width="10.28515625" style="30"/>
    <col min="11522" max="11522" width="6" style="30" customWidth="1"/>
    <col min="11523" max="11523" width="30" style="30" customWidth="1"/>
    <col min="11524" max="11524" width="6.28515625" style="30" customWidth="1"/>
    <col min="11525" max="11525" width="9.5703125" style="30" customWidth="1"/>
    <col min="11526" max="11527" width="12.42578125" style="30" customWidth="1"/>
    <col min="11528" max="11528" width="17.42578125" style="30" customWidth="1"/>
    <col min="11529" max="11529" width="0.85546875" style="30" customWidth="1"/>
    <col min="11530" max="11531" width="0.7109375" style="30" customWidth="1"/>
    <col min="11532" max="11532" width="0.5703125" style="30" customWidth="1"/>
    <col min="11533" max="11777" width="10.28515625" style="30"/>
    <col min="11778" max="11778" width="6" style="30" customWidth="1"/>
    <col min="11779" max="11779" width="30" style="30" customWidth="1"/>
    <col min="11780" max="11780" width="6.28515625" style="30" customWidth="1"/>
    <col min="11781" max="11781" width="9.5703125" style="30" customWidth="1"/>
    <col min="11782" max="11783" width="12.42578125" style="30" customWidth="1"/>
    <col min="11784" max="11784" width="17.42578125" style="30" customWidth="1"/>
    <col min="11785" max="11785" width="0.85546875" style="30" customWidth="1"/>
    <col min="11786" max="11787" width="0.7109375" style="30" customWidth="1"/>
    <col min="11788" max="11788" width="0.5703125" style="30" customWidth="1"/>
    <col min="11789" max="12033" width="10.28515625" style="30"/>
    <col min="12034" max="12034" width="6" style="30" customWidth="1"/>
    <col min="12035" max="12035" width="30" style="30" customWidth="1"/>
    <col min="12036" max="12036" width="6.28515625" style="30" customWidth="1"/>
    <col min="12037" max="12037" width="9.5703125" style="30" customWidth="1"/>
    <col min="12038" max="12039" width="12.42578125" style="30" customWidth="1"/>
    <col min="12040" max="12040" width="17.42578125" style="30" customWidth="1"/>
    <col min="12041" max="12041" width="0.85546875" style="30" customWidth="1"/>
    <col min="12042" max="12043" width="0.7109375" style="30" customWidth="1"/>
    <col min="12044" max="12044" width="0.5703125" style="30" customWidth="1"/>
    <col min="12045" max="12289" width="10.28515625" style="30"/>
    <col min="12290" max="12290" width="6" style="30" customWidth="1"/>
    <col min="12291" max="12291" width="30" style="30" customWidth="1"/>
    <col min="12292" max="12292" width="6.28515625" style="30" customWidth="1"/>
    <col min="12293" max="12293" width="9.5703125" style="30" customWidth="1"/>
    <col min="12294" max="12295" width="12.42578125" style="30" customWidth="1"/>
    <col min="12296" max="12296" width="17.42578125" style="30" customWidth="1"/>
    <col min="12297" max="12297" width="0.85546875" style="30" customWidth="1"/>
    <col min="12298" max="12299" width="0.7109375" style="30" customWidth="1"/>
    <col min="12300" max="12300" width="0.5703125" style="30" customWidth="1"/>
    <col min="12301" max="12545" width="10.28515625" style="30"/>
    <col min="12546" max="12546" width="6" style="30" customWidth="1"/>
    <col min="12547" max="12547" width="30" style="30" customWidth="1"/>
    <col min="12548" max="12548" width="6.28515625" style="30" customWidth="1"/>
    <col min="12549" max="12549" width="9.5703125" style="30" customWidth="1"/>
    <col min="12550" max="12551" width="12.42578125" style="30" customWidth="1"/>
    <col min="12552" max="12552" width="17.42578125" style="30" customWidth="1"/>
    <col min="12553" max="12553" width="0.85546875" style="30" customWidth="1"/>
    <col min="12554" max="12555" width="0.7109375" style="30" customWidth="1"/>
    <col min="12556" max="12556" width="0.5703125" style="30" customWidth="1"/>
    <col min="12557" max="12801" width="10.28515625" style="30"/>
    <col min="12802" max="12802" width="6" style="30" customWidth="1"/>
    <col min="12803" max="12803" width="30" style="30" customWidth="1"/>
    <col min="12804" max="12804" width="6.28515625" style="30" customWidth="1"/>
    <col min="12805" max="12805" width="9.5703125" style="30" customWidth="1"/>
    <col min="12806" max="12807" width="12.42578125" style="30" customWidth="1"/>
    <col min="12808" max="12808" width="17.42578125" style="30" customWidth="1"/>
    <col min="12809" max="12809" width="0.85546875" style="30" customWidth="1"/>
    <col min="12810" max="12811" width="0.7109375" style="30" customWidth="1"/>
    <col min="12812" max="12812" width="0.5703125" style="30" customWidth="1"/>
    <col min="12813" max="13057" width="10.28515625" style="30"/>
    <col min="13058" max="13058" width="6" style="30" customWidth="1"/>
    <col min="13059" max="13059" width="30" style="30" customWidth="1"/>
    <col min="13060" max="13060" width="6.28515625" style="30" customWidth="1"/>
    <col min="13061" max="13061" width="9.5703125" style="30" customWidth="1"/>
    <col min="13062" max="13063" width="12.42578125" style="30" customWidth="1"/>
    <col min="13064" max="13064" width="17.42578125" style="30" customWidth="1"/>
    <col min="13065" max="13065" width="0.85546875" style="30" customWidth="1"/>
    <col min="13066" max="13067" width="0.7109375" style="30" customWidth="1"/>
    <col min="13068" max="13068" width="0.5703125" style="30" customWidth="1"/>
    <col min="13069" max="13313" width="10.28515625" style="30"/>
    <col min="13314" max="13314" width="6" style="30" customWidth="1"/>
    <col min="13315" max="13315" width="30" style="30" customWidth="1"/>
    <col min="13316" max="13316" width="6.28515625" style="30" customWidth="1"/>
    <col min="13317" max="13317" width="9.5703125" style="30" customWidth="1"/>
    <col min="13318" max="13319" width="12.42578125" style="30" customWidth="1"/>
    <col min="13320" max="13320" width="17.42578125" style="30" customWidth="1"/>
    <col min="13321" max="13321" width="0.85546875" style="30" customWidth="1"/>
    <col min="13322" max="13323" width="0.7109375" style="30" customWidth="1"/>
    <col min="13324" max="13324" width="0.5703125" style="30" customWidth="1"/>
    <col min="13325" max="13569" width="10.28515625" style="30"/>
    <col min="13570" max="13570" width="6" style="30" customWidth="1"/>
    <col min="13571" max="13571" width="30" style="30" customWidth="1"/>
    <col min="13572" max="13572" width="6.28515625" style="30" customWidth="1"/>
    <col min="13573" max="13573" width="9.5703125" style="30" customWidth="1"/>
    <col min="13574" max="13575" width="12.42578125" style="30" customWidth="1"/>
    <col min="13576" max="13576" width="17.42578125" style="30" customWidth="1"/>
    <col min="13577" max="13577" width="0.85546875" style="30" customWidth="1"/>
    <col min="13578" max="13579" width="0.7109375" style="30" customWidth="1"/>
    <col min="13580" max="13580" width="0.5703125" style="30" customWidth="1"/>
    <col min="13581" max="13825" width="10.28515625" style="30"/>
    <col min="13826" max="13826" width="6" style="30" customWidth="1"/>
    <col min="13827" max="13827" width="30" style="30" customWidth="1"/>
    <col min="13828" max="13828" width="6.28515625" style="30" customWidth="1"/>
    <col min="13829" max="13829" width="9.5703125" style="30" customWidth="1"/>
    <col min="13830" max="13831" width="12.42578125" style="30" customWidth="1"/>
    <col min="13832" max="13832" width="17.42578125" style="30" customWidth="1"/>
    <col min="13833" max="13833" width="0.85546875" style="30" customWidth="1"/>
    <col min="13834" max="13835" width="0.7109375" style="30" customWidth="1"/>
    <col min="13836" max="13836" width="0.5703125" style="30" customWidth="1"/>
    <col min="13837" max="14081" width="10.28515625" style="30"/>
    <col min="14082" max="14082" width="6" style="30" customWidth="1"/>
    <col min="14083" max="14083" width="30" style="30" customWidth="1"/>
    <col min="14084" max="14084" width="6.28515625" style="30" customWidth="1"/>
    <col min="14085" max="14085" width="9.5703125" style="30" customWidth="1"/>
    <col min="14086" max="14087" width="12.42578125" style="30" customWidth="1"/>
    <col min="14088" max="14088" width="17.42578125" style="30" customWidth="1"/>
    <col min="14089" max="14089" width="0.85546875" style="30" customWidth="1"/>
    <col min="14090" max="14091" width="0.7109375" style="30" customWidth="1"/>
    <col min="14092" max="14092" width="0.5703125" style="30" customWidth="1"/>
    <col min="14093" max="14337" width="10.28515625" style="30"/>
    <col min="14338" max="14338" width="6" style="30" customWidth="1"/>
    <col min="14339" max="14339" width="30" style="30" customWidth="1"/>
    <col min="14340" max="14340" width="6.28515625" style="30" customWidth="1"/>
    <col min="14341" max="14341" width="9.5703125" style="30" customWidth="1"/>
    <col min="14342" max="14343" width="12.42578125" style="30" customWidth="1"/>
    <col min="14344" max="14344" width="17.42578125" style="30" customWidth="1"/>
    <col min="14345" max="14345" width="0.85546875" style="30" customWidth="1"/>
    <col min="14346" max="14347" width="0.7109375" style="30" customWidth="1"/>
    <col min="14348" max="14348" width="0.5703125" style="30" customWidth="1"/>
    <col min="14349" max="14593" width="10.28515625" style="30"/>
    <col min="14594" max="14594" width="6" style="30" customWidth="1"/>
    <col min="14595" max="14595" width="30" style="30" customWidth="1"/>
    <col min="14596" max="14596" width="6.28515625" style="30" customWidth="1"/>
    <col min="14597" max="14597" width="9.5703125" style="30" customWidth="1"/>
    <col min="14598" max="14599" width="12.42578125" style="30" customWidth="1"/>
    <col min="14600" max="14600" width="17.42578125" style="30" customWidth="1"/>
    <col min="14601" max="14601" width="0.85546875" style="30" customWidth="1"/>
    <col min="14602" max="14603" width="0.7109375" style="30" customWidth="1"/>
    <col min="14604" max="14604" width="0.5703125" style="30" customWidth="1"/>
    <col min="14605" max="14849" width="10.28515625" style="30"/>
    <col min="14850" max="14850" width="6" style="30" customWidth="1"/>
    <col min="14851" max="14851" width="30" style="30" customWidth="1"/>
    <col min="14852" max="14852" width="6.28515625" style="30" customWidth="1"/>
    <col min="14853" max="14853" width="9.5703125" style="30" customWidth="1"/>
    <col min="14854" max="14855" width="12.42578125" style="30" customWidth="1"/>
    <col min="14856" max="14856" width="17.42578125" style="30" customWidth="1"/>
    <col min="14857" max="14857" width="0.85546875" style="30" customWidth="1"/>
    <col min="14858" max="14859" width="0.7109375" style="30" customWidth="1"/>
    <col min="14860" max="14860" width="0.5703125" style="30" customWidth="1"/>
    <col min="14861" max="15105" width="10.28515625" style="30"/>
    <col min="15106" max="15106" width="6" style="30" customWidth="1"/>
    <col min="15107" max="15107" width="30" style="30" customWidth="1"/>
    <col min="15108" max="15108" width="6.28515625" style="30" customWidth="1"/>
    <col min="15109" max="15109" width="9.5703125" style="30" customWidth="1"/>
    <col min="15110" max="15111" width="12.42578125" style="30" customWidth="1"/>
    <col min="15112" max="15112" width="17.42578125" style="30" customWidth="1"/>
    <col min="15113" max="15113" width="0.85546875" style="30" customWidth="1"/>
    <col min="15114" max="15115" width="0.7109375" style="30" customWidth="1"/>
    <col min="15116" max="15116" width="0.5703125" style="30" customWidth="1"/>
    <col min="15117" max="15361" width="10.28515625" style="30"/>
    <col min="15362" max="15362" width="6" style="30" customWidth="1"/>
    <col min="15363" max="15363" width="30" style="30" customWidth="1"/>
    <col min="15364" max="15364" width="6.28515625" style="30" customWidth="1"/>
    <col min="15365" max="15365" width="9.5703125" style="30" customWidth="1"/>
    <col min="15366" max="15367" width="12.42578125" style="30" customWidth="1"/>
    <col min="15368" max="15368" width="17.42578125" style="30" customWidth="1"/>
    <col min="15369" max="15369" width="0.85546875" style="30" customWidth="1"/>
    <col min="15370" max="15371" width="0.7109375" style="30" customWidth="1"/>
    <col min="15372" max="15372" width="0.5703125" style="30" customWidth="1"/>
    <col min="15373" max="15617" width="10.28515625" style="30"/>
    <col min="15618" max="15618" width="6" style="30" customWidth="1"/>
    <col min="15619" max="15619" width="30" style="30" customWidth="1"/>
    <col min="15620" max="15620" width="6.28515625" style="30" customWidth="1"/>
    <col min="15621" max="15621" width="9.5703125" style="30" customWidth="1"/>
    <col min="15622" max="15623" width="12.42578125" style="30" customWidth="1"/>
    <col min="15624" max="15624" width="17.42578125" style="30" customWidth="1"/>
    <col min="15625" max="15625" width="0.85546875" style="30" customWidth="1"/>
    <col min="15626" max="15627" width="0.7109375" style="30" customWidth="1"/>
    <col min="15628" max="15628" width="0.5703125" style="30" customWidth="1"/>
    <col min="15629" max="15873" width="10.28515625" style="30"/>
    <col min="15874" max="15874" width="6" style="30" customWidth="1"/>
    <col min="15875" max="15875" width="30" style="30" customWidth="1"/>
    <col min="15876" max="15876" width="6.28515625" style="30" customWidth="1"/>
    <col min="15877" max="15877" width="9.5703125" style="30" customWidth="1"/>
    <col min="15878" max="15879" width="12.42578125" style="30" customWidth="1"/>
    <col min="15880" max="15880" width="17.42578125" style="30" customWidth="1"/>
    <col min="15881" max="15881" width="0.85546875" style="30" customWidth="1"/>
    <col min="15882" max="15883" width="0.7109375" style="30" customWidth="1"/>
    <col min="15884" max="15884" width="0.5703125" style="30" customWidth="1"/>
    <col min="15885" max="16129" width="10.28515625" style="30"/>
    <col min="16130" max="16130" width="6" style="30" customWidth="1"/>
    <col min="16131" max="16131" width="30" style="30" customWidth="1"/>
    <col min="16132" max="16132" width="6.28515625" style="30" customWidth="1"/>
    <col min="16133" max="16133" width="9.5703125" style="30" customWidth="1"/>
    <col min="16134" max="16135" width="12.42578125" style="30" customWidth="1"/>
    <col min="16136" max="16136" width="17.42578125" style="30" customWidth="1"/>
    <col min="16137" max="16137" width="0.85546875" style="30" customWidth="1"/>
    <col min="16138" max="16139" width="0.7109375" style="30" customWidth="1"/>
    <col min="16140" max="16140" width="0.5703125" style="30" customWidth="1"/>
    <col min="16141" max="16384" width="10.28515625" style="30"/>
  </cols>
  <sheetData>
    <row r="1" spans="1:15" s="26" customFormat="1" ht="15.75" customHeight="1">
      <c r="A1" s="21" t="s">
        <v>230</v>
      </c>
      <c r="B1" s="21"/>
      <c r="C1" s="21"/>
      <c r="D1" s="21"/>
      <c r="E1" s="21"/>
      <c r="F1" s="22"/>
      <c r="G1" s="22"/>
      <c r="H1" s="21"/>
      <c r="I1" s="23"/>
      <c r="J1" s="24"/>
      <c r="K1" s="24"/>
      <c r="L1" s="24"/>
      <c r="M1" s="110"/>
      <c r="N1" s="25"/>
    </row>
    <row r="2" spans="1:15" s="26" customFormat="1" ht="15.75" customHeight="1">
      <c r="A2" s="21" t="s">
        <v>207</v>
      </c>
      <c r="B2" s="21"/>
      <c r="C2" s="21"/>
      <c r="D2" s="21"/>
      <c r="E2" s="21"/>
      <c r="F2" s="22"/>
      <c r="G2" s="22"/>
      <c r="H2" s="21"/>
      <c r="I2" s="23"/>
      <c r="J2" s="24"/>
      <c r="K2" s="24"/>
      <c r="L2" s="24"/>
      <c r="M2" s="110"/>
      <c r="N2" s="25"/>
    </row>
    <row r="3" spans="1:15" ht="13.5" customHeight="1">
      <c r="A3" s="1000" t="s">
        <v>232</v>
      </c>
      <c r="B3" s="1000"/>
      <c r="C3" s="1000"/>
      <c r="D3" s="1000"/>
      <c r="E3" s="1000"/>
      <c r="F3" s="1000"/>
      <c r="H3" s="27"/>
      <c r="I3" s="28"/>
    </row>
    <row r="4" spans="1:15" s="2" customFormat="1" ht="13.5" customHeight="1">
      <c r="A4" s="31" t="s">
        <v>1213</v>
      </c>
      <c r="B4" s="31"/>
      <c r="C4" s="32"/>
      <c r="D4" s="33"/>
      <c r="E4" s="33"/>
      <c r="F4" s="34" t="s">
        <v>1214</v>
      </c>
      <c r="G4" s="34"/>
      <c r="H4" s="29"/>
      <c r="M4" s="112"/>
      <c r="N4" s="35"/>
    </row>
    <row r="5" spans="1:15" s="43" customFormat="1" ht="30" customHeight="1">
      <c r="A5" s="36" t="s">
        <v>235</v>
      </c>
      <c r="B5" s="37" t="s">
        <v>1577</v>
      </c>
      <c r="C5" s="37" t="s">
        <v>237</v>
      </c>
      <c r="D5" s="37" t="s">
        <v>1439</v>
      </c>
      <c r="E5" s="38" t="s">
        <v>1438</v>
      </c>
      <c r="F5" s="39" t="s">
        <v>221</v>
      </c>
      <c r="G5" s="39"/>
      <c r="H5" s="40" t="s">
        <v>1540</v>
      </c>
      <c r="I5" s="41" t="s">
        <v>142</v>
      </c>
      <c r="J5" s="42"/>
      <c r="K5" s="42"/>
      <c r="L5" s="42"/>
      <c r="M5" s="113" t="s">
        <v>1538</v>
      </c>
      <c r="N5" s="35" t="s">
        <v>1578</v>
      </c>
      <c r="O5" s="43" t="s">
        <v>1579</v>
      </c>
    </row>
    <row r="6" spans="1:15" ht="21.95" customHeight="1">
      <c r="A6" s="6" t="s">
        <v>10</v>
      </c>
      <c r="B6" s="7" t="s">
        <v>12</v>
      </c>
      <c r="C6" s="8" t="s">
        <v>4</v>
      </c>
      <c r="D6" s="44">
        <v>1</v>
      </c>
      <c r="E6" s="44"/>
      <c r="F6" s="45"/>
      <c r="G6" s="45"/>
      <c r="H6" s="44" t="s">
        <v>242</v>
      </c>
      <c r="I6" s="46" t="s">
        <v>243</v>
      </c>
    </row>
    <row r="7" spans="1:15" ht="21.95" customHeight="1">
      <c r="A7" s="6" t="s">
        <v>206</v>
      </c>
      <c r="B7" s="7" t="s">
        <v>2</v>
      </c>
      <c r="C7" s="8" t="s">
        <v>4</v>
      </c>
      <c r="D7" s="44">
        <v>1</v>
      </c>
      <c r="E7" s="44"/>
      <c r="F7" s="45"/>
      <c r="G7" s="45"/>
      <c r="H7" s="44" t="s">
        <v>242</v>
      </c>
      <c r="I7" s="46" t="s">
        <v>243</v>
      </c>
    </row>
    <row r="8" spans="1:15" ht="21.95" customHeight="1">
      <c r="A8" s="114" t="s">
        <v>40</v>
      </c>
      <c r="B8" s="115" t="s">
        <v>244</v>
      </c>
      <c r="C8" s="116" t="s">
        <v>4</v>
      </c>
      <c r="D8" s="117">
        <v>1</v>
      </c>
      <c r="E8" s="117"/>
      <c r="F8" s="118"/>
      <c r="G8" s="118"/>
      <c r="H8" s="117" t="s">
        <v>242</v>
      </c>
      <c r="I8" s="119" t="s">
        <v>243</v>
      </c>
    </row>
    <row r="9" spans="1:15" ht="33" customHeight="1">
      <c r="A9" s="12" t="s">
        <v>41</v>
      </c>
      <c r="B9" s="10" t="s">
        <v>1215</v>
      </c>
      <c r="C9" s="8" t="s">
        <v>6</v>
      </c>
      <c r="D9" s="44">
        <v>720.24</v>
      </c>
      <c r="E9" s="44"/>
      <c r="F9" s="45" t="s">
        <v>1246</v>
      </c>
      <c r="G9" s="47" t="s">
        <v>1239</v>
      </c>
      <c r="H9" s="44">
        <f>(290*2*0.15*0.2+12*5*0.15*0.2)+(53*2*0.15*0.2+3*4*0.14*0.2)</f>
        <v>22.716000000000001</v>
      </c>
      <c r="I9" s="48">
        <f>SUM(H9:H13)</f>
        <v>200.24699999999999</v>
      </c>
      <c r="M9" s="111">
        <v>123.7</v>
      </c>
      <c r="N9" s="49">
        <f>I9-M9</f>
        <v>76.546999999999983</v>
      </c>
    </row>
    <row r="10" spans="1:15">
      <c r="A10" s="12"/>
      <c r="B10" s="10"/>
      <c r="C10" s="8"/>
      <c r="D10" s="44"/>
      <c r="E10" s="44"/>
      <c r="F10" s="45" t="s">
        <v>1233</v>
      </c>
      <c r="G10" s="47" t="s">
        <v>1238</v>
      </c>
      <c r="H10" s="44">
        <f>27.2*10.5*0.25</f>
        <v>71.399999999999991</v>
      </c>
      <c r="I10" s="48"/>
      <c r="N10" s="49"/>
    </row>
    <row r="11" spans="1:15" ht="16.5" customHeight="1">
      <c r="A11" s="12"/>
      <c r="B11" s="10"/>
      <c r="C11" s="8"/>
      <c r="D11" s="44"/>
      <c r="E11" s="44"/>
      <c r="F11" s="45" t="s">
        <v>1231</v>
      </c>
      <c r="G11" s="47" t="s">
        <v>1237</v>
      </c>
      <c r="H11" s="44">
        <f>11.5*(7.5+4.5)/2*0.23</f>
        <v>15.870000000000001</v>
      </c>
      <c r="I11" s="46"/>
      <c r="N11" s="49"/>
    </row>
    <row r="12" spans="1:15" ht="16.5" customHeight="1">
      <c r="A12" s="12"/>
      <c r="B12" s="10"/>
      <c r="C12" s="8"/>
      <c r="D12" s="44"/>
      <c r="E12" s="44"/>
      <c r="F12" s="50" t="s">
        <v>1256</v>
      </c>
      <c r="G12" s="51" t="s">
        <v>1255</v>
      </c>
      <c r="H12" s="44">
        <f>(77.5+169.3+170.9+49.4)*0.15</f>
        <v>70.064999999999998</v>
      </c>
      <c r="I12" s="46"/>
      <c r="N12" s="49"/>
    </row>
    <row r="13" spans="1:15" ht="16.5" customHeight="1">
      <c r="A13" s="12"/>
      <c r="B13" s="10"/>
      <c r="C13" s="8"/>
      <c r="D13" s="44"/>
      <c r="E13" s="44"/>
      <c r="F13" s="45" t="s">
        <v>1240</v>
      </c>
      <c r="G13" s="47" t="s">
        <v>1241</v>
      </c>
      <c r="H13" s="44">
        <f>10.8*(7.5+9.5)/2*0.22</f>
        <v>20.196000000000002</v>
      </c>
      <c r="I13" s="46"/>
      <c r="N13" s="49"/>
    </row>
    <row r="14" spans="1:15" ht="16.5" customHeight="1">
      <c r="A14" s="12"/>
      <c r="B14" s="10"/>
      <c r="C14" s="8"/>
      <c r="D14" s="44"/>
      <c r="E14" s="44"/>
      <c r="F14" s="45"/>
      <c r="G14" s="47"/>
      <c r="H14" s="44"/>
      <c r="I14" s="46"/>
      <c r="N14" s="49"/>
    </row>
    <row r="15" spans="1:15" ht="36" customHeight="1">
      <c r="A15" s="12" t="s">
        <v>42</v>
      </c>
      <c r="B15" s="10" t="s">
        <v>1710</v>
      </c>
      <c r="C15" s="8" t="s">
        <v>6</v>
      </c>
      <c r="D15" s="44">
        <v>4813.4399999999996</v>
      </c>
      <c r="E15" s="44"/>
      <c r="F15" s="45" t="s">
        <v>1273</v>
      </c>
      <c r="G15" s="47" t="s">
        <v>1232</v>
      </c>
      <c r="H15" s="44">
        <f>(1.2*0.5*8*39)+(1.2*0.5*8*7)</f>
        <v>220.79999999999998</v>
      </c>
      <c r="I15" s="48">
        <f>SUM(H15:H34)</f>
        <v>4091.1705088000003</v>
      </c>
      <c r="M15" s="111">
        <v>4069.5999999999995</v>
      </c>
      <c r="N15" s="49">
        <f>I15-M15</f>
        <v>21.57050880000088</v>
      </c>
    </row>
    <row r="16" spans="1:15" ht="52.5" customHeight="1">
      <c r="A16" s="12"/>
      <c r="B16" s="7"/>
      <c r="C16" s="8"/>
      <c r="D16" s="44"/>
      <c r="E16" s="44"/>
      <c r="F16" s="45" t="s">
        <v>1244</v>
      </c>
      <c r="G16" s="47" t="s">
        <v>1262</v>
      </c>
      <c r="H16" s="44">
        <f>((27.2*10.3*0.3+0.3*1.1*27.2*2)+(13.2*1.25*0.6*7*2)+(6.8*1.25*0.5*7)+(((1.9+0.8)/2*1.2*7.8)+1.9*2.5*1.2)+((1.25*1.25*3.14*3.6)))</f>
        <v>306.34850000000006</v>
      </c>
      <c r="I16" s="46"/>
      <c r="N16" s="49"/>
    </row>
    <row r="17" spans="1:14" ht="33" customHeight="1">
      <c r="A17" s="12"/>
      <c r="B17" s="7"/>
      <c r="C17" s="8"/>
      <c r="D17" s="44"/>
      <c r="E17" s="44"/>
      <c r="F17" s="45" t="s">
        <v>1245</v>
      </c>
      <c r="G17" s="52" t="s">
        <v>1263</v>
      </c>
      <c r="H17" s="44">
        <f>(10.3*1.8*4.2+10.3*1.8*2.8)*2+(10.3*2.8*1.8)*2+((60.65*(3.9+2.2)/2*0.55)+(10.3*3.9*0.6))</f>
        <v>489.22637500000008</v>
      </c>
      <c r="I17" s="46"/>
      <c r="N17" s="49"/>
    </row>
    <row r="18" spans="1:14" ht="33" customHeight="1">
      <c r="A18" s="12"/>
      <c r="B18" s="7"/>
      <c r="C18" s="8"/>
      <c r="D18" s="44"/>
      <c r="E18" s="44"/>
      <c r="F18" s="45" t="s">
        <v>1243</v>
      </c>
      <c r="G18" s="47" t="s">
        <v>1277</v>
      </c>
      <c r="H18" s="44">
        <f>((3.75*(0.3+0.6)/2*63.7)+(5.5*0.85*63.7))+(26.8*7*0.6+18.5*7*0.35)</f>
        <v>563.17624999999998</v>
      </c>
      <c r="I18" s="46"/>
      <c r="N18" s="49"/>
    </row>
    <row r="19" spans="1:14" ht="33" customHeight="1">
      <c r="A19" s="12"/>
      <c r="B19" s="7"/>
      <c r="C19" s="8"/>
      <c r="D19" s="44"/>
      <c r="E19" s="44"/>
      <c r="F19" s="45" t="s">
        <v>1242</v>
      </c>
      <c r="G19" s="47" t="s">
        <v>1266</v>
      </c>
      <c r="H19" s="44">
        <f>((19.3*0.52*0.8*4)+(19.3*7.2*0.3)+(6.8*2.2*0.8*2)+(9.5*3*0.8+9.5*1.8*0.3)+(17.8*0.55*2.8*2))</f>
        <v>180.49320000000003</v>
      </c>
      <c r="I19" s="46"/>
      <c r="N19" s="49"/>
    </row>
    <row r="20" spans="1:14" ht="33" customHeight="1">
      <c r="A20" s="12"/>
      <c r="B20" s="7"/>
      <c r="C20" s="8"/>
      <c r="D20" s="44"/>
      <c r="E20" s="44"/>
      <c r="F20" s="45" t="s">
        <v>1248</v>
      </c>
      <c r="G20" s="45" t="s">
        <v>1249</v>
      </c>
      <c r="H20" s="44">
        <f>((0.9*0.25*80)+(1.25*0.25*263)+(1.15*0.2*263+0.5*0.5*1.05*31))</f>
        <v>168.815</v>
      </c>
      <c r="I20" s="46"/>
      <c r="N20" s="49"/>
    </row>
    <row r="21" spans="1:14" ht="16.5" customHeight="1">
      <c r="A21" s="12"/>
      <c r="B21" s="7"/>
      <c r="C21" s="8"/>
      <c r="D21" s="44"/>
      <c r="E21" s="44"/>
      <c r="F21" s="45" t="s">
        <v>1274</v>
      </c>
      <c r="G21" s="45" t="s">
        <v>1247</v>
      </c>
      <c r="H21" s="44">
        <f>((1.1*0.8-(0.04*0.04*3.14*6))*263+(1.15*5))</f>
        <v>229.26212800000005</v>
      </c>
      <c r="I21" s="46"/>
      <c r="N21" s="49"/>
    </row>
    <row r="22" spans="1:14" ht="16.5" customHeight="1">
      <c r="A22" s="12"/>
      <c r="B22" s="7"/>
      <c r="C22" s="8"/>
      <c r="D22" s="44"/>
      <c r="E22" s="44"/>
      <c r="F22" s="45" t="s">
        <v>1276</v>
      </c>
      <c r="G22" s="45" t="s">
        <v>1275</v>
      </c>
      <c r="H22" s="44">
        <f>((2.1*2.4)-(1.5*1.75))*25.7+(2.1*1.25*0.6)</f>
        <v>63.640500000000003</v>
      </c>
      <c r="I22" s="46"/>
      <c r="N22" s="49"/>
    </row>
    <row r="23" spans="1:14" ht="16.5" customHeight="1">
      <c r="A23" s="12"/>
      <c r="B23" s="7"/>
      <c r="C23" s="8"/>
      <c r="D23" s="44"/>
      <c r="E23" s="44"/>
      <c r="F23" s="45" t="s">
        <v>1250</v>
      </c>
      <c r="G23" s="45" t="s">
        <v>1265</v>
      </c>
      <c r="H23" s="44">
        <f>((3.75*(0.3+0.6)/2*35.65)+(5.5*0.85*35.65))</f>
        <v>226.82312499999998</v>
      </c>
      <c r="I23" s="46"/>
      <c r="N23" s="49"/>
    </row>
    <row r="24" spans="1:14" ht="33" customHeight="1">
      <c r="A24" s="12"/>
      <c r="B24" s="7"/>
      <c r="C24" s="8"/>
      <c r="D24" s="44"/>
      <c r="E24" s="44"/>
      <c r="F24" s="45" t="s">
        <v>1251</v>
      </c>
      <c r="G24" s="45" t="s">
        <v>1253</v>
      </c>
      <c r="H24" s="44">
        <f>((3.75*(0.3+0.6)/2*6.7)+(2.1*0.6*18.7)+(0.35*1.5*18.7)+(0.35*3.75*3.2))</f>
        <v>48.885749999999994</v>
      </c>
      <c r="I24" s="46"/>
      <c r="N24" s="49"/>
    </row>
    <row r="25" spans="1:14" ht="16.5" customHeight="1">
      <c r="A25" s="12"/>
      <c r="B25" s="7"/>
      <c r="C25" s="8"/>
      <c r="D25" s="44"/>
      <c r="E25" s="44"/>
      <c r="F25" s="45" t="s">
        <v>1257</v>
      </c>
      <c r="G25" s="45" t="s">
        <v>1254</v>
      </c>
      <c r="H25" s="44">
        <f>(277.6*0.525)</f>
        <v>145.74</v>
      </c>
      <c r="I25" s="46"/>
      <c r="N25" s="49"/>
    </row>
    <row r="26" spans="1:14" ht="33" customHeight="1">
      <c r="A26" s="12"/>
      <c r="B26" s="7"/>
      <c r="C26" s="8"/>
      <c r="D26" s="44"/>
      <c r="E26" s="44"/>
      <c r="F26" s="45" t="s">
        <v>1252</v>
      </c>
      <c r="G26" s="45" t="s">
        <v>1264</v>
      </c>
      <c r="H26" s="44">
        <f>(1.1*0.35*196.3)+((0.38*0.38*3.14-0.3*0.3*3.14)*196.3)+2.85*2</f>
        <v>114.80668080000002</v>
      </c>
      <c r="I26" s="46"/>
      <c r="N26" s="49"/>
    </row>
    <row r="27" spans="1:14" ht="16.5" customHeight="1">
      <c r="A27" s="12"/>
      <c r="B27" s="7"/>
      <c r="C27" s="8"/>
      <c r="D27" s="44"/>
      <c r="E27" s="44"/>
      <c r="F27" s="45" t="s">
        <v>1261</v>
      </c>
      <c r="G27" s="50" t="s">
        <v>1260</v>
      </c>
      <c r="H27" s="44">
        <f>(401.1+1104.5+1276+169.3+767.7+52.1)*0.3</f>
        <v>1131.21</v>
      </c>
      <c r="I27" s="46"/>
      <c r="N27" s="49"/>
    </row>
    <row r="28" spans="1:14" ht="16.5" customHeight="1">
      <c r="A28" s="12"/>
      <c r="B28" s="7"/>
      <c r="C28" s="8"/>
      <c r="D28" s="44"/>
      <c r="E28" s="44"/>
      <c r="F28" s="45" t="s">
        <v>1258</v>
      </c>
      <c r="G28" s="50" t="s">
        <v>1259</v>
      </c>
      <c r="H28" s="44">
        <f>(77.5+169.3+170.9+49.4)*0.25</f>
        <v>116.77500000000001</v>
      </c>
      <c r="I28" s="46"/>
      <c r="N28" s="49"/>
    </row>
    <row r="29" spans="1:14" ht="33" customHeight="1">
      <c r="A29" s="12"/>
      <c r="B29" s="7"/>
      <c r="C29" s="8"/>
      <c r="D29" s="44"/>
      <c r="E29" s="44"/>
      <c r="F29" s="45" t="s">
        <v>1267</v>
      </c>
      <c r="G29" s="50" t="s">
        <v>1268</v>
      </c>
      <c r="H29" s="44">
        <f>((112.1+241.1+229.5+0+60.8+0)*0.033)+((3+8+5.7+2.9)*0.5*0.75)</f>
        <v>28.585500000000003</v>
      </c>
      <c r="I29" s="46"/>
      <c r="N29" s="49"/>
    </row>
    <row r="30" spans="1:14" ht="16.5" customHeight="1">
      <c r="A30" s="12"/>
      <c r="B30" s="7"/>
      <c r="C30" s="8"/>
      <c r="D30" s="44"/>
      <c r="E30" s="44"/>
      <c r="F30" s="45" t="s">
        <v>1271</v>
      </c>
      <c r="G30" s="45" t="s">
        <v>1272</v>
      </c>
      <c r="H30" s="44">
        <f>(0.8*(0.75+0.35)/2*18.2)+(0.8*0.8*1.45*7)</f>
        <v>14.504000000000001</v>
      </c>
      <c r="I30" s="46"/>
      <c r="N30" s="49"/>
    </row>
    <row r="31" spans="1:14" ht="33" customHeight="1">
      <c r="A31" s="12"/>
      <c r="B31" s="7"/>
      <c r="C31" s="8"/>
      <c r="D31" s="44"/>
      <c r="E31" s="44"/>
      <c r="F31" s="45" t="s">
        <v>1269</v>
      </c>
      <c r="G31" s="45" t="s">
        <v>1270</v>
      </c>
      <c r="H31" s="44">
        <f>(0.25*1.65*39)+((3.5*(0.3+0.6)/2*5.6)+(2.1*0.6*2.3))+(6.2*5.3*0.35+2.1*2.2*0.6)</f>
        <v>42.078499999999991</v>
      </c>
      <c r="I31" s="46"/>
      <c r="N31" s="49"/>
    </row>
    <row r="32" spans="1:14" ht="16.5" customHeight="1">
      <c r="A32" s="12"/>
      <c r="B32" s="7"/>
      <c r="C32" s="8"/>
      <c r="D32" s="44"/>
      <c r="E32" s="44"/>
      <c r="F32" s="45"/>
      <c r="G32" s="45"/>
      <c r="H32" s="44"/>
      <c r="I32" s="46"/>
      <c r="N32" s="49"/>
    </row>
    <row r="33" spans="1:14" ht="16.5" customHeight="1">
      <c r="A33" s="12"/>
      <c r="B33" s="7"/>
      <c r="C33" s="8"/>
      <c r="D33" s="44"/>
      <c r="E33" s="44"/>
      <c r="F33" s="45"/>
      <c r="G33" s="45"/>
      <c r="H33" s="44"/>
      <c r="I33" s="46"/>
      <c r="N33" s="49"/>
    </row>
    <row r="34" spans="1:14" ht="16.5" customHeight="1">
      <c r="A34" s="12"/>
      <c r="B34" s="7"/>
      <c r="C34" s="8"/>
      <c r="D34" s="44"/>
      <c r="E34" s="44"/>
      <c r="F34" s="45"/>
      <c r="G34" s="45"/>
      <c r="H34" s="44"/>
      <c r="I34" s="46"/>
      <c r="N34" s="49"/>
    </row>
    <row r="35" spans="1:14" ht="30.75" customHeight="1">
      <c r="A35" s="12" t="s">
        <v>43</v>
      </c>
      <c r="B35" s="7" t="s">
        <v>249</v>
      </c>
      <c r="C35" s="8" t="s">
        <v>8</v>
      </c>
      <c r="D35" s="44">
        <v>1743</v>
      </c>
      <c r="E35" s="44"/>
      <c r="F35" s="45" t="s">
        <v>1235</v>
      </c>
      <c r="G35" s="47" t="s">
        <v>1236</v>
      </c>
      <c r="H35" s="44">
        <f>(27.2*16+10.5*6)+(1.25*6*12*5)+(2.3*6*7*2)+(3.8*6+5.2*8)+(2.5*3.14*6)</f>
        <v>1252.9000000000001</v>
      </c>
      <c r="I35" s="48">
        <f>SUM(H35:H37)</f>
        <v>1747.3000000000002</v>
      </c>
      <c r="M35" s="111">
        <v>1741.3</v>
      </c>
      <c r="N35" s="49">
        <f>I35-M35</f>
        <v>6.0000000000002274</v>
      </c>
    </row>
    <row r="36" spans="1:14" ht="16.5" customHeight="1">
      <c r="A36" s="12"/>
      <c r="B36" s="7"/>
      <c r="C36" s="8"/>
      <c r="D36" s="44"/>
      <c r="E36" s="44"/>
      <c r="F36" s="45" t="s">
        <v>1281</v>
      </c>
      <c r="G36" s="47" t="s">
        <v>1280</v>
      </c>
      <c r="H36" s="44">
        <f>18*12+8.5*4+(1.1*6*12*3+0.8)+(3*2)</f>
        <v>494.40000000000003</v>
      </c>
      <c r="I36" s="46"/>
      <c r="N36" s="49"/>
    </row>
    <row r="37" spans="1:14" ht="16.5" customHeight="1">
      <c r="A37" s="12"/>
      <c r="B37" s="7"/>
      <c r="C37" s="8"/>
      <c r="D37" s="44"/>
      <c r="E37" s="44"/>
      <c r="F37" s="45"/>
      <c r="G37" s="47"/>
      <c r="H37" s="44"/>
      <c r="I37" s="46"/>
      <c r="N37" s="49"/>
    </row>
    <row r="38" spans="1:14" ht="38.25" customHeight="1">
      <c r="A38" s="12" t="s">
        <v>44</v>
      </c>
      <c r="B38" s="53" t="s">
        <v>229</v>
      </c>
      <c r="C38" s="8" t="s">
        <v>23</v>
      </c>
      <c r="D38" s="44">
        <v>26370</v>
      </c>
      <c r="E38" s="44">
        <v>28009.56</v>
      </c>
      <c r="F38" s="45" t="s">
        <v>1279</v>
      </c>
      <c r="G38" s="51" t="s">
        <v>1278</v>
      </c>
      <c r="H38" s="54">
        <v>26370</v>
      </c>
      <c r="I38" s="48">
        <f>SUM(H38:H41)</f>
        <v>28009.56</v>
      </c>
      <c r="M38" s="111">
        <v>25080</v>
      </c>
      <c r="N38" s="49">
        <f>I38-M38</f>
        <v>2929.5600000000013</v>
      </c>
    </row>
    <row r="39" spans="1:14" ht="33" customHeight="1">
      <c r="A39" s="12"/>
      <c r="B39" s="7"/>
      <c r="C39" s="8"/>
      <c r="D39" s="44"/>
      <c r="E39" s="44"/>
      <c r="F39" s="45" t="s">
        <v>1286</v>
      </c>
      <c r="G39" s="47" t="s">
        <v>1287</v>
      </c>
      <c r="H39" s="44">
        <f>((5*6*6.5*2)+(13*3.5*6.8)+(3.2*8.5*1.6))+((747.2+149.44))</f>
        <v>1639.56</v>
      </c>
      <c r="I39" s="46"/>
      <c r="N39" s="49"/>
    </row>
    <row r="40" spans="1:14" ht="16.5" customHeight="1">
      <c r="A40" s="12"/>
      <c r="B40" s="7"/>
      <c r="C40" s="8"/>
      <c r="D40" s="44"/>
      <c r="E40" s="44"/>
      <c r="F40" s="45"/>
      <c r="G40" s="47"/>
      <c r="H40" s="44"/>
      <c r="I40" s="46"/>
      <c r="N40" s="49"/>
    </row>
    <row r="41" spans="1:14" ht="16.5" customHeight="1">
      <c r="A41" s="12"/>
      <c r="B41" s="7"/>
      <c r="C41" s="8"/>
      <c r="D41" s="44"/>
      <c r="E41" s="44"/>
      <c r="F41" s="45"/>
      <c r="G41" s="47"/>
      <c r="H41" s="44"/>
      <c r="I41" s="46"/>
      <c r="N41" s="49"/>
    </row>
    <row r="42" spans="1:14" ht="33">
      <c r="A42" s="12" t="s">
        <v>45</v>
      </c>
      <c r="B42" s="10" t="s">
        <v>252</v>
      </c>
      <c r="C42" s="8" t="s">
        <v>6</v>
      </c>
      <c r="D42" s="44">
        <v>4726.67</v>
      </c>
      <c r="E42" s="44"/>
      <c r="F42" s="45" t="s">
        <v>1284</v>
      </c>
      <c r="G42" s="45" t="s">
        <v>1285</v>
      </c>
      <c r="H42" s="44">
        <f>(7.5*55*0.24)+(9.6*37*0.25)+(7.1*243*0.24)</f>
        <v>601.87199999999996</v>
      </c>
      <c r="I42" s="48">
        <f>SUM(H42:H44)</f>
        <v>601.87199999999996</v>
      </c>
      <c r="M42" s="111">
        <v>569.4</v>
      </c>
      <c r="N42" s="49">
        <f>I42-M42</f>
        <v>32.47199999999998</v>
      </c>
    </row>
    <row r="43" spans="1:14">
      <c r="A43" s="12"/>
      <c r="B43" s="7"/>
      <c r="C43" s="8"/>
      <c r="D43" s="44"/>
      <c r="E43" s="44"/>
      <c r="F43" s="45"/>
      <c r="G43" s="45"/>
      <c r="H43" s="44"/>
      <c r="I43" s="46"/>
      <c r="M43" s="30"/>
      <c r="N43" s="49"/>
    </row>
    <row r="44" spans="1:14">
      <c r="A44" s="12"/>
      <c r="B44" s="7"/>
      <c r="C44" s="8"/>
      <c r="D44" s="44"/>
      <c r="E44" s="44"/>
      <c r="F44" s="45"/>
      <c r="G44" s="45"/>
      <c r="H44" s="44"/>
      <c r="I44" s="46"/>
      <c r="M44" s="30"/>
      <c r="N44" s="49"/>
    </row>
    <row r="45" spans="1:14" ht="33">
      <c r="A45" s="12" t="s">
        <v>254</v>
      </c>
      <c r="B45" s="7" t="s">
        <v>255</v>
      </c>
      <c r="C45" s="8" t="s">
        <v>6</v>
      </c>
      <c r="D45" s="44">
        <v>13120</v>
      </c>
      <c r="E45" s="44"/>
      <c r="F45" s="45" t="s">
        <v>1319</v>
      </c>
      <c r="G45" s="45" t="s">
        <v>1290</v>
      </c>
      <c r="H45" s="44">
        <f>(16.5*9.2*4.6+21.2*4.7*4.2)+(11.2*3.2*4.6)+(9.5*3.5*2.9)</f>
        <v>1378.0569999999998</v>
      </c>
      <c r="I45" s="48">
        <f>SUM(H45:H51)</f>
        <v>3967.7769999999996</v>
      </c>
      <c r="M45" s="111">
        <v>2172</v>
      </c>
      <c r="N45" s="49">
        <f>I45-M45</f>
        <v>1795.7769999999996</v>
      </c>
    </row>
    <row r="46" spans="1:14">
      <c r="A46" s="12"/>
      <c r="B46" s="7"/>
      <c r="C46" s="8"/>
      <c r="D46" s="44"/>
      <c r="E46" s="44"/>
      <c r="F46" s="45" t="s">
        <v>1288</v>
      </c>
      <c r="G46" s="45" t="s">
        <v>1289</v>
      </c>
      <c r="H46" s="44">
        <f>(0.8*4.5*52.3)+(1.2*4.5*52.3)</f>
        <v>470.69999999999993</v>
      </c>
      <c r="I46" s="46"/>
      <c r="N46" s="49"/>
    </row>
    <row r="47" spans="1:14">
      <c r="A47" s="12"/>
      <c r="B47" s="7"/>
      <c r="C47" s="8"/>
      <c r="D47" s="44"/>
      <c r="E47" s="44"/>
      <c r="F47" s="45" t="s">
        <v>1292</v>
      </c>
      <c r="G47" s="50" t="s">
        <v>1291</v>
      </c>
      <c r="H47" s="55">
        <f>381.5*0.8</f>
        <v>305.2</v>
      </c>
      <c r="I47" s="46"/>
      <c r="N47" s="49"/>
    </row>
    <row r="48" spans="1:14">
      <c r="A48" s="12"/>
      <c r="B48" s="7"/>
      <c r="C48" s="8"/>
      <c r="D48" s="44"/>
      <c r="E48" s="44"/>
      <c r="F48" s="45" t="s">
        <v>1293</v>
      </c>
      <c r="G48" s="56" t="s">
        <v>1296</v>
      </c>
      <c r="H48" s="55">
        <f>(0.8*1.9*2*23+3.4*2.7*23)+(0.8*2.1*2*41)</f>
        <v>418.82000000000005</v>
      </c>
      <c r="I48" s="46"/>
      <c r="N48" s="49"/>
    </row>
    <row r="49" spans="1:14">
      <c r="A49" s="12"/>
      <c r="B49" s="7"/>
      <c r="C49" s="8"/>
      <c r="D49" s="44"/>
      <c r="E49" s="44"/>
      <c r="F49" s="45" t="s">
        <v>1294</v>
      </c>
      <c r="G49" s="45"/>
      <c r="H49" s="44"/>
      <c r="I49" s="46"/>
      <c r="N49" s="49"/>
    </row>
    <row r="50" spans="1:14">
      <c r="A50" s="12"/>
      <c r="B50" s="7"/>
      <c r="C50" s="8"/>
      <c r="D50" s="44"/>
      <c r="E50" s="44"/>
      <c r="F50" s="45" t="s">
        <v>1295</v>
      </c>
      <c r="G50" s="120" t="s">
        <v>1581</v>
      </c>
      <c r="H50" s="121">
        <f>775*1.8</f>
        <v>1395</v>
      </c>
      <c r="I50" s="46"/>
      <c r="N50" s="49"/>
    </row>
    <row r="51" spans="1:14">
      <c r="A51" s="12"/>
      <c r="B51" s="7"/>
      <c r="C51" s="8"/>
      <c r="D51" s="44"/>
      <c r="E51" s="44"/>
      <c r="F51" s="45"/>
      <c r="G51" s="45"/>
      <c r="H51" s="44"/>
      <c r="I51" s="46"/>
      <c r="N51" s="49"/>
    </row>
    <row r="52" spans="1:14" ht="29.25" customHeight="1">
      <c r="A52" s="12" t="s">
        <v>257</v>
      </c>
      <c r="B52" s="7" t="s">
        <v>258</v>
      </c>
      <c r="C52" s="8" t="s">
        <v>23</v>
      </c>
      <c r="D52" s="44">
        <v>13251</v>
      </c>
      <c r="E52" s="44"/>
      <c r="F52" s="45" t="s">
        <v>1283</v>
      </c>
      <c r="G52" s="45" t="s">
        <v>1283</v>
      </c>
      <c r="H52" s="44">
        <v>10404</v>
      </c>
      <c r="I52" s="48">
        <f>H52</f>
        <v>10404</v>
      </c>
      <c r="M52" s="111">
        <v>10404</v>
      </c>
      <c r="N52" s="49">
        <f>I52-M52</f>
        <v>0</v>
      </c>
    </row>
    <row r="53" spans="1:14" ht="33">
      <c r="A53" s="12" t="s">
        <v>260</v>
      </c>
      <c r="B53" s="10" t="s">
        <v>261</v>
      </c>
      <c r="C53" s="8" t="s">
        <v>6</v>
      </c>
      <c r="D53" s="44">
        <v>4601.4399999999996</v>
      </c>
      <c r="E53" s="44"/>
      <c r="F53" s="45"/>
      <c r="G53" s="45"/>
      <c r="H53" s="44"/>
      <c r="I53" s="46" t="s">
        <v>243</v>
      </c>
      <c r="N53" s="49"/>
    </row>
    <row r="54" spans="1:14" ht="57">
      <c r="A54" s="12" t="s">
        <v>263</v>
      </c>
      <c r="B54" s="10" t="s">
        <v>264</v>
      </c>
      <c r="C54" s="8" t="s">
        <v>13</v>
      </c>
      <c r="D54" s="44">
        <v>2588.5</v>
      </c>
      <c r="E54" s="44"/>
      <c r="F54" s="45"/>
      <c r="G54" s="45"/>
      <c r="H54" s="44"/>
      <c r="I54" s="46" t="s">
        <v>243</v>
      </c>
      <c r="N54" s="49"/>
    </row>
    <row r="55" spans="1:14">
      <c r="A55" s="12"/>
      <c r="B55" s="7"/>
      <c r="C55" s="8"/>
      <c r="D55" s="44"/>
      <c r="E55" s="44"/>
      <c r="F55" s="45"/>
      <c r="G55" s="45"/>
      <c r="H55" s="44"/>
      <c r="I55" s="46"/>
      <c r="N55" s="49"/>
    </row>
    <row r="56" spans="1:14" ht="57">
      <c r="A56" s="12" t="s">
        <v>266</v>
      </c>
      <c r="B56" s="10" t="s">
        <v>267</v>
      </c>
      <c r="C56" s="8" t="s">
        <v>13</v>
      </c>
      <c r="D56" s="44">
        <v>9177</v>
      </c>
      <c r="E56" s="44"/>
      <c r="F56" s="45" t="s">
        <v>1284</v>
      </c>
      <c r="G56" s="45" t="s">
        <v>1297</v>
      </c>
      <c r="H56" s="44">
        <f>(7.5*55*2.5)+(9.6*37*2.5)+(7.1*243*2.5)</f>
        <v>6232.5</v>
      </c>
      <c r="I56" s="48">
        <f>H56</f>
        <v>6232.5</v>
      </c>
      <c r="M56" s="111">
        <v>4745</v>
      </c>
      <c r="N56" s="49">
        <f>I56-M56</f>
        <v>1487.5</v>
      </c>
    </row>
    <row r="57" spans="1:14">
      <c r="A57" s="12"/>
      <c r="B57" s="7"/>
      <c r="C57" s="8"/>
      <c r="D57" s="44"/>
      <c r="E57" s="44"/>
      <c r="F57" s="45"/>
      <c r="G57" s="45"/>
      <c r="H57" s="44"/>
      <c r="I57" s="48"/>
      <c r="N57" s="49"/>
    </row>
    <row r="58" spans="1:14" ht="42.75">
      <c r="A58" s="12" t="s">
        <v>269</v>
      </c>
      <c r="B58" s="10" t="s">
        <v>270</v>
      </c>
      <c r="C58" s="8" t="s">
        <v>8</v>
      </c>
      <c r="D58" s="44">
        <v>162.5</v>
      </c>
      <c r="E58" s="44"/>
      <c r="F58" s="45" t="s">
        <v>1298</v>
      </c>
      <c r="G58" s="45" t="s">
        <v>1299</v>
      </c>
      <c r="H58" s="44">
        <f>(27.9+9.6+7.5+7.1)</f>
        <v>52.1</v>
      </c>
      <c r="I58" s="48">
        <f t="shared" ref="I58:I64" si="0">H58</f>
        <v>52.1</v>
      </c>
      <c r="M58" s="111">
        <v>0</v>
      </c>
      <c r="N58" s="49">
        <f>I58-M58</f>
        <v>52.1</v>
      </c>
    </row>
    <row r="59" spans="1:14">
      <c r="A59" s="12"/>
      <c r="B59" s="7"/>
      <c r="C59" s="8"/>
      <c r="D59" s="44"/>
      <c r="E59" s="44"/>
      <c r="F59" s="45"/>
      <c r="G59" s="45"/>
      <c r="H59" s="44"/>
      <c r="I59" s="48"/>
      <c r="M59" s="30"/>
      <c r="N59" s="49"/>
    </row>
    <row r="60" spans="1:14" ht="42.75">
      <c r="A60" s="12" t="s">
        <v>272</v>
      </c>
      <c r="B60" s="10" t="s">
        <v>273</v>
      </c>
      <c r="C60" s="8" t="s">
        <v>13</v>
      </c>
      <c r="D60" s="44">
        <v>5217.7</v>
      </c>
      <c r="E60" s="44"/>
      <c r="F60" s="50" t="s">
        <v>1437</v>
      </c>
      <c r="G60" s="50" t="s">
        <v>1300</v>
      </c>
      <c r="H60" s="44">
        <v>3637</v>
      </c>
      <c r="I60" s="48">
        <f t="shared" si="0"/>
        <v>3637</v>
      </c>
      <c r="M60" s="111">
        <v>3637</v>
      </c>
      <c r="N60" s="49">
        <f>I60-M60</f>
        <v>0</v>
      </c>
    </row>
    <row r="61" spans="1:14">
      <c r="A61" s="12"/>
      <c r="B61" s="7"/>
      <c r="C61" s="8"/>
      <c r="D61" s="44"/>
      <c r="E61" s="44"/>
      <c r="F61" s="45"/>
      <c r="G61" s="45"/>
      <c r="H61" s="44"/>
      <c r="I61" s="48"/>
      <c r="M61" s="30"/>
      <c r="N61" s="49"/>
    </row>
    <row r="62" spans="1:14" ht="31.5">
      <c r="A62" s="12" t="s">
        <v>275</v>
      </c>
      <c r="B62" s="7" t="s">
        <v>276</v>
      </c>
      <c r="C62" s="8" t="s">
        <v>6</v>
      </c>
      <c r="D62" s="44">
        <v>782.66</v>
      </c>
      <c r="E62" s="44"/>
      <c r="F62" s="45" t="s">
        <v>1282</v>
      </c>
      <c r="G62" s="120" t="s">
        <v>1580</v>
      </c>
      <c r="H62" s="121">
        <f>61+14</f>
        <v>75</v>
      </c>
      <c r="I62" s="48">
        <f t="shared" si="0"/>
        <v>75</v>
      </c>
      <c r="M62" s="111">
        <v>61</v>
      </c>
      <c r="N62" s="49">
        <f>I62-M62</f>
        <v>14</v>
      </c>
    </row>
    <row r="63" spans="1:14" ht="33">
      <c r="A63" s="12" t="s">
        <v>278</v>
      </c>
      <c r="B63" s="7" t="s">
        <v>279</v>
      </c>
      <c r="C63" s="8" t="s">
        <v>14</v>
      </c>
      <c r="D63" s="44">
        <v>425</v>
      </c>
      <c r="E63" s="44"/>
      <c r="F63" s="45" t="s">
        <v>1301</v>
      </c>
      <c r="G63" s="45">
        <v>425</v>
      </c>
      <c r="H63" s="44">
        <v>425</v>
      </c>
      <c r="I63" s="48">
        <f t="shared" si="0"/>
        <v>425</v>
      </c>
      <c r="M63" s="111">
        <v>425</v>
      </c>
      <c r="N63" s="49">
        <f>I63-M63</f>
        <v>0</v>
      </c>
    </row>
    <row r="64" spans="1:14" ht="43.5" customHeight="1">
      <c r="A64" s="12" t="s">
        <v>281</v>
      </c>
      <c r="B64" s="10" t="s">
        <v>282</v>
      </c>
      <c r="C64" s="8" t="s">
        <v>8</v>
      </c>
      <c r="D64" s="44">
        <v>255.5</v>
      </c>
      <c r="E64" s="44"/>
      <c r="F64" s="45" t="s">
        <v>1302</v>
      </c>
      <c r="G64" s="45" t="s">
        <v>1303</v>
      </c>
      <c r="H64" s="44">
        <f>35+(55-0.5*7)+(27*8+6.5+5.3)</f>
        <v>314.3</v>
      </c>
      <c r="I64" s="48">
        <f t="shared" si="0"/>
        <v>314.3</v>
      </c>
      <c r="M64" s="111">
        <v>176</v>
      </c>
      <c r="N64" s="49">
        <f>I64-M64</f>
        <v>138.30000000000001</v>
      </c>
    </row>
    <row r="65" spans="1:14">
      <c r="A65" s="12"/>
      <c r="B65" s="7"/>
      <c r="C65" s="8"/>
      <c r="D65" s="44"/>
      <c r="E65" s="44"/>
      <c r="F65" s="45"/>
      <c r="G65" s="45"/>
      <c r="H65" s="44"/>
      <c r="I65" s="46"/>
      <c r="N65" s="49"/>
    </row>
    <row r="66" spans="1:14">
      <c r="A66" s="12"/>
      <c r="B66" s="7"/>
      <c r="C66" s="8"/>
      <c r="D66" s="44"/>
      <c r="E66" s="44"/>
      <c r="F66" s="45"/>
      <c r="G66" s="45"/>
      <c r="H66" s="44"/>
      <c r="I66" s="46"/>
      <c r="N66" s="49"/>
    </row>
    <row r="67" spans="1:14" ht="31.5">
      <c r="A67" s="12" t="s">
        <v>284</v>
      </c>
      <c r="B67" s="7" t="s">
        <v>285</v>
      </c>
      <c r="C67" s="8" t="s">
        <v>286</v>
      </c>
      <c r="D67" s="44">
        <v>2204</v>
      </c>
      <c r="E67" s="44"/>
      <c r="F67" s="45" t="s">
        <v>1282</v>
      </c>
      <c r="G67" s="120" t="s">
        <v>1582</v>
      </c>
      <c r="H67" s="121">
        <f>1633+306</f>
        <v>1939</v>
      </c>
      <c r="I67" s="48">
        <f t="shared" ref="I67:I72" si="1">H67</f>
        <v>1939</v>
      </c>
      <c r="M67" s="111">
        <v>1633</v>
      </c>
      <c r="N67" s="49">
        <f t="shared" ref="N67:N72" si="2">I67-M67</f>
        <v>306</v>
      </c>
    </row>
    <row r="68" spans="1:14" ht="33">
      <c r="A68" s="12" t="s">
        <v>288</v>
      </c>
      <c r="B68" s="7" t="s">
        <v>289</v>
      </c>
      <c r="C68" s="8" t="s">
        <v>290</v>
      </c>
      <c r="D68" s="44">
        <v>66</v>
      </c>
      <c r="E68" s="44"/>
      <c r="F68" s="45" t="s">
        <v>1304</v>
      </c>
      <c r="G68" s="45" t="s">
        <v>1305</v>
      </c>
      <c r="H68" s="44">
        <f>9+12+22*2</f>
        <v>65</v>
      </c>
      <c r="I68" s="48">
        <f t="shared" si="1"/>
        <v>65</v>
      </c>
      <c r="M68" s="111">
        <v>65</v>
      </c>
      <c r="N68" s="49">
        <f t="shared" si="2"/>
        <v>0</v>
      </c>
    </row>
    <row r="69" spans="1:14">
      <c r="A69" s="12" t="s">
        <v>292</v>
      </c>
      <c r="B69" s="7" t="s">
        <v>293</v>
      </c>
      <c r="C69" s="8" t="s">
        <v>0</v>
      </c>
      <c r="D69" s="44">
        <v>18</v>
      </c>
      <c r="E69" s="44"/>
      <c r="F69" s="45"/>
      <c r="G69" s="120" t="s">
        <v>1306</v>
      </c>
      <c r="H69" s="121">
        <v>18</v>
      </c>
      <c r="I69" s="48">
        <f t="shared" si="1"/>
        <v>18</v>
      </c>
      <c r="M69" s="111">
        <v>14</v>
      </c>
      <c r="N69" s="49">
        <f t="shared" si="2"/>
        <v>4</v>
      </c>
    </row>
    <row r="70" spans="1:14">
      <c r="A70" s="12" t="s">
        <v>295</v>
      </c>
      <c r="B70" s="7" t="s">
        <v>296</v>
      </c>
      <c r="C70" s="8" t="s">
        <v>0</v>
      </c>
      <c r="D70" s="44">
        <v>4</v>
      </c>
      <c r="E70" s="44"/>
      <c r="F70" s="45"/>
      <c r="G70" s="45"/>
      <c r="H70" s="44"/>
      <c r="I70" s="48">
        <f t="shared" si="1"/>
        <v>0</v>
      </c>
      <c r="M70" s="111">
        <v>0</v>
      </c>
      <c r="N70" s="49">
        <f t="shared" si="2"/>
        <v>0</v>
      </c>
    </row>
    <row r="71" spans="1:14">
      <c r="A71" s="12" t="s">
        <v>298</v>
      </c>
      <c r="B71" s="7" t="s">
        <v>299</v>
      </c>
      <c r="C71" s="8" t="s">
        <v>0</v>
      </c>
      <c r="D71" s="44">
        <v>20</v>
      </c>
      <c r="E71" s="44"/>
      <c r="F71" s="45" t="s">
        <v>1230</v>
      </c>
      <c r="G71" s="120"/>
      <c r="H71" s="121">
        <v>20</v>
      </c>
      <c r="I71" s="48">
        <f t="shared" si="1"/>
        <v>20</v>
      </c>
      <c r="M71" s="111">
        <v>0</v>
      </c>
      <c r="N71" s="49">
        <f t="shared" si="2"/>
        <v>20</v>
      </c>
    </row>
    <row r="72" spans="1:14">
      <c r="A72" s="12" t="s">
        <v>301</v>
      </c>
      <c r="B72" s="7" t="s">
        <v>302</v>
      </c>
      <c r="C72" s="8" t="s">
        <v>0</v>
      </c>
      <c r="D72" s="44">
        <v>15</v>
      </c>
      <c r="E72" s="44"/>
      <c r="F72" s="45" t="s">
        <v>1307</v>
      </c>
      <c r="G72" s="45">
        <v>10</v>
      </c>
      <c r="H72" s="44">
        <v>10</v>
      </c>
      <c r="I72" s="48">
        <f t="shared" si="1"/>
        <v>10</v>
      </c>
      <c r="M72" s="111">
        <v>10</v>
      </c>
      <c r="N72" s="49">
        <f t="shared" si="2"/>
        <v>0</v>
      </c>
    </row>
    <row r="73" spans="1:14">
      <c r="A73" s="12"/>
      <c r="B73" s="7"/>
      <c r="C73" s="8"/>
      <c r="D73" s="44"/>
      <c r="E73" s="44"/>
      <c r="F73" s="45"/>
      <c r="G73" s="45"/>
      <c r="H73" s="44"/>
      <c r="I73" s="46"/>
      <c r="N73" s="49"/>
    </row>
    <row r="74" spans="1:14" ht="28.5">
      <c r="A74" s="12" t="s">
        <v>304</v>
      </c>
      <c r="B74" s="10" t="s">
        <v>1308</v>
      </c>
      <c r="C74" s="8" t="s">
        <v>4</v>
      </c>
      <c r="D74" s="44">
        <v>1</v>
      </c>
      <c r="E74" s="44"/>
      <c r="F74" s="45" t="s">
        <v>1309</v>
      </c>
      <c r="G74" s="45"/>
      <c r="H74" s="44">
        <v>1</v>
      </c>
      <c r="I74" s="48">
        <f>H74</f>
        <v>1</v>
      </c>
      <c r="M74" s="111">
        <v>1</v>
      </c>
      <c r="N74" s="49">
        <f>I74-M74</f>
        <v>0</v>
      </c>
    </row>
    <row r="75" spans="1:14" ht="42.75">
      <c r="A75" s="12" t="s">
        <v>307</v>
      </c>
      <c r="B75" s="10" t="s">
        <v>31</v>
      </c>
      <c r="C75" s="8" t="s">
        <v>16</v>
      </c>
      <c r="D75" s="44">
        <v>30800</v>
      </c>
      <c r="E75" s="44"/>
      <c r="F75" s="45" t="s">
        <v>1310</v>
      </c>
      <c r="G75" s="120" t="s">
        <v>1583</v>
      </c>
      <c r="H75" s="121">
        <f>14761+3220</f>
        <v>17981</v>
      </c>
      <c r="I75" s="48">
        <f>H75</f>
        <v>17981</v>
      </c>
      <c r="M75" s="111">
        <v>14761</v>
      </c>
      <c r="N75" s="49">
        <f>I75-M75</f>
        <v>3220</v>
      </c>
    </row>
    <row r="76" spans="1:14" ht="28.5">
      <c r="A76" s="12" t="s">
        <v>1311</v>
      </c>
      <c r="B76" s="10" t="s">
        <v>1312</v>
      </c>
      <c r="C76" s="8" t="s">
        <v>13</v>
      </c>
      <c r="D76" s="44"/>
      <c r="E76" s="44">
        <v>2150</v>
      </c>
      <c r="F76" s="45" t="s">
        <v>1317</v>
      </c>
      <c r="G76" s="45">
        <v>2150</v>
      </c>
      <c r="H76" s="44">
        <v>2150</v>
      </c>
      <c r="I76" s="48">
        <f>H76</f>
        <v>2150</v>
      </c>
      <c r="M76" s="111">
        <v>2150</v>
      </c>
      <c r="N76" s="49">
        <f>I76-M76</f>
        <v>0</v>
      </c>
    </row>
    <row r="77" spans="1:14">
      <c r="A77" s="12" t="s">
        <v>1313</v>
      </c>
      <c r="B77" s="7" t="s">
        <v>1314</v>
      </c>
      <c r="C77" s="8" t="s">
        <v>1315</v>
      </c>
      <c r="D77" s="44"/>
      <c r="E77" s="44">
        <v>111</v>
      </c>
      <c r="F77" s="50" t="s">
        <v>1316</v>
      </c>
      <c r="G77" s="50" t="s">
        <v>1316</v>
      </c>
      <c r="H77" s="44">
        <v>86</v>
      </c>
      <c r="I77" s="48">
        <f>H77</f>
        <v>86</v>
      </c>
      <c r="M77" s="111">
        <v>86</v>
      </c>
      <c r="N77" s="49">
        <f>I77-M77</f>
        <v>0</v>
      </c>
    </row>
    <row r="78" spans="1:14" ht="33">
      <c r="A78" s="114" t="s">
        <v>46</v>
      </c>
      <c r="B78" s="115" t="s">
        <v>309</v>
      </c>
      <c r="C78" s="116" t="s">
        <v>4</v>
      </c>
      <c r="D78" s="117">
        <v>1</v>
      </c>
      <c r="E78" s="117"/>
      <c r="F78" s="118"/>
      <c r="G78" s="118"/>
      <c r="H78" s="117"/>
      <c r="I78" s="119" t="s">
        <v>243</v>
      </c>
      <c r="N78" s="49"/>
    </row>
    <row r="79" spans="1:14" ht="33">
      <c r="A79" s="12" t="s">
        <v>47</v>
      </c>
      <c r="B79" s="7" t="s">
        <v>310</v>
      </c>
      <c r="C79" s="8" t="s">
        <v>223</v>
      </c>
      <c r="D79" s="44">
        <v>1887.64</v>
      </c>
      <c r="E79" s="44"/>
      <c r="F79" s="45"/>
      <c r="G79" s="45"/>
      <c r="H79" s="44"/>
      <c r="I79" s="46" t="s">
        <v>243</v>
      </c>
      <c r="M79" s="111">
        <v>0</v>
      </c>
      <c r="N79" s="49"/>
    </row>
    <row r="80" spans="1:14" ht="33">
      <c r="A80" s="12" t="s">
        <v>48</v>
      </c>
      <c r="B80" s="10" t="s">
        <v>312</v>
      </c>
      <c r="C80" s="8" t="s">
        <v>223</v>
      </c>
      <c r="D80" s="44">
        <v>402.21</v>
      </c>
      <c r="E80" s="44"/>
      <c r="F80" s="45"/>
      <c r="G80" s="45"/>
      <c r="H80" s="44"/>
      <c r="I80" s="46" t="s">
        <v>243</v>
      </c>
      <c r="M80" s="111">
        <v>0</v>
      </c>
      <c r="N80" s="49"/>
    </row>
    <row r="81" spans="1:14" ht="21.95" customHeight="1">
      <c r="A81" s="12" t="s">
        <v>49</v>
      </c>
      <c r="B81" s="7" t="s">
        <v>192</v>
      </c>
      <c r="C81" s="8" t="s">
        <v>17</v>
      </c>
      <c r="D81" s="44">
        <v>18865.759999999998</v>
      </c>
      <c r="E81" s="44"/>
      <c r="F81" s="45"/>
      <c r="G81" s="45"/>
      <c r="H81" s="44"/>
      <c r="I81" s="46" t="s">
        <v>243</v>
      </c>
      <c r="M81" s="111">
        <v>0</v>
      </c>
      <c r="N81" s="49"/>
    </row>
    <row r="82" spans="1:14" ht="33">
      <c r="A82" s="12" t="s">
        <v>50</v>
      </c>
      <c r="B82" s="10" t="s">
        <v>315</v>
      </c>
      <c r="C82" s="8" t="s">
        <v>6</v>
      </c>
      <c r="D82" s="44">
        <v>107.91</v>
      </c>
      <c r="E82" s="44"/>
      <c r="F82" s="45"/>
      <c r="G82" s="45"/>
      <c r="H82" s="44"/>
      <c r="I82" s="46" t="s">
        <v>243</v>
      </c>
      <c r="M82" s="111">
        <v>0</v>
      </c>
      <c r="N82" s="49"/>
    </row>
    <row r="83" spans="1:14" ht="33">
      <c r="A83" s="12" t="s">
        <v>51</v>
      </c>
      <c r="B83" s="10" t="s">
        <v>24</v>
      </c>
      <c r="C83" s="8" t="s">
        <v>6</v>
      </c>
      <c r="D83" s="44">
        <v>564.01</v>
      </c>
      <c r="E83" s="44"/>
      <c r="F83" s="45"/>
      <c r="G83" s="45"/>
      <c r="H83" s="44"/>
      <c r="I83" s="46" t="s">
        <v>243</v>
      </c>
      <c r="M83" s="111">
        <v>0</v>
      </c>
      <c r="N83" s="49"/>
    </row>
    <row r="84" spans="1:14" ht="21.95" customHeight="1">
      <c r="A84" s="12" t="s">
        <v>52</v>
      </c>
      <c r="B84" s="7" t="s">
        <v>193</v>
      </c>
      <c r="C84" s="8" t="s">
        <v>13</v>
      </c>
      <c r="D84" s="44">
        <v>1926.87</v>
      </c>
      <c r="E84" s="44"/>
      <c r="F84" s="45"/>
      <c r="G84" s="45"/>
      <c r="H84" s="44"/>
      <c r="I84" s="46" t="s">
        <v>243</v>
      </c>
      <c r="M84" s="111">
        <v>0</v>
      </c>
      <c r="N84" s="49"/>
    </row>
    <row r="85" spans="1:14" ht="21.95" customHeight="1">
      <c r="A85" s="12" t="s">
        <v>53</v>
      </c>
      <c r="B85" s="7" t="s">
        <v>319</v>
      </c>
      <c r="C85" s="8" t="s">
        <v>13</v>
      </c>
      <c r="D85" s="44">
        <v>301.33</v>
      </c>
      <c r="E85" s="44"/>
      <c r="F85" s="45"/>
      <c r="G85" s="45"/>
      <c r="H85" s="44"/>
      <c r="I85" s="46" t="s">
        <v>243</v>
      </c>
      <c r="M85" s="111">
        <v>0</v>
      </c>
      <c r="N85" s="49"/>
    </row>
    <row r="86" spans="1:14" ht="21.95" customHeight="1">
      <c r="A86" s="12" t="s">
        <v>54</v>
      </c>
      <c r="B86" s="7" t="s">
        <v>321</v>
      </c>
      <c r="C86" s="8" t="s">
        <v>17</v>
      </c>
      <c r="D86" s="44">
        <v>5991.34</v>
      </c>
      <c r="E86" s="44"/>
      <c r="F86" s="45"/>
      <c r="G86" s="45"/>
      <c r="H86" s="44"/>
      <c r="I86" s="46" t="s">
        <v>243</v>
      </c>
      <c r="M86" s="111">
        <v>0</v>
      </c>
      <c r="N86" s="49"/>
    </row>
    <row r="87" spans="1:14" ht="47.25">
      <c r="A87" s="12" t="s">
        <v>55</v>
      </c>
      <c r="B87" s="7" t="s">
        <v>323</v>
      </c>
      <c r="C87" s="8" t="s">
        <v>17</v>
      </c>
      <c r="D87" s="44">
        <v>5991.34</v>
      </c>
      <c r="E87" s="44"/>
      <c r="F87" s="45"/>
      <c r="G87" s="45"/>
      <c r="H87" s="44"/>
      <c r="I87" s="46" t="s">
        <v>243</v>
      </c>
      <c r="M87" s="111">
        <v>0</v>
      </c>
      <c r="N87" s="49"/>
    </row>
    <row r="88" spans="1:14" ht="56.25">
      <c r="A88" s="12" t="s">
        <v>56</v>
      </c>
      <c r="B88" s="53" t="s">
        <v>325</v>
      </c>
      <c r="C88" s="8" t="s">
        <v>17</v>
      </c>
      <c r="D88" s="44">
        <v>1180.03</v>
      </c>
      <c r="E88" s="44"/>
      <c r="F88" s="45"/>
      <c r="G88" s="45"/>
      <c r="H88" s="44"/>
      <c r="I88" s="46" t="s">
        <v>243</v>
      </c>
      <c r="M88" s="111">
        <v>0</v>
      </c>
      <c r="N88" s="49"/>
    </row>
    <row r="89" spans="1:14" ht="21.95" customHeight="1">
      <c r="A89" s="12" t="s">
        <v>57</v>
      </c>
      <c r="B89" s="7" t="s">
        <v>327</v>
      </c>
      <c r="C89" s="8" t="s">
        <v>13</v>
      </c>
      <c r="D89" s="44">
        <v>3879.21</v>
      </c>
      <c r="E89" s="44"/>
      <c r="F89" s="45"/>
      <c r="G89" s="45"/>
      <c r="H89" s="44"/>
      <c r="I89" s="46" t="s">
        <v>243</v>
      </c>
      <c r="M89" s="111">
        <v>0</v>
      </c>
      <c r="N89" s="49"/>
    </row>
    <row r="90" spans="1:14" ht="42.75">
      <c r="A90" s="12" t="s">
        <v>58</v>
      </c>
      <c r="B90" s="10" t="s">
        <v>329</v>
      </c>
      <c r="C90" s="8" t="s">
        <v>13</v>
      </c>
      <c r="D90" s="44">
        <v>462.9</v>
      </c>
      <c r="E90" s="44"/>
      <c r="F90" s="45"/>
      <c r="G90" s="45"/>
      <c r="H90" s="44"/>
      <c r="I90" s="46" t="s">
        <v>243</v>
      </c>
      <c r="M90" s="111">
        <v>0</v>
      </c>
      <c r="N90" s="49"/>
    </row>
    <row r="91" spans="1:14" ht="21.95" customHeight="1">
      <c r="A91" s="12" t="s">
        <v>59</v>
      </c>
      <c r="B91" s="7" t="s">
        <v>331</v>
      </c>
      <c r="C91" s="8" t="s">
        <v>13</v>
      </c>
      <c r="D91" s="44">
        <v>5.09</v>
      </c>
      <c r="E91" s="44"/>
      <c r="F91" s="45"/>
      <c r="G91" s="45"/>
      <c r="H91" s="44"/>
      <c r="I91" s="46" t="s">
        <v>243</v>
      </c>
      <c r="M91" s="111">
        <v>0</v>
      </c>
      <c r="N91" s="49"/>
    </row>
    <row r="92" spans="1:14" ht="21.95" customHeight="1">
      <c r="A92" s="12" t="s">
        <v>60</v>
      </c>
      <c r="B92" s="7" t="s">
        <v>333</v>
      </c>
      <c r="C92" s="8" t="s">
        <v>13</v>
      </c>
      <c r="D92" s="44">
        <v>18.760000000000002</v>
      </c>
      <c r="E92" s="44"/>
      <c r="F92" s="45"/>
      <c r="G92" s="45"/>
      <c r="H92" s="44"/>
      <c r="I92" s="46" t="s">
        <v>243</v>
      </c>
      <c r="M92" s="111">
        <v>0</v>
      </c>
      <c r="N92" s="49"/>
    </row>
    <row r="93" spans="1:14" ht="21.95" customHeight="1">
      <c r="A93" s="12" t="s">
        <v>61</v>
      </c>
      <c r="B93" s="7" t="s">
        <v>335</v>
      </c>
      <c r="C93" s="8" t="s">
        <v>13</v>
      </c>
      <c r="D93" s="44">
        <v>118.92</v>
      </c>
      <c r="E93" s="44"/>
      <c r="F93" s="45"/>
      <c r="G93" s="45"/>
      <c r="H93" s="44"/>
      <c r="I93" s="46" t="s">
        <v>243</v>
      </c>
      <c r="M93" s="111">
        <v>0</v>
      </c>
      <c r="N93" s="49"/>
    </row>
    <row r="94" spans="1:14" ht="21.95" customHeight="1">
      <c r="A94" s="12" t="s">
        <v>62</v>
      </c>
      <c r="B94" s="7" t="s">
        <v>337</v>
      </c>
      <c r="C94" s="8" t="s">
        <v>13</v>
      </c>
      <c r="D94" s="44">
        <v>173.3</v>
      </c>
      <c r="E94" s="44"/>
      <c r="F94" s="45"/>
      <c r="G94" s="45"/>
      <c r="H94" s="44"/>
      <c r="I94" s="46" t="s">
        <v>243</v>
      </c>
      <c r="M94" s="111">
        <v>0</v>
      </c>
      <c r="N94" s="49"/>
    </row>
    <row r="95" spans="1:14" ht="21.95" customHeight="1">
      <c r="A95" s="12" t="s">
        <v>63</v>
      </c>
      <c r="B95" s="7" t="s">
        <v>339</v>
      </c>
      <c r="C95" s="8" t="s">
        <v>0</v>
      </c>
      <c r="D95" s="44">
        <v>1</v>
      </c>
      <c r="E95" s="44"/>
      <c r="F95" s="45"/>
      <c r="G95" s="45"/>
      <c r="H95" s="44"/>
      <c r="I95" s="46" t="s">
        <v>243</v>
      </c>
      <c r="M95" s="111">
        <v>0</v>
      </c>
      <c r="N95" s="49"/>
    </row>
    <row r="96" spans="1:14" ht="21.95" customHeight="1">
      <c r="A96" s="12" t="s">
        <v>64</v>
      </c>
      <c r="B96" s="7" t="s">
        <v>341</v>
      </c>
      <c r="C96" s="8" t="s">
        <v>223</v>
      </c>
      <c r="D96" s="44">
        <v>156.68</v>
      </c>
      <c r="E96" s="44"/>
      <c r="F96" s="45"/>
      <c r="G96" s="45"/>
      <c r="H96" s="44"/>
      <c r="I96" s="46" t="s">
        <v>243</v>
      </c>
      <c r="M96" s="111">
        <v>0</v>
      </c>
      <c r="N96" s="49"/>
    </row>
    <row r="97" spans="1:14" ht="21.95" customHeight="1">
      <c r="A97" s="12" t="s">
        <v>65</v>
      </c>
      <c r="B97" s="7" t="s">
        <v>343</v>
      </c>
      <c r="C97" s="8" t="s">
        <v>8</v>
      </c>
      <c r="D97" s="44">
        <v>689.86</v>
      </c>
      <c r="E97" s="44"/>
      <c r="F97" s="45"/>
      <c r="G97" s="45"/>
      <c r="H97" s="44"/>
      <c r="I97" s="46" t="s">
        <v>243</v>
      </c>
      <c r="M97" s="111">
        <v>0</v>
      </c>
      <c r="N97" s="49"/>
    </row>
    <row r="98" spans="1:14" ht="21.95" customHeight="1">
      <c r="A98" s="12" t="s">
        <v>66</v>
      </c>
      <c r="B98" s="7" t="s">
        <v>345</v>
      </c>
      <c r="C98" s="8" t="s">
        <v>8</v>
      </c>
      <c r="D98" s="44">
        <v>12.91</v>
      </c>
      <c r="E98" s="44"/>
      <c r="F98" s="45"/>
      <c r="G98" s="45"/>
      <c r="H98" s="44"/>
      <c r="I98" s="46" t="s">
        <v>243</v>
      </c>
      <c r="M98" s="111">
        <v>0</v>
      </c>
      <c r="N98" s="49"/>
    </row>
    <row r="99" spans="1:14" ht="21.95" customHeight="1">
      <c r="A99" s="12" t="s">
        <v>67</v>
      </c>
      <c r="B99" s="7" t="s">
        <v>347</v>
      </c>
      <c r="C99" s="8" t="s">
        <v>8</v>
      </c>
      <c r="D99" s="44">
        <v>56.09</v>
      </c>
      <c r="E99" s="44"/>
      <c r="F99" s="45"/>
      <c r="G99" s="45"/>
      <c r="H99" s="44"/>
      <c r="I99" s="46" t="s">
        <v>243</v>
      </c>
      <c r="M99" s="111">
        <v>0</v>
      </c>
      <c r="N99" s="49"/>
    </row>
    <row r="100" spans="1:14" ht="21.95" customHeight="1">
      <c r="A100" s="12" t="s">
        <v>68</v>
      </c>
      <c r="B100" s="7" t="s">
        <v>349</v>
      </c>
      <c r="C100" s="8" t="s">
        <v>8</v>
      </c>
      <c r="D100" s="44">
        <v>656.91</v>
      </c>
      <c r="E100" s="44"/>
      <c r="F100" s="45"/>
      <c r="G100" s="45"/>
      <c r="H100" s="44"/>
      <c r="I100" s="46" t="s">
        <v>243</v>
      </c>
      <c r="M100" s="111">
        <v>0</v>
      </c>
      <c r="N100" s="49"/>
    </row>
    <row r="101" spans="1:14" ht="21.95" customHeight="1">
      <c r="A101" s="12" t="s">
        <v>69</v>
      </c>
      <c r="B101" s="7" t="s">
        <v>351</v>
      </c>
      <c r="C101" s="8" t="s">
        <v>8</v>
      </c>
      <c r="D101" s="44">
        <v>1254.1300000000001</v>
      </c>
      <c r="E101" s="44"/>
      <c r="F101" s="45"/>
      <c r="G101" s="45"/>
      <c r="H101" s="44"/>
      <c r="I101" s="46" t="s">
        <v>243</v>
      </c>
      <c r="M101" s="111">
        <v>0</v>
      </c>
      <c r="N101" s="49"/>
    </row>
    <row r="102" spans="1:14" ht="21.95" customHeight="1">
      <c r="A102" s="12" t="s">
        <v>70</v>
      </c>
      <c r="B102" s="7" t="s">
        <v>353</v>
      </c>
      <c r="C102" s="8" t="s">
        <v>8</v>
      </c>
      <c r="D102" s="44">
        <v>44.64</v>
      </c>
      <c r="E102" s="44"/>
      <c r="F102" s="45"/>
      <c r="G102" s="45"/>
      <c r="H102" s="44"/>
      <c r="I102" s="46" t="s">
        <v>243</v>
      </c>
      <c r="M102" s="111">
        <v>0</v>
      </c>
      <c r="N102" s="49"/>
    </row>
    <row r="103" spans="1:14" ht="21.95" customHeight="1">
      <c r="A103" s="12" t="s">
        <v>71</v>
      </c>
      <c r="B103" s="7" t="s">
        <v>355</v>
      </c>
      <c r="C103" s="8" t="s">
        <v>8</v>
      </c>
      <c r="D103" s="44">
        <v>142.26</v>
      </c>
      <c r="E103" s="44"/>
      <c r="F103" s="45"/>
      <c r="G103" s="45"/>
      <c r="H103" s="44"/>
      <c r="I103" s="46" t="s">
        <v>243</v>
      </c>
      <c r="M103" s="111">
        <v>0</v>
      </c>
      <c r="N103" s="49"/>
    </row>
    <row r="104" spans="1:14" ht="21.95" customHeight="1">
      <c r="A104" s="12" t="s">
        <v>72</v>
      </c>
      <c r="B104" s="7" t="s">
        <v>357</v>
      </c>
      <c r="C104" s="8" t="s">
        <v>8</v>
      </c>
      <c r="D104" s="44">
        <v>8.5</v>
      </c>
      <c r="E104" s="44"/>
      <c r="F104" s="45"/>
      <c r="G104" s="45"/>
      <c r="H104" s="44"/>
      <c r="I104" s="46" t="s">
        <v>243</v>
      </c>
      <c r="M104" s="111">
        <v>0</v>
      </c>
      <c r="N104" s="49"/>
    </row>
    <row r="105" spans="1:14" ht="21.95" customHeight="1">
      <c r="A105" s="12" t="s">
        <v>73</v>
      </c>
      <c r="B105" s="7" t="s">
        <v>359</v>
      </c>
      <c r="C105" s="8" t="s">
        <v>13</v>
      </c>
      <c r="D105" s="44">
        <v>20.48</v>
      </c>
      <c r="E105" s="44"/>
      <c r="F105" s="45"/>
      <c r="G105" s="45"/>
      <c r="H105" s="44"/>
      <c r="I105" s="46" t="s">
        <v>243</v>
      </c>
      <c r="M105" s="111">
        <v>0</v>
      </c>
      <c r="N105" s="49"/>
    </row>
    <row r="106" spans="1:14" ht="21.95" customHeight="1">
      <c r="A106" s="12" t="s">
        <v>74</v>
      </c>
      <c r="B106" s="7" t="s">
        <v>361</v>
      </c>
      <c r="C106" s="8" t="s">
        <v>8</v>
      </c>
      <c r="D106" s="44">
        <v>56.1</v>
      </c>
      <c r="E106" s="44"/>
      <c r="F106" s="45"/>
      <c r="G106" s="45"/>
      <c r="H106" s="44"/>
      <c r="I106" s="46" t="s">
        <v>243</v>
      </c>
      <c r="M106" s="111">
        <v>0</v>
      </c>
      <c r="N106" s="49"/>
    </row>
    <row r="107" spans="1:14" ht="21.95" customHeight="1">
      <c r="A107" s="12" t="s">
        <v>75</v>
      </c>
      <c r="B107" s="7" t="s">
        <v>363</v>
      </c>
      <c r="C107" s="8" t="s">
        <v>8</v>
      </c>
      <c r="D107" s="44">
        <v>16.600000000000001</v>
      </c>
      <c r="E107" s="44"/>
      <c r="F107" s="45"/>
      <c r="G107" s="45"/>
      <c r="H107" s="44"/>
      <c r="I107" s="46" t="s">
        <v>243</v>
      </c>
      <c r="M107" s="111">
        <v>0</v>
      </c>
      <c r="N107" s="49"/>
    </row>
    <row r="108" spans="1:14" ht="21.95" customHeight="1">
      <c r="A108" s="12" t="s">
        <v>76</v>
      </c>
      <c r="B108" s="7" t="s">
        <v>365</v>
      </c>
      <c r="C108" s="8" t="s">
        <v>8</v>
      </c>
      <c r="D108" s="44">
        <v>2</v>
      </c>
      <c r="E108" s="44"/>
      <c r="F108" s="45"/>
      <c r="G108" s="45"/>
      <c r="H108" s="44"/>
      <c r="I108" s="46" t="s">
        <v>243</v>
      </c>
      <c r="M108" s="111">
        <v>0</v>
      </c>
      <c r="N108" s="49"/>
    </row>
    <row r="109" spans="1:14" ht="21.95" customHeight="1">
      <c r="A109" s="12" t="s">
        <v>215</v>
      </c>
      <c r="B109" s="7" t="s">
        <v>367</v>
      </c>
      <c r="C109" s="8" t="s">
        <v>0</v>
      </c>
      <c r="D109" s="44">
        <v>7</v>
      </c>
      <c r="E109" s="44"/>
      <c r="F109" s="45"/>
      <c r="G109" s="45"/>
      <c r="H109" s="44"/>
      <c r="I109" s="46" t="s">
        <v>243</v>
      </c>
      <c r="M109" s="111">
        <v>0</v>
      </c>
      <c r="N109" s="49"/>
    </row>
    <row r="110" spans="1:14" ht="21.95" customHeight="1">
      <c r="A110" s="12" t="s">
        <v>216</v>
      </c>
      <c r="B110" s="7" t="s">
        <v>369</v>
      </c>
      <c r="C110" s="8" t="s">
        <v>8</v>
      </c>
      <c r="D110" s="44">
        <v>19.2</v>
      </c>
      <c r="E110" s="44"/>
      <c r="F110" s="45"/>
      <c r="G110" s="45"/>
      <c r="H110" s="44"/>
      <c r="I110" s="46" t="s">
        <v>243</v>
      </c>
      <c r="M110" s="111">
        <v>0</v>
      </c>
      <c r="N110" s="49"/>
    </row>
    <row r="111" spans="1:14" ht="21.95" customHeight="1">
      <c r="A111" s="12" t="s">
        <v>371</v>
      </c>
      <c r="B111" s="7" t="s">
        <v>372</v>
      </c>
      <c r="C111" s="8" t="s">
        <v>0</v>
      </c>
      <c r="D111" s="44">
        <v>2</v>
      </c>
      <c r="E111" s="44"/>
      <c r="F111" s="45"/>
      <c r="G111" s="45"/>
      <c r="H111" s="44"/>
      <c r="I111" s="46" t="s">
        <v>243</v>
      </c>
      <c r="M111" s="111">
        <v>0</v>
      </c>
      <c r="N111" s="49"/>
    </row>
    <row r="112" spans="1:14" ht="21.95" customHeight="1">
      <c r="A112" s="12" t="s">
        <v>208</v>
      </c>
      <c r="B112" s="7" t="s">
        <v>374</v>
      </c>
      <c r="C112" s="8" t="s">
        <v>0</v>
      </c>
      <c r="D112" s="44">
        <v>8</v>
      </c>
      <c r="E112" s="44"/>
      <c r="F112" s="45"/>
      <c r="G112" s="45"/>
      <c r="H112" s="44"/>
      <c r="I112" s="46" t="s">
        <v>243</v>
      </c>
      <c r="M112" s="111">
        <v>0</v>
      </c>
      <c r="N112" s="49"/>
    </row>
    <row r="113" spans="1:14" ht="21.95" customHeight="1">
      <c r="A113" s="12" t="s">
        <v>209</v>
      </c>
      <c r="B113" s="7" t="s">
        <v>376</v>
      </c>
      <c r="C113" s="8" t="s">
        <v>0</v>
      </c>
      <c r="D113" s="44">
        <v>3</v>
      </c>
      <c r="E113" s="44"/>
      <c r="F113" s="45"/>
      <c r="G113" s="45"/>
      <c r="H113" s="44"/>
      <c r="I113" s="46" t="s">
        <v>243</v>
      </c>
      <c r="M113" s="111">
        <v>0</v>
      </c>
      <c r="N113" s="49"/>
    </row>
    <row r="114" spans="1:14" ht="21.95" customHeight="1">
      <c r="A114" s="12" t="s">
        <v>210</v>
      </c>
      <c r="B114" s="7" t="s">
        <v>378</v>
      </c>
      <c r="C114" s="8" t="s">
        <v>8</v>
      </c>
      <c r="D114" s="44">
        <v>30.1</v>
      </c>
      <c r="E114" s="44"/>
      <c r="F114" s="45"/>
      <c r="G114" s="45"/>
      <c r="H114" s="44"/>
      <c r="I114" s="46" t="s">
        <v>243</v>
      </c>
      <c r="M114" s="111">
        <v>0</v>
      </c>
      <c r="N114" s="49"/>
    </row>
    <row r="115" spans="1:14" ht="21.95" customHeight="1">
      <c r="A115" s="12" t="s">
        <v>211</v>
      </c>
      <c r="B115" s="7" t="s">
        <v>380</v>
      </c>
      <c r="C115" s="8" t="s">
        <v>8</v>
      </c>
      <c r="D115" s="44">
        <v>31.2</v>
      </c>
      <c r="E115" s="44"/>
      <c r="F115" s="50" t="s">
        <v>1318</v>
      </c>
      <c r="G115" s="50">
        <v>23.8</v>
      </c>
      <c r="H115" s="44">
        <v>21</v>
      </c>
      <c r="I115" s="46">
        <v>21</v>
      </c>
      <c r="M115" s="111">
        <v>21</v>
      </c>
      <c r="N115" s="49">
        <f>I115-M115</f>
        <v>0</v>
      </c>
    </row>
    <row r="116" spans="1:14" ht="21.95" customHeight="1">
      <c r="A116" s="12" t="s">
        <v>382</v>
      </c>
      <c r="B116" s="7" t="s">
        <v>383</v>
      </c>
      <c r="C116" s="8" t="s">
        <v>8</v>
      </c>
      <c r="D116" s="44">
        <v>17.899999999999999</v>
      </c>
      <c r="E116" s="44"/>
      <c r="F116" s="50" t="s">
        <v>1318</v>
      </c>
      <c r="G116" s="50">
        <v>19.8</v>
      </c>
      <c r="H116" s="44">
        <v>15</v>
      </c>
      <c r="I116" s="46">
        <v>15</v>
      </c>
      <c r="M116" s="111">
        <v>15</v>
      </c>
      <c r="N116" s="49">
        <f>I116-M116</f>
        <v>0</v>
      </c>
    </row>
    <row r="117" spans="1:14" ht="21.95" customHeight="1">
      <c r="A117" s="12" t="s">
        <v>385</v>
      </c>
      <c r="B117" s="7" t="s">
        <v>386</v>
      </c>
      <c r="C117" s="8" t="s">
        <v>8</v>
      </c>
      <c r="D117" s="44">
        <v>19.600000000000001</v>
      </c>
      <c r="E117" s="44"/>
      <c r="F117" s="45"/>
      <c r="G117" s="45"/>
      <c r="H117" s="44"/>
      <c r="I117" s="48">
        <f>H117</f>
        <v>0</v>
      </c>
      <c r="M117" s="111">
        <v>0</v>
      </c>
      <c r="N117" s="49">
        <f>I117-M117</f>
        <v>0</v>
      </c>
    </row>
    <row r="118" spans="1:14" ht="21.95" customHeight="1">
      <c r="A118" s="12" t="s">
        <v>388</v>
      </c>
      <c r="B118" s="7" t="s">
        <v>389</v>
      </c>
      <c r="C118" s="8" t="s">
        <v>8</v>
      </c>
      <c r="D118" s="44">
        <v>24.9</v>
      </c>
      <c r="E118" s="44"/>
      <c r="F118" s="45"/>
      <c r="G118" s="45"/>
      <c r="H118" s="44"/>
      <c r="I118" s="46" t="s">
        <v>243</v>
      </c>
      <c r="M118" s="111">
        <v>0</v>
      </c>
      <c r="N118" s="49"/>
    </row>
    <row r="119" spans="1:14" ht="21.95" customHeight="1">
      <c r="A119" s="12" t="s">
        <v>391</v>
      </c>
      <c r="B119" s="7" t="s">
        <v>392</v>
      </c>
      <c r="C119" s="8" t="s">
        <v>8</v>
      </c>
      <c r="D119" s="44">
        <v>3.5</v>
      </c>
      <c r="E119" s="44"/>
      <c r="F119" s="45"/>
      <c r="G119" s="45"/>
      <c r="H119" s="44"/>
      <c r="I119" s="46" t="s">
        <v>243</v>
      </c>
      <c r="M119" s="111">
        <v>0</v>
      </c>
      <c r="N119" s="49"/>
    </row>
    <row r="120" spans="1:14" ht="21.95" customHeight="1">
      <c r="A120" s="12" t="s">
        <v>394</v>
      </c>
      <c r="B120" s="7" t="s">
        <v>395</v>
      </c>
      <c r="C120" s="8" t="s">
        <v>0</v>
      </c>
      <c r="D120" s="44">
        <v>1</v>
      </c>
      <c r="E120" s="44"/>
      <c r="F120" s="45"/>
      <c r="G120" s="45"/>
      <c r="H120" s="44"/>
      <c r="I120" s="46" t="s">
        <v>243</v>
      </c>
      <c r="M120" s="111">
        <v>0</v>
      </c>
      <c r="N120" s="49"/>
    </row>
    <row r="121" spans="1:14" ht="21.95" customHeight="1">
      <c r="A121" s="12" t="s">
        <v>397</v>
      </c>
      <c r="B121" s="7" t="s">
        <v>398</v>
      </c>
      <c r="C121" s="8" t="s">
        <v>0</v>
      </c>
      <c r="D121" s="44">
        <v>1</v>
      </c>
      <c r="E121" s="44"/>
      <c r="F121" s="45"/>
      <c r="G121" s="45"/>
      <c r="H121" s="44"/>
      <c r="I121" s="46" t="s">
        <v>243</v>
      </c>
      <c r="M121" s="111">
        <v>0</v>
      </c>
      <c r="N121" s="49"/>
    </row>
    <row r="122" spans="1:14" ht="21.95" customHeight="1">
      <c r="A122" s="12" t="s">
        <v>400</v>
      </c>
      <c r="B122" s="7" t="s">
        <v>401</v>
      </c>
      <c r="C122" s="8" t="s">
        <v>0</v>
      </c>
      <c r="D122" s="44">
        <v>1</v>
      </c>
      <c r="E122" s="44"/>
      <c r="F122" s="45"/>
      <c r="G122" s="45"/>
      <c r="H122" s="44"/>
      <c r="I122" s="46" t="s">
        <v>243</v>
      </c>
      <c r="M122" s="111">
        <v>0</v>
      </c>
      <c r="N122" s="49"/>
    </row>
    <row r="123" spans="1:14" ht="21.95" customHeight="1">
      <c r="A123" s="12" t="s">
        <v>403</v>
      </c>
      <c r="B123" s="7" t="s">
        <v>404</v>
      </c>
      <c r="C123" s="8" t="s">
        <v>0</v>
      </c>
      <c r="D123" s="44">
        <v>1</v>
      </c>
      <c r="E123" s="44"/>
      <c r="F123" s="45"/>
      <c r="G123" s="45"/>
      <c r="H123" s="44"/>
      <c r="I123" s="46" t="s">
        <v>243</v>
      </c>
      <c r="M123" s="111">
        <v>0</v>
      </c>
      <c r="N123" s="49"/>
    </row>
    <row r="124" spans="1:14" ht="21.95" customHeight="1">
      <c r="A124" s="12" t="s">
        <v>406</v>
      </c>
      <c r="B124" s="7" t="s">
        <v>407</v>
      </c>
      <c r="C124" s="8" t="s">
        <v>0</v>
      </c>
      <c r="D124" s="44">
        <v>1</v>
      </c>
      <c r="E124" s="44"/>
      <c r="F124" s="45"/>
      <c r="G124" s="45"/>
      <c r="H124" s="44"/>
      <c r="I124" s="46" t="s">
        <v>243</v>
      </c>
      <c r="M124" s="111">
        <v>0</v>
      </c>
      <c r="N124" s="49"/>
    </row>
    <row r="125" spans="1:14" ht="21.95" customHeight="1">
      <c r="A125" s="12" t="s">
        <v>409</v>
      </c>
      <c r="B125" s="7" t="s">
        <v>410</v>
      </c>
      <c r="C125" s="8" t="s">
        <v>8</v>
      </c>
      <c r="D125" s="44">
        <v>149.5</v>
      </c>
      <c r="E125" s="44"/>
      <c r="F125" s="45"/>
      <c r="G125" s="45"/>
      <c r="H125" s="44"/>
      <c r="I125" s="46" t="s">
        <v>243</v>
      </c>
      <c r="M125" s="111">
        <v>0</v>
      </c>
      <c r="N125" s="49"/>
    </row>
    <row r="126" spans="1:14" ht="21.95" customHeight="1">
      <c r="A126" s="12" t="s">
        <v>412</v>
      </c>
      <c r="B126" s="7" t="s">
        <v>413</v>
      </c>
      <c r="C126" s="8" t="s">
        <v>8</v>
      </c>
      <c r="D126" s="44">
        <v>39.299999999999997</v>
      </c>
      <c r="E126" s="44"/>
      <c r="F126" s="45"/>
      <c r="G126" s="45"/>
      <c r="H126" s="44"/>
      <c r="I126" s="46" t="s">
        <v>243</v>
      </c>
      <c r="M126" s="111">
        <v>0</v>
      </c>
      <c r="N126" s="49"/>
    </row>
    <row r="127" spans="1:14" ht="21.95" customHeight="1">
      <c r="A127" s="12" t="s">
        <v>415</v>
      </c>
      <c r="B127" s="7" t="s">
        <v>416</v>
      </c>
      <c r="C127" s="8" t="s">
        <v>8</v>
      </c>
      <c r="D127" s="44">
        <v>51.3</v>
      </c>
      <c r="E127" s="44"/>
      <c r="F127" s="45"/>
      <c r="G127" s="45"/>
      <c r="H127" s="44"/>
      <c r="I127" s="46" t="s">
        <v>243</v>
      </c>
      <c r="M127" s="111">
        <v>0</v>
      </c>
      <c r="N127" s="49"/>
    </row>
    <row r="128" spans="1:14" ht="21.95" customHeight="1">
      <c r="A128" s="12" t="s">
        <v>418</v>
      </c>
      <c r="B128" s="7" t="s">
        <v>419</v>
      </c>
      <c r="C128" s="8" t="s">
        <v>0</v>
      </c>
      <c r="D128" s="44">
        <v>1</v>
      </c>
      <c r="E128" s="44"/>
      <c r="F128" s="45"/>
      <c r="G128" s="45"/>
      <c r="H128" s="44"/>
      <c r="I128" s="46" t="s">
        <v>243</v>
      </c>
      <c r="M128" s="111">
        <v>0</v>
      </c>
      <c r="N128" s="49"/>
    </row>
    <row r="129" spans="1:14" ht="21.95" customHeight="1">
      <c r="A129" s="12" t="s">
        <v>421</v>
      </c>
      <c r="B129" s="7" t="s">
        <v>422</v>
      </c>
      <c r="C129" s="8" t="s">
        <v>0</v>
      </c>
      <c r="D129" s="44">
        <v>2</v>
      </c>
      <c r="E129" s="44"/>
      <c r="F129" s="45"/>
      <c r="G129" s="45"/>
      <c r="H129" s="44"/>
      <c r="I129" s="46" t="s">
        <v>243</v>
      </c>
      <c r="M129" s="111">
        <v>0</v>
      </c>
      <c r="N129" s="49"/>
    </row>
    <row r="130" spans="1:14" ht="21.95" customHeight="1">
      <c r="A130" s="12" t="s">
        <v>424</v>
      </c>
      <c r="B130" s="7" t="s">
        <v>425</v>
      </c>
      <c r="C130" s="8" t="s">
        <v>0</v>
      </c>
      <c r="D130" s="44">
        <v>1</v>
      </c>
      <c r="E130" s="44"/>
      <c r="F130" s="45"/>
      <c r="G130" s="45"/>
      <c r="H130" s="44"/>
      <c r="I130" s="46" t="s">
        <v>243</v>
      </c>
      <c r="M130" s="111">
        <v>0</v>
      </c>
      <c r="N130" s="49"/>
    </row>
    <row r="131" spans="1:14" ht="21.95" customHeight="1">
      <c r="A131" s="12" t="s">
        <v>427</v>
      </c>
      <c r="B131" s="7" t="s">
        <v>428</v>
      </c>
      <c r="C131" s="8" t="s">
        <v>0</v>
      </c>
      <c r="D131" s="44">
        <v>2</v>
      </c>
      <c r="E131" s="44"/>
      <c r="F131" s="45"/>
      <c r="G131" s="45"/>
      <c r="H131" s="44"/>
      <c r="I131" s="46" t="s">
        <v>243</v>
      </c>
      <c r="M131" s="111">
        <v>0</v>
      </c>
      <c r="N131" s="49"/>
    </row>
    <row r="132" spans="1:14" ht="21.95" customHeight="1">
      <c r="A132" s="12" t="s">
        <v>430</v>
      </c>
      <c r="B132" s="7" t="s">
        <v>431</v>
      </c>
      <c r="C132" s="8" t="s">
        <v>0</v>
      </c>
      <c r="D132" s="44">
        <v>2</v>
      </c>
      <c r="E132" s="44"/>
      <c r="F132" s="45"/>
      <c r="G132" s="45"/>
      <c r="H132" s="44"/>
      <c r="I132" s="46" t="s">
        <v>243</v>
      </c>
      <c r="M132" s="111">
        <v>0</v>
      </c>
      <c r="N132" s="49"/>
    </row>
    <row r="133" spans="1:14" ht="21.95" customHeight="1">
      <c r="A133" s="12" t="s">
        <v>433</v>
      </c>
      <c r="B133" s="7" t="s">
        <v>434</v>
      </c>
      <c r="C133" s="8" t="s">
        <v>0</v>
      </c>
      <c r="D133" s="44">
        <v>1</v>
      </c>
      <c r="E133" s="44"/>
      <c r="F133" s="45"/>
      <c r="G133" s="45"/>
      <c r="H133" s="44"/>
      <c r="I133" s="46" t="s">
        <v>243</v>
      </c>
      <c r="M133" s="111">
        <v>0</v>
      </c>
      <c r="N133" s="49"/>
    </row>
    <row r="134" spans="1:14" ht="21.95" customHeight="1">
      <c r="A134" s="12" t="s">
        <v>436</v>
      </c>
      <c r="B134" s="7" t="s">
        <v>437</v>
      </c>
      <c r="C134" s="8" t="s">
        <v>0</v>
      </c>
      <c r="D134" s="44">
        <v>1</v>
      </c>
      <c r="E134" s="44"/>
      <c r="F134" s="45"/>
      <c r="G134" s="45"/>
      <c r="H134" s="44"/>
      <c r="I134" s="46" t="s">
        <v>243</v>
      </c>
      <c r="M134" s="111">
        <v>0</v>
      </c>
      <c r="N134" s="49"/>
    </row>
    <row r="135" spans="1:14" ht="21.95" customHeight="1">
      <c r="A135" s="12" t="s">
        <v>439</v>
      </c>
      <c r="B135" s="7" t="s">
        <v>440</v>
      </c>
      <c r="C135" s="8" t="s">
        <v>0</v>
      </c>
      <c r="D135" s="44">
        <v>1</v>
      </c>
      <c r="E135" s="44"/>
      <c r="F135" s="45"/>
      <c r="G135" s="45"/>
      <c r="H135" s="44"/>
      <c r="I135" s="46" t="s">
        <v>243</v>
      </c>
      <c r="M135" s="111">
        <v>0</v>
      </c>
      <c r="N135" s="49"/>
    </row>
    <row r="136" spans="1:14" ht="21.95" customHeight="1">
      <c r="A136" s="12" t="s">
        <v>442</v>
      </c>
      <c r="B136" s="7" t="s">
        <v>443</v>
      </c>
      <c r="C136" s="8" t="s">
        <v>0</v>
      </c>
      <c r="D136" s="44">
        <v>4</v>
      </c>
      <c r="E136" s="44"/>
      <c r="F136" s="45"/>
      <c r="G136" s="45"/>
      <c r="H136" s="44"/>
      <c r="I136" s="46" t="s">
        <v>243</v>
      </c>
      <c r="M136" s="111">
        <v>0</v>
      </c>
      <c r="N136" s="49"/>
    </row>
    <row r="137" spans="1:14" ht="21.95" customHeight="1">
      <c r="A137" s="12" t="s">
        <v>445</v>
      </c>
      <c r="B137" s="7" t="s">
        <v>446</v>
      </c>
      <c r="C137" s="8" t="s">
        <v>0</v>
      </c>
      <c r="D137" s="44">
        <v>6</v>
      </c>
      <c r="E137" s="44"/>
      <c r="F137" s="45"/>
      <c r="G137" s="45"/>
      <c r="H137" s="44"/>
      <c r="I137" s="46" t="s">
        <v>243</v>
      </c>
      <c r="M137" s="111">
        <v>0</v>
      </c>
      <c r="N137" s="49"/>
    </row>
    <row r="138" spans="1:14" ht="21.95" customHeight="1">
      <c r="A138" s="12" t="s">
        <v>448</v>
      </c>
      <c r="B138" s="7" t="s">
        <v>449</v>
      </c>
      <c r="C138" s="8" t="s">
        <v>0</v>
      </c>
      <c r="D138" s="44">
        <v>1</v>
      </c>
      <c r="E138" s="44"/>
      <c r="F138" s="45"/>
      <c r="G138" s="45"/>
      <c r="H138" s="44"/>
      <c r="I138" s="46" t="s">
        <v>243</v>
      </c>
      <c r="M138" s="111">
        <v>0</v>
      </c>
      <c r="N138" s="49"/>
    </row>
    <row r="139" spans="1:14" ht="21.95" customHeight="1">
      <c r="A139" s="12" t="s">
        <v>451</v>
      </c>
      <c r="B139" s="7" t="s">
        <v>452</v>
      </c>
      <c r="C139" s="8" t="s">
        <v>0</v>
      </c>
      <c r="D139" s="44">
        <v>1</v>
      </c>
      <c r="E139" s="44"/>
      <c r="F139" s="45"/>
      <c r="G139" s="45"/>
      <c r="H139" s="44"/>
      <c r="I139" s="46" t="s">
        <v>243</v>
      </c>
      <c r="M139" s="111">
        <v>0</v>
      </c>
      <c r="N139" s="49"/>
    </row>
    <row r="140" spans="1:14" ht="21.95" customHeight="1">
      <c r="A140" s="12" t="s">
        <v>454</v>
      </c>
      <c r="B140" s="7" t="s">
        <v>455</v>
      </c>
      <c r="C140" s="8" t="s">
        <v>0</v>
      </c>
      <c r="D140" s="44">
        <v>1</v>
      </c>
      <c r="E140" s="44"/>
      <c r="F140" s="45"/>
      <c r="G140" s="45"/>
      <c r="H140" s="44"/>
      <c r="I140" s="46" t="s">
        <v>243</v>
      </c>
      <c r="M140" s="111">
        <v>0</v>
      </c>
      <c r="N140" s="49"/>
    </row>
    <row r="141" spans="1:14" ht="21.95" customHeight="1">
      <c r="A141" s="12" t="s">
        <v>457</v>
      </c>
      <c r="B141" s="7" t="s">
        <v>458</v>
      </c>
      <c r="C141" s="8" t="s">
        <v>0</v>
      </c>
      <c r="D141" s="44">
        <v>1</v>
      </c>
      <c r="E141" s="44"/>
      <c r="F141" s="45"/>
      <c r="G141" s="45"/>
      <c r="H141" s="44"/>
      <c r="I141" s="46" t="s">
        <v>243</v>
      </c>
      <c r="M141" s="111">
        <v>0</v>
      </c>
      <c r="N141" s="49"/>
    </row>
    <row r="142" spans="1:14" ht="21.95" customHeight="1">
      <c r="A142" s="12" t="s">
        <v>460</v>
      </c>
      <c r="B142" s="7" t="s">
        <v>461</v>
      </c>
      <c r="C142" s="8" t="s">
        <v>0</v>
      </c>
      <c r="D142" s="44">
        <v>1</v>
      </c>
      <c r="E142" s="44"/>
      <c r="F142" s="45"/>
      <c r="G142" s="45"/>
      <c r="H142" s="44"/>
      <c r="I142" s="46" t="s">
        <v>243</v>
      </c>
      <c r="M142" s="111">
        <v>0</v>
      </c>
      <c r="N142" s="49"/>
    </row>
    <row r="143" spans="1:14" ht="21.95" customHeight="1">
      <c r="A143" s="12" t="s">
        <v>463</v>
      </c>
      <c r="B143" s="7" t="s">
        <v>464</v>
      </c>
      <c r="C143" s="8" t="s">
        <v>0</v>
      </c>
      <c r="D143" s="44">
        <v>3</v>
      </c>
      <c r="E143" s="44"/>
      <c r="F143" s="45"/>
      <c r="G143" s="45"/>
      <c r="H143" s="44"/>
      <c r="I143" s="46" t="s">
        <v>243</v>
      </c>
      <c r="M143" s="111">
        <v>0</v>
      </c>
      <c r="N143" s="49"/>
    </row>
    <row r="144" spans="1:14" ht="21.95" customHeight="1">
      <c r="A144" s="12" t="s">
        <v>466</v>
      </c>
      <c r="B144" s="7" t="s">
        <v>467</v>
      </c>
      <c r="C144" s="8" t="s">
        <v>0</v>
      </c>
      <c r="D144" s="44">
        <v>7</v>
      </c>
      <c r="E144" s="44"/>
      <c r="F144" s="45"/>
      <c r="G144" s="45"/>
      <c r="H144" s="44"/>
      <c r="I144" s="46" t="s">
        <v>243</v>
      </c>
      <c r="M144" s="111">
        <v>0</v>
      </c>
      <c r="N144" s="49"/>
    </row>
    <row r="145" spans="1:14" ht="21.95" customHeight="1">
      <c r="A145" s="12" t="s">
        <v>469</v>
      </c>
      <c r="B145" s="7" t="s">
        <v>470</v>
      </c>
      <c r="C145" s="8" t="s">
        <v>0</v>
      </c>
      <c r="D145" s="44">
        <v>1</v>
      </c>
      <c r="E145" s="44"/>
      <c r="F145" s="45"/>
      <c r="G145" s="45"/>
      <c r="H145" s="44"/>
      <c r="I145" s="46" t="s">
        <v>243</v>
      </c>
      <c r="M145" s="111">
        <v>0</v>
      </c>
      <c r="N145" s="49"/>
    </row>
    <row r="146" spans="1:14" ht="57">
      <c r="A146" s="12" t="s">
        <v>472</v>
      </c>
      <c r="B146" s="10" t="s">
        <v>473</v>
      </c>
      <c r="C146" s="8" t="s">
        <v>13</v>
      </c>
      <c r="D146" s="44">
        <v>759.43</v>
      </c>
      <c r="E146" s="44"/>
      <c r="F146" s="45"/>
      <c r="G146" s="45"/>
      <c r="H146" s="44"/>
      <c r="I146" s="46" t="s">
        <v>243</v>
      </c>
      <c r="M146" s="111">
        <v>0</v>
      </c>
      <c r="N146" s="49"/>
    </row>
    <row r="147" spans="1:14" ht="21.95" customHeight="1">
      <c r="A147" s="12" t="s">
        <v>475</v>
      </c>
      <c r="B147" s="7" t="s">
        <v>476</v>
      </c>
      <c r="C147" s="8" t="s">
        <v>15</v>
      </c>
      <c r="D147" s="44">
        <v>1</v>
      </c>
      <c r="E147" s="44"/>
      <c r="F147" s="45"/>
      <c r="G147" s="45"/>
      <c r="H147" s="44"/>
      <c r="I147" s="46" t="s">
        <v>243</v>
      </c>
      <c r="M147" s="111">
        <v>0</v>
      </c>
      <c r="N147" s="49"/>
    </row>
    <row r="148" spans="1:14" ht="21.95" customHeight="1">
      <c r="A148" s="12" t="s">
        <v>478</v>
      </c>
      <c r="B148" s="7" t="s">
        <v>479</v>
      </c>
      <c r="C148" s="8" t="s">
        <v>15</v>
      </c>
      <c r="D148" s="44">
        <v>3</v>
      </c>
      <c r="E148" s="44"/>
      <c r="F148" s="45"/>
      <c r="G148" s="45"/>
      <c r="H148" s="44"/>
      <c r="I148" s="46" t="s">
        <v>243</v>
      </c>
      <c r="M148" s="111">
        <v>0</v>
      </c>
      <c r="N148" s="49"/>
    </row>
    <row r="149" spans="1:14" ht="21.95" customHeight="1">
      <c r="A149" s="12" t="s">
        <v>481</v>
      </c>
      <c r="B149" s="7" t="s">
        <v>482</v>
      </c>
      <c r="C149" s="8" t="s">
        <v>483</v>
      </c>
      <c r="D149" s="44">
        <v>88.17</v>
      </c>
      <c r="E149" s="44"/>
      <c r="F149" s="45"/>
      <c r="G149" s="45"/>
      <c r="H149" s="44"/>
      <c r="I149" s="46" t="s">
        <v>243</v>
      </c>
      <c r="M149" s="111">
        <v>0</v>
      </c>
      <c r="N149" s="49"/>
    </row>
    <row r="150" spans="1:14" ht="21.95" customHeight="1">
      <c r="A150" s="12" t="s">
        <v>485</v>
      </c>
      <c r="B150" s="7" t="s">
        <v>486</v>
      </c>
      <c r="C150" s="8" t="s">
        <v>0</v>
      </c>
      <c r="D150" s="44">
        <v>25</v>
      </c>
      <c r="E150" s="44"/>
      <c r="F150" s="45"/>
      <c r="G150" s="45"/>
      <c r="H150" s="44"/>
      <c r="I150" s="46" t="s">
        <v>243</v>
      </c>
      <c r="M150" s="111">
        <v>0</v>
      </c>
      <c r="N150" s="49"/>
    </row>
    <row r="151" spans="1:14" ht="21.95" customHeight="1">
      <c r="A151" s="12" t="s">
        <v>488</v>
      </c>
      <c r="B151" s="7" t="s">
        <v>489</v>
      </c>
      <c r="C151" s="8" t="s">
        <v>0</v>
      </c>
      <c r="D151" s="44">
        <v>13</v>
      </c>
      <c r="E151" s="44"/>
      <c r="F151" s="45"/>
      <c r="G151" s="45"/>
      <c r="H151" s="44"/>
      <c r="I151" s="46" t="s">
        <v>243</v>
      </c>
      <c r="M151" s="111">
        <v>0</v>
      </c>
      <c r="N151" s="49"/>
    </row>
    <row r="152" spans="1:14" ht="21.95" customHeight="1">
      <c r="A152" s="12" t="s">
        <v>491</v>
      </c>
      <c r="B152" s="7" t="s">
        <v>492</v>
      </c>
      <c r="C152" s="8" t="s">
        <v>8</v>
      </c>
      <c r="D152" s="44">
        <v>9.8000000000000007</v>
      </c>
      <c r="E152" s="44"/>
      <c r="F152" s="45"/>
      <c r="G152" s="45"/>
      <c r="H152" s="44"/>
      <c r="I152" s="46" t="s">
        <v>243</v>
      </c>
      <c r="M152" s="111">
        <v>0</v>
      </c>
      <c r="N152" s="49"/>
    </row>
    <row r="153" spans="1:14" ht="21.95" customHeight="1">
      <c r="A153" s="12" t="s">
        <v>494</v>
      </c>
      <c r="B153" s="7" t="s">
        <v>495</v>
      </c>
      <c r="C153" s="8" t="s">
        <v>8</v>
      </c>
      <c r="D153" s="44">
        <v>6.2</v>
      </c>
      <c r="E153" s="44"/>
      <c r="F153" s="45"/>
      <c r="G153" s="45"/>
      <c r="H153" s="44"/>
      <c r="I153" s="46" t="s">
        <v>243</v>
      </c>
      <c r="M153" s="111">
        <v>0</v>
      </c>
      <c r="N153" s="49"/>
    </row>
    <row r="154" spans="1:14" ht="21.95" customHeight="1">
      <c r="A154" s="12" t="s">
        <v>497</v>
      </c>
      <c r="B154" s="7" t="s">
        <v>498</v>
      </c>
      <c r="C154" s="8" t="s">
        <v>8</v>
      </c>
      <c r="D154" s="44">
        <v>3.3</v>
      </c>
      <c r="E154" s="44"/>
      <c r="F154" s="45"/>
      <c r="G154" s="45"/>
      <c r="H154" s="44"/>
      <c r="I154" s="46" t="s">
        <v>243</v>
      </c>
      <c r="M154" s="111">
        <v>0</v>
      </c>
      <c r="N154" s="49"/>
    </row>
    <row r="155" spans="1:14" ht="33" customHeight="1">
      <c r="A155" s="12" t="s">
        <v>500</v>
      </c>
      <c r="B155" s="7" t="s">
        <v>501</v>
      </c>
      <c r="C155" s="8" t="s">
        <v>8</v>
      </c>
      <c r="D155" s="44">
        <v>40.6</v>
      </c>
      <c r="E155" s="44"/>
      <c r="F155" s="45"/>
      <c r="G155" s="45"/>
      <c r="H155" s="44"/>
      <c r="I155" s="46" t="s">
        <v>243</v>
      </c>
      <c r="M155" s="111">
        <v>0</v>
      </c>
      <c r="N155" s="49"/>
    </row>
    <row r="156" spans="1:14" ht="28.5">
      <c r="A156" s="57" t="s">
        <v>503</v>
      </c>
      <c r="B156" s="7" t="s">
        <v>504</v>
      </c>
      <c r="C156" s="8" t="s">
        <v>8</v>
      </c>
      <c r="D156" s="58">
        <v>176.7</v>
      </c>
      <c r="E156" s="58"/>
      <c r="F156" s="59"/>
      <c r="G156" s="59"/>
      <c r="H156" s="58"/>
      <c r="I156" s="10" t="s">
        <v>243</v>
      </c>
      <c r="J156" s="60"/>
      <c r="K156" s="60"/>
      <c r="L156" s="60"/>
      <c r="M156" s="122">
        <v>0</v>
      </c>
      <c r="N156" s="61"/>
    </row>
    <row r="157" spans="1:14" ht="28.5">
      <c r="A157" s="57" t="s">
        <v>506</v>
      </c>
      <c r="B157" s="7" t="s">
        <v>507</v>
      </c>
      <c r="C157" s="8" t="s">
        <v>8</v>
      </c>
      <c r="D157" s="58">
        <v>251.7</v>
      </c>
      <c r="E157" s="58"/>
      <c r="F157" s="59"/>
      <c r="G157" s="59"/>
      <c r="H157" s="58"/>
      <c r="I157" s="10" t="s">
        <v>243</v>
      </c>
      <c r="J157" s="60"/>
      <c r="K157" s="60"/>
      <c r="L157" s="60"/>
      <c r="M157" s="122">
        <v>0</v>
      </c>
      <c r="N157" s="61"/>
    </row>
    <row r="158" spans="1:14" ht="31.5">
      <c r="A158" s="57" t="s">
        <v>509</v>
      </c>
      <c r="B158" s="7" t="s">
        <v>510</v>
      </c>
      <c r="C158" s="8" t="s">
        <v>8</v>
      </c>
      <c r="D158" s="58">
        <v>6.8</v>
      </c>
      <c r="E158" s="58"/>
      <c r="F158" s="59"/>
      <c r="G158" s="59"/>
      <c r="H158" s="58"/>
      <c r="I158" s="10" t="s">
        <v>243</v>
      </c>
      <c r="J158" s="60"/>
      <c r="K158" s="60"/>
      <c r="L158" s="60"/>
      <c r="M158" s="122">
        <v>0</v>
      </c>
      <c r="N158" s="61"/>
    </row>
    <row r="159" spans="1:14" ht="31.5">
      <c r="A159" s="57" t="s">
        <v>512</v>
      </c>
      <c r="B159" s="7" t="s">
        <v>513</v>
      </c>
      <c r="C159" s="8" t="s">
        <v>8</v>
      </c>
      <c r="D159" s="58">
        <v>44.2</v>
      </c>
      <c r="E159" s="58"/>
      <c r="F159" s="59"/>
      <c r="G159" s="59"/>
      <c r="H159" s="58"/>
      <c r="I159" s="10" t="s">
        <v>243</v>
      </c>
      <c r="J159" s="60"/>
      <c r="K159" s="60"/>
      <c r="L159" s="60"/>
      <c r="M159" s="122">
        <v>0</v>
      </c>
      <c r="N159" s="61"/>
    </row>
    <row r="160" spans="1:14" ht="31.5">
      <c r="A160" s="57" t="s">
        <v>515</v>
      </c>
      <c r="B160" s="7" t="s">
        <v>516</v>
      </c>
      <c r="C160" s="8" t="s">
        <v>8</v>
      </c>
      <c r="D160" s="58">
        <v>10.7</v>
      </c>
      <c r="E160" s="58"/>
      <c r="F160" s="59"/>
      <c r="G160" s="59"/>
      <c r="H160" s="58"/>
      <c r="I160" s="10" t="s">
        <v>243</v>
      </c>
      <c r="J160" s="60"/>
      <c r="K160" s="60"/>
      <c r="L160" s="60"/>
      <c r="M160" s="122">
        <v>0</v>
      </c>
      <c r="N160" s="61"/>
    </row>
    <row r="161" spans="1:14" ht="29.25" customHeight="1">
      <c r="A161" s="57" t="s">
        <v>518</v>
      </c>
      <c r="B161" s="7" t="s">
        <v>519</v>
      </c>
      <c r="C161" s="8" t="s">
        <v>8</v>
      </c>
      <c r="D161" s="58">
        <v>62.5</v>
      </c>
      <c r="E161" s="58"/>
      <c r="F161" s="59"/>
      <c r="G161" s="59"/>
      <c r="H161" s="58"/>
      <c r="I161" s="10" t="s">
        <v>243</v>
      </c>
      <c r="J161" s="60"/>
      <c r="K161" s="60"/>
      <c r="L161" s="60"/>
      <c r="M161" s="122">
        <v>0</v>
      </c>
      <c r="N161" s="61"/>
    </row>
    <row r="162" spans="1:14" ht="21.95" customHeight="1">
      <c r="A162" s="12" t="s">
        <v>521</v>
      </c>
      <c r="B162" s="7" t="s">
        <v>522</v>
      </c>
      <c r="C162" s="8" t="s">
        <v>8</v>
      </c>
      <c r="D162" s="44">
        <v>84.8</v>
      </c>
      <c r="E162" s="44"/>
      <c r="F162" s="45"/>
      <c r="G162" s="45"/>
      <c r="H162" s="44"/>
      <c r="I162" s="46" t="s">
        <v>243</v>
      </c>
      <c r="M162" s="111">
        <v>0</v>
      </c>
      <c r="N162" s="49"/>
    </row>
    <row r="163" spans="1:14" ht="21.95" customHeight="1">
      <c r="A163" s="12" t="s">
        <v>524</v>
      </c>
      <c r="B163" s="7" t="s">
        <v>525</v>
      </c>
      <c r="C163" s="8" t="s">
        <v>0</v>
      </c>
      <c r="D163" s="44">
        <v>2</v>
      </c>
      <c r="E163" s="44"/>
      <c r="F163" s="45"/>
      <c r="G163" s="45"/>
      <c r="H163" s="44"/>
      <c r="I163" s="46" t="s">
        <v>243</v>
      </c>
      <c r="M163" s="111">
        <v>0</v>
      </c>
      <c r="N163" s="49"/>
    </row>
    <row r="164" spans="1:14" ht="33">
      <c r="A164" s="114" t="s">
        <v>77</v>
      </c>
      <c r="B164" s="115" t="s">
        <v>527</v>
      </c>
      <c r="C164" s="116" t="s">
        <v>4</v>
      </c>
      <c r="D164" s="117">
        <v>1</v>
      </c>
      <c r="E164" s="117"/>
      <c r="F164" s="118"/>
      <c r="G164" s="118"/>
      <c r="H164" s="117"/>
      <c r="I164" s="119" t="s">
        <v>243</v>
      </c>
      <c r="N164" s="49"/>
    </row>
    <row r="165" spans="1:14" ht="31.5">
      <c r="A165" s="12" t="s">
        <v>78</v>
      </c>
      <c r="B165" s="7" t="s">
        <v>310</v>
      </c>
      <c r="C165" s="8" t="s">
        <v>223</v>
      </c>
      <c r="D165" s="44">
        <v>185.59</v>
      </c>
      <c r="E165" s="44">
        <v>928.51</v>
      </c>
      <c r="F165" s="45" t="s">
        <v>1320</v>
      </c>
      <c r="G165" s="120" t="s">
        <v>1321</v>
      </c>
      <c r="H165" s="121">
        <f>((5*6*6.5*2)+(13*3.5*6.8)+(3.2*8.5*1.6))</f>
        <v>742.92</v>
      </c>
      <c r="I165" s="48">
        <f>SUM(H165:H167)</f>
        <v>839.39</v>
      </c>
      <c r="M165" s="111">
        <v>327</v>
      </c>
      <c r="N165" s="49">
        <f>I165-M165</f>
        <v>512.39</v>
      </c>
    </row>
    <row r="166" spans="1:14" ht="33">
      <c r="A166" s="12"/>
      <c r="B166" s="7"/>
      <c r="C166" s="8"/>
      <c r="D166" s="44"/>
      <c r="E166" s="44"/>
      <c r="F166" s="45" t="s">
        <v>1323</v>
      </c>
      <c r="G166" s="120" t="s">
        <v>1322</v>
      </c>
      <c r="H166" s="121">
        <f>(14.35*0.8*1.25+14.35*0.8*2.75+15*0.8*2.75)+((5.1+1.92)*2*1.25)</f>
        <v>96.47</v>
      </c>
      <c r="I166" s="46"/>
      <c r="N166" s="49"/>
    </row>
    <row r="167" spans="1:14">
      <c r="A167" s="12"/>
      <c r="B167" s="7"/>
      <c r="C167" s="8"/>
      <c r="D167" s="44"/>
      <c r="E167" s="44"/>
      <c r="F167" s="45"/>
      <c r="G167" s="45"/>
      <c r="H167" s="44"/>
      <c r="I167" s="46"/>
      <c r="N167" s="49"/>
    </row>
    <row r="168" spans="1:14" ht="28.5">
      <c r="A168" s="12" t="s">
        <v>79</v>
      </c>
      <c r="B168" s="10" t="s">
        <v>315</v>
      </c>
      <c r="C168" s="8" t="s">
        <v>6</v>
      </c>
      <c r="D168" s="44">
        <v>26.33</v>
      </c>
      <c r="E168" s="44"/>
      <c r="F168" s="45" t="s">
        <v>1325</v>
      </c>
      <c r="G168" s="45" t="s">
        <v>1332</v>
      </c>
      <c r="H168" s="44">
        <f>(15.2*1.9*0.1)+(14.55*1.9*0.1)</f>
        <v>5.6524999999999999</v>
      </c>
      <c r="I168" s="62">
        <f>SUM(H168:H173)</f>
        <v>10.211459999999999</v>
      </c>
      <c r="J168" s="25"/>
      <c r="K168" s="25"/>
      <c r="L168" s="25"/>
      <c r="M168" s="123">
        <v>17.239999999999998</v>
      </c>
      <c r="N168" s="49">
        <f>I168-M168</f>
        <v>-7.0285399999999996</v>
      </c>
    </row>
    <row r="169" spans="1:14">
      <c r="A169" s="12"/>
      <c r="B169" s="10"/>
      <c r="C169" s="8"/>
      <c r="D169" s="44"/>
      <c r="E169" s="44"/>
      <c r="F169" s="45" t="s">
        <v>1326</v>
      </c>
      <c r="G169" s="45" t="s">
        <v>1333</v>
      </c>
      <c r="H169" s="44">
        <f>(3.08*4.87*0.1)+(3.7*1.7*0.1)</f>
        <v>2.1289600000000002</v>
      </c>
      <c r="I169" s="46"/>
      <c r="N169" s="49"/>
    </row>
    <row r="170" spans="1:14">
      <c r="A170" s="12"/>
      <c r="B170" s="10"/>
      <c r="C170" s="8"/>
      <c r="D170" s="44"/>
      <c r="E170" s="44"/>
      <c r="F170" s="45" t="s">
        <v>1388</v>
      </c>
      <c r="G170" s="45" t="s">
        <v>1385</v>
      </c>
      <c r="H170" s="44">
        <f>16.2*1.5*0.1</f>
        <v>2.4299999999999997</v>
      </c>
      <c r="I170" s="46"/>
      <c r="N170" s="49"/>
    </row>
    <row r="171" spans="1:14">
      <c r="A171" s="12"/>
      <c r="B171" s="10"/>
      <c r="C171" s="8"/>
      <c r="D171" s="44"/>
      <c r="E171" s="44"/>
      <c r="F171" s="50" t="s">
        <v>1327</v>
      </c>
      <c r="G171" s="45"/>
      <c r="H171" s="44"/>
      <c r="I171" s="46"/>
      <c r="N171" s="49"/>
    </row>
    <row r="172" spans="1:14">
      <c r="A172" s="12"/>
      <c r="B172" s="10"/>
      <c r="C172" s="8"/>
      <c r="D172" s="44"/>
      <c r="E172" s="44"/>
      <c r="F172" s="45"/>
      <c r="G172" s="45"/>
      <c r="H172" s="44"/>
      <c r="I172" s="46"/>
      <c r="N172" s="49"/>
    </row>
    <row r="173" spans="1:14">
      <c r="A173" s="12"/>
      <c r="B173" s="10"/>
      <c r="C173" s="8"/>
      <c r="D173" s="44"/>
      <c r="E173" s="44"/>
      <c r="F173" s="45"/>
      <c r="G173" s="45"/>
      <c r="H173" s="44"/>
      <c r="I173" s="46"/>
      <c r="N173" s="49"/>
    </row>
    <row r="174" spans="1:14" ht="33">
      <c r="A174" s="12" t="s">
        <v>80</v>
      </c>
      <c r="B174" s="10" t="s">
        <v>24</v>
      </c>
      <c r="C174" s="8" t="s">
        <v>6</v>
      </c>
      <c r="D174" s="44">
        <v>36.86</v>
      </c>
      <c r="E174" s="44"/>
      <c r="F174" s="45" t="s">
        <v>1328</v>
      </c>
      <c r="G174" s="45"/>
      <c r="H174" s="44"/>
      <c r="I174" s="48">
        <f>H174</f>
        <v>0</v>
      </c>
      <c r="M174" s="111">
        <v>0</v>
      </c>
      <c r="N174" s="49">
        <f>I174-M174</f>
        <v>0</v>
      </c>
    </row>
    <row r="175" spans="1:14" ht="49.5">
      <c r="A175" s="12" t="s">
        <v>81</v>
      </c>
      <c r="B175" s="10" t="s">
        <v>528</v>
      </c>
      <c r="C175" s="8" t="s">
        <v>6</v>
      </c>
      <c r="D175" s="44">
        <v>654.83000000000004</v>
      </c>
      <c r="E175" s="44"/>
      <c r="F175" s="45" t="s">
        <v>1330</v>
      </c>
      <c r="G175" s="45" t="s">
        <v>1339</v>
      </c>
      <c r="H175" s="44">
        <f>((14.35+15.2)*1.15*1.5)+((14.35+15.2)*1.5*0.5)+((14.35+15.2)*(0.42*0.3+0.4*0.42/2))+(2.2*0.45*0.75*14)</f>
        <v>89.736749999999986</v>
      </c>
      <c r="I175" s="48">
        <f>SUM(H175:H182)</f>
        <v>260.30066500000004</v>
      </c>
      <c r="M175" s="111">
        <v>200.13</v>
      </c>
      <c r="N175" s="49">
        <f>I175-M175</f>
        <v>60.170665000000042</v>
      </c>
    </row>
    <row r="176" spans="1:14" ht="49.5">
      <c r="A176" s="12"/>
      <c r="B176" s="7"/>
      <c r="C176" s="8"/>
      <c r="D176" s="44"/>
      <c r="E176" s="44"/>
      <c r="F176" s="45" t="s">
        <v>1331</v>
      </c>
      <c r="G176" s="45" t="s">
        <v>1338</v>
      </c>
      <c r="H176" s="44">
        <f>((2.88*4.67*1.15)+(0.5*1*(1.88+1+1.8+2.67)))+((1.5*3.5*1.15)+(0.5*3.5*1)+(0.3*1*2)+(3.5*(0.42*0.3+0.4*0.42/2))+(2.1*0.45*0.75*4))</f>
        <v>31.099539999999998</v>
      </c>
      <c r="I176" s="46"/>
      <c r="N176" s="49"/>
    </row>
    <row r="177" spans="1:15">
      <c r="A177" s="12"/>
      <c r="B177" s="7"/>
      <c r="C177" s="8"/>
      <c r="D177" s="44"/>
      <c r="E177" s="44"/>
      <c r="F177" s="45" t="s">
        <v>1388</v>
      </c>
      <c r="G177" s="45" t="s">
        <v>1386</v>
      </c>
      <c r="H177" s="44">
        <f>(15.8*0.3*3.45)+(1.2*0.4*15.8)</f>
        <v>23.937000000000001</v>
      </c>
      <c r="I177" s="46"/>
      <c r="N177" s="49"/>
    </row>
    <row r="178" spans="1:15">
      <c r="A178" s="12"/>
      <c r="B178" s="7"/>
      <c r="C178" s="8"/>
      <c r="D178" s="44"/>
      <c r="E178" s="44"/>
      <c r="F178" s="45" t="s">
        <v>1334</v>
      </c>
      <c r="G178" s="120" t="s">
        <v>1337</v>
      </c>
      <c r="H178" s="121">
        <f>(((16.55+15.7)/2*13.3*0.25)-(12.6*0.6*0.05))</f>
        <v>53.237625000000001</v>
      </c>
      <c r="I178" s="46"/>
      <c r="N178" s="49"/>
    </row>
    <row r="179" spans="1:15">
      <c r="A179" s="12"/>
      <c r="B179" s="7"/>
      <c r="C179" s="8"/>
      <c r="D179" s="44"/>
      <c r="E179" s="44"/>
      <c r="F179" s="50" t="s">
        <v>1341</v>
      </c>
      <c r="G179" s="124" t="s">
        <v>1340</v>
      </c>
      <c r="H179" s="121">
        <f>(13.3*5*0.3*2)</f>
        <v>39.9</v>
      </c>
      <c r="I179" s="46"/>
      <c r="N179" s="49"/>
    </row>
    <row r="180" spans="1:15">
      <c r="A180" s="12"/>
      <c r="B180" s="7"/>
      <c r="C180" s="8"/>
      <c r="D180" s="44"/>
      <c r="E180" s="44"/>
      <c r="F180" s="45" t="s">
        <v>1405</v>
      </c>
      <c r="G180" s="45" t="s">
        <v>1406</v>
      </c>
      <c r="H180" s="44">
        <f>(2.85*(7.6+6.35)*0.3)+(0.5*(7.6+6.35)*1.5)</f>
        <v>22.389749999999999</v>
      </c>
      <c r="I180" s="46"/>
      <c r="N180" s="49"/>
    </row>
    <row r="181" spans="1:15">
      <c r="A181" s="12"/>
      <c r="B181" s="7"/>
      <c r="C181" s="8"/>
      <c r="D181" s="44"/>
      <c r="E181" s="44"/>
      <c r="F181" s="50" t="s">
        <v>1418</v>
      </c>
      <c r="G181" s="45"/>
      <c r="H181" s="44"/>
      <c r="I181" s="46"/>
      <c r="N181" s="49"/>
    </row>
    <row r="182" spans="1:15">
      <c r="A182" s="12"/>
      <c r="B182" s="7"/>
      <c r="C182" s="8"/>
      <c r="D182" s="44"/>
      <c r="E182" s="44"/>
      <c r="F182" s="45"/>
      <c r="G182" s="45"/>
      <c r="H182" s="44"/>
      <c r="I182" s="46"/>
      <c r="N182" s="49"/>
    </row>
    <row r="183" spans="1:15" ht="33">
      <c r="A183" s="12" t="s">
        <v>82</v>
      </c>
      <c r="B183" s="7" t="s">
        <v>192</v>
      </c>
      <c r="C183" s="8" t="s">
        <v>17</v>
      </c>
      <c r="D183" s="44">
        <v>6240.88</v>
      </c>
      <c r="E183" s="44"/>
      <c r="F183" s="45" t="s">
        <v>1329</v>
      </c>
      <c r="G183" s="45"/>
      <c r="H183" s="44"/>
      <c r="I183" s="63">
        <f>SUM(H183:H186)</f>
        <v>0</v>
      </c>
      <c r="M183" s="111">
        <v>0</v>
      </c>
      <c r="N183" s="49">
        <f>I183-M183</f>
        <v>0</v>
      </c>
    </row>
    <row r="184" spans="1:15">
      <c r="A184" s="12"/>
      <c r="B184" s="7"/>
      <c r="C184" s="8"/>
      <c r="D184" s="44"/>
      <c r="E184" s="44"/>
      <c r="F184" s="45"/>
      <c r="G184" s="45"/>
      <c r="H184" s="44"/>
      <c r="I184" s="63"/>
      <c r="N184" s="49"/>
    </row>
    <row r="185" spans="1:15">
      <c r="A185" s="12"/>
      <c r="B185" s="7"/>
      <c r="C185" s="8"/>
      <c r="D185" s="44"/>
      <c r="E185" s="44"/>
      <c r="F185" s="45"/>
      <c r="G185" s="45"/>
      <c r="H185" s="44"/>
      <c r="I185" s="64"/>
      <c r="N185" s="49"/>
    </row>
    <row r="186" spans="1:15">
      <c r="A186" s="12"/>
      <c r="B186" s="7"/>
      <c r="C186" s="8"/>
      <c r="D186" s="44"/>
      <c r="E186" s="44"/>
      <c r="F186" s="45"/>
      <c r="G186" s="45"/>
      <c r="H186" s="44"/>
      <c r="I186" s="64"/>
      <c r="N186" s="49"/>
    </row>
    <row r="187" spans="1:15">
      <c r="A187" s="125" t="s">
        <v>83</v>
      </c>
      <c r="B187" s="126" t="s">
        <v>530</v>
      </c>
      <c r="C187" s="127" t="s">
        <v>17</v>
      </c>
      <c r="D187" s="128">
        <v>102796.95</v>
      </c>
      <c r="E187" s="128"/>
      <c r="F187" s="129" t="s">
        <v>1330</v>
      </c>
      <c r="G187" s="129" t="s">
        <v>1345</v>
      </c>
      <c r="H187" s="128">
        <v>17610.894619999999</v>
      </c>
      <c r="I187" s="130">
        <f>SUM(H187:H194)</f>
        <v>54396.0167</v>
      </c>
      <c r="M187" s="123">
        <v>73893</v>
      </c>
      <c r="N187" s="49">
        <f>I187-M187</f>
        <v>-19496.9833</v>
      </c>
      <c r="O187" s="65" t="s">
        <v>1459</v>
      </c>
    </row>
    <row r="188" spans="1:15">
      <c r="A188" s="12"/>
      <c r="B188" s="7"/>
      <c r="C188" s="8"/>
      <c r="D188" s="44"/>
      <c r="E188" s="44"/>
      <c r="F188" s="45" t="s">
        <v>1331</v>
      </c>
      <c r="G188" s="45" t="s">
        <v>1345</v>
      </c>
      <c r="H188" s="44">
        <v>3561.5824800000005</v>
      </c>
      <c r="I188" s="46"/>
      <c r="M188" s="30"/>
      <c r="N188" s="49"/>
    </row>
    <row r="189" spans="1:15">
      <c r="A189" s="12"/>
      <c r="B189" s="7"/>
      <c r="C189" s="8"/>
      <c r="D189" s="44"/>
      <c r="E189" s="44"/>
      <c r="F189" s="45" t="s">
        <v>1388</v>
      </c>
      <c r="G189" s="45" t="s">
        <v>1345</v>
      </c>
      <c r="H189" s="44">
        <v>2609.5680000000002</v>
      </c>
      <c r="I189" s="46"/>
      <c r="M189" s="30"/>
      <c r="N189" s="49"/>
    </row>
    <row r="190" spans="1:15">
      <c r="A190" s="12"/>
      <c r="B190" s="7"/>
      <c r="C190" s="8"/>
      <c r="D190" s="44"/>
      <c r="E190" s="44"/>
      <c r="F190" s="45" t="s">
        <v>1334</v>
      </c>
      <c r="G190" s="45" t="s">
        <v>1345</v>
      </c>
      <c r="H190" s="44">
        <v>20557.43</v>
      </c>
      <c r="I190" s="46"/>
      <c r="M190" s="30"/>
      <c r="N190" s="49"/>
    </row>
    <row r="191" spans="1:15">
      <c r="A191" s="12"/>
      <c r="B191" s="7"/>
      <c r="C191" s="8"/>
      <c r="D191" s="44"/>
      <c r="E191" s="44"/>
      <c r="F191" s="56" t="s">
        <v>1335</v>
      </c>
      <c r="G191" s="45" t="s">
        <v>1345</v>
      </c>
      <c r="H191" s="44">
        <v>8433.9359999999997</v>
      </c>
      <c r="I191" s="46"/>
      <c r="M191" s="30"/>
      <c r="N191" s="49"/>
    </row>
    <row r="192" spans="1:15">
      <c r="A192" s="12"/>
      <c r="B192" s="7"/>
      <c r="C192" s="8"/>
      <c r="D192" s="44"/>
      <c r="E192" s="44"/>
      <c r="F192" s="45" t="s">
        <v>1336</v>
      </c>
      <c r="G192" s="45" t="s">
        <v>1345</v>
      </c>
      <c r="H192" s="44">
        <v>1622.6056000000001</v>
      </c>
      <c r="I192" s="46"/>
      <c r="M192" s="30"/>
      <c r="N192" s="49"/>
    </row>
    <row r="193" spans="1:14">
      <c r="A193" s="12"/>
      <c r="B193" s="7"/>
      <c r="C193" s="8"/>
      <c r="D193" s="44"/>
      <c r="E193" s="44"/>
      <c r="F193" s="45"/>
      <c r="G193" s="45"/>
      <c r="H193" s="44"/>
      <c r="I193" s="46"/>
      <c r="M193" s="30"/>
      <c r="N193" s="49"/>
    </row>
    <row r="194" spans="1:14">
      <c r="A194" s="12"/>
      <c r="B194" s="7"/>
      <c r="C194" s="8"/>
      <c r="D194" s="44"/>
      <c r="E194" s="44"/>
      <c r="F194" s="45"/>
      <c r="G194" s="45"/>
      <c r="H194" s="44"/>
      <c r="I194" s="46"/>
      <c r="N194" s="49"/>
    </row>
    <row r="195" spans="1:14" ht="33">
      <c r="A195" s="12" t="s">
        <v>84</v>
      </c>
      <c r="B195" s="7" t="s">
        <v>532</v>
      </c>
      <c r="C195" s="8" t="s">
        <v>13</v>
      </c>
      <c r="D195" s="44">
        <v>223.3</v>
      </c>
      <c r="E195" s="44"/>
      <c r="F195" s="45" t="s">
        <v>1329</v>
      </c>
      <c r="G195" s="45"/>
      <c r="H195" s="44"/>
      <c r="I195" s="48">
        <f>H195</f>
        <v>0</v>
      </c>
      <c r="M195" s="111">
        <v>0</v>
      </c>
      <c r="N195" s="49">
        <f>I195-M195</f>
        <v>0</v>
      </c>
    </row>
    <row r="196" spans="1:14" ht="49.5">
      <c r="A196" s="12" t="s">
        <v>85</v>
      </c>
      <c r="B196" s="7" t="s">
        <v>534</v>
      </c>
      <c r="C196" s="8" t="s">
        <v>13</v>
      </c>
      <c r="D196" s="44">
        <v>450.04</v>
      </c>
      <c r="E196" s="44"/>
      <c r="F196" s="45" t="s">
        <v>1330</v>
      </c>
      <c r="G196" s="45" t="s">
        <v>1350</v>
      </c>
      <c r="H196" s="44">
        <f>(15.3+14.35)*(1.15+1.5+2.75+0.1*2)+(1.5*1.15+1.5*0.5+0.42*0.7)*2*2+(0.25*0.6*4)*14+(2.2*0.45*2+0.75*2.2+1.05*0.6)*14</f>
        <v>245.15600000000003</v>
      </c>
      <c r="I196" s="63">
        <f>SUM(H196:H201)</f>
        <v>573.20400000000006</v>
      </c>
      <c r="M196" s="111">
        <v>357.02</v>
      </c>
      <c r="N196" s="49">
        <f>I196-M196</f>
        <v>216.18400000000008</v>
      </c>
    </row>
    <row r="197" spans="1:14" ht="49.5">
      <c r="A197" s="12"/>
      <c r="B197" s="7"/>
      <c r="C197" s="8"/>
      <c r="D197" s="44"/>
      <c r="E197" s="44"/>
      <c r="F197" s="45" t="s">
        <v>1342</v>
      </c>
      <c r="G197" s="56" t="s">
        <v>1352</v>
      </c>
      <c r="H197" s="55">
        <f>(2.38+1.95+0.5+0.5+2.67)*2*1+(0.25*0.6*4)*4+((3.5*2.15)+(3.5*2.35)+1.5*1.15*2+1*0.5*2*0.42*0.7*2)+(2*0.45*2+0.75*2+1.05*0.6)*4</f>
        <v>53.908000000000001</v>
      </c>
      <c r="I197" s="64"/>
      <c r="N197" s="49"/>
    </row>
    <row r="198" spans="1:14" ht="33">
      <c r="A198" s="12"/>
      <c r="B198" s="7"/>
      <c r="C198" s="8"/>
      <c r="D198" s="44"/>
      <c r="E198" s="44"/>
      <c r="F198" s="45" t="s">
        <v>1334</v>
      </c>
      <c r="G198" s="120" t="s">
        <v>1348</v>
      </c>
      <c r="H198" s="121">
        <f>(18.6+16.96)/2*(13.3-0.7*7+0.1*14)+(0.2*(18.6+16.96)/2)+(0.25*(15.3+14.5))</f>
        <v>185.25000000000006</v>
      </c>
      <c r="I198" s="64"/>
      <c r="N198" s="49"/>
    </row>
    <row r="199" spans="1:14">
      <c r="A199" s="12"/>
      <c r="B199" s="7"/>
      <c r="C199" s="8"/>
      <c r="D199" s="44"/>
      <c r="E199" s="44"/>
      <c r="F199" s="50" t="s">
        <v>1347</v>
      </c>
      <c r="G199" s="50">
        <f>(1.54+0.95)*(18.83+16.87)</f>
        <v>88.893000000000015</v>
      </c>
      <c r="H199" s="54">
        <v>88.89</v>
      </c>
      <c r="I199" s="64"/>
      <c r="N199" s="49"/>
    </row>
    <row r="200" spans="1:14">
      <c r="A200" s="12"/>
      <c r="B200" s="7"/>
      <c r="C200" s="8"/>
      <c r="D200" s="44"/>
      <c r="E200" s="44"/>
      <c r="F200" s="50" t="s">
        <v>1335</v>
      </c>
      <c r="G200" s="45"/>
      <c r="H200" s="44"/>
      <c r="I200" s="64"/>
      <c r="N200" s="49"/>
    </row>
    <row r="201" spans="1:14">
      <c r="A201" s="12"/>
      <c r="B201" s="7"/>
      <c r="C201" s="8"/>
      <c r="D201" s="44"/>
      <c r="E201" s="44"/>
      <c r="F201" s="45"/>
      <c r="G201" s="45"/>
      <c r="H201" s="44"/>
      <c r="I201" s="64"/>
      <c r="N201" s="49"/>
    </row>
    <row r="202" spans="1:14" ht="33">
      <c r="A202" s="12" t="s">
        <v>86</v>
      </c>
      <c r="B202" s="7" t="s">
        <v>536</v>
      </c>
      <c r="C202" s="8" t="s">
        <v>13</v>
      </c>
      <c r="D202" s="44">
        <v>28.27</v>
      </c>
      <c r="E202" s="44"/>
      <c r="F202" s="45" t="s">
        <v>1349</v>
      </c>
      <c r="G202" s="120" t="s">
        <v>1353</v>
      </c>
      <c r="H202" s="121">
        <f>(4.67*1.15)*2+(2.88*1.15*2)+(5.05+3.1+3.9+1.9)*2*0.1+(15.7+14.75+1.9*2)*2*0.1</f>
        <v>27.004999999999999</v>
      </c>
      <c r="I202" s="63">
        <f>SUM(H202:H204)</f>
        <v>27.004999999999999</v>
      </c>
      <c r="M202" s="111">
        <v>11.2</v>
      </c>
      <c r="N202" s="49">
        <f>I202-M202</f>
        <v>15.805</v>
      </c>
    </row>
    <row r="203" spans="1:14">
      <c r="A203" s="12"/>
      <c r="B203" s="7"/>
      <c r="C203" s="8"/>
      <c r="D203" s="44"/>
      <c r="E203" s="44"/>
      <c r="F203" s="45"/>
      <c r="G203" s="45"/>
      <c r="H203" s="44"/>
      <c r="I203" s="46"/>
      <c r="N203" s="49"/>
    </row>
    <row r="204" spans="1:14">
      <c r="A204" s="12"/>
      <c r="B204" s="7"/>
      <c r="C204" s="8"/>
      <c r="D204" s="44"/>
      <c r="E204" s="44"/>
      <c r="F204" s="45"/>
      <c r="G204" s="45"/>
      <c r="H204" s="44"/>
      <c r="I204" s="46"/>
      <c r="N204" s="49"/>
    </row>
    <row r="205" spans="1:14" ht="21.95" customHeight="1">
      <c r="A205" s="12" t="s">
        <v>87</v>
      </c>
      <c r="B205" s="7" t="s">
        <v>538</v>
      </c>
      <c r="C205" s="8" t="s">
        <v>539</v>
      </c>
      <c r="D205" s="44">
        <v>25655</v>
      </c>
      <c r="E205" s="44"/>
      <c r="F205" s="45"/>
      <c r="G205" s="45"/>
      <c r="H205" s="44"/>
      <c r="I205" s="46" t="s">
        <v>243</v>
      </c>
      <c r="M205" s="111">
        <v>0</v>
      </c>
      <c r="N205" s="49"/>
    </row>
    <row r="206" spans="1:14" ht="21.95" customHeight="1">
      <c r="A206" s="12" t="s">
        <v>541</v>
      </c>
      <c r="B206" s="7" t="s">
        <v>321</v>
      </c>
      <c r="C206" s="8" t="s">
        <v>17</v>
      </c>
      <c r="D206" s="44">
        <v>3691</v>
      </c>
      <c r="E206" s="44"/>
      <c r="F206" s="45"/>
      <c r="G206" s="45"/>
      <c r="H206" s="44"/>
      <c r="I206" s="46" t="s">
        <v>243</v>
      </c>
      <c r="M206" s="111">
        <v>0</v>
      </c>
      <c r="N206" s="49"/>
    </row>
    <row r="207" spans="1:14" ht="42.75">
      <c r="A207" s="12" t="s">
        <v>88</v>
      </c>
      <c r="B207" s="10" t="s">
        <v>323</v>
      </c>
      <c r="C207" s="8" t="s">
        <v>17</v>
      </c>
      <c r="D207" s="44">
        <v>3691</v>
      </c>
      <c r="E207" s="44"/>
      <c r="F207" s="45"/>
      <c r="G207" s="45"/>
      <c r="H207" s="44"/>
      <c r="I207" s="46" t="s">
        <v>243</v>
      </c>
      <c r="M207" s="111">
        <v>0</v>
      </c>
      <c r="N207" s="49"/>
    </row>
    <row r="208" spans="1:14" ht="33">
      <c r="A208" s="12" t="s">
        <v>89</v>
      </c>
      <c r="B208" s="10" t="s">
        <v>542</v>
      </c>
      <c r="C208" s="8" t="s">
        <v>17</v>
      </c>
      <c r="D208" s="44">
        <v>2162</v>
      </c>
      <c r="E208" s="44"/>
      <c r="F208" s="45"/>
      <c r="G208" s="45"/>
      <c r="H208" s="44"/>
      <c r="I208" s="46" t="s">
        <v>243</v>
      </c>
      <c r="M208" s="111">
        <v>0</v>
      </c>
      <c r="N208" s="49"/>
    </row>
    <row r="209" spans="1:14" ht="42.75">
      <c r="A209" s="12" t="s">
        <v>90</v>
      </c>
      <c r="B209" s="10" t="s">
        <v>544</v>
      </c>
      <c r="C209" s="8" t="s">
        <v>13</v>
      </c>
      <c r="D209" s="44">
        <v>99.7</v>
      </c>
      <c r="E209" s="44"/>
      <c r="F209" s="45"/>
      <c r="G209" s="45"/>
      <c r="H209" s="44"/>
      <c r="I209" s="46" t="s">
        <v>243</v>
      </c>
      <c r="M209" s="111">
        <v>0</v>
      </c>
      <c r="N209" s="49"/>
    </row>
    <row r="210" spans="1:14" ht="99.75">
      <c r="A210" s="12" t="s">
        <v>91</v>
      </c>
      <c r="B210" s="10" t="s">
        <v>325</v>
      </c>
      <c r="C210" s="8" t="s">
        <v>17</v>
      </c>
      <c r="D210" s="44">
        <v>95900</v>
      </c>
      <c r="E210" s="44"/>
      <c r="F210" s="45" t="s">
        <v>1234</v>
      </c>
      <c r="G210" s="56" t="s">
        <v>1358</v>
      </c>
      <c r="H210" s="55">
        <v>47258</v>
      </c>
      <c r="I210" s="48">
        <f>SUM(H210:H211)</f>
        <v>96604.35</v>
      </c>
      <c r="M210" s="111">
        <v>47093</v>
      </c>
      <c r="N210" s="49">
        <f>I210-M210</f>
        <v>49511.350000000006</v>
      </c>
    </row>
    <row r="211" spans="1:14">
      <c r="A211" s="12"/>
      <c r="B211" s="7"/>
      <c r="C211" s="8"/>
      <c r="D211" s="44"/>
      <c r="E211" s="44"/>
      <c r="F211" s="45" t="s">
        <v>1324</v>
      </c>
      <c r="G211" s="56" t="s">
        <v>1344</v>
      </c>
      <c r="H211" s="55">
        <v>49346.35</v>
      </c>
      <c r="I211" s="46"/>
      <c r="N211" s="49"/>
    </row>
    <row r="212" spans="1:14" ht="33">
      <c r="A212" s="12" t="s">
        <v>203</v>
      </c>
      <c r="B212" s="66" t="s">
        <v>222</v>
      </c>
      <c r="C212" s="67" t="s">
        <v>13</v>
      </c>
      <c r="D212" s="55">
        <v>438.86</v>
      </c>
      <c r="E212" s="55"/>
      <c r="F212" s="56" t="s">
        <v>1355</v>
      </c>
      <c r="G212" s="56" t="s">
        <v>1356</v>
      </c>
      <c r="H212" s="55">
        <f>((1.8*12*3*2+1.8*9*2*2+1.8*8*2*5)+(1.8*3*2+1.8*5*4+1.8*5*2))</f>
        <v>403.20000000000005</v>
      </c>
      <c r="I212" s="63">
        <f>SUM(H212:H214)</f>
        <v>403.20000000000005</v>
      </c>
      <c r="M212" s="111">
        <v>385.16</v>
      </c>
      <c r="N212" s="49">
        <f>I212-M212</f>
        <v>18.04000000000002</v>
      </c>
    </row>
    <row r="213" spans="1:14">
      <c r="A213" s="12"/>
      <c r="B213" s="7"/>
      <c r="C213" s="8"/>
      <c r="D213" s="44"/>
      <c r="E213" s="44"/>
      <c r="F213" s="45"/>
      <c r="G213" s="45"/>
      <c r="H213" s="44"/>
      <c r="I213" s="46"/>
      <c r="M213" s="30"/>
      <c r="N213" s="49"/>
    </row>
    <row r="214" spans="1:14">
      <c r="A214" s="12"/>
      <c r="B214" s="7"/>
      <c r="C214" s="8"/>
      <c r="D214" s="44"/>
      <c r="E214" s="44"/>
      <c r="F214" s="45"/>
      <c r="G214" s="45"/>
      <c r="H214" s="44"/>
      <c r="I214" s="46"/>
      <c r="M214" s="30"/>
      <c r="N214" s="49"/>
    </row>
    <row r="215" spans="1:14" ht="57">
      <c r="A215" s="12" t="s">
        <v>202</v>
      </c>
      <c r="B215" s="10" t="s">
        <v>194</v>
      </c>
      <c r="C215" s="8" t="s">
        <v>23</v>
      </c>
      <c r="D215" s="44">
        <v>342.71</v>
      </c>
      <c r="E215" s="44"/>
      <c r="F215" s="45" t="s">
        <v>1343</v>
      </c>
      <c r="G215" s="45" t="s">
        <v>1354</v>
      </c>
      <c r="H215" s="44">
        <f>((16.2*3.35*2.7+16.8*3.25*1.8)+6.3*4.5*2+4.1*3.6*2.5)</f>
        <v>338.40899999999999</v>
      </c>
      <c r="I215" s="48">
        <f>H215</f>
        <v>338.40899999999999</v>
      </c>
      <c r="M215" s="111">
        <v>336</v>
      </c>
      <c r="N215" s="49">
        <f>I215-M215</f>
        <v>2.4089999999999918</v>
      </c>
    </row>
    <row r="216" spans="1:14" ht="42.75">
      <c r="A216" s="12" t="s">
        <v>201</v>
      </c>
      <c r="B216" s="10" t="s">
        <v>205</v>
      </c>
      <c r="C216" s="8" t="s">
        <v>23</v>
      </c>
      <c r="D216" s="44">
        <v>231.09</v>
      </c>
      <c r="E216" s="44"/>
      <c r="F216" s="45"/>
      <c r="G216" s="45"/>
      <c r="H216" s="44"/>
      <c r="I216" s="46" t="s">
        <v>243</v>
      </c>
      <c r="M216" s="111">
        <v>0</v>
      </c>
      <c r="N216" s="49"/>
    </row>
    <row r="217" spans="1:14">
      <c r="A217" s="12" t="s">
        <v>200</v>
      </c>
      <c r="B217" s="7" t="s">
        <v>548</v>
      </c>
      <c r="C217" s="8" t="s">
        <v>13</v>
      </c>
      <c r="D217" s="44">
        <v>183</v>
      </c>
      <c r="E217" s="44">
        <v>27956</v>
      </c>
      <c r="F217" s="45"/>
      <c r="G217" s="45" t="s">
        <v>1351</v>
      </c>
      <c r="H217" s="44">
        <v>11275</v>
      </c>
      <c r="I217" s="48">
        <f>H217</f>
        <v>11275</v>
      </c>
      <c r="M217" s="111">
        <v>11275</v>
      </c>
      <c r="N217" s="49">
        <f>I217-M217</f>
        <v>0</v>
      </c>
    </row>
    <row r="218" spans="1:14">
      <c r="A218" s="12"/>
      <c r="B218" s="7"/>
      <c r="C218" s="8"/>
      <c r="D218" s="44"/>
      <c r="E218" s="44"/>
      <c r="F218" s="45"/>
      <c r="G218" s="45"/>
      <c r="H218" s="44"/>
      <c r="I218" s="46"/>
      <c r="N218" s="49"/>
    </row>
    <row r="219" spans="1:14" ht="28.5">
      <c r="A219" s="12" t="s">
        <v>199</v>
      </c>
      <c r="B219" s="10" t="s">
        <v>550</v>
      </c>
      <c r="C219" s="8" t="s">
        <v>8</v>
      </c>
      <c r="D219" s="44">
        <v>322</v>
      </c>
      <c r="E219" s="44"/>
      <c r="F219" s="45" t="s">
        <v>1343</v>
      </c>
      <c r="G219" s="45" t="s">
        <v>1357</v>
      </c>
      <c r="H219" s="44">
        <f>2*45+3*36+4*31</f>
        <v>322</v>
      </c>
      <c r="I219" s="63">
        <f>H219</f>
        <v>322</v>
      </c>
      <c r="M219" s="111">
        <v>322</v>
      </c>
      <c r="N219" s="49">
        <f>I219-M219</f>
        <v>0</v>
      </c>
    </row>
    <row r="220" spans="1:14" ht="33">
      <c r="A220" s="12" t="s">
        <v>198</v>
      </c>
      <c r="B220" s="10" t="s">
        <v>552</v>
      </c>
      <c r="C220" s="8" t="s">
        <v>13</v>
      </c>
      <c r="D220" s="44">
        <v>100</v>
      </c>
      <c r="E220" s="44"/>
      <c r="F220" s="45"/>
      <c r="G220" s="45"/>
      <c r="H220" s="44"/>
      <c r="I220" s="46" t="s">
        <v>243</v>
      </c>
      <c r="M220" s="111">
        <v>0</v>
      </c>
      <c r="N220" s="49"/>
    </row>
    <row r="221" spans="1:14" ht="42.75">
      <c r="A221" s="12" t="s">
        <v>197</v>
      </c>
      <c r="B221" s="10" t="s">
        <v>554</v>
      </c>
      <c r="C221" s="8" t="s">
        <v>13</v>
      </c>
      <c r="D221" s="44">
        <v>83</v>
      </c>
      <c r="E221" s="44"/>
      <c r="F221" s="45"/>
      <c r="G221" s="45"/>
      <c r="H221" s="44"/>
      <c r="I221" s="46" t="s">
        <v>243</v>
      </c>
      <c r="M221" s="111">
        <v>0</v>
      </c>
      <c r="N221" s="49"/>
    </row>
    <row r="222" spans="1:14" ht="33">
      <c r="A222" s="12" t="s">
        <v>196</v>
      </c>
      <c r="B222" s="7" t="s">
        <v>556</v>
      </c>
      <c r="C222" s="8" t="s">
        <v>13</v>
      </c>
      <c r="D222" s="44">
        <v>2.1</v>
      </c>
      <c r="E222" s="44"/>
      <c r="F222" s="45"/>
      <c r="G222" s="45"/>
      <c r="H222" s="44"/>
      <c r="I222" s="46" t="s">
        <v>243</v>
      </c>
      <c r="M222" s="111">
        <v>0</v>
      </c>
      <c r="N222" s="49"/>
    </row>
    <row r="223" spans="1:14" ht="33">
      <c r="A223" s="12" t="s">
        <v>195</v>
      </c>
      <c r="B223" s="7" t="s">
        <v>558</v>
      </c>
      <c r="C223" s="8" t="s">
        <v>8</v>
      </c>
      <c r="D223" s="44">
        <v>62</v>
      </c>
      <c r="E223" s="44"/>
      <c r="F223" s="45"/>
      <c r="G223" s="45"/>
      <c r="H223" s="44"/>
      <c r="I223" s="46" t="s">
        <v>243</v>
      </c>
      <c r="M223" s="111">
        <v>0</v>
      </c>
      <c r="N223" s="49"/>
    </row>
    <row r="224" spans="1:14" ht="33">
      <c r="A224" s="12" t="s">
        <v>212</v>
      </c>
      <c r="B224" s="7" t="s">
        <v>560</v>
      </c>
      <c r="C224" s="8" t="s">
        <v>8</v>
      </c>
      <c r="D224" s="44">
        <v>33</v>
      </c>
      <c r="E224" s="44"/>
      <c r="F224" s="45"/>
      <c r="G224" s="45"/>
      <c r="H224" s="44"/>
      <c r="I224" s="46" t="s">
        <v>243</v>
      </c>
      <c r="M224" s="111">
        <v>0</v>
      </c>
      <c r="N224" s="49"/>
    </row>
    <row r="225" spans="1:14" ht="42.75">
      <c r="A225" s="12" t="s">
        <v>213</v>
      </c>
      <c r="B225" s="10" t="s">
        <v>562</v>
      </c>
      <c r="C225" s="8" t="s">
        <v>8</v>
      </c>
      <c r="D225" s="44">
        <v>32.6</v>
      </c>
      <c r="E225" s="44"/>
      <c r="F225" s="45"/>
      <c r="G225" s="45"/>
      <c r="H225" s="44"/>
      <c r="I225" s="46" t="s">
        <v>243</v>
      </c>
      <c r="M225" s="111">
        <v>0</v>
      </c>
      <c r="N225" s="49"/>
    </row>
    <row r="226" spans="1:14" ht="42.75">
      <c r="A226" s="12" t="s">
        <v>217</v>
      </c>
      <c r="B226" s="10" t="s">
        <v>564</v>
      </c>
      <c r="C226" s="8" t="s">
        <v>8</v>
      </c>
      <c r="D226" s="44">
        <v>32.6</v>
      </c>
      <c r="E226" s="44"/>
      <c r="F226" s="45"/>
      <c r="G226" s="45"/>
      <c r="H226" s="44"/>
      <c r="I226" s="46" t="s">
        <v>243</v>
      </c>
      <c r="M226" s="111">
        <v>0</v>
      </c>
      <c r="N226" s="49"/>
    </row>
    <row r="227" spans="1:14" ht="33">
      <c r="A227" s="12" t="s">
        <v>566</v>
      </c>
      <c r="B227" s="7" t="s">
        <v>567</v>
      </c>
      <c r="C227" s="8" t="s">
        <v>0</v>
      </c>
      <c r="D227" s="44">
        <v>1</v>
      </c>
      <c r="E227" s="44"/>
      <c r="F227" s="45"/>
      <c r="G227" s="45"/>
      <c r="H227" s="44"/>
      <c r="I227" s="46" t="s">
        <v>243</v>
      </c>
      <c r="M227" s="111">
        <v>0</v>
      </c>
      <c r="N227" s="49"/>
    </row>
    <row r="228" spans="1:14" ht="33">
      <c r="A228" s="12" t="s">
        <v>569</v>
      </c>
      <c r="B228" s="7" t="s">
        <v>570</v>
      </c>
      <c r="C228" s="8" t="s">
        <v>8</v>
      </c>
      <c r="D228" s="44">
        <v>9.6</v>
      </c>
      <c r="E228" s="44"/>
      <c r="F228" s="45"/>
      <c r="G228" s="45"/>
      <c r="H228" s="44"/>
      <c r="I228" s="46" t="s">
        <v>243</v>
      </c>
      <c r="M228" s="111">
        <v>0</v>
      </c>
      <c r="N228" s="49"/>
    </row>
    <row r="229" spans="1:14" ht="33">
      <c r="A229" s="12" t="s">
        <v>572</v>
      </c>
      <c r="B229" s="7" t="s">
        <v>573</v>
      </c>
      <c r="C229" s="8" t="s">
        <v>0</v>
      </c>
      <c r="D229" s="44">
        <v>1</v>
      </c>
      <c r="E229" s="44"/>
      <c r="F229" s="45"/>
      <c r="G229" s="45"/>
      <c r="H229" s="44"/>
      <c r="I229" s="46" t="s">
        <v>243</v>
      </c>
      <c r="M229" s="111">
        <v>0</v>
      </c>
      <c r="N229" s="49"/>
    </row>
    <row r="230" spans="1:14" ht="33">
      <c r="A230" s="12" t="s">
        <v>575</v>
      </c>
      <c r="B230" s="7" t="s">
        <v>576</v>
      </c>
      <c r="C230" s="8" t="s">
        <v>8</v>
      </c>
      <c r="D230" s="44">
        <v>32.6</v>
      </c>
      <c r="E230" s="44"/>
      <c r="F230" s="45"/>
      <c r="G230" s="45"/>
      <c r="H230" s="44"/>
      <c r="I230" s="46" t="s">
        <v>243</v>
      </c>
      <c r="M230" s="111">
        <v>0</v>
      </c>
      <c r="N230" s="49"/>
    </row>
    <row r="231" spans="1:14" ht="42.75">
      <c r="A231" s="12" t="s">
        <v>578</v>
      </c>
      <c r="B231" s="10" t="s">
        <v>579</v>
      </c>
      <c r="C231" s="8" t="s">
        <v>8</v>
      </c>
      <c r="D231" s="44">
        <v>32.6</v>
      </c>
      <c r="E231" s="44"/>
      <c r="F231" s="45"/>
      <c r="G231" s="45"/>
      <c r="H231" s="44"/>
      <c r="I231" s="46" t="s">
        <v>243</v>
      </c>
      <c r="M231" s="111">
        <v>0</v>
      </c>
      <c r="N231" s="49"/>
    </row>
    <row r="232" spans="1:14" ht="57">
      <c r="A232" s="12" t="s">
        <v>581</v>
      </c>
      <c r="B232" s="10" t="s">
        <v>582</v>
      </c>
      <c r="C232" s="8" t="s">
        <v>583</v>
      </c>
      <c r="D232" s="44">
        <v>4</v>
      </c>
      <c r="E232" s="44"/>
      <c r="F232" s="45" t="s">
        <v>1234</v>
      </c>
      <c r="G232" s="120">
        <v>4</v>
      </c>
      <c r="H232" s="121">
        <v>4</v>
      </c>
      <c r="I232" s="48">
        <f t="shared" ref="I232:I238" si="3">H232</f>
        <v>4</v>
      </c>
      <c r="M232" s="111">
        <v>0</v>
      </c>
      <c r="N232" s="49">
        <f t="shared" ref="N232:N238" si="4">I232-M232</f>
        <v>4</v>
      </c>
    </row>
    <row r="233" spans="1:14" ht="31.5">
      <c r="A233" s="12" t="s">
        <v>585</v>
      </c>
      <c r="B233" s="7" t="s">
        <v>586</v>
      </c>
      <c r="C233" s="8" t="s">
        <v>8</v>
      </c>
      <c r="D233" s="44">
        <v>4.8</v>
      </c>
      <c r="E233" s="44"/>
      <c r="F233" s="45"/>
      <c r="G233" s="45"/>
      <c r="H233" s="44"/>
      <c r="I233" s="48">
        <f t="shared" si="3"/>
        <v>0</v>
      </c>
      <c r="M233" s="111">
        <v>0</v>
      </c>
      <c r="N233" s="49">
        <f t="shared" si="4"/>
        <v>0</v>
      </c>
    </row>
    <row r="234" spans="1:14">
      <c r="A234" s="12" t="s">
        <v>588</v>
      </c>
      <c r="B234" s="7" t="s">
        <v>589</v>
      </c>
      <c r="C234" s="8" t="s">
        <v>0</v>
      </c>
      <c r="D234" s="44">
        <v>1</v>
      </c>
      <c r="E234" s="44"/>
      <c r="F234" s="45"/>
      <c r="G234" s="45"/>
      <c r="H234" s="44"/>
      <c r="I234" s="48">
        <f t="shared" si="3"/>
        <v>0</v>
      </c>
      <c r="M234" s="111">
        <v>0</v>
      </c>
      <c r="N234" s="49">
        <f t="shared" si="4"/>
        <v>0</v>
      </c>
    </row>
    <row r="235" spans="1:14">
      <c r="A235" s="12" t="s">
        <v>591</v>
      </c>
      <c r="B235" s="7" t="s">
        <v>592</v>
      </c>
      <c r="C235" s="8" t="s">
        <v>0</v>
      </c>
      <c r="D235" s="44">
        <v>1</v>
      </c>
      <c r="E235" s="44"/>
      <c r="F235" s="45"/>
      <c r="G235" s="45"/>
      <c r="H235" s="44">
        <v>1</v>
      </c>
      <c r="I235" s="48">
        <f t="shared" si="3"/>
        <v>1</v>
      </c>
      <c r="M235" s="123">
        <v>0.8</v>
      </c>
      <c r="N235" s="49">
        <f t="shared" si="4"/>
        <v>0.19999999999999996</v>
      </c>
    </row>
    <row r="236" spans="1:14">
      <c r="A236" s="12" t="s">
        <v>1359</v>
      </c>
      <c r="B236" s="7" t="s">
        <v>1360</v>
      </c>
      <c r="C236" s="8" t="s">
        <v>606</v>
      </c>
      <c r="D236" s="44"/>
      <c r="E236" s="44">
        <v>2</v>
      </c>
      <c r="F236" s="45" t="s">
        <v>1343</v>
      </c>
      <c r="G236" s="45">
        <v>2</v>
      </c>
      <c r="H236" s="44">
        <v>2</v>
      </c>
      <c r="I236" s="48">
        <f t="shared" si="3"/>
        <v>2</v>
      </c>
      <c r="M236" s="111">
        <v>2</v>
      </c>
      <c r="N236" s="49">
        <f t="shared" si="4"/>
        <v>0</v>
      </c>
    </row>
    <row r="237" spans="1:14">
      <c r="A237" s="12" t="s">
        <v>1361</v>
      </c>
      <c r="B237" s="7" t="s">
        <v>1362</v>
      </c>
      <c r="C237" s="8" t="s">
        <v>539</v>
      </c>
      <c r="D237" s="44"/>
      <c r="E237" s="44">
        <v>96850</v>
      </c>
      <c r="F237" s="45" t="s">
        <v>1343</v>
      </c>
      <c r="G237" s="120"/>
      <c r="H237" s="121">
        <f>I210</f>
        <v>96604.35</v>
      </c>
      <c r="I237" s="48">
        <f t="shared" si="3"/>
        <v>96604.35</v>
      </c>
      <c r="M237" s="111">
        <v>0</v>
      </c>
      <c r="N237" s="49">
        <f t="shared" si="4"/>
        <v>96604.35</v>
      </c>
    </row>
    <row r="238" spans="1:14" ht="31.5">
      <c r="A238" s="12" t="s">
        <v>1363</v>
      </c>
      <c r="B238" s="7" t="s">
        <v>1364</v>
      </c>
      <c r="C238" s="8" t="s">
        <v>15</v>
      </c>
      <c r="D238" s="44"/>
      <c r="E238" s="44">
        <v>18</v>
      </c>
      <c r="F238" s="45" t="s">
        <v>1343</v>
      </c>
      <c r="G238" s="120" t="s">
        <v>1490</v>
      </c>
      <c r="H238" s="121">
        <v>18</v>
      </c>
      <c r="I238" s="48">
        <f t="shared" si="3"/>
        <v>18</v>
      </c>
      <c r="M238" s="111">
        <v>0</v>
      </c>
      <c r="N238" s="49">
        <f t="shared" si="4"/>
        <v>18</v>
      </c>
    </row>
    <row r="239" spans="1:14" ht="33">
      <c r="A239" s="114" t="s">
        <v>92</v>
      </c>
      <c r="B239" s="115" t="s">
        <v>594</v>
      </c>
      <c r="C239" s="116" t="s">
        <v>4</v>
      </c>
      <c r="D239" s="117">
        <v>1</v>
      </c>
      <c r="E239" s="117"/>
      <c r="F239" s="118"/>
      <c r="G239" s="118"/>
      <c r="H239" s="117"/>
      <c r="I239" s="119" t="s">
        <v>243</v>
      </c>
      <c r="N239" s="49"/>
    </row>
    <row r="240" spans="1:14" ht="28.5">
      <c r="A240" s="12" t="s">
        <v>93</v>
      </c>
      <c r="B240" s="10" t="s">
        <v>1383</v>
      </c>
      <c r="C240" s="8" t="s">
        <v>6</v>
      </c>
      <c r="D240" s="44">
        <v>22</v>
      </c>
      <c r="E240" s="44"/>
      <c r="F240" s="45" t="s">
        <v>1511</v>
      </c>
      <c r="G240" s="45" t="s">
        <v>1390</v>
      </c>
      <c r="H240" s="44">
        <f>(246.3*0.85*0.05)+(1.7*0.1*(11.2+57.6))</f>
        <v>22.16375</v>
      </c>
      <c r="I240" s="48">
        <f>SUM(H240:H242)</f>
        <v>25.376750000000001</v>
      </c>
      <c r="M240" s="111">
        <v>16.880000000000003</v>
      </c>
      <c r="N240" s="49">
        <f>I240-M240</f>
        <v>8.4967499999999987</v>
      </c>
    </row>
    <row r="241" spans="1:14">
      <c r="A241" s="12"/>
      <c r="B241" s="10"/>
      <c r="C241" s="8"/>
      <c r="D241" s="44"/>
      <c r="E241" s="44"/>
      <c r="F241" s="50" t="s">
        <v>1443</v>
      </c>
      <c r="G241" s="45" t="s">
        <v>1442</v>
      </c>
      <c r="H241" s="44">
        <f>1.35*23.8*0.1</f>
        <v>3.2130000000000005</v>
      </c>
      <c r="I241" s="48"/>
      <c r="N241" s="49"/>
    </row>
    <row r="242" spans="1:14">
      <c r="A242" s="12"/>
      <c r="B242" s="10"/>
      <c r="C242" s="8"/>
      <c r="D242" s="44"/>
      <c r="E242" s="44"/>
      <c r="F242" s="45"/>
      <c r="G242" s="45"/>
      <c r="H242" s="44"/>
      <c r="I242" s="48"/>
      <c r="N242" s="49"/>
    </row>
    <row r="243" spans="1:14" ht="28.5">
      <c r="A243" s="125" t="s">
        <v>94</v>
      </c>
      <c r="B243" s="131" t="s">
        <v>24</v>
      </c>
      <c r="C243" s="127" t="s">
        <v>6</v>
      </c>
      <c r="D243" s="128">
        <v>302</v>
      </c>
      <c r="E243" s="128"/>
      <c r="F243" s="129" t="s">
        <v>1433</v>
      </c>
      <c r="G243" s="132" t="s">
        <v>1661</v>
      </c>
      <c r="H243" s="128">
        <f>58*7*(0.2*0.2*3.14)</f>
        <v>50.993600000000008</v>
      </c>
      <c r="I243" s="130">
        <f>SUM(H243:H247)</f>
        <v>92.397600000000011</v>
      </c>
      <c r="M243" s="133">
        <v>301.53000000000003</v>
      </c>
      <c r="N243" s="134">
        <f>I243-M243</f>
        <v>-209.13240000000002</v>
      </c>
    </row>
    <row r="244" spans="1:14">
      <c r="A244" s="12"/>
      <c r="B244" s="7"/>
      <c r="C244" s="8"/>
      <c r="D244" s="44"/>
      <c r="E244" s="44"/>
      <c r="F244" s="56" t="s">
        <v>1434</v>
      </c>
      <c r="G244" s="56" t="s">
        <v>1440</v>
      </c>
      <c r="H244" s="44">
        <f>0.6*0.4*(23.8+19.8)</f>
        <v>10.464</v>
      </c>
      <c r="I244" s="48"/>
      <c r="M244" s="123"/>
      <c r="N244" s="49"/>
    </row>
    <row r="245" spans="1:14">
      <c r="A245" s="12"/>
      <c r="B245" s="7"/>
      <c r="C245" s="8"/>
      <c r="D245" s="44"/>
      <c r="E245" s="44"/>
      <c r="F245" s="50" t="s">
        <v>1443</v>
      </c>
      <c r="G245" s="56" t="s">
        <v>1444</v>
      </c>
      <c r="H245" s="44">
        <f>(1.35+2.05)*23.8*0.3+0.8*0.35*23.8</f>
        <v>30.939999999999998</v>
      </c>
      <c r="I245" s="48"/>
      <c r="M245" s="123"/>
      <c r="N245" s="49"/>
    </row>
    <row r="246" spans="1:14">
      <c r="A246" s="12"/>
      <c r="B246" s="7"/>
      <c r="C246" s="8"/>
      <c r="D246" s="44"/>
      <c r="E246" s="44"/>
      <c r="F246" s="50"/>
      <c r="G246" s="68"/>
      <c r="H246" s="44"/>
      <c r="I246" s="48"/>
      <c r="M246" s="123"/>
      <c r="N246" s="49"/>
    </row>
    <row r="247" spans="1:14">
      <c r="A247" s="12"/>
      <c r="B247" s="7"/>
      <c r="C247" s="8"/>
      <c r="D247" s="44"/>
      <c r="E247" s="44"/>
      <c r="F247" s="45"/>
      <c r="G247" s="68"/>
      <c r="H247" s="44"/>
      <c r="I247" s="48"/>
      <c r="M247" s="123"/>
      <c r="N247" s="49"/>
    </row>
    <row r="248" spans="1:14" ht="33">
      <c r="A248" s="125" t="s">
        <v>95</v>
      </c>
      <c r="B248" s="131" t="s">
        <v>528</v>
      </c>
      <c r="C248" s="127" t="s">
        <v>6</v>
      </c>
      <c r="D248" s="128">
        <v>766</v>
      </c>
      <c r="E248" s="128">
        <v>0</v>
      </c>
      <c r="F248" s="129" t="s">
        <v>1366</v>
      </c>
      <c r="G248" s="135">
        <v>-423.75</v>
      </c>
      <c r="H248" s="128"/>
      <c r="I248" s="130"/>
      <c r="M248" s="123">
        <v>423.75</v>
      </c>
      <c r="N248" s="49">
        <f>I248-M248</f>
        <v>-423.75</v>
      </c>
    </row>
    <row r="249" spans="1:14" ht="31.5">
      <c r="A249" s="12" t="s">
        <v>96</v>
      </c>
      <c r="B249" s="7" t="s">
        <v>595</v>
      </c>
      <c r="C249" s="8" t="s">
        <v>6</v>
      </c>
      <c r="D249" s="44">
        <v>1090</v>
      </c>
      <c r="E249" s="44"/>
      <c r="F249" s="59" t="s">
        <v>1384</v>
      </c>
      <c r="G249" s="120"/>
      <c r="H249" s="121">
        <f>I290+I243+I240</f>
        <v>1199.93085</v>
      </c>
      <c r="I249" s="48">
        <f>H249</f>
        <v>1199.93085</v>
      </c>
      <c r="M249" s="111">
        <v>1012.36</v>
      </c>
      <c r="N249" s="49">
        <f>I249-M249</f>
        <v>187.57084999999995</v>
      </c>
    </row>
    <row r="250" spans="1:14">
      <c r="A250" s="12" t="s">
        <v>191</v>
      </c>
      <c r="B250" s="7" t="s">
        <v>534</v>
      </c>
      <c r="C250" s="8" t="s">
        <v>13</v>
      </c>
      <c r="D250" s="44">
        <v>1203</v>
      </c>
      <c r="E250" s="44"/>
      <c r="F250" s="45" t="s">
        <v>1382</v>
      </c>
      <c r="G250" s="45" t="s">
        <v>1391</v>
      </c>
      <c r="H250" s="44">
        <f>(1.5*2*246.3+1.5*0.75*12)</f>
        <v>752.40000000000009</v>
      </c>
      <c r="I250" s="63">
        <f>SUM(H250:H256)</f>
        <v>1422.7690000000002</v>
      </c>
      <c r="M250" s="111">
        <v>1181.83</v>
      </c>
      <c r="N250" s="49">
        <f>I250-M250</f>
        <v>240.93900000000031</v>
      </c>
    </row>
    <row r="251" spans="1:14" ht="49.5">
      <c r="A251" s="12"/>
      <c r="B251" s="7"/>
      <c r="C251" s="8"/>
      <c r="D251" s="44"/>
      <c r="E251" s="44"/>
      <c r="F251" s="45" t="s">
        <v>1398</v>
      </c>
      <c r="G251" s="45" t="s">
        <v>1401</v>
      </c>
      <c r="H251" s="44">
        <f>(3.63*41.1*1+(1.1+0.5)/2*3.6*3)+(2.1*16.5*1)+(3.95*11.2*1+(1.1+0.5)/2*3.95*2)</f>
        <v>243.04300000000003</v>
      </c>
      <c r="I251" s="69"/>
      <c r="N251" s="49"/>
    </row>
    <row r="252" spans="1:14">
      <c r="A252" s="12"/>
      <c r="B252" s="7"/>
      <c r="C252" s="8"/>
      <c r="D252" s="44"/>
      <c r="E252" s="44"/>
      <c r="F252" s="45" t="s">
        <v>1399</v>
      </c>
      <c r="G252" s="45" t="s">
        <v>1393</v>
      </c>
      <c r="H252" s="44">
        <f>((4.79+3.4)/2*17*2+(0.3+0.5)/2*(4.79+3.4)/2*2)</f>
        <v>142.506</v>
      </c>
      <c r="I252" s="46"/>
      <c r="N252" s="49"/>
    </row>
    <row r="253" spans="1:14">
      <c r="A253" s="12"/>
      <c r="B253" s="7"/>
      <c r="C253" s="8"/>
      <c r="D253" s="44"/>
      <c r="E253" s="44"/>
      <c r="F253" s="45" t="s">
        <v>1388</v>
      </c>
      <c r="G253" s="45" t="s">
        <v>1392</v>
      </c>
      <c r="H253" s="44">
        <f>(15.8*3.45-7.05*2.6)*2</f>
        <v>72.360000000000014</v>
      </c>
      <c r="I253" s="46"/>
      <c r="N253" s="49"/>
    </row>
    <row r="254" spans="1:14">
      <c r="A254" s="12"/>
      <c r="B254" s="7"/>
      <c r="C254" s="8"/>
      <c r="D254" s="44"/>
      <c r="E254" s="44"/>
      <c r="F254" s="45" t="s">
        <v>1394</v>
      </c>
      <c r="G254" s="45" t="s">
        <v>1396</v>
      </c>
      <c r="H254" s="44">
        <f>(9.8*3.3*2)</f>
        <v>64.680000000000007</v>
      </c>
      <c r="I254" s="46"/>
      <c r="N254" s="49"/>
    </row>
    <row r="255" spans="1:14" ht="33">
      <c r="A255" s="12"/>
      <c r="B255" s="7"/>
      <c r="C255" s="8"/>
      <c r="D255" s="44"/>
      <c r="E255" s="44"/>
      <c r="F255" s="50" t="s">
        <v>1443</v>
      </c>
      <c r="G255" s="120" t="s">
        <v>1449</v>
      </c>
      <c r="H255" s="121">
        <f>(2.7*23.8+0.35*0.8+(1.35+2.05)*0.3)*2+(0.6+0.1)*23.8</f>
        <v>147.78</v>
      </c>
      <c r="I255" s="46"/>
      <c r="N255" s="49"/>
    </row>
    <row r="256" spans="1:14">
      <c r="A256" s="12"/>
      <c r="B256" s="7"/>
      <c r="C256" s="8"/>
      <c r="D256" s="44"/>
      <c r="E256" s="44"/>
      <c r="F256" s="45"/>
      <c r="G256" s="45"/>
      <c r="H256" s="44"/>
      <c r="I256" s="46"/>
      <c r="N256" s="49"/>
    </row>
    <row r="257" spans="1:14" ht="66">
      <c r="A257" s="12" t="s">
        <v>190</v>
      </c>
      <c r="B257" s="7" t="s">
        <v>536</v>
      </c>
      <c r="C257" s="8" t="s">
        <v>13</v>
      </c>
      <c r="D257" s="44">
        <v>393</v>
      </c>
      <c r="E257" s="44"/>
      <c r="F257" s="45" t="s">
        <v>1397</v>
      </c>
      <c r="G257" s="45" t="s">
        <v>1400</v>
      </c>
      <c r="H257" s="55">
        <f>((0.6*41.1*2)+(0.6*1.7*3))+(1.7*16.5+0.6*16.5+0.6*2.2*2)+(3.63*41.1*1+(2.1*16.5*1))+(3.95*11.2*1+(0.6*11.2*2)+(0.6*1.7*1))+(41.1*2+1.7*4+11.2*2)*0.1</f>
        <v>346.65299999999996</v>
      </c>
      <c r="I257" s="63">
        <f>SUM(H257:H262)</f>
        <v>615.88799999999992</v>
      </c>
      <c r="M257" s="111">
        <v>350.5</v>
      </c>
      <c r="N257" s="49">
        <f>I257-M257</f>
        <v>265.38799999999992</v>
      </c>
    </row>
    <row r="258" spans="1:14">
      <c r="A258" s="12"/>
      <c r="B258" s="7"/>
      <c r="C258" s="8"/>
      <c r="D258" s="44"/>
      <c r="E258" s="44"/>
      <c r="F258" s="45" t="s">
        <v>1389</v>
      </c>
      <c r="G258" s="45" t="s">
        <v>1395</v>
      </c>
      <c r="H258" s="44">
        <f>(0.45*17)*2+(2.5*0.45*2)</f>
        <v>17.55</v>
      </c>
      <c r="I258" s="46"/>
      <c r="N258" s="49"/>
    </row>
    <row r="259" spans="1:14">
      <c r="A259" s="12"/>
      <c r="B259" s="7"/>
      <c r="C259" s="8"/>
      <c r="D259" s="44"/>
      <c r="E259" s="44"/>
      <c r="F259" s="45" t="s">
        <v>1402</v>
      </c>
      <c r="G259" s="45" t="s">
        <v>1404</v>
      </c>
      <c r="H259" s="44">
        <f>(2.85+0.5)*7.6*2+(2.85+0.5)*6.35*2</f>
        <v>93.465000000000003</v>
      </c>
      <c r="I259" s="46"/>
      <c r="N259" s="49"/>
    </row>
    <row r="260" spans="1:14">
      <c r="A260" s="12"/>
      <c r="B260" s="7"/>
      <c r="C260" s="8"/>
      <c r="D260" s="44"/>
      <c r="E260" s="44"/>
      <c r="F260" s="56" t="s">
        <v>1434</v>
      </c>
      <c r="G260" s="45" t="s">
        <v>1441</v>
      </c>
      <c r="H260" s="44">
        <f>0.6*(23.8+19.8)*2+0.6*0.4*4</f>
        <v>53.28</v>
      </c>
      <c r="I260" s="46"/>
      <c r="N260" s="49"/>
    </row>
    <row r="261" spans="1:14">
      <c r="A261" s="12"/>
      <c r="B261" s="7"/>
      <c r="C261" s="8"/>
      <c r="D261" s="44"/>
      <c r="E261" s="44"/>
      <c r="F261" s="56" t="s">
        <v>1445</v>
      </c>
      <c r="G261" s="120" t="s">
        <v>1446</v>
      </c>
      <c r="H261" s="121">
        <f>5.3*19.8</f>
        <v>104.94</v>
      </c>
      <c r="I261" s="46"/>
      <c r="N261" s="49"/>
    </row>
    <row r="262" spans="1:14">
      <c r="A262" s="12"/>
      <c r="B262" s="7"/>
      <c r="C262" s="8"/>
      <c r="D262" s="44"/>
      <c r="E262" s="44"/>
      <c r="F262" s="45"/>
      <c r="G262" s="45"/>
      <c r="H262" s="44"/>
      <c r="I262" s="46"/>
      <c r="N262" s="49"/>
    </row>
    <row r="263" spans="1:14">
      <c r="A263" s="12" t="s">
        <v>189</v>
      </c>
      <c r="B263" s="7" t="s">
        <v>192</v>
      </c>
      <c r="C263" s="8" t="s">
        <v>17</v>
      </c>
      <c r="D263" s="44">
        <v>13138</v>
      </c>
      <c r="E263" s="44"/>
      <c r="F263" s="45" t="s">
        <v>1403</v>
      </c>
      <c r="G263" s="45" t="s">
        <v>1345</v>
      </c>
      <c r="H263" s="44" t="e">
        <f>#REF!+#REF!+#REF!+#REF!+#REF!</f>
        <v>#REF!</v>
      </c>
      <c r="I263" s="48" t="e">
        <f>SUM(H263:H268)</f>
        <v>#REF!</v>
      </c>
      <c r="M263" s="111">
        <v>13095.3</v>
      </c>
      <c r="N263" s="49" t="e">
        <f>I263-M263</f>
        <v>#REF!</v>
      </c>
    </row>
    <row r="264" spans="1:14">
      <c r="A264" s="12"/>
      <c r="B264" s="7"/>
      <c r="C264" s="8"/>
      <c r="D264" s="44"/>
      <c r="E264" s="44"/>
      <c r="F264" s="50" t="s">
        <v>1417</v>
      </c>
      <c r="G264" s="45" t="s">
        <v>1450</v>
      </c>
      <c r="H264" s="44">
        <f>((2.8*1.56*8)+(0.55*0.56*13))*58</f>
        <v>2258.9839999999995</v>
      </c>
      <c r="I264" s="48"/>
      <c r="N264" s="49"/>
    </row>
    <row r="265" spans="1:14">
      <c r="A265" s="12"/>
      <c r="B265" s="7"/>
      <c r="C265" s="8"/>
      <c r="D265" s="44"/>
      <c r="E265" s="44"/>
      <c r="F265" s="45" t="s">
        <v>1402</v>
      </c>
      <c r="G265" s="45" t="s">
        <v>1345</v>
      </c>
      <c r="H265" s="44">
        <v>2194.92</v>
      </c>
      <c r="I265" s="48"/>
      <c r="N265" s="49"/>
    </row>
    <row r="266" spans="1:14" ht="33">
      <c r="A266" s="12"/>
      <c r="B266" s="7"/>
      <c r="C266" s="8"/>
      <c r="D266" s="44"/>
      <c r="E266" s="44"/>
      <c r="F266" s="50" t="s">
        <v>1434</v>
      </c>
      <c r="G266" s="45" t="s">
        <v>1451</v>
      </c>
      <c r="H266" s="44">
        <f>(43.6+0.6*8)*4*0.994+(0.3+0.35+0.18*2+0.55)*43.6/0.3*0.994</f>
        <v>417.79807999999997</v>
      </c>
      <c r="I266" s="48"/>
      <c r="N266" s="49"/>
    </row>
    <row r="267" spans="1:14">
      <c r="A267" s="12"/>
      <c r="B267" s="7"/>
      <c r="C267" s="8"/>
      <c r="D267" s="44"/>
      <c r="E267" s="44"/>
      <c r="F267" s="50" t="s">
        <v>1443</v>
      </c>
      <c r="G267" s="120" t="s">
        <v>1345</v>
      </c>
      <c r="H267" s="121" t="e">
        <f>#REF!</f>
        <v>#REF!</v>
      </c>
      <c r="I267" s="48"/>
      <c r="N267" s="49"/>
    </row>
    <row r="268" spans="1:14">
      <c r="A268" s="12"/>
      <c r="B268" s="7"/>
      <c r="C268" s="8"/>
      <c r="D268" s="44"/>
      <c r="E268" s="44"/>
      <c r="F268" s="45"/>
      <c r="G268" s="45"/>
      <c r="H268" s="44"/>
      <c r="I268" s="46"/>
      <c r="N268" s="49"/>
    </row>
    <row r="269" spans="1:14">
      <c r="A269" s="12" t="s">
        <v>188</v>
      </c>
      <c r="B269" s="7" t="s">
        <v>530</v>
      </c>
      <c r="C269" s="8" t="s">
        <v>17</v>
      </c>
      <c r="D269" s="44">
        <v>15589</v>
      </c>
      <c r="E269" s="44"/>
      <c r="F269" s="45" t="s">
        <v>1407</v>
      </c>
      <c r="G269" s="45" t="s">
        <v>1345</v>
      </c>
      <c r="H269" s="44" t="e">
        <f>#REF!+#REF!+#REF!+#REF!</f>
        <v>#REF!</v>
      </c>
      <c r="I269" s="48" t="e">
        <f>SUM(H269:H270)</f>
        <v>#REF!</v>
      </c>
      <c r="M269" s="111">
        <v>15561</v>
      </c>
      <c r="N269" s="49" t="e">
        <f t="shared" ref="N269:N324" si="5">I269-M269</f>
        <v>#REF!</v>
      </c>
    </row>
    <row r="270" spans="1:14">
      <c r="A270" s="12"/>
      <c r="B270" s="7"/>
      <c r="C270" s="8"/>
      <c r="D270" s="44"/>
      <c r="E270" s="44"/>
      <c r="F270" s="56" t="s">
        <v>1435</v>
      </c>
      <c r="G270" s="45" t="s">
        <v>1448</v>
      </c>
      <c r="H270" s="44">
        <f>6*218*6.39</f>
        <v>8358.119999999999</v>
      </c>
      <c r="I270" s="46"/>
      <c r="N270" s="49"/>
    </row>
    <row r="271" spans="1:14">
      <c r="A271" s="12"/>
      <c r="B271" s="7"/>
      <c r="C271" s="8"/>
      <c r="D271" s="44"/>
      <c r="E271" s="44"/>
      <c r="F271" s="45"/>
      <c r="G271" s="45"/>
      <c r="H271" s="44"/>
      <c r="I271" s="46"/>
      <c r="N271" s="49"/>
    </row>
    <row r="272" spans="1:14" ht="30" customHeight="1">
      <c r="A272" s="12" t="s">
        <v>187</v>
      </c>
      <c r="B272" s="7" t="s">
        <v>1408</v>
      </c>
      <c r="C272" s="8" t="s">
        <v>13</v>
      </c>
      <c r="D272" s="44">
        <v>776</v>
      </c>
      <c r="E272" s="44"/>
      <c r="F272" s="45" t="s">
        <v>1414</v>
      </c>
      <c r="G272" s="45" t="s">
        <v>1415</v>
      </c>
      <c r="H272" s="44">
        <f>701.46+100.43+105.55</f>
        <v>907.44</v>
      </c>
      <c r="I272" s="48">
        <f>H272</f>
        <v>907.44</v>
      </c>
      <c r="M272" s="111">
        <v>776</v>
      </c>
      <c r="N272" s="49">
        <f t="shared" si="5"/>
        <v>131.44000000000005</v>
      </c>
    </row>
    <row r="273" spans="1:14" ht="31.5">
      <c r="A273" s="12" t="s">
        <v>186</v>
      </c>
      <c r="B273" s="7" t="s">
        <v>1411</v>
      </c>
      <c r="C273" s="8" t="s">
        <v>223</v>
      </c>
      <c r="D273" s="44">
        <v>235</v>
      </c>
      <c r="E273" s="44"/>
      <c r="F273" s="45" t="s">
        <v>1382</v>
      </c>
      <c r="G273" s="120" t="s">
        <v>1412</v>
      </c>
      <c r="H273" s="121">
        <v>277.04000000000002</v>
      </c>
      <c r="I273" s="48">
        <f>H273</f>
        <v>277.04000000000002</v>
      </c>
      <c r="M273" s="111">
        <v>222.95</v>
      </c>
      <c r="N273" s="49">
        <f t="shared" si="5"/>
        <v>54.090000000000032</v>
      </c>
    </row>
    <row r="274" spans="1:14" ht="31.5">
      <c r="A274" s="12" t="s">
        <v>185</v>
      </c>
      <c r="B274" s="7" t="s">
        <v>1409</v>
      </c>
      <c r="C274" s="8" t="s">
        <v>13</v>
      </c>
      <c r="D274" s="44">
        <v>102</v>
      </c>
      <c r="E274" s="44"/>
      <c r="F274" s="45" t="s">
        <v>1410</v>
      </c>
      <c r="G274" s="120" t="s">
        <v>1413</v>
      </c>
      <c r="H274" s="121">
        <f>82.85+51.33</f>
        <v>134.18</v>
      </c>
      <c r="I274" s="48">
        <f>H274</f>
        <v>134.18</v>
      </c>
      <c r="M274" s="111">
        <v>57.5</v>
      </c>
      <c r="N274" s="49">
        <f t="shared" si="5"/>
        <v>76.680000000000007</v>
      </c>
    </row>
    <row r="275" spans="1:14">
      <c r="A275" s="12" t="s">
        <v>184</v>
      </c>
      <c r="B275" s="7" t="s">
        <v>603</v>
      </c>
      <c r="C275" s="8" t="s">
        <v>13</v>
      </c>
      <c r="D275" s="44">
        <v>400</v>
      </c>
      <c r="E275" s="44"/>
      <c r="F275" s="45"/>
      <c r="G275" s="45"/>
      <c r="H275" s="44"/>
      <c r="I275" s="48">
        <f>H275</f>
        <v>0</v>
      </c>
      <c r="M275" s="111">
        <v>0</v>
      </c>
      <c r="N275" s="49">
        <f t="shared" si="5"/>
        <v>0</v>
      </c>
    </row>
    <row r="276" spans="1:14" ht="42.75">
      <c r="A276" s="12" t="s">
        <v>183</v>
      </c>
      <c r="B276" s="10" t="s">
        <v>605</v>
      </c>
      <c r="C276" s="8" t="s">
        <v>606</v>
      </c>
      <c r="D276" s="44">
        <v>333</v>
      </c>
      <c r="E276" s="44"/>
      <c r="F276" s="45" t="s">
        <v>1387</v>
      </c>
      <c r="G276" s="45" t="s">
        <v>1416</v>
      </c>
      <c r="H276" s="44">
        <f>(3/0.15)*17</f>
        <v>340</v>
      </c>
      <c r="I276" s="48">
        <f>H276</f>
        <v>340</v>
      </c>
      <c r="M276" s="111">
        <v>333</v>
      </c>
      <c r="N276" s="49">
        <f t="shared" si="5"/>
        <v>7</v>
      </c>
    </row>
    <row r="277" spans="1:14" ht="33">
      <c r="A277" s="12" t="s">
        <v>182</v>
      </c>
      <c r="B277" s="7" t="s">
        <v>608</v>
      </c>
      <c r="C277" s="8" t="s">
        <v>13</v>
      </c>
      <c r="D277" s="44">
        <v>1702</v>
      </c>
      <c r="E277" s="44"/>
      <c r="F277" s="50" t="s">
        <v>1419</v>
      </c>
      <c r="G277" s="124" t="s">
        <v>1447</v>
      </c>
      <c r="H277" s="121">
        <f>(160*5.9)+(26.7*8.2)+(3.9*5.1)</f>
        <v>1182.8300000000002</v>
      </c>
      <c r="I277" s="48">
        <f t="shared" ref="I277:I283" si="6">H277</f>
        <v>1182.8300000000002</v>
      </c>
      <c r="M277" s="111">
        <v>1025</v>
      </c>
      <c r="N277" s="49">
        <f t="shared" si="5"/>
        <v>157.83000000000015</v>
      </c>
    </row>
    <row r="278" spans="1:14">
      <c r="A278" s="12" t="s">
        <v>181</v>
      </c>
      <c r="B278" s="7" t="s">
        <v>357</v>
      </c>
      <c r="C278" s="8" t="s">
        <v>8</v>
      </c>
      <c r="D278" s="44">
        <v>49</v>
      </c>
      <c r="E278" s="44"/>
      <c r="F278" s="45" t="s">
        <v>1403</v>
      </c>
      <c r="G278" s="120"/>
      <c r="H278" s="121">
        <f>1.5*12+(4.6+1.7)*( 3+1)+(3.3+0.5+0.95+3.2)</f>
        <v>51.150000000000006</v>
      </c>
      <c r="I278" s="48">
        <f t="shared" si="6"/>
        <v>51.150000000000006</v>
      </c>
      <c r="M278" s="111">
        <v>47</v>
      </c>
      <c r="N278" s="49">
        <f t="shared" si="5"/>
        <v>4.1500000000000057</v>
      </c>
    </row>
    <row r="279" spans="1:14">
      <c r="A279" s="12" t="s">
        <v>610</v>
      </c>
      <c r="B279" s="7" t="s">
        <v>611</v>
      </c>
      <c r="C279" s="8" t="s">
        <v>8</v>
      </c>
      <c r="D279" s="44">
        <v>85</v>
      </c>
      <c r="E279" s="44"/>
      <c r="F279" s="45" t="s">
        <v>1407</v>
      </c>
      <c r="G279" s="120">
        <f>57.6+11.2+17</f>
        <v>85.8</v>
      </c>
      <c r="H279" s="121">
        <f>57.6+11.2+17</f>
        <v>85.8</v>
      </c>
      <c r="I279" s="48">
        <f t="shared" si="6"/>
        <v>85.8</v>
      </c>
      <c r="M279" s="111">
        <v>83</v>
      </c>
      <c r="N279" s="49">
        <f t="shared" si="5"/>
        <v>2.7999999999999972</v>
      </c>
    </row>
    <row r="280" spans="1:14" ht="28.5">
      <c r="A280" s="12" t="s">
        <v>613</v>
      </c>
      <c r="B280" s="10" t="s">
        <v>222</v>
      </c>
      <c r="C280" s="8" t="s">
        <v>13</v>
      </c>
      <c r="D280" s="44">
        <v>385</v>
      </c>
      <c r="E280" s="44"/>
      <c r="F280" s="45" t="s">
        <v>1407</v>
      </c>
      <c r="G280" s="120" t="s">
        <v>1584</v>
      </c>
      <c r="H280" s="121">
        <f>(1.8*21*2*2+1.8*11.2*3*2+1.8*17*2*2)</f>
        <v>394.56000000000006</v>
      </c>
      <c r="I280" s="48">
        <f t="shared" si="6"/>
        <v>394.56000000000006</v>
      </c>
      <c r="M280" s="111">
        <v>239.89</v>
      </c>
      <c r="N280" s="49">
        <f t="shared" si="5"/>
        <v>154.67000000000007</v>
      </c>
    </row>
    <row r="281" spans="1:14" ht="31.5">
      <c r="A281" s="12" t="s">
        <v>614</v>
      </c>
      <c r="B281" s="7" t="s">
        <v>615</v>
      </c>
      <c r="C281" s="8" t="s">
        <v>8</v>
      </c>
      <c r="D281" s="44">
        <v>686</v>
      </c>
      <c r="E281" s="44">
        <v>0</v>
      </c>
      <c r="F281" s="45"/>
      <c r="G281" s="45"/>
      <c r="H281" s="44"/>
      <c r="I281" s="48">
        <f t="shared" si="6"/>
        <v>0</v>
      </c>
      <c r="M281" s="111">
        <v>0</v>
      </c>
      <c r="N281" s="49">
        <f t="shared" si="5"/>
        <v>0</v>
      </c>
    </row>
    <row r="282" spans="1:14">
      <c r="A282" s="12" t="s">
        <v>617</v>
      </c>
      <c r="B282" s="7" t="s">
        <v>1421</v>
      </c>
      <c r="C282" s="8" t="s">
        <v>23</v>
      </c>
      <c r="D282" s="44">
        <v>1070.5</v>
      </c>
      <c r="E282" s="44"/>
      <c r="F282" s="45" t="s">
        <v>1421</v>
      </c>
      <c r="G282" s="45" t="s">
        <v>1422</v>
      </c>
      <c r="H282" s="44">
        <f>312*7*0.5</f>
        <v>1092</v>
      </c>
      <c r="I282" s="48">
        <f t="shared" si="6"/>
        <v>1092</v>
      </c>
      <c r="M282" s="111">
        <v>1070.5</v>
      </c>
      <c r="N282" s="49">
        <f t="shared" si="5"/>
        <v>21.5</v>
      </c>
    </row>
    <row r="283" spans="1:14" ht="33.75">
      <c r="A283" s="12" t="s">
        <v>620</v>
      </c>
      <c r="B283" s="53" t="s">
        <v>621</v>
      </c>
      <c r="C283" s="8" t="s">
        <v>19</v>
      </c>
      <c r="D283" s="44">
        <v>2</v>
      </c>
      <c r="E283" s="44"/>
      <c r="F283" s="45" t="s">
        <v>1420</v>
      </c>
      <c r="G283" s="45">
        <v>2</v>
      </c>
      <c r="H283" s="44">
        <v>2</v>
      </c>
      <c r="I283" s="48">
        <f t="shared" si="6"/>
        <v>2</v>
      </c>
      <c r="M283" s="111">
        <v>1.6</v>
      </c>
      <c r="N283" s="49">
        <f t="shared" si="5"/>
        <v>0.39999999999999991</v>
      </c>
    </row>
    <row r="284" spans="1:14" ht="45">
      <c r="A284" s="12" t="s">
        <v>1367</v>
      </c>
      <c r="B284" s="53" t="s">
        <v>1368</v>
      </c>
      <c r="C284" s="8" t="s">
        <v>8</v>
      </c>
      <c r="D284" s="44"/>
      <c r="E284" s="44">
        <v>571.08000000000004</v>
      </c>
      <c r="F284" s="45" t="s">
        <v>1387</v>
      </c>
      <c r="G284" s="45" t="s">
        <v>1381</v>
      </c>
      <c r="H284" s="44">
        <v>580</v>
      </c>
      <c r="I284" s="48">
        <f>H284</f>
        <v>580</v>
      </c>
      <c r="M284" s="111">
        <v>571</v>
      </c>
      <c r="N284" s="49">
        <f t="shared" si="5"/>
        <v>9</v>
      </c>
    </row>
    <row r="285" spans="1:14">
      <c r="A285" s="12" t="s">
        <v>1369</v>
      </c>
      <c r="B285" s="7" t="s">
        <v>1370</v>
      </c>
      <c r="C285" s="8" t="s">
        <v>6</v>
      </c>
      <c r="D285" s="44"/>
      <c r="E285" s="44">
        <v>161.38999999999999</v>
      </c>
      <c r="F285" s="45"/>
      <c r="G285" s="45"/>
      <c r="H285" s="44"/>
      <c r="I285" s="46"/>
      <c r="M285" s="111">
        <v>0</v>
      </c>
      <c r="N285" s="49">
        <f t="shared" si="5"/>
        <v>0</v>
      </c>
    </row>
    <row r="286" spans="1:14" ht="42.75">
      <c r="A286" s="12" t="s">
        <v>1371</v>
      </c>
      <c r="B286" s="10" t="s">
        <v>1372</v>
      </c>
      <c r="C286" s="8" t="s">
        <v>13</v>
      </c>
      <c r="D286" s="44"/>
      <c r="E286" s="44">
        <v>634.14</v>
      </c>
      <c r="F286" s="45" t="s">
        <v>1424</v>
      </c>
      <c r="G286" s="45" t="s">
        <v>1423</v>
      </c>
      <c r="H286" s="44">
        <f>1.8*(295+57.3)</f>
        <v>634.14</v>
      </c>
      <c r="I286" s="48">
        <f>H286</f>
        <v>634.14</v>
      </c>
      <c r="M286" s="111">
        <v>632</v>
      </c>
      <c r="N286" s="49">
        <f t="shared" si="5"/>
        <v>2.1399999999999864</v>
      </c>
    </row>
    <row r="287" spans="1:14" ht="33">
      <c r="A287" s="12" t="s">
        <v>1373</v>
      </c>
      <c r="B287" s="7" t="s">
        <v>586</v>
      </c>
      <c r="C287" s="8" t="s">
        <v>8</v>
      </c>
      <c r="D287" s="44"/>
      <c r="E287" s="44">
        <v>343.5</v>
      </c>
      <c r="F287" s="45" t="s">
        <v>1425</v>
      </c>
      <c r="G287" s="45" t="s">
        <v>1426</v>
      </c>
      <c r="H287" s="44">
        <f>295*0.7+76*0.75+40*2+12*0.3</f>
        <v>347.1</v>
      </c>
      <c r="I287" s="48">
        <f>H287</f>
        <v>347.1</v>
      </c>
      <c r="M287" s="111">
        <v>343.5</v>
      </c>
      <c r="N287" s="49">
        <f t="shared" si="5"/>
        <v>3.6000000000000227</v>
      </c>
    </row>
    <row r="288" spans="1:14" ht="33">
      <c r="A288" s="12" t="s">
        <v>1374</v>
      </c>
      <c r="B288" s="7" t="s">
        <v>1375</v>
      </c>
      <c r="C288" s="8" t="s">
        <v>7</v>
      </c>
      <c r="D288" s="44"/>
      <c r="E288" s="44">
        <v>451</v>
      </c>
      <c r="F288" s="45" t="s">
        <v>1425</v>
      </c>
      <c r="G288" s="45" t="s">
        <v>1427</v>
      </c>
      <c r="H288" s="44">
        <f>295+76+80+12</f>
        <v>463</v>
      </c>
      <c r="I288" s="48">
        <f>H288</f>
        <v>463</v>
      </c>
      <c r="M288" s="111">
        <v>432</v>
      </c>
      <c r="N288" s="49">
        <f t="shared" si="5"/>
        <v>31</v>
      </c>
    </row>
    <row r="289" spans="1:14" ht="31.5">
      <c r="A289" s="12" t="s">
        <v>1376</v>
      </c>
      <c r="B289" s="7" t="s">
        <v>1377</v>
      </c>
      <c r="C289" s="8" t="s">
        <v>6</v>
      </c>
      <c r="D289" s="44"/>
      <c r="E289" s="44">
        <v>1513</v>
      </c>
      <c r="F289" s="45" t="s">
        <v>1428</v>
      </c>
      <c r="G289" s="45" t="s">
        <v>1431</v>
      </c>
      <c r="H289" s="44">
        <f>(282.3*8.2*0.5)+(246.3*(1.5*0.6+0.6*1))</f>
        <v>1526.8799999999999</v>
      </c>
      <c r="I289" s="48">
        <f>H289</f>
        <v>1526.8799999999999</v>
      </c>
      <c r="M289" s="111">
        <v>1513</v>
      </c>
      <c r="N289" s="49">
        <f t="shared" si="5"/>
        <v>13.879999999999882</v>
      </c>
    </row>
    <row r="290" spans="1:14" ht="42.75">
      <c r="A290" s="12" t="s">
        <v>1378</v>
      </c>
      <c r="B290" s="10" t="s">
        <v>1365</v>
      </c>
      <c r="C290" s="8" t="s">
        <v>6</v>
      </c>
      <c r="D290" s="44"/>
      <c r="E290" s="44">
        <v>1177.9000000000001</v>
      </c>
      <c r="F290" s="45" t="s">
        <v>1382</v>
      </c>
      <c r="G290" s="120" t="s">
        <v>1430</v>
      </c>
      <c r="H290" s="121">
        <f>246.3*0.75*1.5</f>
        <v>277.08750000000003</v>
      </c>
      <c r="I290" s="48">
        <f>SUM(H290:H296)</f>
        <v>1082.1565000000001</v>
      </c>
      <c r="M290" s="111">
        <v>0</v>
      </c>
      <c r="N290" s="49">
        <f t="shared" si="5"/>
        <v>1082.1565000000001</v>
      </c>
    </row>
    <row r="291" spans="1:14" ht="33">
      <c r="A291" s="12"/>
      <c r="B291" s="7"/>
      <c r="C291" s="8"/>
      <c r="D291" s="44"/>
      <c r="E291" s="44"/>
      <c r="F291" s="45" t="s">
        <v>1432</v>
      </c>
      <c r="G291" s="120" t="s">
        <v>1454</v>
      </c>
      <c r="H291" s="121">
        <f>(17*2.5*0.45)+(17*(0.5+0.7)/2*(4.79+3.4)/2)+(0.5*3.2*5.1)</f>
        <v>69.053999999999988</v>
      </c>
      <c r="I291" s="46"/>
      <c r="N291" s="49"/>
    </row>
    <row r="292" spans="1:14" ht="33">
      <c r="A292" s="12"/>
      <c r="B292" s="7"/>
      <c r="C292" s="8"/>
      <c r="D292" s="44"/>
      <c r="E292" s="44"/>
      <c r="F292" s="45" t="s">
        <v>1429</v>
      </c>
      <c r="G292" s="120" t="s">
        <v>1455</v>
      </c>
      <c r="H292" s="121">
        <f>(41.1*1.7*0.6)+(41.1*(0.5+1.1)/2*3.63)+(16.5*2.2*0.6)+(16.5*(0.5+0.85)/2*2.1+16.5*0.3*1.1)</f>
        <v>211.89015000000003</v>
      </c>
      <c r="I292" s="46"/>
      <c r="N292" s="49"/>
    </row>
    <row r="293" spans="1:14" ht="33">
      <c r="A293" s="12"/>
      <c r="B293" s="7"/>
      <c r="C293" s="8"/>
      <c r="D293" s="44"/>
      <c r="E293" s="44"/>
      <c r="F293" s="56" t="s">
        <v>1453</v>
      </c>
      <c r="G293" s="120" t="s">
        <v>1456</v>
      </c>
      <c r="H293" s="121">
        <f>246.3*1.75*0.25+503.7*0.15+1335.6*0.15+82.85*0.35+78.97*0.25</f>
        <v>432.39125000000001</v>
      </c>
      <c r="I293" s="46"/>
      <c r="N293" s="49"/>
    </row>
    <row r="294" spans="1:14" ht="33">
      <c r="A294" s="12"/>
      <c r="B294" s="7"/>
      <c r="C294" s="8"/>
      <c r="D294" s="44"/>
      <c r="E294" s="44"/>
      <c r="F294" s="56" t="s">
        <v>1458</v>
      </c>
      <c r="G294" s="124" t="s">
        <v>1452</v>
      </c>
      <c r="H294" s="121">
        <f>23.8*2*0.15+26.2*3.83*0.35+25.7*5.5*0.35</f>
        <v>91.733599999999996</v>
      </c>
      <c r="I294" s="46"/>
      <c r="N294" s="49"/>
    </row>
    <row r="295" spans="1:14">
      <c r="A295" s="12"/>
      <c r="B295" s="7"/>
      <c r="C295" s="8"/>
      <c r="D295" s="44"/>
      <c r="E295" s="44"/>
      <c r="F295" s="50" t="s">
        <v>1662</v>
      </c>
      <c r="G295" s="50"/>
      <c r="H295" s="44"/>
      <c r="I295" s="46"/>
      <c r="N295" s="49"/>
    </row>
    <row r="296" spans="1:14">
      <c r="A296" s="12"/>
      <c r="B296" s="7"/>
      <c r="C296" s="8"/>
      <c r="D296" s="44"/>
      <c r="E296" s="44"/>
      <c r="F296" s="56"/>
      <c r="G296" s="45"/>
      <c r="H296" s="44"/>
      <c r="I296" s="46"/>
      <c r="N296" s="49"/>
    </row>
    <row r="297" spans="1:14" ht="47.25">
      <c r="A297" s="12" t="s">
        <v>1379</v>
      </c>
      <c r="B297" s="7" t="s">
        <v>1380</v>
      </c>
      <c r="C297" s="8" t="s">
        <v>13</v>
      </c>
      <c r="D297" s="44"/>
      <c r="E297" s="44">
        <v>442.5</v>
      </c>
      <c r="F297" s="56" t="s">
        <v>1436</v>
      </c>
      <c r="G297" s="45" t="s">
        <v>1457</v>
      </c>
      <c r="H297" s="44">
        <f>246.3*1.75+26.2*3.83+25.7*5.5</f>
        <v>672.72100000000012</v>
      </c>
      <c r="I297" s="48">
        <f>H297</f>
        <v>672.72100000000012</v>
      </c>
      <c r="M297" s="111">
        <v>442.5</v>
      </c>
      <c r="N297" s="49">
        <f t="shared" si="5"/>
        <v>230.22100000000012</v>
      </c>
    </row>
    <row r="298" spans="1:14">
      <c r="A298" s="12"/>
      <c r="B298" s="7"/>
      <c r="C298" s="8"/>
      <c r="D298" s="44"/>
      <c r="E298" s="44"/>
      <c r="F298" s="45"/>
      <c r="G298" s="45"/>
      <c r="H298" s="44"/>
      <c r="I298" s="46"/>
      <c r="N298" s="49"/>
    </row>
    <row r="299" spans="1:14">
      <c r="A299" s="12"/>
      <c r="B299" s="7"/>
      <c r="C299" s="8"/>
      <c r="D299" s="44"/>
      <c r="E299" s="44"/>
      <c r="F299" s="45"/>
      <c r="G299" s="45"/>
      <c r="H299" s="44"/>
      <c r="I299" s="46"/>
      <c r="N299" s="49"/>
    </row>
    <row r="300" spans="1:14" ht="33">
      <c r="A300" s="114" t="s">
        <v>97</v>
      </c>
      <c r="B300" s="115" t="s">
        <v>623</v>
      </c>
      <c r="C300" s="116" t="s">
        <v>4</v>
      </c>
      <c r="D300" s="117">
        <v>1</v>
      </c>
      <c r="E300" s="117"/>
      <c r="F300" s="118"/>
      <c r="G300" s="118"/>
      <c r="H300" s="117"/>
      <c r="I300" s="119" t="s">
        <v>243</v>
      </c>
      <c r="N300" s="49"/>
    </row>
    <row r="301" spans="1:14" ht="33">
      <c r="A301" s="12" t="s">
        <v>98</v>
      </c>
      <c r="B301" s="10" t="s">
        <v>1383</v>
      </c>
      <c r="C301" s="8" t="s">
        <v>6</v>
      </c>
      <c r="D301" s="44">
        <v>252</v>
      </c>
      <c r="E301" s="44"/>
      <c r="F301" s="45" t="s">
        <v>1468</v>
      </c>
      <c r="G301" s="120" t="s">
        <v>1472</v>
      </c>
      <c r="H301" s="121">
        <f>(2.1*0.1*300)+(5*3.7*0.1+1.8*2.1*0.1)+(7.35*0.1*60)</f>
        <v>109.328</v>
      </c>
      <c r="I301" s="48">
        <f>H301</f>
        <v>109.328</v>
      </c>
      <c r="M301" s="111">
        <v>60.129999999999995</v>
      </c>
      <c r="N301" s="49">
        <f t="shared" si="5"/>
        <v>49.198000000000008</v>
      </c>
    </row>
    <row r="302" spans="1:14" ht="28.5">
      <c r="A302" s="12" t="s">
        <v>99</v>
      </c>
      <c r="B302" s="10" t="s">
        <v>24</v>
      </c>
      <c r="C302" s="8" t="s">
        <v>6</v>
      </c>
      <c r="D302" s="44">
        <v>2490</v>
      </c>
      <c r="E302" s="44"/>
      <c r="F302" s="50" t="s">
        <v>1463</v>
      </c>
      <c r="G302" s="124" t="s">
        <v>1474</v>
      </c>
      <c r="H302" s="121">
        <f>(1.8*0.3*2+1.2*0.3*2)*300</f>
        <v>540</v>
      </c>
      <c r="I302" s="70">
        <f>SUM(H302:H304)</f>
        <v>2669.1459999999997</v>
      </c>
      <c r="M302" s="111">
        <v>1607.3</v>
      </c>
      <c r="N302" s="49">
        <f t="shared" si="5"/>
        <v>1061.8459999999998</v>
      </c>
    </row>
    <row r="303" spans="1:14" ht="49.5">
      <c r="A303" s="12"/>
      <c r="B303" s="10"/>
      <c r="C303" s="8"/>
      <c r="D303" s="44"/>
      <c r="E303" s="44"/>
      <c r="F303" s="50" t="s">
        <v>1469</v>
      </c>
      <c r="G303" s="124" t="s">
        <v>1482</v>
      </c>
      <c r="H303" s="121">
        <f>(4.7*3.4*0.3*2)+(2.7*4.7*0.3*2)+(1.75*0.2*2.8+2.8*2.45*0.2)+(2.7*2.8*0.3*2)-(2.4*1.5+1.2*1.2*2)*0.3</f>
        <v>22.145999999999997</v>
      </c>
      <c r="I303" s="44"/>
      <c r="N303" s="49"/>
    </row>
    <row r="304" spans="1:14">
      <c r="A304" s="12"/>
      <c r="B304" s="10"/>
      <c r="C304" s="8"/>
      <c r="D304" s="44"/>
      <c r="E304" s="44"/>
      <c r="F304" s="50" t="s">
        <v>1462</v>
      </c>
      <c r="G304" s="124" t="s">
        <v>1587</v>
      </c>
      <c r="H304" s="121">
        <f>(7.05*2.7-3*2*2+0.35*0.35*4)*280</f>
        <v>2107</v>
      </c>
      <c r="I304" s="44"/>
      <c r="N304" s="49"/>
    </row>
    <row r="305" spans="1:15">
      <c r="A305" s="12"/>
      <c r="B305" s="10"/>
      <c r="C305" s="8"/>
      <c r="D305" s="44"/>
      <c r="E305" s="44"/>
      <c r="F305" s="50"/>
      <c r="G305" s="50"/>
      <c r="H305" s="44"/>
      <c r="I305" s="44"/>
      <c r="N305" s="49"/>
    </row>
    <row r="306" spans="1:15" ht="31.5">
      <c r="A306" s="12" t="s">
        <v>100</v>
      </c>
      <c r="B306" s="7" t="s">
        <v>1460</v>
      </c>
      <c r="C306" s="8" t="s">
        <v>6</v>
      </c>
      <c r="D306" s="44">
        <v>998</v>
      </c>
      <c r="E306" s="44"/>
      <c r="F306" s="45" t="s">
        <v>1464</v>
      </c>
      <c r="G306" s="120" t="s">
        <v>1471</v>
      </c>
      <c r="H306" s="121">
        <f>16.5*1.3*0.65+2.7*(2.5+1.35)/2*15.2</f>
        <v>92.944500000000005</v>
      </c>
      <c r="I306" s="70">
        <f>SUM(H306:H309)</f>
        <v>606.6395</v>
      </c>
      <c r="M306" s="111">
        <v>34.56</v>
      </c>
      <c r="N306" s="49">
        <f t="shared" si="5"/>
        <v>572.07950000000005</v>
      </c>
    </row>
    <row r="307" spans="1:15">
      <c r="A307" s="12"/>
      <c r="B307" s="7"/>
      <c r="C307" s="8"/>
      <c r="D307" s="44"/>
      <c r="E307" s="44"/>
      <c r="F307" s="45" t="s">
        <v>1470</v>
      </c>
      <c r="G307" s="120" t="s">
        <v>1473</v>
      </c>
      <c r="H307" s="121">
        <f>(1.8+0.8)/2*1.6*2.45</f>
        <v>5.096000000000001</v>
      </c>
      <c r="I307" s="70"/>
      <c r="N307" s="49"/>
    </row>
    <row r="308" spans="1:15">
      <c r="A308" s="12"/>
      <c r="B308" s="7"/>
      <c r="C308" s="8"/>
      <c r="D308" s="44"/>
      <c r="E308" s="44"/>
      <c r="F308" s="45" t="s">
        <v>1466</v>
      </c>
      <c r="G308" s="120" t="s">
        <v>1467</v>
      </c>
      <c r="H308" s="121">
        <f>1.15*1.8*245.7</f>
        <v>508.59899999999993</v>
      </c>
      <c r="I308" s="44"/>
      <c r="N308" s="49"/>
    </row>
    <row r="309" spans="1:15">
      <c r="A309" s="12"/>
      <c r="B309" s="7"/>
      <c r="C309" s="8"/>
      <c r="D309" s="44"/>
      <c r="E309" s="44"/>
      <c r="F309" s="45"/>
      <c r="G309" s="45"/>
      <c r="H309" s="44"/>
      <c r="I309" s="44"/>
      <c r="N309" s="49"/>
    </row>
    <row r="310" spans="1:15" ht="33">
      <c r="A310" s="12" t="s">
        <v>101</v>
      </c>
      <c r="B310" s="7" t="s">
        <v>595</v>
      </c>
      <c r="C310" s="8" t="s">
        <v>6</v>
      </c>
      <c r="D310" s="44">
        <v>3740</v>
      </c>
      <c r="E310" s="44"/>
      <c r="F310" s="45" t="s">
        <v>1465</v>
      </c>
      <c r="G310" s="120"/>
      <c r="H310" s="121">
        <f>I301+I302+I306</f>
        <v>3385.1134999999995</v>
      </c>
      <c r="I310" s="44">
        <f>H310</f>
        <v>3385.1134999999995</v>
      </c>
      <c r="M310" s="111">
        <v>1701.99</v>
      </c>
      <c r="N310" s="49">
        <f t="shared" si="5"/>
        <v>1683.1234999999995</v>
      </c>
    </row>
    <row r="311" spans="1:15">
      <c r="A311" s="12" t="s">
        <v>102</v>
      </c>
      <c r="B311" s="7" t="s">
        <v>534</v>
      </c>
      <c r="C311" s="8" t="s">
        <v>13</v>
      </c>
      <c r="D311" s="44">
        <v>3740</v>
      </c>
      <c r="E311" s="44">
        <v>4240</v>
      </c>
      <c r="F311" s="45" t="s">
        <v>1475</v>
      </c>
      <c r="G311" s="136" t="s">
        <v>1480</v>
      </c>
      <c r="H311" s="121">
        <f>(1.3*4+2.3*2+0.495*8)*280</f>
        <v>3852.8000000000006</v>
      </c>
      <c r="I311" s="44">
        <f>SUM(H311:H313)</f>
        <v>4932.8000000000011</v>
      </c>
      <c r="M311" s="111">
        <v>3521</v>
      </c>
      <c r="N311" s="49">
        <f t="shared" si="5"/>
        <v>1411.8000000000011</v>
      </c>
      <c r="O311" s="137"/>
    </row>
    <row r="312" spans="1:15">
      <c r="A312" s="12"/>
      <c r="B312" s="7"/>
      <c r="C312" s="8"/>
      <c r="D312" s="44"/>
      <c r="E312" s="44"/>
      <c r="F312" s="45" t="s">
        <v>1476</v>
      </c>
      <c r="G312" s="136" t="s">
        <v>1481</v>
      </c>
      <c r="H312" s="121">
        <f>1.2*3*300</f>
        <v>1080</v>
      </c>
      <c r="I312" s="44"/>
      <c r="N312" s="49"/>
      <c r="O312" s="137"/>
    </row>
    <row r="313" spans="1:15">
      <c r="A313" s="12"/>
      <c r="B313" s="7"/>
      <c r="C313" s="8"/>
      <c r="D313" s="44"/>
      <c r="E313" s="44"/>
      <c r="F313" s="45"/>
      <c r="G313" s="47"/>
      <c r="H313" s="44"/>
      <c r="I313" s="44"/>
      <c r="N313" s="49"/>
      <c r="O313" s="137"/>
    </row>
    <row r="314" spans="1:15">
      <c r="A314" s="12" t="s">
        <v>180</v>
      </c>
      <c r="B314" s="7" t="s">
        <v>626</v>
      </c>
      <c r="C314" s="8" t="s">
        <v>13</v>
      </c>
      <c r="D314" s="44">
        <v>38</v>
      </c>
      <c r="E314" s="44"/>
      <c r="F314" s="45" t="s">
        <v>1478</v>
      </c>
      <c r="G314" s="45" t="s">
        <v>1483</v>
      </c>
      <c r="H314" s="44">
        <f>(4.1*2.7+2.8*2.7)*2-(1.2*1.2*2)+4.1*2.8+1.75*2</f>
        <v>49.359999999999992</v>
      </c>
      <c r="I314" s="44">
        <f>H314</f>
        <v>49.359999999999992</v>
      </c>
      <c r="M314" s="111">
        <v>38</v>
      </c>
      <c r="N314" s="49">
        <f t="shared" si="5"/>
        <v>11.359999999999992</v>
      </c>
      <c r="O314" s="137"/>
    </row>
    <row r="315" spans="1:15" ht="33">
      <c r="A315" s="12" t="s">
        <v>179</v>
      </c>
      <c r="B315" s="7" t="s">
        <v>536</v>
      </c>
      <c r="C315" s="8" t="s">
        <v>13</v>
      </c>
      <c r="D315" s="44">
        <v>783</v>
      </c>
      <c r="E315" s="44"/>
      <c r="F315" s="45" t="s">
        <v>1485</v>
      </c>
      <c r="G315" s="136" t="s">
        <v>1486</v>
      </c>
      <c r="H315" s="121">
        <f>(2.8*2)*60+(2.2*2)*220+(0.7*7.05+0.35*2*3+0.35*0.35*4)*15</f>
        <v>1416.875</v>
      </c>
      <c r="I315" s="44">
        <f>SUM(H315:H316)</f>
        <v>1416.875</v>
      </c>
      <c r="M315" s="111">
        <v>693.3</v>
      </c>
      <c r="N315" s="49">
        <f t="shared" si="5"/>
        <v>723.57500000000005</v>
      </c>
    </row>
    <row r="316" spans="1:15" ht="16.5" customHeight="1">
      <c r="A316" s="12"/>
      <c r="B316" s="7"/>
      <c r="C316" s="8"/>
      <c r="D316" s="44"/>
      <c r="E316" s="44"/>
      <c r="F316" s="45"/>
      <c r="G316" s="47"/>
      <c r="H316" s="44"/>
      <c r="I316" s="44"/>
      <c r="N316" s="49"/>
    </row>
    <row r="317" spans="1:15">
      <c r="A317" s="12" t="s">
        <v>178</v>
      </c>
      <c r="B317" s="7" t="s">
        <v>193</v>
      </c>
      <c r="C317" s="8" t="s">
        <v>13</v>
      </c>
      <c r="D317" s="44">
        <v>300</v>
      </c>
      <c r="E317" s="44"/>
      <c r="F317" s="45" t="s">
        <v>1479</v>
      </c>
      <c r="G317" s="45" t="s">
        <v>1484</v>
      </c>
      <c r="H317" s="44">
        <f>(4.7+3.4)*3.4*2-(1.2*1.2)</f>
        <v>53.64</v>
      </c>
      <c r="I317" s="44">
        <f>SUM(H317:H319)</f>
        <v>741.24</v>
      </c>
      <c r="M317" s="111">
        <v>300</v>
      </c>
      <c r="N317" s="49">
        <f t="shared" si="5"/>
        <v>441.24</v>
      </c>
    </row>
    <row r="318" spans="1:15" ht="34.5" customHeight="1">
      <c r="A318" s="12"/>
      <c r="B318" s="7"/>
      <c r="C318" s="8"/>
      <c r="D318" s="44"/>
      <c r="E318" s="44"/>
      <c r="F318" s="45" t="s">
        <v>1477</v>
      </c>
      <c r="G318" s="47" t="s">
        <v>1487</v>
      </c>
      <c r="H318" s="44">
        <f>1.8*2*67+1.8*1*233+(1.8*1.8-1.2*1.2)*15</f>
        <v>687.6</v>
      </c>
      <c r="I318" s="44"/>
      <c r="N318" s="49"/>
    </row>
    <row r="319" spans="1:15" ht="16.5" customHeight="1">
      <c r="A319" s="12"/>
      <c r="B319" s="7"/>
      <c r="C319" s="8"/>
      <c r="D319" s="44"/>
      <c r="E319" s="44"/>
      <c r="F319" s="45"/>
      <c r="G319" s="47"/>
      <c r="H319" s="44"/>
      <c r="I319" s="44"/>
      <c r="N319" s="49"/>
    </row>
    <row r="320" spans="1:15">
      <c r="A320" s="12" t="s">
        <v>177</v>
      </c>
      <c r="B320" s="7" t="s">
        <v>192</v>
      </c>
      <c r="C320" s="8" t="s">
        <v>17</v>
      </c>
      <c r="D320" s="44">
        <v>137462</v>
      </c>
      <c r="E320" s="44"/>
      <c r="F320" s="50" t="s">
        <v>1461</v>
      </c>
      <c r="G320" s="45" t="s">
        <v>1345</v>
      </c>
      <c r="H320" s="44" t="e">
        <f>#REF!</f>
        <v>#REF!</v>
      </c>
      <c r="I320" s="44" t="e">
        <f>SUM(H320:H323)</f>
        <v>#REF!</v>
      </c>
      <c r="M320" s="111">
        <v>69211</v>
      </c>
      <c r="N320" s="49" t="e">
        <f t="shared" si="5"/>
        <v>#REF!</v>
      </c>
    </row>
    <row r="321" spans="1:14">
      <c r="A321" s="12"/>
      <c r="B321" s="7"/>
      <c r="C321" s="8"/>
      <c r="D321" s="44"/>
      <c r="E321" s="44"/>
      <c r="F321" s="50" t="s">
        <v>1488</v>
      </c>
      <c r="G321" s="45" t="s">
        <v>1345</v>
      </c>
      <c r="H321" s="44" t="e">
        <f>#REF!</f>
        <v>#REF!</v>
      </c>
      <c r="I321" s="44"/>
      <c r="N321" s="49"/>
    </row>
    <row r="322" spans="1:14">
      <c r="A322" s="12"/>
      <c r="B322" s="7"/>
      <c r="C322" s="8"/>
      <c r="D322" s="44"/>
      <c r="E322" s="44"/>
      <c r="F322" s="50" t="s">
        <v>1459</v>
      </c>
      <c r="G322" s="120" t="s">
        <v>1345</v>
      </c>
      <c r="H322" s="121" t="e">
        <f>#REF!</f>
        <v>#REF!</v>
      </c>
      <c r="I322" s="44"/>
      <c r="N322" s="49"/>
    </row>
    <row r="323" spans="1:14">
      <c r="A323" s="12"/>
      <c r="B323" s="7"/>
      <c r="C323" s="8"/>
      <c r="D323" s="44"/>
      <c r="E323" s="44"/>
      <c r="F323" s="50"/>
      <c r="G323" s="45"/>
      <c r="H323" s="44"/>
      <c r="I323" s="44"/>
      <c r="N323" s="49"/>
    </row>
    <row r="324" spans="1:14">
      <c r="A324" s="12" t="s">
        <v>176</v>
      </c>
      <c r="B324" s="7" t="s">
        <v>530</v>
      </c>
      <c r="C324" s="8" t="s">
        <v>17</v>
      </c>
      <c r="D324" s="44">
        <v>116638</v>
      </c>
      <c r="E324" s="44"/>
      <c r="F324" s="50" t="s">
        <v>1488</v>
      </c>
      <c r="G324" s="45" t="s">
        <v>1345</v>
      </c>
      <c r="H324" s="44" t="e">
        <f>#REF!</f>
        <v>#REF!</v>
      </c>
      <c r="I324" s="44" t="e">
        <f>SUM(H324:H327)</f>
        <v>#REF!</v>
      </c>
      <c r="M324" s="111">
        <v>111074</v>
      </c>
      <c r="N324" s="49" t="e">
        <f t="shared" si="5"/>
        <v>#REF!</v>
      </c>
    </row>
    <row r="325" spans="1:14">
      <c r="A325" s="12"/>
      <c r="B325" s="7"/>
      <c r="C325" s="8"/>
      <c r="D325" s="44"/>
      <c r="E325" s="44"/>
      <c r="F325" s="50" t="s">
        <v>1459</v>
      </c>
      <c r="G325" s="120" t="s">
        <v>1345</v>
      </c>
      <c r="H325" s="121" t="e">
        <f>#REF!</f>
        <v>#REF!</v>
      </c>
      <c r="I325" s="44"/>
      <c r="N325" s="49"/>
    </row>
    <row r="326" spans="1:14">
      <c r="A326" s="12"/>
      <c r="B326" s="7"/>
      <c r="C326" s="8"/>
      <c r="D326" s="44"/>
      <c r="E326" s="44"/>
      <c r="F326" s="50"/>
      <c r="G326" s="45"/>
      <c r="H326" s="44"/>
      <c r="I326" s="44"/>
      <c r="N326" s="49"/>
    </row>
    <row r="327" spans="1:14">
      <c r="A327" s="12"/>
      <c r="B327" s="7"/>
      <c r="C327" s="8"/>
      <c r="D327" s="44"/>
      <c r="E327" s="44"/>
      <c r="F327" s="45"/>
      <c r="G327" s="45"/>
      <c r="H327" s="44"/>
      <c r="I327" s="44"/>
      <c r="N327" s="49"/>
    </row>
    <row r="328" spans="1:14" ht="42.75">
      <c r="A328" s="12" t="s">
        <v>175</v>
      </c>
      <c r="B328" s="10" t="s">
        <v>628</v>
      </c>
      <c r="C328" s="8" t="s">
        <v>8</v>
      </c>
      <c r="D328" s="44">
        <v>112</v>
      </c>
      <c r="E328" s="44"/>
      <c r="F328" s="45"/>
      <c r="G328" s="45"/>
      <c r="H328" s="44"/>
      <c r="I328" s="46" t="s">
        <v>243</v>
      </c>
      <c r="M328" s="111">
        <v>0</v>
      </c>
      <c r="N328" s="49"/>
    </row>
    <row r="329" spans="1:14" ht="42.75">
      <c r="A329" s="12" t="s">
        <v>174</v>
      </c>
      <c r="B329" s="10" t="s">
        <v>630</v>
      </c>
      <c r="C329" s="8" t="s">
        <v>0</v>
      </c>
      <c r="D329" s="44">
        <v>47</v>
      </c>
      <c r="E329" s="44"/>
      <c r="F329" s="45"/>
      <c r="G329" s="45"/>
      <c r="H329" s="44"/>
      <c r="I329" s="46" t="s">
        <v>243</v>
      </c>
      <c r="M329" s="111">
        <v>0</v>
      </c>
      <c r="N329" s="49"/>
    </row>
    <row r="330" spans="1:14" ht="71.25">
      <c r="A330" s="12" t="s">
        <v>173</v>
      </c>
      <c r="B330" s="10" t="s">
        <v>632</v>
      </c>
      <c r="C330" s="8" t="s">
        <v>8</v>
      </c>
      <c r="D330" s="44">
        <v>148</v>
      </c>
      <c r="E330" s="44"/>
      <c r="F330" s="45"/>
      <c r="G330" s="45"/>
      <c r="H330" s="44"/>
      <c r="I330" s="46" t="s">
        <v>243</v>
      </c>
      <c r="M330" s="111">
        <v>0</v>
      </c>
      <c r="N330" s="49"/>
    </row>
    <row r="331" spans="1:14" ht="42.75">
      <c r="A331" s="12" t="s">
        <v>218</v>
      </c>
      <c r="B331" s="10" t="s">
        <v>634</v>
      </c>
      <c r="C331" s="8" t="s">
        <v>15</v>
      </c>
      <c r="D331" s="44">
        <v>6</v>
      </c>
      <c r="E331" s="44"/>
      <c r="F331" s="45"/>
      <c r="G331" s="45"/>
      <c r="H331" s="44"/>
      <c r="I331" s="46" t="s">
        <v>243</v>
      </c>
      <c r="M331" s="111">
        <v>0</v>
      </c>
      <c r="N331" s="49"/>
    </row>
    <row r="332" spans="1:14">
      <c r="A332" s="12" t="s">
        <v>636</v>
      </c>
      <c r="B332" s="7" t="s">
        <v>1346</v>
      </c>
      <c r="C332" s="8" t="s">
        <v>8</v>
      </c>
      <c r="D332" s="44">
        <v>746</v>
      </c>
      <c r="E332" s="44"/>
      <c r="F332" s="45" t="s">
        <v>1491</v>
      </c>
      <c r="G332" s="120" t="s">
        <v>1494</v>
      </c>
      <c r="H332" s="121">
        <f>(1.8*2+1.6*2)*15+(7.05*2+2.4*3)*14</f>
        <v>400.19999999999993</v>
      </c>
      <c r="I332" s="48">
        <f>H332</f>
        <v>400.19999999999993</v>
      </c>
      <c r="M332" s="111">
        <v>256</v>
      </c>
      <c r="N332" s="49">
        <f t="shared" ref="N332:N382" si="7">I332-M332</f>
        <v>144.19999999999993</v>
      </c>
    </row>
    <row r="333" spans="1:14" ht="33">
      <c r="A333" s="12" t="s">
        <v>637</v>
      </c>
      <c r="B333" s="7" t="s">
        <v>1492</v>
      </c>
      <c r="C333" s="8" t="s">
        <v>8</v>
      </c>
      <c r="D333" s="44">
        <v>1740</v>
      </c>
      <c r="E333" s="44"/>
      <c r="F333" s="45" t="s">
        <v>1493</v>
      </c>
      <c r="G333" s="120" t="s">
        <v>1495</v>
      </c>
      <c r="H333" s="121">
        <f>280*3+(1.8*2+1.6*2)*15+(7.05*2+2.4*3)*14</f>
        <v>1240.1999999999998</v>
      </c>
      <c r="I333" s="48">
        <f>H333</f>
        <v>1240.1999999999998</v>
      </c>
      <c r="M333" s="111">
        <v>780</v>
      </c>
      <c r="N333" s="49">
        <f t="shared" si="7"/>
        <v>460.19999999999982</v>
      </c>
    </row>
    <row r="334" spans="1:14" ht="33">
      <c r="A334" s="12" t="s">
        <v>638</v>
      </c>
      <c r="B334" s="10" t="s">
        <v>222</v>
      </c>
      <c r="C334" s="8" t="s">
        <v>13</v>
      </c>
      <c r="D334" s="44">
        <v>783</v>
      </c>
      <c r="E334" s="44"/>
      <c r="F334" s="45" t="s">
        <v>1468</v>
      </c>
      <c r="G334" s="120" t="s">
        <v>1496</v>
      </c>
      <c r="H334" s="121">
        <f>(1.8*2*6)+(1.8*3*6)+(1.8*4*12)*3</f>
        <v>313.20000000000005</v>
      </c>
      <c r="I334" s="48">
        <f>H334</f>
        <v>313.20000000000005</v>
      </c>
      <c r="M334" s="111">
        <v>248.2</v>
      </c>
      <c r="N334" s="49">
        <f t="shared" si="7"/>
        <v>65.000000000000057</v>
      </c>
    </row>
    <row r="335" spans="1:14" ht="42.75">
      <c r="A335" s="12" t="s">
        <v>639</v>
      </c>
      <c r="B335" s="10" t="s">
        <v>640</v>
      </c>
      <c r="C335" s="8" t="s">
        <v>15</v>
      </c>
      <c r="D335" s="44">
        <v>1</v>
      </c>
      <c r="E335" s="44"/>
      <c r="F335" s="45"/>
      <c r="G335" s="45"/>
      <c r="H335" s="44"/>
      <c r="I335" s="46" t="s">
        <v>243</v>
      </c>
      <c r="M335" s="111">
        <v>0</v>
      </c>
      <c r="N335" s="49"/>
    </row>
    <row r="336" spans="1:14" ht="33">
      <c r="A336" s="12" t="s">
        <v>642</v>
      </c>
      <c r="B336" s="7" t="s">
        <v>643</v>
      </c>
      <c r="C336" s="8" t="s">
        <v>5</v>
      </c>
      <c r="D336" s="44">
        <v>44</v>
      </c>
      <c r="E336" s="44"/>
      <c r="F336" s="45"/>
      <c r="G336" s="45"/>
      <c r="H336" s="44"/>
      <c r="I336" s="46" t="s">
        <v>243</v>
      </c>
      <c r="M336" s="111">
        <v>0</v>
      </c>
      <c r="N336" s="49"/>
    </row>
    <row r="337" spans="1:14" ht="33">
      <c r="A337" s="114" t="s">
        <v>172</v>
      </c>
      <c r="B337" s="115" t="s">
        <v>645</v>
      </c>
      <c r="C337" s="116" t="s">
        <v>4</v>
      </c>
      <c r="D337" s="117">
        <v>1</v>
      </c>
      <c r="E337" s="117"/>
      <c r="F337" s="118"/>
      <c r="G337" s="118"/>
      <c r="H337" s="117"/>
      <c r="I337" s="119" t="s">
        <v>243</v>
      </c>
      <c r="N337" s="49"/>
    </row>
    <row r="338" spans="1:14" ht="42.75">
      <c r="A338" s="12" t="s">
        <v>171</v>
      </c>
      <c r="B338" s="10" t="s">
        <v>646</v>
      </c>
      <c r="C338" s="8" t="s">
        <v>6</v>
      </c>
      <c r="D338" s="44">
        <v>230</v>
      </c>
      <c r="E338" s="44"/>
      <c r="F338" s="45" t="s">
        <v>1499</v>
      </c>
      <c r="G338" s="45" t="s">
        <v>1500</v>
      </c>
      <c r="H338" s="44">
        <f>(22.5*4.5*0.05)</f>
        <v>5.0625</v>
      </c>
      <c r="I338" s="48">
        <f>SUM(H338:H339)</f>
        <v>5.0625</v>
      </c>
      <c r="M338" s="111">
        <v>0</v>
      </c>
      <c r="N338" s="49">
        <f t="shared" si="7"/>
        <v>5.0625</v>
      </c>
    </row>
    <row r="339" spans="1:14">
      <c r="A339" s="12"/>
      <c r="B339" s="10"/>
      <c r="C339" s="8"/>
      <c r="D339" s="44"/>
      <c r="E339" s="44"/>
      <c r="F339" s="45"/>
      <c r="G339" s="45"/>
      <c r="H339" s="44"/>
      <c r="I339" s="46"/>
      <c r="N339" s="49"/>
    </row>
    <row r="340" spans="1:14" ht="42.75">
      <c r="A340" s="12" t="s">
        <v>170</v>
      </c>
      <c r="B340" s="10" t="s">
        <v>648</v>
      </c>
      <c r="C340" s="8" t="s">
        <v>6</v>
      </c>
      <c r="D340" s="44">
        <v>689</v>
      </c>
      <c r="E340" s="44"/>
      <c r="F340" s="45" t="s">
        <v>1499</v>
      </c>
      <c r="G340" s="45" t="s">
        <v>1500</v>
      </c>
      <c r="H340" s="44">
        <f>(22.5*4.5*0.05)</f>
        <v>5.0625</v>
      </c>
      <c r="I340" s="48">
        <f>SUM(H340:H341)</f>
        <v>5.0625</v>
      </c>
      <c r="M340" s="111">
        <v>0</v>
      </c>
      <c r="N340" s="49">
        <f t="shared" si="7"/>
        <v>5.0625</v>
      </c>
    </row>
    <row r="341" spans="1:14">
      <c r="A341" s="12"/>
      <c r="B341" s="10"/>
      <c r="C341" s="8"/>
      <c r="D341" s="44"/>
      <c r="E341" s="44"/>
      <c r="F341" s="45"/>
      <c r="G341" s="45"/>
      <c r="H341" s="44"/>
      <c r="I341" s="48"/>
      <c r="N341" s="49"/>
    </row>
    <row r="342" spans="1:14">
      <c r="A342" s="12" t="s">
        <v>169</v>
      </c>
      <c r="B342" s="7" t="s">
        <v>650</v>
      </c>
      <c r="C342" s="8" t="s">
        <v>13</v>
      </c>
      <c r="D342" s="44">
        <v>4589</v>
      </c>
      <c r="E342" s="44"/>
      <c r="F342" s="45"/>
      <c r="G342" s="45"/>
      <c r="H342" s="44"/>
      <c r="I342" s="48">
        <f>H342</f>
        <v>0</v>
      </c>
      <c r="M342" s="111">
        <v>0</v>
      </c>
      <c r="N342" s="49">
        <f t="shared" si="7"/>
        <v>0</v>
      </c>
    </row>
    <row r="343" spans="1:14" ht="31.5">
      <c r="A343" s="12" t="s">
        <v>168</v>
      </c>
      <c r="B343" s="7" t="s">
        <v>652</v>
      </c>
      <c r="C343" s="8" t="s">
        <v>13</v>
      </c>
      <c r="D343" s="44">
        <v>4589</v>
      </c>
      <c r="E343" s="44"/>
      <c r="F343" s="45" t="s">
        <v>1499</v>
      </c>
      <c r="G343" s="45" t="s">
        <v>1501</v>
      </c>
      <c r="H343" s="44">
        <f>22.5*4.5</f>
        <v>101.25</v>
      </c>
      <c r="I343" s="48">
        <f>SUM(H343:H344)</f>
        <v>101.25</v>
      </c>
      <c r="M343" s="111">
        <v>0</v>
      </c>
      <c r="N343" s="49">
        <f t="shared" si="7"/>
        <v>101.25</v>
      </c>
    </row>
    <row r="344" spans="1:14">
      <c r="A344" s="12"/>
      <c r="B344" s="7"/>
      <c r="C344" s="8"/>
      <c r="D344" s="44"/>
      <c r="E344" s="44"/>
      <c r="F344" s="45"/>
      <c r="G344" s="45"/>
      <c r="H344" s="44"/>
      <c r="I344" s="48"/>
      <c r="N344" s="49"/>
    </row>
    <row r="345" spans="1:14" ht="31.5">
      <c r="A345" s="12" t="s">
        <v>167</v>
      </c>
      <c r="B345" s="7" t="s">
        <v>204</v>
      </c>
      <c r="C345" s="8" t="s">
        <v>13</v>
      </c>
      <c r="D345" s="44">
        <v>13765</v>
      </c>
      <c r="E345" s="44"/>
      <c r="F345" s="45" t="s">
        <v>1499</v>
      </c>
      <c r="G345" s="45" t="s">
        <v>1501</v>
      </c>
      <c r="H345" s="44">
        <f>22.5*4.5</f>
        <v>101.25</v>
      </c>
      <c r="I345" s="48">
        <f>SUM(H345:H346)</f>
        <v>101.25</v>
      </c>
      <c r="M345" s="111">
        <v>0</v>
      </c>
      <c r="N345" s="49">
        <f t="shared" si="7"/>
        <v>101.25</v>
      </c>
    </row>
    <row r="346" spans="1:14">
      <c r="A346" s="12"/>
      <c r="B346" s="7"/>
      <c r="C346" s="8"/>
      <c r="D346" s="44"/>
      <c r="E346" s="44"/>
      <c r="F346" s="45"/>
      <c r="G346" s="45"/>
      <c r="H346" s="44"/>
      <c r="I346" s="46"/>
      <c r="N346" s="49"/>
    </row>
    <row r="347" spans="1:14" ht="33">
      <c r="A347" s="12" t="s">
        <v>166</v>
      </c>
      <c r="B347" s="10" t="s">
        <v>315</v>
      </c>
      <c r="C347" s="8" t="s">
        <v>6</v>
      </c>
      <c r="D347" s="44">
        <v>49</v>
      </c>
      <c r="E347" s="44"/>
      <c r="F347" s="45"/>
      <c r="G347" s="45"/>
      <c r="H347" s="44"/>
      <c r="I347" s="46" t="s">
        <v>243</v>
      </c>
      <c r="M347" s="111">
        <v>0</v>
      </c>
      <c r="N347" s="49"/>
    </row>
    <row r="348" spans="1:14" ht="33">
      <c r="A348" s="12" t="s">
        <v>165</v>
      </c>
      <c r="B348" s="10" t="s">
        <v>24</v>
      </c>
      <c r="C348" s="8" t="s">
        <v>6</v>
      </c>
      <c r="D348" s="44">
        <v>328</v>
      </c>
      <c r="E348" s="44"/>
      <c r="F348" s="45"/>
      <c r="G348" s="45"/>
      <c r="H348" s="44"/>
      <c r="I348" s="46" t="s">
        <v>243</v>
      </c>
      <c r="M348" s="111">
        <v>0</v>
      </c>
      <c r="N348" s="49"/>
    </row>
    <row r="349" spans="1:14" ht="33">
      <c r="A349" s="12" t="s">
        <v>164</v>
      </c>
      <c r="B349" s="7" t="s">
        <v>595</v>
      </c>
      <c r="C349" s="8" t="s">
        <v>6</v>
      </c>
      <c r="D349" s="44">
        <v>377</v>
      </c>
      <c r="E349" s="44"/>
      <c r="F349" s="45"/>
      <c r="G349" s="45"/>
      <c r="H349" s="44"/>
      <c r="I349" s="46" t="s">
        <v>243</v>
      </c>
      <c r="M349" s="111">
        <v>0</v>
      </c>
      <c r="N349" s="49"/>
    </row>
    <row r="350" spans="1:14" ht="33">
      <c r="A350" s="12" t="s">
        <v>163</v>
      </c>
      <c r="B350" s="7" t="s">
        <v>626</v>
      </c>
      <c r="C350" s="8" t="s">
        <v>13</v>
      </c>
      <c r="D350" s="44">
        <v>867</v>
      </c>
      <c r="E350" s="44"/>
      <c r="F350" s="45"/>
      <c r="G350" s="45"/>
      <c r="H350" s="44"/>
      <c r="I350" s="46" t="s">
        <v>243</v>
      </c>
      <c r="M350" s="111">
        <v>0</v>
      </c>
      <c r="N350" s="49"/>
    </row>
    <row r="351" spans="1:14" ht="33">
      <c r="A351" s="12" t="s">
        <v>162</v>
      </c>
      <c r="B351" s="7" t="s">
        <v>193</v>
      </c>
      <c r="C351" s="8" t="s">
        <v>13</v>
      </c>
      <c r="D351" s="44">
        <v>1257</v>
      </c>
      <c r="E351" s="44"/>
      <c r="F351" s="45"/>
      <c r="G351" s="45"/>
      <c r="H351" s="44"/>
      <c r="I351" s="46" t="s">
        <v>243</v>
      </c>
      <c r="M351" s="111">
        <v>0</v>
      </c>
      <c r="N351" s="49"/>
    </row>
    <row r="352" spans="1:14" ht="33">
      <c r="A352" s="12" t="s">
        <v>161</v>
      </c>
      <c r="B352" s="7" t="s">
        <v>192</v>
      </c>
      <c r="C352" s="8" t="s">
        <v>17</v>
      </c>
      <c r="D352" s="44">
        <v>12810</v>
      </c>
      <c r="E352" s="44"/>
      <c r="F352" s="45"/>
      <c r="G352" s="45"/>
      <c r="H352" s="44"/>
      <c r="I352" s="46" t="s">
        <v>243</v>
      </c>
      <c r="M352" s="111">
        <v>0</v>
      </c>
      <c r="N352" s="49"/>
    </row>
    <row r="353" spans="1:14" ht="42.75">
      <c r="A353" s="12" t="s">
        <v>160</v>
      </c>
      <c r="B353" s="10" t="s">
        <v>655</v>
      </c>
      <c r="C353" s="8" t="s">
        <v>15</v>
      </c>
      <c r="D353" s="44">
        <v>158</v>
      </c>
      <c r="E353" s="44"/>
      <c r="F353" s="45"/>
      <c r="G353" s="45"/>
      <c r="H353" s="44"/>
      <c r="I353" s="46" t="s">
        <v>243</v>
      </c>
      <c r="M353" s="111">
        <v>0</v>
      </c>
      <c r="N353" s="49"/>
    </row>
    <row r="354" spans="1:14" ht="42.75">
      <c r="A354" s="12" t="s">
        <v>159</v>
      </c>
      <c r="B354" s="10" t="s">
        <v>657</v>
      </c>
      <c r="C354" s="8" t="s">
        <v>17</v>
      </c>
      <c r="D354" s="44">
        <v>3713</v>
      </c>
      <c r="E354" s="44"/>
      <c r="F354" s="45"/>
      <c r="G354" s="45"/>
      <c r="H354" s="44"/>
      <c r="I354" s="46" t="s">
        <v>243</v>
      </c>
      <c r="M354" s="111">
        <v>0</v>
      </c>
      <c r="N354" s="49"/>
    </row>
    <row r="355" spans="1:14" ht="33">
      <c r="A355" s="12" t="s">
        <v>158</v>
      </c>
      <c r="B355" s="7" t="s">
        <v>357</v>
      </c>
      <c r="C355" s="8" t="s">
        <v>8</v>
      </c>
      <c r="D355" s="44">
        <v>155</v>
      </c>
      <c r="E355" s="44"/>
      <c r="F355" s="45"/>
      <c r="G355" s="45"/>
      <c r="H355" s="44"/>
      <c r="I355" s="46" t="s">
        <v>243</v>
      </c>
      <c r="M355" s="111">
        <v>0</v>
      </c>
      <c r="N355" s="49"/>
    </row>
    <row r="356" spans="1:14" ht="31.5">
      <c r="A356" s="12" t="s">
        <v>157</v>
      </c>
      <c r="B356" s="7" t="s">
        <v>1497</v>
      </c>
      <c r="C356" s="8" t="s">
        <v>223</v>
      </c>
      <c r="D356" s="44"/>
      <c r="E356" s="44">
        <v>1376.7</v>
      </c>
      <c r="F356" s="45"/>
      <c r="G356" s="45"/>
      <c r="H356" s="44"/>
      <c r="I356" s="46"/>
      <c r="M356" s="111">
        <v>0</v>
      </c>
      <c r="N356" s="49"/>
    </row>
    <row r="357" spans="1:14" ht="31.5">
      <c r="A357" s="12" t="s">
        <v>214</v>
      </c>
      <c r="B357" s="7" t="s">
        <v>1498</v>
      </c>
      <c r="C357" s="8" t="s">
        <v>13</v>
      </c>
      <c r="D357" s="44"/>
      <c r="E357" s="44">
        <v>512.1</v>
      </c>
      <c r="F357" s="45"/>
      <c r="G357" s="45"/>
      <c r="H357" s="44"/>
      <c r="I357" s="46"/>
      <c r="N357" s="49"/>
    </row>
    <row r="358" spans="1:14" ht="33">
      <c r="A358" s="114" t="s">
        <v>659</v>
      </c>
      <c r="B358" s="138" t="s">
        <v>660</v>
      </c>
      <c r="C358" s="139" t="s">
        <v>4</v>
      </c>
      <c r="D358" s="140">
        <v>1</v>
      </c>
      <c r="E358" s="117"/>
      <c r="F358" s="118"/>
      <c r="G358" s="118"/>
      <c r="H358" s="117"/>
      <c r="I358" s="119" t="s">
        <v>243</v>
      </c>
      <c r="N358" s="49"/>
    </row>
    <row r="359" spans="1:14" ht="33">
      <c r="A359" s="12" t="s">
        <v>661</v>
      </c>
      <c r="B359" s="71" t="s">
        <v>662</v>
      </c>
      <c r="C359" s="67" t="s">
        <v>223</v>
      </c>
      <c r="D359" s="55">
        <v>1</v>
      </c>
      <c r="E359" s="44"/>
      <c r="F359" s="45"/>
      <c r="G359" s="45"/>
      <c r="H359" s="44"/>
      <c r="I359" s="46" t="s">
        <v>243</v>
      </c>
      <c r="M359" s="111">
        <v>0</v>
      </c>
      <c r="N359" s="49"/>
    </row>
    <row r="360" spans="1:14" ht="33">
      <c r="A360" s="12" t="s">
        <v>664</v>
      </c>
      <c r="B360" s="71" t="s">
        <v>665</v>
      </c>
      <c r="C360" s="67" t="s">
        <v>5</v>
      </c>
      <c r="D360" s="55">
        <v>1</v>
      </c>
      <c r="E360" s="44"/>
      <c r="F360" s="45"/>
      <c r="G360" s="45"/>
      <c r="H360" s="44"/>
      <c r="I360" s="46" t="s">
        <v>243</v>
      </c>
      <c r="M360" s="111">
        <v>0</v>
      </c>
      <c r="N360" s="49"/>
    </row>
    <row r="361" spans="1:14" ht="42.75">
      <c r="A361" s="12" t="s">
        <v>667</v>
      </c>
      <c r="B361" s="66" t="s">
        <v>668</v>
      </c>
      <c r="C361" s="67" t="s">
        <v>669</v>
      </c>
      <c r="D361" s="55">
        <v>1</v>
      </c>
      <c r="E361" s="44">
        <v>14</v>
      </c>
      <c r="F361" s="45" t="s">
        <v>1504</v>
      </c>
      <c r="G361" s="45"/>
      <c r="H361" s="44">
        <v>14</v>
      </c>
      <c r="I361" s="48">
        <f>H361</f>
        <v>14</v>
      </c>
      <c r="M361" s="111">
        <v>14</v>
      </c>
      <c r="N361" s="49">
        <f t="shared" si="7"/>
        <v>0</v>
      </c>
    </row>
    <row r="362" spans="1:14" ht="42.75">
      <c r="A362" s="12" t="s">
        <v>671</v>
      </c>
      <c r="B362" s="66" t="s">
        <v>1503</v>
      </c>
      <c r="C362" s="67" t="s">
        <v>669</v>
      </c>
      <c r="D362" s="55">
        <v>1</v>
      </c>
      <c r="E362" s="44">
        <v>2</v>
      </c>
      <c r="F362" s="45" t="s">
        <v>1504</v>
      </c>
      <c r="G362" s="45"/>
      <c r="H362" s="44">
        <v>2</v>
      </c>
      <c r="I362" s="48">
        <f t="shared" ref="I362:I380" si="8">H362</f>
        <v>2</v>
      </c>
      <c r="M362" s="111">
        <v>2</v>
      </c>
      <c r="N362" s="49">
        <f t="shared" si="7"/>
        <v>0</v>
      </c>
    </row>
    <row r="363" spans="1:14" ht="42.75">
      <c r="A363" s="12" t="s">
        <v>674</v>
      </c>
      <c r="B363" s="10" t="s">
        <v>675</v>
      </c>
      <c r="C363" s="8" t="s">
        <v>669</v>
      </c>
      <c r="D363" s="44">
        <v>1</v>
      </c>
      <c r="E363" s="44">
        <v>6</v>
      </c>
      <c r="F363" s="45" t="s">
        <v>1504</v>
      </c>
      <c r="G363" s="45"/>
      <c r="H363" s="44">
        <v>6</v>
      </c>
      <c r="I363" s="48">
        <f t="shared" si="8"/>
        <v>6</v>
      </c>
      <c r="M363" s="111">
        <v>6</v>
      </c>
      <c r="N363" s="49">
        <f t="shared" si="7"/>
        <v>0</v>
      </c>
    </row>
    <row r="364" spans="1:14" ht="42.75">
      <c r="A364" s="12" t="s">
        <v>677</v>
      </c>
      <c r="B364" s="10" t="s">
        <v>678</v>
      </c>
      <c r="C364" s="8" t="s">
        <v>669</v>
      </c>
      <c r="D364" s="44">
        <v>1</v>
      </c>
      <c r="E364" s="44">
        <v>8</v>
      </c>
      <c r="F364" s="45" t="s">
        <v>1504</v>
      </c>
      <c r="G364" s="45"/>
      <c r="H364" s="44">
        <v>8</v>
      </c>
      <c r="I364" s="48">
        <f t="shared" si="8"/>
        <v>8</v>
      </c>
      <c r="M364" s="111">
        <v>8</v>
      </c>
      <c r="N364" s="49">
        <f t="shared" si="7"/>
        <v>0</v>
      </c>
    </row>
    <row r="365" spans="1:14" ht="42.75">
      <c r="A365" s="12" t="s">
        <v>680</v>
      </c>
      <c r="B365" s="10" t="s">
        <v>681</v>
      </c>
      <c r="C365" s="8" t="s">
        <v>669</v>
      </c>
      <c r="D365" s="44">
        <v>1</v>
      </c>
      <c r="E365" s="44">
        <v>5</v>
      </c>
      <c r="F365" s="45" t="s">
        <v>1504</v>
      </c>
      <c r="G365" s="45"/>
      <c r="H365" s="44">
        <v>5</v>
      </c>
      <c r="I365" s="48">
        <f t="shared" si="8"/>
        <v>5</v>
      </c>
      <c r="M365" s="111">
        <v>5</v>
      </c>
      <c r="N365" s="49">
        <f t="shared" si="7"/>
        <v>0</v>
      </c>
    </row>
    <row r="366" spans="1:14" ht="42.75">
      <c r="A366" s="12" t="s">
        <v>683</v>
      </c>
      <c r="B366" s="10" t="s">
        <v>684</v>
      </c>
      <c r="C366" s="8" t="s">
        <v>669</v>
      </c>
      <c r="D366" s="44">
        <v>1</v>
      </c>
      <c r="E366" s="44">
        <v>3</v>
      </c>
      <c r="F366" s="45" t="s">
        <v>1504</v>
      </c>
      <c r="G366" s="45"/>
      <c r="H366" s="44">
        <v>3</v>
      </c>
      <c r="I366" s="48">
        <f t="shared" si="8"/>
        <v>3</v>
      </c>
      <c r="M366" s="111">
        <v>3</v>
      </c>
      <c r="N366" s="49">
        <f t="shared" si="7"/>
        <v>0</v>
      </c>
    </row>
    <row r="367" spans="1:14" ht="42.75">
      <c r="A367" s="12" t="s">
        <v>686</v>
      </c>
      <c r="B367" s="10" t="s">
        <v>687</v>
      </c>
      <c r="C367" s="8" t="s">
        <v>669</v>
      </c>
      <c r="D367" s="44">
        <v>1</v>
      </c>
      <c r="E367" s="44">
        <v>2</v>
      </c>
      <c r="F367" s="45" t="s">
        <v>1504</v>
      </c>
      <c r="G367" s="45"/>
      <c r="H367" s="44">
        <v>2</v>
      </c>
      <c r="I367" s="48">
        <f t="shared" si="8"/>
        <v>2</v>
      </c>
      <c r="M367" s="111">
        <v>2</v>
      </c>
      <c r="N367" s="49">
        <f t="shared" si="7"/>
        <v>0</v>
      </c>
    </row>
    <row r="368" spans="1:14" ht="42.75">
      <c r="A368" s="12" t="s">
        <v>689</v>
      </c>
      <c r="B368" s="10" t="s">
        <v>690</v>
      </c>
      <c r="C368" s="8" t="s">
        <v>669</v>
      </c>
      <c r="D368" s="44">
        <v>1</v>
      </c>
      <c r="E368" s="44"/>
      <c r="F368" s="45"/>
      <c r="G368" s="45"/>
      <c r="H368" s="44">
        <v>1</v>
      </c>
      <c r="I368" s="48">
        <f t="shared" si="8"/>
        <v>1</v>
      </c>
      <c r="M368" s="111">
        <v>1</v>
      </c>
      <c r="N368" s="49">
        <f t="shared" si="7"/>
        <v>0</v>
      </c>
    </row>
    <row r="369" spans="1:14" ht="42.75">
      <c r="A369" s="12" t="s">
        <v>692</v>
      </c>
      <c r="B369" s="10" t="s">
        <v>693</v>
      </c>
      <c r="C369" s="8" t="s">
        <v>669</v>
      </c>
      <c r="D369" s="44">
        <v>1</v>
      </c>
      <c r="E369" s="44"/>
      <c r="F369" s="45"/>
      <c r="G369" s="45"/>
      <c r="H369" s="44">
        <v>1</v>
      </c>
      <c r="I369" s="48">
        <f t="shared" si="8"/>
        <v>1</v>
      </c>
      <c r="M369" s="111">
        <v>1</v>
      </c>
      <c r="N369" s="49">
        <f t="shared" si="7"/>
        <v>0</v>
      </c>
    </row>
    <row r="370" spans="1:14" ht="33">
      <c r="A370" s="12" t="s">
        <v>695</v>
      </c>
      <c r="B370" s="10" t="s">
        <v>696</v>
      </c>
      <c r="C370" s="8" t="s">
        <v>669</v>
      </c>
      <c r="D370" s="44">
        <v>1</v>
      </c>
      <c r="E370" s="44">
        <v>4</v>
      </c>
      <c r="F370" s="72" t="s">
        <v>1216</v>
      </c>
      <c r="G370" s="72"/>
      <c r="H370" s="44">
        <v>1</v>
      </c>
      <c r="I370" s="48">
        <f t="shared" si="8"/>
        <v>1</v>
      </c>
      <c r="M370" s="111">
        <v>1</v>
      </c>
      <c r="N370" s="49">
        <f t="shared" si="7"/>
        <v>0</v>
      </c>
    </row>
    <row r="371" spans="1:14" ht="42.75">
      <c r="A371" s="12" t="s">
        <v>698</v>
      </c>
      <c r="B371" s="10" t="s">
        <v>699</v>
      </c>
      <c r="C371" s="8" t="s">
        <v>669</v>
      </c>
      <c r="D371" s="44">
        <v>1</v>
      </c>
      <c r="E371" s="44"/>
      <c r="F371" s="45"/>
      <c r="G371" s="45"/>
      <c r="H371" s="44">
        <v>1</v>
      </c>
      <c r="I371" s="48">
        <f t="shared" si="8"/>
        <v>1</v>
      </c>
      <c r="M371" s="111">
        <v>1</v>
      </c>
      <c r="N371" s="49">
        <f t="shared" si="7"/>
        <v>0</v>
      </c>
    </row>
    <row r="372" spans="1:14" ht="57">
      <c r="A372" s="12" t="s">
        <v>701</v>
      </c>
      <c r="B372" s="10" t="s">
        <v>702</v>
      </c>
      <c r="C372" s="8" t="s">
        <v>669</v>
      </c>
      <c r="D372" s="44">
        <v>1</v>
      </c>
      <c r="E372" s="44"/>
      <c r="F372" s="45"/>
      <c r="G372" s="45"/>
      <c r="H372" s="44"/>
      <c r="I372" s="48">
        <f t="shared" si="8"/>
        <v>0</v>
      </c>
      <c r="M372" s="111">
        <v>0</v>
      </c>
      <c r="N372" s="49">
        <f t="shared" si="7"/>
        <v>0</v>
      </c>
    </row>
    <row r="373" spans="1:14" ht="57">
      <c r="A373" s="12" t="s">
        <v>704</v>
      </c>
      <c r="B373" s="10" t="s">
        <v>705</v>
      </c>
      <c r="C373" s="8" t="s">
        <v>669</v>
      </c>
      <c r="D373" s="44">
        <v>1</v>
      </c>
      <c r="E373" s="44"/>
      <c r="F373" s="45"/>
      <c r="G373" s="45"/>
      <c r="H373" s="44">
        <v>1</v>
      </c>
      <c r="I373" s="48">
        <f t="shared" si="8"/>
        <v>1</v>
      </c>
      <c r="M373" s="111">
        <v>1</v>
      </c>
      <c r="N373" s="49">
        <f t="shared" si="7"/>
        <v>0</v>
      </c>
    </row>
    <row r="374" spans="1:14" ht="57">
      <c r="A374" s="12" t="s">
        <v>707</v>
      </c>
      <c r="B374" s="10" t="s">
        <v>708</v>
      </c>
      <c r="C374" s="8" t="s">
        <v>669</v>
      </c>
      <c r="D374" s="44">
        <v>1</v>
      </c>
      <c r="E374" s="44"/>
      <c r="F374" s="45"/>
      <c r="G374" s="45"/>
      <c r="H374" s="44">
        <v>1</v>
      </c>
      <c r="I374" s="48">
        <f t="shared" si="8"/>
        <v>1</v>
      </c>
      <c r="M374" s="111">
        <v>1</v>
      </c>
      <c r="N374" s="49">
        <f t="shared" si="7"/>
        <v>0</v>
      </c>
    </row>
    <row r="375" spans="1:14" ht="42.75">
      <c r="A375" s="12" t="s">
        <v>710</v>
      </c>
      <c r="B375" s="10" t="s">
        <v>147</v>
      </c>
      <c r="C375" s="8" t="s">
        <v>8</v>
      </c>
      <c r="D375" s="44">
        <v>1</v>
      </c>
      <c r="E375" s="44">
        <v>162</v>
      </c>
      <c r="F375" s="72" t="s">
        <v>1216</v>
      </c>
      <c r="G375" s="45"/>
      <c r="H375" s="44">
        <v>90</v>
      </c>
      <c r="I375" s="48">
        <f t="shared" si="8"/>
        <v>90</v>
      </c>
      <c r="M375" s="111">
        <v>90</v>
      </c>
      <c r="N375" s="49">
        <f t="shared" si="7"/>
        <v>0</v>
      </c>
    </row>
    <row r="376" spans="1:14" ht="42.75">
      <c r="A376" s="12" t="s">
        <v>712</v>
      </c>
      <c r="B376" s="10" t="s">
        <v>713</v>
      </c>
      <c r="C376" s="8" t="s">
        <v>15</v>
      </c>
      <c r="D376" s="44">
        <v>1</v>
      </c>
      <c r="E376" s="44"/>
      <c r="F376" s="45"/>
      <c r="G376" s="45"/>
      <c r="H376" s="44"/>
      <c r="I376" s="48">
        <f t="shared" si="8"/>
        <v>0</v>
      </c>
      <c r="M376" s="111">
        <v>0</v>
      </c>
      <c r="N376" s="49">
        <f t="shared" si="7"/>
        <v>0</v>
      </c>
    </row>
    <row r="377" spans="1:14" ht="42.75">
      <c r="A377" s="12" t="s">
        <v>715</v>
      </c>
      <c r="B377" s="10" t="s">
        <v>716</v>
      </c>
      <c r="C377" s="8" t="s">
        <v>15</v>
      </c>
      <c r="D377" s="44">
        <v>1</v>
      </c>
      <c r="E377" s="44">
        <v>268</v>
      </c>
      <c r="F377" s="45"/>
      <c r="G377" s="45"/>
      <c r="H377" s="44"/>
      <c r="I377" s="48">
        <f t="shared" si="8"/>
        <v>0</v>
      </c>
      <c r="M377" s="111">
        <v>0</v>
      </c>
      <c r="N377" s="49">
        <f t="shared" si="7"/>
        <v>0</v>
      </c>
    </row>
    <row r="378" spans="1:14" ht="57">
      <c r="A378" s="12" t="s">
        <v>718</v>
      </c>
      <c r="B378" s="10" t="s">
        <v>719</v>
      </c>
      <c r="C378" s="8" t="s">
        <v>7</v>
      </c>
      <c r="D378" s="44">
        <v>1</v>
      </c>
      <c r="E378" s="44">
        <v>1340</v>
      </c>
      <c r="F378" s="72" t="s">
        <v>1216</v>
      </c>
      <c r="G378" s="45"/>
      <c r="H378" s="44">
        <v>520</v>
      </c>
      <c r="I378" s="48">
        <f t="shared" si="8"/>
        <v>520</v>
      </c>
      <c r="M378" s="111">
        <v>520</v>
      </c>
      <c r="N378" s="49">
        <f t="shared" si="7"/>
        <v>0</v>
      </c>
    </row>
    <row r="379" spans="1:14" ht="42.75">
      <c r="A379" s="12" t="s">
        <v>721</v>
      </c>
      <c r="B379" s="10" t="s">
        <v>722</v>
      </c>
      <c r="C379" s="8" t="s">
        <v>8</v>
      </c>
      <c r="D379" s="44">
        <v>1</v>
      </c>
      <c r="E379" s="44"/>
      <c r="F379" s="45"/>
      <c r="G379" s="45"/>
      <c r="H379" s="44"/>
      <c r="I379" s="48">
        <f t="shared" si="8"/>
        <v>0</v>
      </c>
      <c r="M379" s="111">
        <v>0</v>
      </c>
      <c r="N379" s="49">
        <f t="shared" si="7"/>
        <v>0</v>
      </c>
    </row>
    <row r="380" spans="1:14" ht="20.100000000000001" customHeight="1">
      <c r="A380" s="12" t="s">
        <v>724</v>
      </c>
      <c r="B380" s="7" t="s">
        <v>725</v>
      </c>
      <c r="C380" s="8" t="s">
        <v>13</v>
      </c>
      <c r="D380" s="44">
        <v>1</v>
      </c>
      <c r="E380" s="44"/>
      <c r="F380" s="45"/>
      <c r="G380" s="45"/>
      <c r="H380" s="44"/>
      <c r="I380" s="48">
        <f t="shared" si="8"/>
        <v>0</v>
      </c>
      <c r="M380" s="111">
        <v>0</v>
      </c>
      <c r="N380" s="49">
        <f t="shared" si="7"/>
        <v>0</v>
      </c>
    </row>
    <row r="381" spans="1:14" ht="20.100000000000001" customHeight="1">
      <c r="A381" s="12" t="s">
        <v>727</v>
      </c>
      <c r="B381" s="7" t="s">
        <v>728</v>
      </c>
      <c r="C381" s="8" t="s">
        <v>6</v>
      </c>
      <c r="D381" s="44">
        <v>1</v>
      </c>
      <c r="E381" s="44">
        <v>11.31</v>
      </c>
      <c r="F381" s="72" t="s">
        <v>1502</v>
      </c>
      <c r="G381" s="45"/>
      <c r="H381" s="44">
        <v>5.2</v>
      </c>
      <c r="I381" s="48">
        <f>H381</f>
        <v>5.2</v>
      </c>
      <c r="M381" s="111">
        <v>5.2</v>
      </c>
      <c r="N381" s="49">
        <f t="shared" si="7"/>
        <v>0</v>
      </c>
    </row>
    <row r="382" spans="1:14" ht="20.100000000000001" customHeight="1">
      <c r="A382" s="12" t="s">
        <v>730</v>
      </c>
      <c r="B382" s="7" t="s">
        <v>731</v>
      </c>
      <c r="C382" s="8" t="s">
        <v>4</v>
      </c>
      <c r="D382" s="44">
        <v>1</v>
      </c>
      <c r="E382" s="44"/>
      <c r="F382" s="45"/>
      <c r="G382" s="45"/>
      <c r="H382" s="44">
        <v>0.2</v>
      </c>
      <c r="I382" s="48">
        <f>H382</f>
        <v>0.2</v>
      </c>
      <c r="M382" s="111">
        <v>0.2</v>
      </c>
      <c r="N382" s="49">
        <f t="shared" si="7"/>
        <v>0</v>
      </c>
    </row>
    <row r="383" spans="1:14" ht="33">
      <c r="A383" s="12" t="s">
        <v>733</v>
      </c>
      <c r="B383" s="10" t="s">
        <v>734</v>
      </c>
      <c r="C383" s="8" t="s">
        <v>13</v>
      </c>
      <c r="D383" s="44">
        <v>1</v>
      </c>
      <c r="E383" s="44"/>
      <c r="F383" s="45"/>
      <c r="G383" s="45"/>
      <c r="H383" s="44"/>
      <c r="I383" s="46" t="s">
        <v>243</v>
      </c>
      <c r="M383" s="111">
        <v>0</v>
      </c>
      <c r="N383" s="49"/>
    </row>
    <row r="384" spans="1:14" ht="45">
      <c r="A384" s="12" t="s">
        <v>736</v>
      </c>
      <c r="B384" s="53" t="s">
        <v>737</v>
      </c>
      <c r="C384" s="8" t="s">
        <v>669</v>
      </c>
      <c r="D384" s="44">
        <v>1</v>
      </c>
      <c r="E384" s="44"/>
      <c r="F384" s="45"/>
      <c r="G384" s="45"/>
      <c r="H384" s="44"/>
      <c r="I384" s="46" t="s">
        <v>243</v>
      </c>
      <c r="M384" s="111">
        <v>0</v>
      </c>
      <c r="N384" s="49"/>
    </row>
    <row r="385" spans="1:14" ht="45">
      <c r="A385" s="12" t="s">
        <v>739</v>
      </c>
      <c r="B385" s="53" t="s">
        <v>740</v>
      </c>
      <c r="C385" s="8" t="s">
        <v>669</v>
      </c>
      <c r="D385" s="44">
        <v>1</v>
      </c>
      <c r="E385" s="44"/>
      <c r="F385" s="45"/>
      <c r="G385" s="45"/>
      <c r="H385" s="44"/>
      <c r="I385" s="46" t="s">
        <v>243</v>
      </c>
      <c r="M385" s="111">
        <v>0</v>
      </c>
      <c r="N385" s="49"/>
    </row>
    <row r="386" spans="1:14" ht="45">
      <c r="A386" s="12" t="s">
        <v>742</v>
      </c>
      <c r="B386" s="53" t="s">
        <v>743</v>
      </c>
      <c r="C386" s="8" t="s">
        <v>669</v>
      </c>
      <c r="D386" s="44">
        <v>1</v>
      </c>
      <c r="E386" s="44"/>
      <c r="F386" s="45"/>
      <c r="G386" s="45"/>
      <c r="H386" s="44"/>
      <c r="I386" s="46" t="s">
        <v>243</v>
      </c>
      <c r="M386" s="111">
        <v>0</v>
      </c>
      <c r="N386" s="49"/>
    </row>
    <row r="387" spans="1:14" ht="45">
      <c r="A387" s="12" t="s">
        <v>745</v>
      </c>
      <c r="B387" s="53" t="s">
        <v>746</v>
      </c>
      <c r="C387" s="8" t="s">
        <v>669</v>
      </c>
      <c r="D387" s="44">
        <v>1</v>
      </c>
      <c r="E387" s="44"/>
      <c r="F387" s="45"/>
      <c r="G387" s="45"/>
      <c r="H387" s="44"/>
      <c r="I387" s="46" t="s">
        <v>243</v>
      </c>
      <c r="M387" s="111">
        <v>0</v>
      </c>
      <c r="N387" s="49"/>
    </row>
    <row r="388" spans="1:14" ht="45">
      <c r="A388" s="12" t="s">
        <v>748</v>
      </c>
      <c r="B388" s="53" t="s">
        <v>749</v>
      </c>
      <c r="C388" s="8" t="s">
        <v>669</v>
      </c>
      <c r="D388" s="44">
        <v>1</v>
      </c>
      <c r="E388" s="44"/>
      <c r="F388" s="45"/>
      <c r="G388" s="45"/>
      <c r="H388" s="44"/>
      <c r="I388" s="46" t="s">
        <v>243</v>
      </c>
      <c r="M388" s="111">
        <v>0</v>
      </c>
      <c r="N388" s="49"/>
    </row>
    <row r="389" spans="1:14" ht="45">
      <c r="A389" s="12" t="s">
        <v>751</v>
      </c>
      <c r="B389" s="53" t="s">
        <v>752</v>
      </c>
      <c r="C389" s="8" t="s">
        <v>669</v>
      </c>
      <c r="D389" s="44">
        <v>1</v>
      </c>
      <c r="E389" s="44"/>
      <c r="F389" s="45"/>
      <c r="G389" s="45"/>
      <c r="H389" s="44"/>
      <c r="I389" s="46" t="s">
        <v>243</v>
      </c>
      <c r="M389" s="111">
        <v>0</v>
      </c>
      <c r="N389" s="49"/>
    </row>
    <row r="390" spans="1:14" ht="45">
      <c r="A390" s="12" t="s">
        <v>754</v>
      </c>
      <c r="B390" s="53" t="s">
        <v>755</v>
      </c>
      <c r="C390" s="8" t="s">
        <v>669</v>
      </c>
      <c r="D390" s="44">
        <v>1</v>
      </c>
      <c r="E390" s="44"/>
      <c r="F390" s="45"/>
      <c r="G390" s="45"/>
      <c r="H390" s="44"/>
      <c r="I390" s="46" t="s">
        <v>243</v>
      </c>
      <c r="M390" s="111">
        <v>0</v>
      </c>
      <c r="N390" s="49"/>
    </row>
    <row r="391" spans="1:14" ht="45">
      <c r="A391" s="12" t="s">
        <v>757</v>
      </c>
      <c r="B391" s="53" t="s">
        <v>758</v>
      </c>
      <c r="C391" s="8" t="s">
        <v>669</v>
      </c>
      <c r="D391" s="44">
        <v>1</v>
      </c>
      <c r="E391" s="44"/>
      <c r="F391" s="45"/>
      <c r="G391" s="45"/>
      <c r="H391" s="44"/>
      <c r="I391" s="46" t="s">
        <v>243</v>
      </c>
      <c r="M391" s="111">
        <v>0</v>
      </c>
      <c r="N391" s="49"/>
    </row>
    <row r="392" spans="1:14" ht="45">
      <c r="A392" s="12" t="s">
        <v>760</v>
      </c>
      <c r="B392" s="53" t="s">
        <v>761</v>
      </c>
      <c r="C392" s="8" t="s">
        <v>669</v>
      </c>
      <c r="D392" s="44">
        <v>1</v>
      </c>
      <c r="E392" s="44"/>
      <c r="F392" s="45"/>
      <c r="G392" s="45"/>
      <c r="H392" s="44"/>
      <c r="I392" s="46" t="s">
        <v>243</v>
      </c>
      <c r="M392" s="111">
        <v>0</v>
      </c>
      <c r="N392" s="49"/>
    </row>
    <row r="393" spans="1:14" ht="45">
      <c r="A393" s="12" t="s">
        <v>763</v>
      </c>
      <c r="B393" s="53" t="s">
        <v>764</v>
      </c>
      <c r="C393" s="8" t="s">
        <v>669</v>
      </c>
      <c r="D393" s="44">
        <v>1</v>
      </c>
      <c r="E393" s="44"/>
      <c r="F393" s="45"/>
      <c r="G393" s="45"/>
      <c r="H393" s="44"/>
      <c r="I393" s="46" t="s">
        <v>243</v>
      </c>
      <c r="M393" s="111">
        <v>0</v>
      </c>
      <c r="N393" s="49"/>
    </row>
    <row r="394" spans="1:14" ht="33.75">
      <c r="A394" s="12" t="s">
        <v>766</v>
      </c>
      <c r="B394" s="53" t="s">
        <v>767</v>
      </c>
      <c r="C394" s="8" t="s">
        <v>669</v>
      </c>
      <c r="D394" s="44">
        <v>1</v>
      </c>
      <c r="E394" s="44"/>
      <c r="F394" s="45"/>
      <c r="G394" s="45"/>
      <c r="H394" s="44"/>
      <c r="I394" s="46" t="s">
        <v>243</v>
      </c>
      <c r="M394" s="111">
        <v>0</v>
      </c>
      <c r="N394" s="49"/>
    </row>
    <row r="395" spans="1:14" ht="33">
      <c r="A395" s="12" t="s">
        <v>769</v>
      </c>
      <c r="B395" s="53" t="s">
        <v>770</v>
      </c>
      <c r="C395" s="8" t="s">
        <v>669</v>
      </c>
      <c r="D395" s="44">
        <v>1</v>
      </c>
      <c r="E395" s="44"/>
      <c r="F395" s="45"/>
      <c r="G395" s="45"/>
      <c r="H395" s="44"/>
      <c r="I395" s="46" t="s">
        <v>243</v>
      </c>
      <c r="M395" s="111">
        <v>0</v>
      </c>
      <c r="N395" s="49"/>
    </row>
    <row r="396" spans="1:14" ht="33">
      <c r="A396" s="12" t="s">
        <v>772</v>
      </c>
      <c r="B396" s="53" t="s">
        <v>773</v>
      </c>
      <c r="C396" s="8" t="s">
        <v>669</v>
      </c>
      <c r="D396" s="44">
        <v>1</v>
      </c>
      <c r="E396" s="44"/>
      <c r="F396" s="45"/>
      <c r="G396" s="45"/>
      <c r="H396" s="44"/>
      <c r="I396" s="46" t="s">
        <v>243</v>
      </c>
      <c r="M396" s="111">
        <v>0</v>
      </c>
      <c r="N396" s="49"/>
    </row>
    <row r="397" spans="1:14" ht="33">
      <c r="A397" s="12" t="s">
        <v>775</v>
      </c>
      <c r="B397" s="53" t="s">
        <v>776</v>
      </c>
      <c r="C397" s="8" t="s">
        <v>669</v>
      </c>
      <c r="D397" s="44">
        <v>1</v>
      </c>
      <c r="E397" s="44"/>
      <c r="F397" s="45"/>
      <c r="G397" s="45"/>
      <c r="H397" s="44"/>
      <c r="I397" s="46" t="s">
        <v>243</v>
      </c>
      <c r="M397" s="111">
        <v>0</v>
      </c>
      <c r="N397" s="49"/>
    </row>
    <row r="398" spans="1:14" ht="33.75">
      <c r="A398" s="12" t="s">
        <v>778</v>
      </c>
      <c r="B398" s="53" t="s">
        <v>779</v>
      </c>
      <c r="C398" s="8" t="s">
        <v>669</v>
      </c>
      <c r="D398" s="44">
        <v>1</v>
      </c>
      <c r="E398" s="44"/>
      <c r="F398" s="45"/>
      <c r="G398" s="45"/>
      <c r="H398" s="44"/>
      <c r="I398" s="46" t="s">
        <v>243</v>
      </c>
      <c r="M398" s="111">
        <v>0</v>
      </c>
      <c r="N398" s="49"/>
    </row>
    <row r="399" spans="1:14" ht="33">
      <c r="A399" s="12" t="s">
        <v>781</v>
      </c>
      <c r="B399" s="53" t="s">
        <v>782</v>
      </c>
      <c r="C399" s="8" t="s">
        <v>669</v>
      </c>
      <c r="D399" s="44">
        <v>1</v>
      </c>
      <c r="E399" s="44"/>
      <c r="F399" s="45"/>
      <c r="G399" s="45"/>
      <c r="H399" s="44"/>
      <c r="I399" s="46" t="s">
        <v>243</v>
      </c>
      <c r="M399" s="111">
        <v>0</v>
      </c>
      <c r="N399" s="49"/>
    </row>
    <row r="400" spans="1:14" ht="33">
      <c r="A400" s="12" t="s">
        <v>784</v>
      </c>
      <c r="B400" s="53" t="s">
        <v>785</v>
      </c>
      <c r="C400" s="8" t="s">
        <v>669</v>
      </c>
      <c r="D400" s="44">
        <v>1</v>
      </c>
      <c r="E400" s="44"/>
      <c r="F400" s="45"/>
      <c r="G400" s="45"/>
      <c r="H400" s="44"/>
      <c r="I400" s="46" t="s">
        <v>243</v>
      </c>
      <c r="M400" s="111">
        <v>0</v>
      </c>
      <c r="N400" s="49"/>
    </row>
    <row r="401" spans="1:14" ht="33.75">
      <c r="A401" s="12" t="s">
        <v>787</v>
      </c>
      <c r="B401" s="53" t="s">
        <v>788</v>
      </c>
      <c r="C401" s="8" t="s">
        <v>669</v>
      </c>
      <c r="D401" s="44">
        <v>1</v>
      </c>
      <c r="E401" s="44"/>
      <c r="F401" s="45"/>
      <c r="G401" s="45"/>
      <c r="H401" s="44"/>
      <c r="I401" s="46" t="s">
        <v>243</v>
      </c>
      <c r="M401" s="111">
        <v>0</v>
      </c>
      <c r="N401" s="49"/>
    </row>
    <row r="402" spans="1:14" ht="33">
      <c r="A402" s="12" t="s">
        <v>790</v>
      </c>
      <c r="B402" s="53" t="s">
        <v>791</v>
      </c>
      <c r="C402" s="8" t="s">
        <v>669</v>
      </c>
      <c r="D402" s="44">
        <v>1</v>
      </c>
      <c r="E402" s="44"/>
      <c r="F402" s="45"/>
      <c r="G402" s="45"/>
      <c r="H402" s="44"/>
      <c r="I402" s="46" t="s">
        <v>243</v>
      </c>
      <c r="M402" s="111">
        <v>0</v>
      </c>
      <c r="N402" s="49"/>
    </row>
    <row r="403" spans="1:14" ht="33">
      <c r="A403" s="12" t="s">
        <v>793</v>
      </c>
      <c r="B403" s="53" t="s">
        <v>794</v>
      </c>
      <c r="C403" s="8" t="s">
        <v>669</v>
      </c>
      <c r="D403" s="44">
        <v>1</v>
      </c>
      <c r="E403" s="44"/>
      <c r="F403" s="45"/>
      <c r="G403" s="45"/>
      <c r="H403" s="44"/>
      <c r="I403" s="46" t="s">
        <v>243</v>
      </c>
      <c r="M403" s="111">
        <v>0</v>
      </c>
      <c r="N403" s="49"/>
    </row>
    <row r="404" spans="1:14" ht="33">
      <c r="A404" s="12" t="s">
        <v>796</v>
      </c>
      <c r="B404" s="53" t="s">
        <v>797</v>
      </c>
      <c r="C404" s="8" t="s">
        <v>669</v>
      </c>
      <c r="D404" s="44">
        <v>1</v>
      </c>
      <c r="E404" s="44"/>
      <c r="F404" s="45"/>
      <c r="G404" s="45"/>
      <c r="H404" s="44"/>
      <c r="I404" s="46" t="s">
        <v>243</v>
      </c>
      <c r="M404" s="111">
        <v>0</v>
      </c>
      <c r="N404" s="49"/>
    </row>
    <row r="405" spans="1:14" ht="33.75">
      <c r="A405" s="12" t="s">
        <v>799</v>
      </c>
      <c r="B405" s="53" t="s">
        <v>800</v>
      </c>
      <c r="C405" s="8" t="s">
        <v>669</v>
      </c>
      <c r="D405" s="44">
        <v>1</v>
      </c>
      <c r="E405" s="44"/>
      <c r="F405" s="45"/>
      <c r="G405" s="45"/>
      <c r="H405" s="44"/>
      <c r="I405" s="46" t="s">
        <v>243</v>
      </c>
      <c r="M405" s="111">
        <v>0</v>
      </c>
      <c r="N405" s="49"/>
    </row>
    <row r="406" spans="1:14" ht="33.75">
      <c r="A406" s="12" t="s">
        <v>802</v>
      </c>
      <c r="B406" s="53" t="s">
        <v>803</v>
      </c>
      <c r="C406" s="8" t="s">
        <v>669</v>
      </c>
      <c r="D406" s="44">
        <v>1</v>
      </c>
      <c r="E406" s="44"/>
      <c r="F406" s="45"/>
      <c r="G406" s="45"/>
      <c r="H406" s="44"/>
      <c r="I406" s="46" t="s">
        <v>243</v>
      </c>
      <c r="M406" s="111">
        <v>0</v>
      </c>
      <c r="N406" s="49"/>
    </row>
    <row r="407" spans="1:14" ht="33.75">
      <c r="A407" s="12" t="s">
        <v>805</v>
      </c>
      <c r="B407" s="53" t="s">
        <v>806</v>
      </c>
      <c r="C407" s="8" t="s">
        <v>669</v>
      </c>
      <c r="D407" s="44">
        <v>1</v>
      </c>
      <c r="E407" s="44"/>
      <c r="F407" s="45"/>
      <c r="G407" s="45"/>
      <c r="H407" s="44"/>
      <c r="I407" s="46" t="s">
        <v>243</v>
      </c>
      <c r="M407" s="111">
        <v>0</v>
      </c>
      <c r="N407" s="49"/>
    </row>
    <row r="408" spans="1:14" ht="33">
      <c r="A408" s="12" t="s">
        <v>808</v>
      </c>
      <c r="B408" s="53" t="s">
        <v>809</v>
      </c>
      <c r="C408" s="8" t="s">
        <v>669</v>
      </c>
      <c r="D408" s="44">
        <v>1</v>
      </c>
      <c r="E408" s="44"/>
      <c r="F408" s="45"/>
      <c r="G408" s="45"/>
      <c r="H408" s="44"/>
      <c r="I408" s="46" t="s">
        <v>243</v>
      </c>
      <c r="M408" s="111">
        <v>0</v>
      </c>
      <c r="N408" s="49"/>
    </row>
    <row r="409" spans="1:14" ht="33.75">
      <c r="A409" s="12" t="s">
        <v>811</v>
      </c>
      <c r="B409" s="53" t="s">
        <v>812</v>
      </c>
      <c r="C409" s="8" t="s">
        <v>669</v>
      </c>
      <c r="D409" s="44">
        <v>1</v>
      </c>
      <c r="E409" s="44"/>
      <c r="F409" s="45"/>
      <c r="G409" s="45"/>
      <c r="H409" s="44"/>
      <c r="I409" s="46" t="s">
        <v>243</v>
      </c>
      <c r="M409" s="111">
        <v>0</v>
      </c>
      <c r="N409" s="49"/>
    </row>
    <row r="410" spans="1:14" ht="33.75">
      <c r="A410" s="12" t="s">
        <v>814</v>
      </c>
      <c r="B410" s="53" t="s">
        <v>815</v>
      </c>
      <c r="C410" s="8" t="s">
        <v>669</v>
      </c>
      <c r="D410" s="44">
        <v>1</v>
      </c>
      <c r="E410" s="44"/>
      <c r="F410" s="45"/>
      <c r="G410" s="45"/>
      <c r="H410" s="44"/>
      <c r="I410" s="46" t="s">
        <v>243</v>
      </c>
      <c r="M410" s="111">
        <v>0</v>
      </c>
      <c r="N410" s="49"/>
    </row>
    <row r="411" spans="1:14" ht="33.75">
      <c r="A411" s="12" t="s">
        <v>817</v>
      </c>
      <c r="B411" s="53" t="s">
        <v>818</v>
      </c>
      <c r="C411" s="8" t="s">
        <v>669</v>
      </c>
      <c r="D411" s="44">
        <v>1</v>
      </c>
      <c r="E411" s="44"/>
      <c r="F411" s="45"/>
      <c r="G411" s="45"/>
      <c r="H411" s="44"/>
      <c r="I411" s="46" t="s">
        <v>243</v>
      </c>
      <c r="M411" s="111">
        <v>0</v>
      </c>
      <c r="N411" s="49"/>
    </row>
    <row r="412" spans="1:14" ht="33">
      <c r="A412" s="12" t="s">
        <v>820</v>
      </c>
      <c r="B412" s="53" t="s">
        <v>821</v>
      </c>
      <c r="C412" s="8" t="s">
        <v>669</v>
      </c>
      <c r="D412" s="44">
        <v>1</v>
      </c>
      <c r="E412" s="44"/>
      <c r="F412" s="45"/>
      <c r="G412" s="45"/>
      <c r="H412" s="44"/>
      <c r="I412" s="46" t="s">
        <v>243</v>
      </c>
      <c r="M412" s="111">
        <v>0</v>
      </c>
      <c r="N412" s="49"/>
    </row>
    <row r="413" spans="1:14" ht="33">
      <c r="A413" s="12" t="s">
        <v>823</v>
      </c>
      <c r="B413" s="53" t="s">
        <v>824</v>
      </c>
      <c r="C413" s="8" t="s">
        <v>669</v>
      </c>
      <c r="D413" s="44">
        <v>1</v>
      </c>
      <c r="E413" s="44"/>
      <c r="F413" s="45"/>
      <c r="G413" s="45"/>
      <c r="H413" s="44"/>
      <c r="I413" s="46" t="s">
        <v>243</v>
      </c>
      <c r="M413" s="111">
        <v>0</v>
      </c>
      <c r="N413" s="49"/>
    </row>
    <row r="414" spans="1:14" ht="33.75">
      <c r="A414" s="12" t="s">
        <v>826</v>
      </c>
      <c r="B414" s="53" t="s">
        <v>827</v>
      </c>
      <c r="C414" s="8" t="s">
        <v>669</v>
      </c>
      <c r="D414" s="44">
        <v>1</v>
      </c>
      <c r="E414" s="44"/>
      <c r="F414" s="45"/>
      <c r="G414" s="45"/>
      <c r="H414" s="44"/>
      <c r="I414" s="46" t="s">
        <v>243</v>
      </c>
      <c r="M414" s="111">
        <v>0</v>
      </c>
      <c r="N414" s="49"/>
    </row>
    <row r="415" spans="1:14" ht="33">
      <c r="A415" s="12" t="s">
        <v>829</v>
      </c>
      <c r="B415" s="53" t="s">
        <v>830</v>
      </c>
      <c r="C415" s="8" t="s">
        <v>669</v>
      </c>
      <c r="D415" s="44">
        <v>1</v>
      </c>
      <c r="E415" s="44"/>
      <c r="F415" s="45"/>
      <c r="G415" s="45"/>
      <c r="H415" s="44"/>
      <c r="I415" s="46" t="s">
        <v>243</v>
      </c>
      <c r="M415" s="111">
        <v>0</v>
      </c>
      <c r="N415" s="49"/>
    </row>
    <row r="416" spans="1:14" ht="33">
      <c r="A416" s="12" t="s">
        <v>832</v>
      </c>
      <c r="B416" s="53" t="s">
        <v>833</v>
      </c>
      <c r="C416" s="8" t="s">
        <v>669</v>
      </c>
      <c r="D416" s="44">
        <v>1</v>
      </c>
      <c r="E416" s="44"/>
      <c r="F416" s="45"/>
      <c r="G416" s="45"/>
      <c r="H416" s="44"/>
      <c r="I416" s="46" t="s">
        <v>243</v>
      </c>
      <c r="M416" s="111">
        <v>0</v>
      </c>
      <c r="N416" s="49"/>
    </row>
    <row r="417" spans="1:14" ht="33">
      <c r="A417" s="12" t="s">
        <v>835</v>
      </c>
      <c r="B417" s="53" t="s">
        <v>836</v>
      </c>
      <c r="C417" s="8" t="s">
        <v>669</v>
      </c>
      <c r="D417" s="44">
        <v>1</v>
      </c>
      <c r="E417" s="44"/>
      <c r="F417" s="45"/>
      <c r="G417" s="45"/>
      <c r="H417" s="44"/>
      <c r="I417" s="46" t="s">
        <v>243</v>
      </c>
      <c r="M417" s="111">
        <v>0</v>
      </c>
      <c r="N417" s="49"/>
    </row>
    <row r="418" spans="1:14" ht="33">
      <c r="A418" s="12" t="s">
        <v>838</v>
      </c>
      <c r="B418" s="53" t="s">
        <v>839</v>
      </c>
      <c r="C418" s="8" t="s">
        <v>669</v>
      </c>
      <c r="D418" s="44">
        <v>1</v>
      </c>
      <c r="E418" s="44"/>
      <c r="F418" s="45"/>
      <c r="G418" s="45"/>
      <c r="H418" s="44"/>
      <c r="I418" s="46" t="s">
        <v>243</v>
      </c>
      <c r="M418" s="111">
        <v>0</v>
      </c>
      <c r="N418" s="49"/>
    </row>
    <row r="419" spans="1:14" ht="33">
      <c r="A419" s="12" t="s">
        <v>841</v>
      </c>
      <c r="B419" s="53" t="s">
        <v>842</v>
      </c>
      <c r="C419" s="8" t="s">
        <v>669</v>
      </c>
      <c r="D419" s="44">
        <v>1</v>
      </c>
      <c r="E419" s="44"/>
      <c r="F419" s="45"/>
      <c r="G419" s="45"/>
      <c r="H419" s="44"/>
      <c r="I419" s="46" t="s">
        <v>243</v>
      </c>
      <c r="M419" s="111">
        <v>0</v>
      </c>
      <c r="N419" s="49"/>
    </row>
    <row r="420" spans="1:14" ht="33">
      <c r="A420" s="12" t="s">
        <v>844</v>
      </c>
      <c r="B420" s="53" t="s">
        <v>845</v>
      </c>
      <c r="C420" s="8" t="s">
        <v>669</v>
      </c>
      <c r="D420" s="44">
        <v>1</v>
      </c>
      <c r="E420" s="44"/>
      <c r="F420" s="45"/>
      <c r="G420" s="45"/>
      <c r="H420" s="44"/>
      <c r="I420" s="46" t="s">
        <v>243</v>
      </c>
      <c r="M420" s="111">
        <v>0</v>
      </c>
      <c r="N420" s="49"/>
    </row>
    <row r="421" spans="1:14" ht="33">
      <c r="A421" s="12" t="s">
        <v>847</v>
      </c>
      <c r="B421" s="53" t="s">
        <v>848</v>
      </c>
      <c r="C421" s="8" t="s">
        <v>669</v>
      </c>
      <c r="D421" s="44">
        <v>1</v>
      </c>
      <c r="E421" s="44"/>
      <c r="F421" s="45"/>
      <c r="G421" s="45"/>
      <c r="H421" s="44"/>
      <c r="I421" s="46" t="s">
        <v>243</v>
      </c>
      <c r="M421" s="111">
        <v>0</v>
      </c>
      <c r="N421" s="49"/>
    </row>
    <row r="422" spans="1:14" ht="33">
      <c r="A422" s="12" t="s">
        <v>850</v>
      </c>
      <c r="B422" s="53" t="s">
        <v>851</v>
      </c>
      <c r="C422" s="8" t="s">
        <v>669</v>
      </c>
      <c r="D422" s="44">
        <v>1</v>
      </c>
      <c r="E422" s="44"/>
      <c r="F422" s="45"/>
      <c r="G422" s="45"/>
      <c r="H422" s="44"/>
      <c r="I422" s="46" t="s">
        <v>243</v>
      </c>
      <c r="M422" s="111">
        <v>0</v>
      </c>
      <c r="N422" s="49"/>
    </row>
    <row r="423" spans="1:14" ht="33">
      <c r="A423" s="12" t="s">
        <v>853</v>
      </c>
      <c r="B423" s="53" t="s">
        <v>854</v>
      </c>
      <c r="C423" s="8" t="s">
        <v>669</v>
      </c>
      <c r="D423" s="44">
        <v>1</v>
      </c>
      <c r="E423" s="44"/>
      <c r="F423" s="45"/>
      <c r="G423" s="45"/>
      <c r="H423" s="44"/>
      <c r="I423" s="46" t="s">
        <v>243</v>
      </c>
      <c r="M423" s="111">
        <v>0</v>
      </c>
      <c r="N423" s="49"/>
    </row>
    <row r="424" spans="1:14" ht="33">
      <c r="A424" s="12" t="s">
        <v>856</v>
      </c>
      <c r="B424" s="53" t="s">
        <v>857</v>
      </c>
      <c r="C424" s="8" t="s">
        <v>669</v>
      </c>
      <c r="D424" s="44">
        <v>1</v>
      </c>
      <c r="E424" s="44"/>
      <c r="F424" s="45"/>
      <c r="G424" s="45"/>
      <c r="H424" s="44"/>
      <c r="I424" s="46" t="s">
        <v>243</v>
      </c>
      <c r="M424" s="111">
        <v>0</v>
      </c>
      <c r="N424" s="49"/>
    </row>
    <row r="425" spans="1:14" ht="33">
      <c r="A425" s="12" t="s">
        <v>859</v>
      </c>
      <c r="B425" s="53" t="s">
        <v>860</v>
      </c>
      <c r="C425" s="8" t="s">
        <v>669</v>
      </c>
      <c r="D425" s="44">
        <v>1</v>
      </c>
      <c r="E425" s="44"/>
      <c r="F425" s="45"/>
      <c r="G425" s="45"/>
      <c r="H425" s="44"/>
      <c r="I425" s="46" t="s">
        <v>243</v>
      </c>
      <c r="M425" s="111">
        <v>0</v>
      </c>
      <c r="N425" s="49"/>
    </row>
    <row r="426" spans="1:14" ht="33">
      <c r="A426" s="12" t="s">
        <v>862</v>
      </c>
      <c r="B426" s="53" t="s">
        <v>863</v>
      </c>
      <c r="C426" s="8" t="s">
        <v>669</v>
      </c>
      <c r="D426" s="44">
        <v>1</v>
      </c>
      <c r="E426" s="44"/>
      <c r="F426" s="45"/>
      <c r="G426" s="45"/>
      <c r="H426" s="44"/>
      <c r="I426" s="46" t="s">
        <v>243</v>
      </c>
      <c r="M426" s="111">
        <v>0</v>
      </c>
      <c r="N426" s="49"/>
    </row>
    <row r="427" spans="1:14" ht="33.75">
      <c r="A427" s="12" t="s">
        <v>865</v>
      </c>
      <c r="B427" s="53" t="s">
        <v>866</v>
      </c>
      <c r="C427" s="8" t="s">
        <v>669</v>
      </c>
      <c r="D427" s="44">
        <v>1</v>
      </c>
      <c r="E427" s="44"/>
      <c r="F427" s="45"/>
      <c r="G427" s="45"/>
      <c r="H427" s="44"/>
      <c r="I427" s="46" t="s">
        <v>243</v>
      </c>
      <c r="M427" s="111">
        <v>0</v>
      </c>
      <c r="N427" s="49"/>
    </row>
    <row r="428" spans="1:14" ht="33">
      <c r="A428" s="12" t="s">
        <v>868</v>
      </c>
      <c r="B428" s="53" t="s">
        <v>869</v>
      </c>
      <c r="C428" s="8" t="s">
        <v>669</v>
      </c>
      <c r="D428" s="44">
        <v>1</v>
      </c>
      <c r="E428" s="44"/>
      <c r="F428" s="45"/>
      <c r="G428" s="45"/>
      <c r="H428" s="44"/>
      <c r="I428" s="46" t="s">
        <v>243</v>
      </c>
      <c r="M428" s="111">
        <v>0</v>
      </c>
      <c r="N428" s="49"/>
    </row>
    <row r="429" spans="1:14" ht="33.75">
      <c r="A429" s="12" t="s">
        <v>871</v>
      </c>
      <c r="B429" s="53" t="s">
        <v>872</v>
      </c>
      <c r="C429" s="8" t="s">
        <v>669</v>
      </c>
      <c r="D429" s="44">
        <v>1</v>
      </c>
      <c r="E429" s="44"/>
      <c r="F429" s="45"/>
      <c r="G429" s="45"/>
      <c r="H429" s="44"/>
      <c r="I429" s="46" t="s">
        <v>243</v>
      </c>
      <c r="M429" s="111">
        <v>0</v>
      </c>
      <c r="N429" s="49"/>
    </row>
    <row r="430" spans="1:14" ht="33">
      <c r="A430" s="12" t="s">
        <v>874</v>
      </c>
      <c r="B430" s="53" t="s">
        <v>875</v>
      </c>
      <c r="C430" s="8" t="s">
        <v>669</v>
      </c>
      <c r="D430" s="44">
        <v>1</v>
      </c>
      <c r="E430" s="44"/>
      <c r="F430" s="45"/>
      <c r="G430" s="45"/>
      <c r="H430" s="44"/>
      <c r="I430" s="46" t="s">
        <v>243</v>
      </c>
      <c r="M430" s="111">
        <v>0</v>
      </c>
      <c r="N430" s="49"/>
    </row>
    <row r="431" spans="1:14" ht="33">
      <c r="A431" s="12" t="s">
        <v>877</v>
      </c>
      <c r="B431" s="10" t="s">
        <v>878</v>
      </c>
      <c r="C431" s="8" t="s">
        <v>13</v>
      </c>
      <c r="D431" s="44">
        <v>1</v>
      </c>
      <c r="E431" s="44"/>
      <c r="F431" s="45"/>
      <c r="G431" s="45"/>
      <c r="H431" s="44"/>
      <c r="I431" s="46" t="s">
        <v>243</v>
      </c>
      <c r="M431" s="111">
        <v>0</v>
      </c>
      <c r="N431" s="49"/>
    </row>
    <row r="432" spans="1:14" ht="33">
      <c r="A432" s="12" t="s">
        <v>880</v>
      </c>
      <c r="B432" s="10" t="s">
        <v>881</v>
      </c>
      <c r="C432" s="8" t="s">
        <v>882</v>
      </c>
      <c r="D432" s="44">
        <v>1</v>
      </c>
      <c r="E432" s="44"/>
      <c r="F432" s="45"/>
      <c r="G432" s="45"/>
      <c r="H432" s="44"/>
      <c r="I432" s="46" t="s">
        <v>243</v>
      </c>
      <c r="M432" s="111">
        <v>0</v>
      </c>
      <c r="N432" s="49"/>
    </row>
    <row r="433" spans="1:14" ht="33">
      <c r="A433" s="12" t="s">
        <v>884</v>
      </c>
      <c r="B433" s="7" t="s">
        <v>885</v>
      </c>
      <c r="C433" s="8" t="s">
        <v>13</v>
      </c>
      <c r="D433" s="44">
        <v>1</v>
      </c>
      <c r="E433" s="44"/>
      <c r="F433" s="45"/>
      <c r="G433" s="45"/>
      <c r="H433" s="44"/>
      <c r="I433" s="46" t="s">
        <v>243</v>
      </c>
      <c r="M433" s="111">
        <v>0</v>
      </c>
      <c r="N433" s="49"/>
    </row>
    <row r="434" spans="1:14" ht="57">
      <c r="A434" s="12" t="s">
        <v>1505</v>
      </c>
      <c r="B434" s="10" t="s">
        <v>1506</v>
      </c>
      <c r="C434" s="8" t="s">
        <v>8</v>
      </c>
      <c r="D434" s="44"/>
      <c r="E434" s="44">
        <v>1305</v>
      </c>
      <c r="F434" s="45" t="s">
        <v>1502</v>
      </c>
      <c r="G434" s="45" t="s">
        <v>1510</v>
      </c>
      <c r="H434" s="44">
        <f>43.6/0.2*6</f>
        <v>1308</v>
      </c>
      <c r="I434" s="48">
        <f>H434</f>
        <v>1308</v>
      </c>
      <c r="M434" s="111">
        <v>1305</v>
      </c>
      <c r="N434" s="49">
        <f>I434-M434</f>
        <v>3</v>
      </c>
    </row>
    <row r="435" spans="1:14" ht="33">
      <c r="A435" s="12" t="s">
        <v>1507</v>
      </c>
      <c r="B435" s="7" t="s">
        <v>1508</v>
      </c>
      <c r="C435" s="8" t="s">
        <v>1509</v>
      </c>
      <c r="D435" s="44"/>
      <c r="E435" s="44">
        <v>15318</v>
      </c>
      <c r="F435" s="45" t="s">
        <v>1512</v>
      </c>
      <c r="G435" s="124" t="s">
        <v>1513</v>
      </c>
      <c r="H435" s="121">
        <f>(246*(4+18+4)+20*4)+(25*6)+(73*5)</f>
        <v>6991</v>
      </c>
      <c r="I435" s="48">
        <f>H435</f>
        <v>6991</v>
      </c>
      <c r="M435" s="111">
        <v>0</v>
      </c>
      <c r="N435" s="49">
        <f>I435-M435</f>
        <v>6991</v>
      </c>
    </row>
    <row r="436" spans="1:14" ht="23.25" customHeight="1">
      <c r="A436" s="114" t="s">
        <v>887</v>
      </c>
      <c r="B436" s="115" t="s">
        <v>888</v>
      </c>
      <c r="C436" s="116" t="s">
        <v>4</v>
      </c>
      <c r="D436" s="117">
        <v>1</v>
      </c>
      <c r="E436" s="117"/>
      <c r="F436" s="118"/>
      <c r="G436" s="118"/>
      <c r="H436" s="117"/>
      <c r="I436" s="119" t="s">
        <v>243</v>
      </c>
      <c r="M436" s="30"/>
      <c r="N436" s="49"/>
    </row>
    <row r="437" spans="1:14" ht="33">
      <c r="A437" s="12" t="s">
        <v>889</v>
      </c>
      <c r="B437" s="10" t="s">
        <v>890</v>
      </c>
      <c r="C437" s="8" t="s">
        <v>4</v>
      </c>
      <c r="D437" s="44">
        <v>1</v>
      </c>
      <c r="E437" s="44"/>
      <c r="F437" s="45"/>
      <c r="G437" s="45"/>
      <c r="H437" s="44"/>
      <c r="I437" s="46" t="s">
        <v>243</v>
      </c>
      <c r="M437" s="30"/>
      <c r="N437" s="49"/>
    </row>
    <row r="438" spans="1:14" ht="33">
      <c r="A438" s="12" t="s">
        <v>892</v>
      </c>
      <c r="B438" s="10" t="s">
        <v>893</v>
      </c>
      <c r="C438" s="8" t="s">
        <v>4</v>
      </c>
      <c r="D438" s="44">
        <v>1</v>
      </c>
      <c r="E438" s="44"/>
      <c r="F438" s="45"/>
      <c r="G438" s="45"/>
      <c r="H438" s="44"/>
      <c r="I438" s="46" t="s">
        <v>243</v>
      </c>
      <c r="N438" s="49"/>
    </row>
    <row r="439" spans="1:14" ht="33">
      <c r="A439" s="12" t="s">
        <v>895</v>
      </c>
      <c r="B439" s="10" t="s">
        <v>896</v>
      </c>
      <c r="C439" s="8" t="s">
        <v>4</v>
      </c>
      <c r="D439" s="44">
        <v>1</v>
      </c>
      <c r="E439" s="44"/>
      <c r="F439" s="45"/>
      <c r="G439" s="45"/>
      <c r="H439" s="44"/>
      <c r="I439" s="46" t="s">
        <v>243</v>
      </c>
      <c r="N439" s="49"/>
    </row>
    <row r="440" spans="1:14" ht="33">
      <c r="A440" s="12" t="s">
        <v>898</v>
      </c>
      <c r="B440" s="10" t="s">
        <v>899</v>
      </c>
      <c r="C440" s="8" t="s">
        <v>4</v>
      </c>
      <c r="D440" s="44">
        <v>1</v>
      </c>
      <c r="E440" s="44"/>
      <c r="F440" s="45"/>
      <c r="G440" s="45"/>
      <c r="H440" s="44"/>
      <c r="I440" s="46" t="s">
        <v>243</v>
      </c>
      <c r="N440" s="49"/>
    </row>
    <row r="441" spans="1:14" ht="33.75">
      <c r="A441" s="12" t="s">
        <v>901</v>
      </c>
      <c r="B441" s="53" t="s">
        <v>902</v>
      </c>
      <c r="C441" s="8" t="s">
        <v>0</v>
      </c>
      <c r="D441" s="44">
        <v>11</v>
      </c>
      <c r="E441" s="44"/>
      <c r="F441" s="45"/>
      <c r="G441" s="45"/>
      <c r="H441" s="44"/>
      <c r="I441" s="46" t="s">
        <v>243</v>
      </c>
      <c r="N441" s="49"/>
    </row>
    <row r="442" spans="1:14" ht="33.75">
      <c r="A442" s="12" t="s">
        <v>904</v>
      </c>
      <c r="B442" s="53" t="s">
        <v>905</v>
      </c>
      <c r="C442" s="8" t="s">
        <v>0</v>
      </c>
      <c r="D442" s="44">
        <v>9</v>
      </c>
      <c r="E442" s="44"/>
      <c r="F442" s="45"/>
      <c r="G442" s="45"/>
      <c r="H442" s="44"/>
      <c r="I442" s="46" t="s">
        <v>243</v>
      </c>
      <c r="N442" s="49"/>
    </row>
    <row r="443" spans="1:14" ht="33.75">
      <c r="A443" s="12" t="s">
        <v>907</v>
      </c>
      <c r="B443" s="53" t="s">
        <v>908</v>
      </c>
      <c r="C443" s="8" t="s">
        <v>0</v>
      </c>
      <c r="D443" s="44">
        <v>10</v>
      </c>
      <c r="E443" s="44"/>
      <c r="F443" s="45"/>
      <c r="G443" s="45"/>
      <c r="H443" s="44"/>
      <c r="I443" s="46" t="s">
        <v>243</v>
      </c>
      <c r="N443" s="49"/>
    </row>
    <row r="444" spans="1:14" ht="33.75">
      <c r="A444" s="12" t="s">
        <v>910</v>
      </c>
      <c r="B444" s="53" t="s">
        <v>911</v>
      </c>
      <c r="C444" s="8" t="s">
        <v>0</v>
      </c>
      <c r="D444" s="44">
        <v>8</v>
      </c>
      <c r="E444" s="44"/>
      <c r="F444" s="45"/>
      <c r="G444" s="45"/>
      <c r="H444" s="44"/>
      <c r="I444" s="46" t="s">
        <v>243</v>
      </c>
      <c r="N444" s="49"/>
    </row>
    <row r="445" spans="1:14" ht="21.95" customHeight="1">
      <c r="A445" s="12" t="s">
        <v>913</v>
      </c>
      <c r="B445" s="10" t="s">
        <v>914</v>
      </c>
      <c r="C445" s="8" t="s">
        <v>15</v>
      </c>
      <c r="D445" s="44">
        <v>2</v>
      </c>
      <c r="E445" s="44"/>
      <c r="F445" s="45"/>
      <c r="G445" s="45"/>
      <c r="H445" s="44"/>
      <c r="I445" s="46" t="s">
        <v>243</v>
      </c>
      <c r="N445" s="49"/>
    </row>
    <row r="446" spans="1:14" ht="21.95" customHeight="1">
      <c r="A446" s="12" t="s">
        <v>916</v>
      </c>
      <c r="B446" s="10" t="s">
        <v>917</v>
      </c>
      <c r="C446" s="8" t="s">
        <v>15</v>
      </c>
      <c r="D446" s="44">
        <v>2</v>
      </c>
      <c r="E446" s="44"/>
      <c r="F446" s="45"/>
      <c r="G446" s="45"/>
      <c r="H446" s="44"/>
      <c r="I446" s="46" t="s">
        <v>243</v>
      </c>
      <c r="N446" s="49"/>
    </row>
    <row r="447" spans="1:14" ht="21.95" customHeight="1">
      <c r="A447" s="12" t="s">
        <v>919</v>
      </c>
      <c r="B447" s="7" t="s">
        <v>920</v>
      </c>
      <c r="C447" s="8" t="s">
        <v>8</v>
      </c>
      <c r="D447" s="44">
        <v>44.6</v>
      </c>
      <c r="E447" s="44"/>
      <c r="F447" s="45"/>
      <c r="G447" s="45"/>
      <c r="H447" s="44"/>
      <c r="I447" s="46" t="s">
        <v>243</v>
      </c>
      <c r="N447" s="49"/>
    </row>
    <row r="448" spans="1:14" ht="33">
      <c r="A448" s="12" t="s">
        <v>922</v>
      </c>
      <c r="B448" s="10" t="s">
        <v>923</v>
      </c>
      <c r="C448" s="8" t="s">
        <v>15</v>
      </c>
      <c r="D448" s="44">
        <v>10</v>
      </c>
      <c r="E448" s="44"/>
      <c r="F448" s="45"/>
      <c r="G448" s="45"/>
      <c r="H448" s="44"/>
      <c r="I448" s="46" t="s">
        <v>243</v>
      </c>
      <c r="N448" s="49"/>
    </row>
    <row r="449" spans="1:14" ht="33">
      <c r="A449" s="12" t="s">
        <v>925</v>
      </c>
      <c r="B449" s="10" t="s">
        <v>926</v>
      </c>
      <c r="C449" s="8" t="s">
        <v>15</v>
      </c>
      <c r="D449" s="44">
        <v>5</v>
      </c>
      <c r="E449" s="44"/>
      <c r="F449" s="45"/>
      <c r="G449" s="45"/>
      <c r="H449" s="44"/>
      <c r="I449" s="46" t="s">
        <v>243</v>
      </c>
      <c r="N449" s="49"/>
    </row>
    <row r="450" spans="1:14" ht="20.100000000000001" customHeight="1">
      <c r="A450" s="12" t="s">
        <v>928</v>
      </c>
      <c r="B450" s="7" t="s">
        <v>929</v>
      </c>
      <c r="C450" s="8" t="s">
        <v>15</v>
      </c>
      <c r="D450" s="44">
        <v>17</v>
      </c>
      <c r="E450" s="44"/>
      <c r="F450" s="45"/>
      <c r="G450" s="45"/>
      <c r="H450" s="44"/>
      <c r="I450" s="46" t="s">
        <v>243</v>
      </c>
      <c r="N450" s="49"/>
    </row>
    <row r="451" spans="1:14" ht="20.100000000000001" customHeight="1">
      <c r="A451" s="12" t="s">
        <v>931</v>
      </c>
      <c r="B451" s="7" t="s">
        <v>932</v>
      </c>
      <c r="C451" s="8" t="s">
        <v>290</v>
      </c>
      <c r="D451" s="44">
        <v>1</v>
      </c>
      <c r="E451" s="44"/>
      <c r="F451" s="45"/>
      <c r="G451" s="45"/>
      <c r="H451" s="44"/>
      <c r="I451" s="46" t="s">
        <v>243</v>
      </c>
      <c r="N451" s="49"/>
    </row>
    <row r="452" spans="1:14" ht="20.100000000000001" customHeight="1">
      <c r="A452" s="12" t="s">
        <v>934</v>
      </c>
      <c r="B452" s="7" t="s">
        <v>935</v>
      </c>
      <c r="C452" s="8" t="s">
        <v>4</v>
      </c>
      <c r="D452" s="44">
        <v>1</v>
      </c>
      <c r="E452" s="44"/>
      <c r="F452" s="45"/>
      <c r="G452" s="45"/>
      <c r="H452" s="44"/>
      <c r="I452" s="46" t="s">
        <v>243</v>
      </c>
      <c r="N452" s="49"/>
    </row>
    <row r="453" spans="1:14" ht="20.100000000000001" customHeight="1">
      <c r="A453" s="12" t="s">
        <v>937</v>
      </c>
      <c r="B453" s="7" t="s">
        <v>938</v>
      </c>
      <c r="C453" s="8" t="s">
        <v>15</v>
      </c>
      <c r="D453" s="44">
        <v>17</v>
      </c>
      <c r="E453" s="44"/>
      <c r="F453" s="45"/>
      <c r="G453" s="45"/>
      <c r="H453" s="44"/>
      <c r="I453" s="46" t="s">
        <v>243</v>
      </c>
      <c r="N453" s="49"/>
    </row>
    <row r="454" spans="1:14" ht="33">
      <c r="A454" s="12" t="s">
        <v>940</v>
      </c>
      <c r="B454" s="7" t="s">
        <v>941</v>
      </c>
      <c r="C454" s="8" t="s">
        <v>583</v>
      </c>
      <c r="D454" s="44">
        <v>2</v>
      </c>
      <c r="E454" s="44"/>
      <c r="F454" s="45"/>
      <c r="G454" s="45"/>
      <c r="H454" s="44"/>
      <c r="I454" s="46" t="s">
        <v>243</v>
      </c>
      <c r="N454" s="49"/>
    </row>
    <row r="455" spans="1:14" ht="21.95" customHeight="1">
      <c r="A455" s="12" t="s">
        <v>943</v>
      </c>
      <c r="B455" s="7" t="s">
        <v>944</v>
      </c>
      <c r="C455" s="8" t="s">
        <v>15</v>
      </c>
      <c r="D455" s="44">
        <v>1</v>
      </c>
      <c r="E455" s="44"/>
      <c r="F455" s="45"/>
      <c r="G455" s="45"/>
      <c r="H455" s="44"/>
      <c r="I455" s="46" t="s">
        <v>243</v>
      </c>
      <c r="N455" s="49"/>
    </row>
    <row r="456" spans="1:14" ht="33">
      <c r="A456" s="12" t="s">
        <v>946</v>
      </c>
      <c r="B456" s="53" t="s">
        <v>947</v>
      </c>
      <c r="C456" s="8" t="s">
        <v>19</v>
      </c>
      <c r="D456" s="44">
        <v>2</v>
      </c>
      <c r="E456" s="44"/>
      <c r="F456" s="45"/>
      <c r="G456" s="45"/>
      <c r="H456" s="44"/>
      <c r="I456" s="46" t="s">
        <v>243</v>
      </c>
      <c r="N456" s="49"/>
    </row>
    <row r="457" spans="1:14" ht="33">
      <c r="A457" s="12" t="s">
        <v>949</v>
      </c>
      <c r="B457" s="53" t="s">
        <v>950</v>
      </c>
      <c r="C457" s="8" t="s">
        <v>19</v>
      </c>
      <c r="D457" s="44">
        <v>9</v>
      </c>
      <c r="E457" s="44"/>
      <c r="F457" s="45"/>
      <c r="G457" s="45"/>
      <c r="H457" s="44"/>
      <c r="I457" s="46" t="s">
        <v>243</v>
      </c>
      <c r="N457" s="49"/>
    </row>
    <row r="458" spans="1:14" ht="33.75">
      <c r="A458" s="12" t="s">
        <v>952</v>
      </c>
      <c r="B458" s="53" t="s">
        <v>953</v>
      </c>
      <c r="C458" s="8" t="s">
        <v>8</v>
      </c>
      <c r="D458" s="44">
        <v>180</v>
      </c>
      <c r="E458" s="44"/>
      <c r="F458" s="45"/>
      <c r="G458" s="45"/>
      <c r="H458" s="44"/>
      <c r="I458" s="46" t="s">
        <v>243</v>
      </c>
      <c r="N458" s="49"/>
    </row>
    <row r="459" spans="1:14" ht="33.75">
      <c r="A459" s="12" t="s">
        <v>955</v>
      </c>
      <c r="B459" s="53" t="s">
        <v>956</v>
      </c>
      <c r="C459" s="8" t="s">
        <v>8</v>
      </c>
      <c r="D459" s="44">
        <v>60</v>
      </c>
      <c r="E459" s="44"/>
      <c r="F459" s="45"/>
      <c r="G459" s="45"/>
      <c r="H459" s="44"/>
      <c r="I459" s="46" t="s">
        <v>243</v>
      </c>
      <c r="N459" s="49"/>
    </row>
    <row r="460" spans="1:14" ht="33.75">
      <c r="A460" s="12" t="s">
        <v>958</v>
      </c>
      <c r="B460" s="53" t="s">
        <v>959</v>
      </c>
      <c r="C460" s="8" t="s">
        <v>8</v>
      </c>
      <c r="D460" s="44">
        <v>1032</v>
      </c>
      <c r="E460" s="44"/>
      <c r="F460" s="45"/>
      <c r="G460" s="45"/>
      <c r="H460" s="44"/>
      <c r="I460" s="46" t="s">
        <v>243</v>
      </c>
      <c r="N460" s="49"/>
    </row>
    <row r="461" spans="1:14" ht="33.75">
      <c r="A461" s="12" t="s">
        <v>961</v>
      </c>
      <c r="B461" s="53" t="s">
        <v>962</v>
      </c>
      <c r="C461" s="8" t="s">
        <v>8</v>
      </c>
      <c r="D461" s="44">
        <v>1103</v>
      </c>
      <c r="E461" s="44"/>
      <c r="F461" s="45"/>
      <c r="G461" s="45"/>
      <c r="H461" s="44"/>
      <c r="I461" s="46" t="s">
        <v>243</v>
      </c>
      <c r="N461" s="49"/>
    </row>
    <row r="462" spans="1:14" ht="45">
      <c r="A462" s="12" t="s">
        <v>964</v>
      </c>
      <c r="B462" s="53" t="s">
        <v>219</v>
      </c>
      <c r="C462" s="8" t="s">
        <v>8</v>
      </c>
      <c r="D462" s="44">
        <v>2064</v>
      </c>
      <c r="E462" s="44"/>
      <c r="F462" s="45"/>
      <c r="G462" s="45"/>
      <c r="H462" s="44"/>
      <c r="I462" s="46" t="s">
        <v>243</v>
      </c>
      <c r="N462" s="49"/>
    </row>
    <row r="463" spans="1:14" ht="33">
      <c r="A463" s="12" t="s">
        <v>966</v>
      </c>
      <c r="B463" s="10" t="s">
        <v>967</v>
      </c>
      <c r="C463" s="8" t="s">
        <v>4</v>
      </c>
      <c r="D463" s="44">
        <v>1</v>
      </c>
      <c r="E463" s="44"/>
      <c r="F463" s="45"/>
      <c r="G463" s="45"/>
      <c r="H463" s="44"/>
      <c r="I463" s="46" t="s">
        <v>243</v>
      </c>
      <c r="N463" s="49"/>
    </row>
    <row r="464" spans="1:14" ht="42.75">
      <c r="A464" s="12" t="s">
        <v>969</v>
      </c>
      <c r="B464" s="10" t="s">
        <v>970</v>
      </c>
      <c r="C464" s="8" t="s">
        <v>8</v>
      </c>
      <c r="D464" s="44">
        <v>1011</v>
      </c>
      <c r="E464" s="44"/>
      <c r="F464" s="45"/>
      <c r="G464" s="45"/>
      <c r="H464" s="44"/>
      <c r="I464" s="46" t="s">
        <v>243</v>
      </c>
      <c r="N464" s="49"/>
    </row>
    <row r="465" spans="1:14" ht="42.75">
      <c r="A465" s="12" t="s">
        <v>972</v>
      </c>
      <c r="B465" s="10" t="s">
        <v>220</v>
      </c>
      <c r="C465" s="8" t="s">
        <v>8</v>
      </c>
      <c r="D465" s="44">
        <v>946</v>
      </c>
      <c r="E465" s="44"/>
      <c r="F465" s="45"/>
      <c r="G465" s="45"/>
      <c r="H465" s="44"/>
      <c r="I465" s="46" t="s">
        <v>243</v>
      </c>
      <c r="N465" s="49"/>
    </row>
    <row r="466" spans="1:14" ht="42.75">
      <c r="A466" s="12" t="s">
        <v>974</v>
      </c>
      <c r="B466" s="10" t="s">
        <v>975</v>
      </c>
      <c r="C466" s="8" t="s">
        <v>8</v>
      </c>
      <c r="D466" s="44">
        <v>55</v>
      </c>
      <c r="E466" s="44"/>
      <c r="F466" s="45"/>
      <c r="G466" s="45"/>
      <c r="H466" s="44"/>
      <c r="I466" s="46" t="s">
        <v>243</v>
      </c>
      <c r="N466" s="49"/>
    </row>
    <row r="467" spans="1:14" ht="42.75">
      <c r="A467" s="12" t="s">
        <v>977</v>
      </c>
      <c r="B467" s="10" t="s">
        <v>978</v>
      </c>
      <c r="C467" s="8" t="s">
        <v>8</v>
      </c>
      <c r="D467" s="44">
        <v>22</v>
      </c>
      <c r="E467" s="44"/>
      <c r="F467" s="45"/>
      <c r="G467" s="45"/>
      <c r="H467" s="44"/>
      <c r="I467" s="46" t="s">
        <v>243</v>
      </c>
      <c r="N467" s="49"/>
    </row>
    <row r="468" spans="1:14" ht="33">
      <c r="A468" s="12" t="s">
        <v>980</v>
      </c>
      <c r="B468" s="10" t="s">
        <v>981</v>
      </c>
      <c r="C468" s="8" t="s">
        <v>4</v>
      </c>
      <c r="D468" s="44">
        <v>1</v>
      </c>
      <c r="E468" s="44"/>
      <c r="F468" s="45"/>
      <c r="G468" s="45"/>
      <c r="H468" s="44"/>
      <c r="I468" s="46" t="s">
        <v>243</v>
      </c>
      <c r="N468" s="49"/>
    </row>
    <row r="469" spans="1:14" ht="20.100000000000001" customHeight="1">
      <c r="A469" s="12" t="s">
        <v>983</v>
      </c>
      <c r="B469" s="7" t="s">
        <v>984</v>
      </c>
      <c r="C469" s="8" t="s">
        <v>4</v>
      </c>
      <c r="D469" s="44">
        <v>1</v>
      </c>
      <c r="E469" s="44"/>
      <c r="F469" s="45"/>
      <c r="G469" s="45"/>
      <c r="H469" s="44"/>
      <c r="I469" s="46" t="s">
        <v>243</v>
      </c>
      <c r="N469" s="49"/>
    </row>
    <row r="470" spans="1:14" ht="33">
      <c r="A470" s="114" t="s">
        <v>986</v>
      </c>
      <c r="B470" s="115" t="s">
        <v>987</v>
      </c>
      <c r="C470" s="116" t="s">
        <v>4</v>
      </c>
      <c r="D470" s="117">
        <v>1</v>
      </c>
      <c r="E470" s="117"/>
      <c r="F470" s="118"/>
      <c r="G470" s="118"/>
      <c r="H470" s="117"/>
      <c r="I470" s="119" t="s">
        <v>243</v>
      </c>
      <c r="N470" s="49"/>
    </row>
    <row r="471" spans="1:14" ht="33">
      <c r="A471" s="12" t="s">
        <v>988</v>
      </c>
      <c r="B471" s="7" t="s">
        <v>1530</v>
      </c>
      <c r="C471" s="8" t="s">
        <v>8</v>
      </c>
      <c r="D471" s="44">
        <v>1132</v>
      </c>
      <c r="E471" s="44">
        <v>2576.8000000000002</v>
      </c>
      <c r="F471" s="45" t="s">
        <v>1529</v>
      </c>
      <c r="G471" s="120" t="s">
        <v>1527</v>
      </c>
      <c r="H471" s="121">
        <f>(51.5/0.5*6*2)+(16*0.5*6)+(92/0.5*6)</f>
        <v>2388</v>
      </c>
      <c r="I471" s="48">
        <f>H471</f>
        <v>2388</v>
      </c>
      <c r="M471" s="111">
        <v>954</v>
      </c>
      <c r="N471" s="49">
        <f t="shared" ref="N471:N534" si="9">I471-M471</f>
        <v>1434</v>
      </c>
    </row>
    <row r="472" spans="1:14" ht="33.75">
      <c r="A472" s="12" t="s">
        <v>991</v>
      </c>
      <c r="B472" s="53" t="s">
        <v>992</v>
      </c>
      <c r="C472" s="8" t="s">
        <v>8</v>
      </c>
      <c r="D472" s="44">
        <v>1132</v>
      </c>
      <c r="E472" s="44">
        <v>2576.8000000000002</v>
      </c>
      <c r="F472" s="45" t="s">
        <v>1529</v>
      </c>
      <c r="G472" s="120"/>
      <c r="H472" s="121">
        <f>H471</f>
        <v>2388</v>
      </c>
      <c r="I472" s="48">
        <f>H472</f>
        <v>2388</v>
      </c>
      <c r="M472" s="111">
        <v>954</v>
      </c>
      <c r="N472" s="49">
        <f t="shared" si="9"/>
        <v>1434</v>
      </c>
    </row>
    <row r="473" spans="1:14" ht="33">
      <c r="A473" s="12" t="s">
        <v>994</v>
      </c>
      <c r="B473" s="7" t="s">
        <v>1528</v>
      </c>
      <c r="C473" s="8" t="s">
        <v>13</v>
      </c>
      <c r="D473" s="44">
        <v>6198</v>
      </c>
      <c r="E473" s="44">
        <v>9215</v>
      </c>
      <c r="F473" s="45" t="s">
        <v>1531</v>
      </c>
      <c r="G473" s="120" t="s">
        <v>1532</v>
      </c>
      <c r="H473" s="121">
        <f>(5*2.5*38)+(5*2.5*12)+(5*2.5*20*8)+((51.5*2+92+16)*2.5)+(5*2.5*20*24)</f>
        <v>9152.5</v>
      </c>
      <c r="I473" s="48">
        <f t="shared" ref="I473:I479" si="10">H473</f>
        <v>9152.5</v>
      </c>
      <c r="M473" s="111">
        <v>5157.8</v>
      </c>
      <c r="N473" s="49">
        <f t="shared" si="9"/>
        <v>3994.7</v>
      </c>
    </row>
    <row r="474" spans="1:14" ht="45">
      <c r="A474" s="12" t="s">
        <v>997</v>
      </c>
      <c r="B474" s="53" t="s">
        <v>998</v>
      </c>
      <c r="C474" s="8" t="s">
        <v>4</v>
      </c>
      <c r="D474" s="44">
        <v>1</v>
      </c>
      <c r="E474" s="44"/>
      <c r="F474" s="45"/>
      <c r="G474" s="45"/>
      <c r="H474" s="44">
        <v>0.4</v>
      </c>
      <c r="I474" s="48">
        <f t="shared" si="10"/>
        <v>0.4</v>
      </c>
      <c r="M474" s="111">
        <v>0.4</v>
      </c>
      <c r="N474" s="49">
        <f t="shared" si="9"/>
        <v>0</v>
      </c>
    </row>
    <row r="475" spans="1:14" ht="33.75">
      <c r="A475" s="12" t="s">
        <v>1000</v>
      </c>
      <c r="B475" s="53" t="s">
        <v>1001</v>
      </c>
      <c r="C475" s="8" t="s">
        <v>16</v>
      </c>
      <c r="D475" s="44">
        <v>2052</v>
      </c>
      <c r="E475" s="44"/>
      <c r="F475" s="45"/>
      <c r="G475" s="45"/>
      <c r="H475" s="44">
        <v>1688</v>
      </c>
      <c r="I475" s="48">
        <f t="shared" si="10"/>
        <v>1688</v>
      </c>
      <c r="M475" s="111">
        <v>1688</v>
      </c>
      <c r="N475" s="49">
        <f t="shared" si="9"/>
        <v>0</v>
      </c>
    </row>
    <row r="476" spans="1:14" ht="49.5">
      <c r="A476" s="12" t="s">
        <v>1003</v>
      </c>
      <c r="B476" s="7" t="s">
        <v>728</v>
      </c>
      <c r="C476" s="8" t="s">
        <v>6</v>
      </c>
      <c r="D476" s="44">
        <v>300</v>
      </c>
      <c r="E476" s="44">
        <v>720</v>
      </c>
      <c r="F476" s="45" t="s">
        <v>1526</v>
      </c>
      <c r="G476" s="120" t="s">
        <v>1585</v>
      </c>
      <c r="H476" s="121">
        <f>(10*3)+(62*3)+(25*3)+(57*3)+(16*3)+(19*3)+(5*3)</f>
        <v>582</v>
      </c>
      <c r="I476" s="48">
        <f t="shared" si="10"/>
        <v>582</v>
      </c>
      <c r="M476" s="111">
        <v>421</v>
      </c>
      <c r="N476" s="49">
        <f t="shared" si="9"/>
        <v>161</v>
      </c>
    </row>
    <row r="477" spans="1:14" ht="45">
      <c r="A477" s="12" t="s">
        <v>1514</v>
      </c>
      <c r="B477" s="53" t="s">
        <v>1515</v>
      </c>
      <c r="C477" s="8" t="s">
        <v>8</v>
      </c>
      <c r="D477" s="44"/>
      <c r="E477" s="44">
        <v>132</v>
      </c>
      <c r="F477" s="45" t="s">
        <v>1525</v>
      </c>
      <c r="G477" s="45" t="s">
        <v>1524</v>
      </c>
      <c r="H477" s="44">
        <v>132</v>
      </c>
      <c r="I477" s="48">
        <f t="shared" si="10"/>
        <v>132</v>
      </c>
      <c r="M477" s="111">
        <v>132</v>
      </c>
      <c r="N477" s="49">
        <f t="shared" si="9"/>
        <v>0</v>
      </c>
    </row>
    <row r="478" spans="1:14" ht="45">
      <c r="A478" s="12" t="s">
        <v>1516</v>
      </c>
      <c r="B478" s="53" t="s">
        <v>1517</v>
      </c>
      <c r="C478" s="8" t="s">
        <v>8</v>
      </c>
      <c r="D478" s="44"/>
      <c r="E478" s="44">
        <v>106</v>
      </c>
      <c r="F478" s="45" t="s">
        <v>1520</v>
      </c>
      <c r="G478" s="45" t="s">
        <v>1523</v>
      </c>
      <c r="H478" s="44">
        <v>106</v>
      </c>
      <c r="I478" s="48">
        <f t="shared" si="10"/>
        <v>106</v>
      </c>
      <c r="M478" s="111">
        <v>106</v>
      </c>
      <c r="N478" s="49">
        <f t="shared" si="9"/>
        <v>0</v>
      </c>
    </row>
    <row r="479" spans="1:14" ht="45">
      <c r="A479" s="12" t="s">
        <v>1518</v>
      </c>
      <c r="B479" s="53" t="s">
        <v>1519</v>
      </c>
      <c r="C479" s="8" t="s">
        <v>8</v>
      </c>
      <c r="D479" s="44"/>
      <c r="E479" s="44">
        <v>156</v>
      </c>
      <c r="F479" s="45" t="s">
        <v>1522</v>
      </c>
      <c r="G479" s="45" t="s">
        <v>1521</v>
      </c>
      <c r="H479" s="44">
        <v>156</v>
      </c>
      <c r="I479" s="48">
        <f t="shared" si="10"/>
        <v>156</v>
      </c>
      <c r="M479" s="111">
        <v>156</v>
      </c>
      <c r="N479" s="49">
        <f t="shared" si="9"/>
        <v>0</v>
      </c>
    </row>
    <row r="480" spans="1:14" ht="23.25" customHeight="1">
      <c r="A480" s="114" t="s">
        <v>103</v>
      </c>
      <c r="B480" s="115" t="s">
        <v>11</v>
      </c>
      <c r="C480" s="116" t="s">
        <v>4</v>
      </c>
      <c r="D480" s="117">
        <v>1</v>
      </c>
      <c r="E480" s="117"/>
      <c r="F480" s="118"/>
      <c r="G480" s="118"/>
      <c r="H480" s="117"/>
      <c r="I480" s="119" t="s">
        <v>243</v>
      </c>
      <c r="N480" s="49"/>
    </row>
    <row r="481" spans="1:14" ht="33">
      <c r="A481" s="12" t="s">
        <v>104</v>
      </c>
      <c r="B481" s="7" t="s">
        <v>1004</v>
      </c>
      <c r="C481" s="8" t="s">
        <v>4</v>
      </c>
      <c r="D481" s="44">
        <v>1</v>
      </c>
      <c r="E481" s="44"/>
      <c r="F481" s="45"/>
      <c r="G481" s="45"/>
      <c r="H481" s="44"/>
      <c r="I481" s="46" t="s">
        <v>243</v>
      </c>
      <c r="M481" s="111">
        <v>0</v>
      </c>
      <c r="N481" s="49"/>
    </row>
    <row r="482" spans="1:14" ht="33">
      <c r="A482" s="12" t="s">
        <v>105</v>
      </c>
      <c r="B482" s="7" t="s">
        <v>1006</v>
      </c>
      <c r="C482" s="8" t="s">
        <v>1007</v>
      </c>
      <c r="D482" s="44">
        <v>7</v>
      </c>
      <c r="E482" s="44"/>
      <c r="F482" s="45"/>
      <c r="G482" s="45"/>
      <c r="H482" s="44"/>
      <c r="I482" s="46" t="s">
        <v>243</v>
      </c>
      <c r="M482" s="111">
        <v>0</v>
      </c>
      <c r="N482" s="49"/>
    </row>
    <row r="483" spans="1:14" ht="45">
      <c r="A483" s="12" t="s">
        <v>106</v>
      </c>
      <c r="B483" s="53" t="s">
        <v>1009</v>
      </c>
      <c r="C483" s="8" t="s">
        <v>1010</v>
      </c>
      <c r="D483" s="44">
        <v>730</v>
      </c>
      <c r="E483" s="44">
        <v>2230</v>
      </c>
      <c r="F483" s="45" t="s">
        <v>1533</v>
      </c>
      <c r="G483" s="120" t="s">
        <v>1586</v>
      </c>
      <c r="H483" s="121">
        <f>737+113</f>
        <v>850</v>
      </c>
      <c r="I483" s="48">
        <f>H483</f>
        <v>850</v>
      </c>
      <c r="M483" s="111">
        <v>737</v>
      </c>
      <c r="N483" s="49">
        <f t="shared" si="9"/>
        <v>113</v>
      </c>
    </row>
    <row r="484" spans="1:14" ht="31.5">
      <c r="A484" s="12" t="s">
        <v>107</v>
      </c>
      <c r="B484" s="7" t="s">
        <v>1012</v>
      </c>
      <c r="C484" s="8" t="s">
        <v>1007</v>
      </c>
      <c r="D484" s="44">
        <v>2</v>
      </c>
      <c r="E484" s="44">
        <v>4</v>
      </c>
      <c r="F484" s="45"/>
      <c r="G484" s="45"/>
      <c r="H484" s="44">
        <v>4</v>
      </c>
      <c r="I484" s="48">
        <f t="shared" ref="I484:I490" si="11">H484</f>
        <v>4</v>
      </c>
      <c r="M484" s="111">
        <v>4</v>
      </c>
      <c r="N484" s="49">
        <f t="shared" si="9"/>
        <v>0</v>
      </c>
    </row>
    <row r="485" spans="1:14" ht="42.75">
      <c r="A485" s="12" t="s">
        <v>108</v>
      </c>
      <c r="B485" s="10" t="s">
        <v>1014</v>
      </c>
      <c r="C485" s="8" t="s">
        <v>1015</v>
      </c>
      <c r="D485" s="44">
        <v>19</v>
      </c>
      <c r="E485" s="44"/>
      <c r="F485" s="45" t="s">
        <v>1535</v>
      </c>
      <c r="G485" s="120"/>
      <c r="H485" s="121">
        <v>10</v>
      </c>
      <c r="I485" s="48">
        <f t="shared" si="11"/>
        <v>10</v>
      </c>
      <c r="M485" s="111">
        <v>10</v>
      </c>
      <c r="N485" s="49">
        <f t="shared" si="9"/>
        <v>0</v>
      </c>
    </row>
    <row r="486" spans="1:14" ht="31.5">
      <c r="A486" s="12" t="s">
        <v>109</v>
      </c>
      <c r="B486" s="7" t="s">
        <v>1017</v>
      </c>
      <c r="C486" s="8" t="s">
        <v>4</v>
      </c>
      <c r="D486" s="44">
        <v>1</v>
      </c>
      <c r="E486" s="44"/>
      <c r="F486" s="45"/>
      <c r="G486" s="45"/>
      <c r="H486" s="44"/>
      <c r="I486" s="48">
        <f t="shared" si="11"/>
        <v>0</v>
      </c>
      <c r="M486" s="111">
        <v>0</v>
      </c>
      <c r="N486" s="49">
        <f t="shared" si="9"/>
        <v>0</v>
      </c>
    </row>
    <row r="487" spans="1:14" ht="31.5">
      <c r="A487" s="12" t="s">
        <v>156</v>
      </c>
      <c r="B487" s="7" t="s">
        <v>1019</v>
      </c>
      <c r="C487" s="8" t="s">
        <v>4</v>
      </c>
      <c r="D487" s="44">
        <v>1</v>
      </c>
      <c r="E487" s="44"/>
      <c r="F487" s="45" t="s">
        <v>1217</v>
      </c>
      <c r="G487" s="45"/>
      <c r="H487" s="44">
        <v>1</v>
      </c>
      <c r="I487" s="48">
        <f t="shared" si="11"/>
        <v>1</v>
      </c>
      <c r="M487" s="111">
        <v>1</v>
      </c>
      <c r="N487" s="49">
        <f t="shared" si="9"/>
        <v>0</v>
      </c>
    </row>
    <row r="488" spans="1:14">
      <c r="A488" s="12" t="s">
        <v>155</v>
      </c>
      <c r="B488" s="7" t="s">
        <v>1021</v>
      </c>
      <c r="C488" s="8" t="s">
        <v>4</v>
      </c>
      <c r="D488" s="44">
        <v>1</v>
      </c>
      <c r="E488" s="44"/>
      <c r="F488" s="45"/>
      <c r="G488" s="45"/>
      <c r="H488" s="44">
        <v>0.3</v>
      </c>
      <c r="I488" s="48">
        <f t="shared" si="11"/>
        <v>0.3</v>
      </c>
      <c r="M488" s="111">
        <v>0.30000000000000004</v>
      </c>
      <c r="N488" s="49">
        <f t="shared" si="9"/>
        <v>0</v>
      </c>
    </row>
    <row r="489" spans="1:14">
      <c r="A489" s="12" t="s">
        <v>154</v>
      </c>
      <c r="B489" s="7" t="s">
        <v>1534</v>
      </c>
      <c r="C489" s="8" t="s">
        <v>13</v>
      </c>
      <c r="D489" s="44"/>
      <c r="E489" s="44">
        <v>464</v>
      </c>
      <c r="F489" s="45" t="s">
        <v>1343</v>
      </c>
      <c r="G489" s="120" t="s">
        <v>1539</v>
      </c>
      <c r="H489" s="121">
        <f>275+189</f>
        <v>464</v>
      </c>
      <c r="I489" s="48">
        <f t="shared" si="11"/>
        <v>464</v>
      </c>
      <c r="M489" s="111">
        <v>371</v>
      </c>
      <c r="N489" s="49">
        <f t="shared" si="9"/>
        <v>93</v>
      </c>
    </row>
    <row r="490" spans="1:14">
      <c r="A490" s="12" t="s">
        <v>153</v>
      </c>
      <c r="B490" s="7" t="s">
        <v>1536</v>
      </c>
      <c r="C490" s="8" t="s">
        <v>15</v>
      </c>
      <c r="D490" s="44"/>
      <c r="E490" s="44">
        <v>2</v>
      </c>
      <c r="F490" s="45" t="s">
        <v>1537</v>
      </c>
      <c r="G490" s="45">
        <v>2</v>
      </c>
      <c r="H490" s="44">
        <v>2</v>
      </c>
      <c r="I490" s="48">
        <f t="shared" si="11"/>
        <v>2</v>
      </c>
      <c r="M490" s="111">
        <v>2</v>
      </c>
      <c r="N490" s="49">
        <f t="shared" si="9"/>
        <v>0</v>
      </c>
    </row>
    <row r="491" spans="1:14" ht="24.75" customHeight="1">
      <c r="A491" s="114" t="s">
        <v>110</v>
      </c>
      <c r="B491" s="115" t="s">
        <v>25</v>
      </c>
      <c r="C491" s="116" t="s">
        <v>4</v>
      </c>
      <c r="D491" s="117">
        <v>1</v>
      </c>
      <c r="E491" s="117"/>
      <c r="F491" s="118"/>
      <c r="G491" s="118"/>
      <c r="H491" s="117"/>
      <c r="I491" s="119" t="s">
        <v>243</v>
      </c>
      <c r="N491" s="49"/>
    </row>
    <row r="492" spans="1:14" s="75" customFormat="1" ht="45">
      <c r="A492" s="12" t="s">
        <v>111</v>
      </c>
      <c r="B492" s="53" t="s">
        <v>1023</v>
      </c>
      <c r="C492" s="73" t="s">
        <v>7</v>
      </c>
      <c r="D492" s="44">
        <v>295</v>
      </c>
      <c r="E492" s="44"/>
      <c r="F492" s="68" t="s">
        <v>1551</v>
      </c>
      <c r="G492" s="45"/>
      <c r="H492" s="44">
        <v>55</v>
      </c>
      <c r="I492" s="48">
        <f>H492</f>
        <v>55</v>
      </c>
      <c r="J492" s="74"/>
      <c r="K492" s="74"/>
      <c r="L492" s="74"/>
      <c r="M492" s="111">
        <v>55</v>
      </c>
      <c r="N492" s="49">
        <f t="shared" si="9"/>
        <v>0</v>
      </c>
    </row>
    <row r="493" spans="1:14" s="75" customFormat="1" ht="45">
      <c r="A493" s="12" t="s">
        <v>112</v>
      </c>
      <c r="B493" s="53" t="s">
        <v>1025</v>
      </c>
      <c r="C493" s="73" t="s">
        <v>15</v>
      </c>
      <c r="D493" s="44">
        <v>59</v>
      </c>
      <c r="E493" s="44"/>
      <c r="F493" s="45"/>
      <c r="G493" s="45"/>
      <c r="H493" s="44">
        <v>11</v>
      </c>
      <c r="I493" s="48">
        <f t="shared" ref="I493:I530" si="12">H493</f>
        <v>11</v>
      </c>
      <c r="J493" s="74"/>
      <c r="K493" s="74"/>
      <c r="L493" s="74"/>
      <c r="M493" s="111">
        <v>11</v>
      </c>
      <c r="N493" s="49">
        <f t="shared" si="9"/>
        <v>0</v>
      </c>
    </row>
    <row r="494" spans="1:14" s="75" customFormat="1" ht="33.75">
      <c r="A494" s="12" t="s">
        <v>113</v>
      </c>
      <c r="B494" s="53" t="s">
        <v>1027</v>
      </c>
      <c r="C494" s="73" t="s">
        <v>15</v>
      </c>
      <c r="D494" s="44">
        <v>59</v>
      </c>
      <c r="E494" s="44"/>
      <c r="F494" s="45"/>
      <c r="G494" s="45"/>
      <c r="H494" s="44">
        <v>11</v>
      </c>
      <c r="I494" s="48">
        <f t="shared" si="12"/>
        <v>11</v>
      </c>
      <c r="J494" s="74"/>
      <c r="K494" s="74"/>
      <c r="L494" s="74"/>
      <c r="M494" s="111">
        <v>11</v>
      </c>
      <c r="N494" s="49">
        <f t="shared" si="9"/>
        <v>0</v>
      </c>
    </row>
    <row r="495" spans="1:14" s="75" customFormat="1" ht="45">
      <c r="A495" s="12" t="s">
        <v>114</v>
      </c>
      <c r="B495" s="53" t="s">
        <v>1029</v>
      </c>
      <c r="C495" s="73" t="s">
        <v>1030</v>
      </c>
      <c r="D495" s="44">
        <v>9</v>
      </c>
      <c r="E495" s="44"/>
      <c r="F495" s="45"/>
      <c r="G495" s="45"/>
      <c r="H495" s="44">
        <v>0</v>
      </c>
      <c r="I495" s="48">
        <f t="shared" si="12"/>
        <v>0</v>
      </c>
      <c r="J495" s="74"/>
      <c r="K495" s="74"/>
      <c r="L495" s="74"/>
      <c r="M495" s="111">
        <v>0</v>
      </c>
      <c r="N495" s="49">
        <f t="shared" si="9"/>
        <v>0</v>
      </c>
    </row>
    <row r="496" spans="1:14" s="75" customFormat="1" ht="45">
      <c r="A496" s="12" t="s">
        <v>152</v>
      </c>
      <c r="B496" s="53" t="s">
        <v>1032</v>
      </c>
      <c r="C496" s="73" t="s">
        <v>15</v>
      </c>
      <c r="D496" s="44">
        <v>22</v>
      </c>
      <c r="E496" s="44"/>
      <c r="F496" s="45"/>
      <c r="G496" s="45"/>
      <c r="H496" s="44">
        <v>8</v>
      </c>
      <c r="I496" s="48">
        <f t="shared" si="12"/>
        <v>8</v>
      </c>
      <c r="J496" s="74"/>
      <c r="K496" s="74"/>
      <c r="L496" s="74"/>
      <c r="M496" s="111">
        <v>8</v>
      </c>
      <c r="N496" s="49">
        <f t="shared" si="9"/>
        <v>0</v>
      </c>
    </row>
    <row r="497" spans="1:14" s="75" customFormat="1" ht="45">
      <c r="A497" s="12" t="s">
        <v>151</v>
      </c>
      <c r="B497" s="53" t="s">
        <v>1034</v>
      </c>
      <c r="C497" s="73" t="s">
        <v>15</v>
      </c>
      <c r="D497" s="44">
        <v>22</v>
      </c>
      <c r="E497" s="44"/>
      <c r="F497" s="45"/>
      <c r="G497" s="45"/>
      <c r="H497" s="44">
        <v>8</v>
      </c>
      <c r="I497" s="48">
        <f t="shared" si="12"/>
        <v>8</v>
      </c>
      <c r="J497" s="74"/>
      <c r="K497" s="74"/>
      <c r="L497" s="74"/>
      <c r="M497" s="111">
        <v>8</v>
      </c>
      <c r="N497" s="49">
        <f t="shared" si="9"/>
        <v>0</v>
      </c>
    </row>
    <row r="498" spans="1:14" s="75" customFormat="1" ht="45">
      <c r="A498" s="12" t="s">
        <v>150</v>
      </c>
      <c r="B498" s="53" t="s">
        <v>1036</v>
      </c>
      <c r="C498" s="73" t="s">
        <v>15</v>
      </c>
      <c r="D498" s="44">
        <v>5</v>
      </c>
      <c r="E498" s="44"/>
      <c r="F498" s="45"/>
      <c r="G498" s="45"/>
      <c r="H498" s="44">
        <v>0</v>
      </c>
      <c r="I498" s="48">
        <f t="shared" si="12"/>
        <v>0</v>
      </c>
      <c r="J498" s="74"/>
      <c r="K498" s="74"/>
      <c r="L498" s="74"/>
      <c r="M498" s="111">
        <v>0</v>
      </c>
      <c r="N498" s="49">
        <f t="shared" si="9"/>
        <v>0</v>
      </c>
    </row>
    <row r="499" spans="1:14" s="75" customFormat="1" ht="45">
      <c r="A499" s="12" t="s">
        <v>149</v>
      </c>
      <c r="B499" s="53" t="s">
        <v>1038</v>
      </c>
      <c r="C499" s="73" t="s">
        <v>15</v>
      </c>
      <c r="D499" s="44">
        <v>5</v>
      </c>
      <c r="E499" s="44"/>
      <c r="F499" s="45"/>
      <c r="G499" s="45"/>
      <c r="H499" s="44">
        <v>0</v>
      </c>
      <c r="I499" s="48">
        <f t="shared" si="12"/>
        <v>0</v>
      </c>
      <c r="J499" s="74"/>
      <c r="K499" s="74"/>
      <c r="L499" s="74"/>
      <c r="M499" s="111">
        <v>0</v>
      </c>
      <c r="N499" s="49">
        <f t="shared" si="9"/>
        <v>0</v>
      </c>
    </row>
    <row r="500" spans="1:14" s="75" customFormat="1" ht="45">
      <c r="A500" s="12" t="s">
        <v>148</v>
      </c>
      <c r="B500" s="53" t="s">
        <v>1040</v>
      </c>
      <c r="C500" s="73" t="s">
        <v>14</v>
      </c>
      <c r="D500" s="44">
        <v>1</v>
      </c>
      <c r="E500" s="44"/>
      <c r="F500" s="45"/>
      <c r="G500" s="45"/>
      <c r="H500" s="44">
        <v>0</v>
      </c>
      <c r="I500" s="48">
        <f t="shared" si="12"/>
        <v>0</v>
      </c>
      <c r="J500" s="74"/>
      <c r="K500" s="74"/>
      <c r="L500" s="74"/>
      <c r="M500" s="111">
        <v>0</v>
      </c>
      <c r="N500" s="49">
        <f t="shared" si="9"/>
        <v>0</v>
      </c>
    </row>
    <row r="501" spans="1:14" s="75" customFormat="1" ht="45">
      <c r="A501" s="12" t="s">
        <v>1042</v>
      </c>
      <c r="B501" s="53" t="s">
        <v>1043</v>
      </c>
      <c r="C501" s="73" t="s">
        <v>15</v>
      </c>
      <c r="D501" s="44">
        <v>1</v>
      </c>
      <c r="E501" s="44"/>
      <c r="F501" s="45"/>
      <c r="G501" s="45"/>
      <c r="H501" s="44">
        <v>0</v>
      </c>
      <c r="I501" s="48">
        <f t="shared" si="12"/>
        <v>0</v>
      </c>
      <c r="J501" s="74"/>
      <c r="K501" s="74"/>
      <c r="L501" s="74"/>
      <c r="M501" s="111">
        <v>0</v>
      </c>
      <c r="N501" s="49">
        <f t="shared" si="9"/>
        <v>0</v>
      </c>
    </row>
    <row r="502" spans="1:14" s="75" customFormat="1" ht="78.75">
      <c r="A502" s="12" t="s">
        <v>1045</v>
      </c>
      <c r="B502" s="53" t="s">
        <v>1046</v>
      </c>
      <c r="C502" s="73" t="s">
        <v>15</v>
      </c>
      <c r="D502" s="44">
        <v>1</v>
      </c>
      <c r="E502" s="44"/>
      <c r="F502" s="45"/>
      <c r="G502" s="45"/>
      <c r="H502" s="44">
        <v>0</v>
      </c>
      <c r="I502" s="48">
        <f t="shared" si="12"/>
        <v>0</v>
      </c>
      <c r="J502" s="74"/>
      <c r="K502" s="74"/>
      <c r="L502" s="74"/>
      <c r="M502" s="111">
        <v>0</v>
      </c>
      <c r="N502" s="49">
        <f t="shared" si="9"/>
        <v>0</v>
      </c>
    </row>
    <row r="503" spans="1:14" s="75" customFormat="1" ht="56.25">
      <c r="A503" s="12" t="s">
        <v>1048</v>
      </c>
      <c r="B503" s="53" t="s">
        <v>1049</v>
      </c>
      <c r="C503" s="73" t="s">
        <v>15</v>
      </c>
      <c r="D503" s="44">
        <v>6</v>
      </c>
      <c r="E503" s="44"/>
      <c r="F503" s="45"/>
      <c r="G503" s="45"/>
      <c r="H503" s="44">
        <v>0</v>
      </c>
      <c r="I503" s="48">
        <f t="shared" si="12"/>
        <v>0</v>
      </c>
      <c r="J503" s="74"/>
      <c r="K503" s="74"/>
      <c r="L503" s="74"/>
      <c r="M503" s="111">
        <v>0</v>
      </c>
      <c r="N503" s="49">
        <f t="shared" si="9"/>
        <v>0</v>
      </c>
    </row>
    <row r="504" spans="1:14" s="75" customFormat="1" ht="22.5">
      <c r="A504" s="12" t="s">
        <v>1051</v>
      </c>
      <c r="B504" s="53" t="s">
        <v>1052</v>
      </c>
      <c r="C504" s="73" t="s">
        <v>14</v>
      </c>
      <c r="D504" s="44">
        <v>75</v>
      </c>
      <c r="E504" s="44"/>
      <c r="F504" s="45" t="s">
        <v>1234</v>
      </c>
      <c r="G504" s="45"/>
      <c r="H504" s="44">
        <v>27</v>
      </c>
      <c r="I504" s="48">
        <f t="shared" si="12"/>
        <v>27</v>
      </c>
      <c r="J504" s="74"/>
      <c r="K504" s="74"/>
      <c r="L504" s="74"/>
      <c r="M504" s="111">
        <v>27</v>
      </c>
      <c r="N504" s="49">
        <f t="shared" si="9"/>
        <v>0</v>
      </c>
    </row>
    <row r="505" spans="1:14" s="75" customFormat="1" ht="22.5">
      <c r="A505" s="12" t="s">
        <v>1054</v>
      </c>
      <c r="B505" s="53" t="s">
        <v>1055</v>
      </c>
      <c r="C505" s="73" t="s">
        <v>1007</v>
      </c>
      <c r="D505" s="44">
        <v>75</v>
      </c>
      <c r="E505" s="44"/>
      <c r="F505" s="45"/>
      <c r="G505" s="45"/>
      <c r="H505" s="44">
        <v>0</v>
      </c>
      <c r="I505" s="48">
        <f t="shared" si="12"/>
        <v>0</v>
      </c>
      <c r="J505" s="74"/>
      <c r="K505" s="74"/>
      <c r="L505" s="74"/>
      <c r="M505" s="111">
        <v>0</v>
      </c>
      <c r="N505" s="49">
        <f t="shared" si="9"/>
        <v>0</v>
      </c>
    </row>
    <row r="506" spans="1:14" s="75" customFormat="1" ht="56.25">
      <c r="A506" s="12" t="s">
        <v>1057</v>
      </c>
      <c r="B506" s="53" t="s">
        <v>1058</v>
      </c>
      <c r="C506" s="73" t="s">
        <v>15</v>
      </c>
      <c r="D506" s="44">
        <v>1</v>
      </c>
      <c r="E506" s="44"/>
      <c r="F506" s="45"/>
      <c r="G506" s="45"/>
      <c r="H506" s="44">
        <v>0</v>
      </c>
      <c r="I506" s="48">
        <f t="shared" si="12"/>
        <v>0</v>
      </c>
      <c r="J506" s="74"/>
      <c r="K506" s="74"/>
      <c r="L506" s="74"/>
      <c r="M506" s="111">
        <v>0</v>
      </c>
      <c r="N506" s="49">
        <f t="shared" si="9"/>
        <v>0</v>
      </c>
    </row>
    <row r="507" spans="1:14" s="75" customFormat="1" ht="33.75">
      <c r="A507" s="12" t="s">
        <v>1060</v>
      </c>
      <c r="B507" s="53" t="s">
        <v>1061</v>
      </c>
      <c r="C507" s="73" t="s">
        <v>15</v>
      </c>
      <c r="D507" s="44">
        <v>1</v>
      </c>
      <c r="E507" s="44"/>
      <c r="F507" s="45"/>
      <c r="G507" s="45"/>
      <c r="H507" s="44">
        <v>0</v>
      </c>
      <c r="I507" s="48">
        <f t="shared" si="12"/>
        <v>0</v>
      </c>
      <c r="J507" s="74"/>
      <c r="K507" s="74"/>
      <c r="L507" s="74"/>
      <c r="M507" s="111">
        <v>0</v>
      </c>
      <c r="N507" s="49">
        <f t="shared" si="9"/>
        <v>0</v>
      </c>
    </row>
    <row r="508" spans="1:14" s="75" customFormat="1" ht="56.25">
      <c r="A508" s="12" t="s">
        <v>1063</v>
      </c>
      <c r="B508" s="53" t="s">
        <v>1064</v>
      </c>
      <c r="C508" s="73" t="s">
        <v>15</v>
      </c>
      <c r="D508" s="44">
        <v>11</v>
      </c>
      <c r="E508" s="44"/>
      <c r="F508" s="45"/>
      <c r="G508" s="45"/>
      <c r="H508" s="44">
        <v>0</v>
      </c>
      <c r="I508" s="48">
        <f t="shared" si="12"/>
        <v>0</v>
      </c>
      <c r="J508" s="74"/>
      <c r="K508" s="74"/>
      <c r="L508" s="74"/>
      <c r="M508" s="111">
        <v>0</v>
      </c>
      <c r="N508" s="49">
        <f t="shared" si="9"/>
        <v>0</v>
      </c>
    </row>
    <row r="509" spans="1:14" s="75" customFormat="1" ht="45">
      <c r="A509" s="12" t="s">
        <v>1066</v>
      </c>
      <c r="B509" s="53" t="s">
        <v>1067</v>
      </c>
      <c r="C509" s="73" t="s">
        <v>15</v>
      </c>
      <c r="D509" s="44">
        <v>3</v>
      </c>
      <c r="E509" s="44"/>
      <c r="F509" s="45"/>
      <c r="G509" s="45"/>
      <c r="H509" s="44">
        <v>0</v>
      </c>
      <c r="I509" s="48">
        <f t="shared" si="12"/>
        <v>0</v>
      </c>
      <c r="J509" s="74"/>
      <c r="K509" s="74"/>
      <c r="L509" s="74"/>
      <c r="M509" s="111">
        <v>0</v>
      </c>
      <c r="N509" s="49">
        <f t="shared" si="9"/>
        <v>0</v>
      </c>
    </row>
    <row r="510" spans="1:14" s="75" customFormat="1" ht="56.25">
      <c r="A510" s="12" t="s">
        <v>1069</v>
      </c>
      <c r="B510" s="53" t="s">
        <v>1070</v>
      </c>
      <c r="C510" s="73" t="s">
        <v>14</v>
      </c>
      <c r="D510" s="44">
        <v>5</v>
      </c>
      <c r="E510" s="44"/>
      <c r="F510" s="45"/>
      <c r="G510" s="45"/>
      <c r="H510" s="44">
        <v>0</v>
      </c>
      <c r="I510" s="48">
        <f t="shared" si="12"/>
        <v>0</v>
      </c>
      <c r="J510" s="74"/>
      <c r="K510" s="74"/>
      <c r="L510" s="74"/>
      <c r="M510" s="111">
        <v>0</v>
      </c>
      <c r="N510" s="49">
        <f t="shared" si="9"/>
        <v>0</v>
      </c>
    </row>
    <row r="511" spans="1:14" s="75" customFormat="1" ht="33.75">
      <c r="A511" s="12" t="s">
        <v>1072</v>
      </c>
      <c r="B511" s="53" t="s">
        <v>1073</v>
      </c>
      <c r="C511" s="73" t="s">
        <v>14</v>
      </c>
      <c r="D511" s="44">
        <v>1</v>
      </c>
      <c r="E511" s="44"/>
      <c r="F511" s="45"/>
      <c r="G511" s="45"/>
      <c r="H511" s="44">
        <v>0</v>
      </c>
      <c r="I511" s="48">
        <f t="shared" si="12"/>
        <v>0</v>
      </c>
      <c r="J511" s="74"/>
      <c r="K511" s="74"/>
      <c r="L511" s="74"/>
      <c r="M511" s="111">
        <v>0</v>
      </c>
      <c r="N511" s="49">
        <f t="shared" si="9"/>
        <v>0</v>
      </c>
    </row>
    <row r="512" spans="1:14" s="75" customFormat="1" ht="33.75">
      <c r="A512" s="12" t="s">
        <v>1075</v>
      </c>
      <c r="B512" s="53" t="s">
        <v>1076</v>
      </c>
      <c r="C512" s="73" t="s">
        <v>15</v>
      </c>
      <c r="D512" s="44">
        <v>2</v>
      </c>
      <c r="E512" s="44"/>
      <c r="F512" s="45"/>
      <c r="G512" s="45"/>
      <c r="H512" s="44">
        <v>0</v>
      </c>
      <c r="I512" s="48">
        <f t="shared" si="12"/>
        <v>0</v>
      </c>
      <c r="J512" s="74"/>
      <c r="K512" s="74"/>
      <c r="L512" s="74"/>
      <c r="M512" s="111">
        <v>0</v>
      </c>
      <c r="N512" s="49">
        <f t="shared" si="9"/>
        <v>0</v>
      </c>
    </row>
    <row r="513" spans="1:14" s="75" customFormat="1" ht="33.75">
      <c r="A513" s="12" t="s">
        <v>1078</v>
      </c>
      <c r="B513" s="53" t="s">
        <v>1079</v>
      </c>
      <c r="C513" s="73" t="s">
        <v>14</v>
      </c>
      <c r="D513" s="44">
        <v>1</v>
      </c>
      <c r="E513" s="44"/>
      <c r="F513" s="45"/>
      <c r="G513" s="45"/>
      <c r="H513" s="44">
        <v>0</v>
      </c>
      <c r="I513" s="48">
        <f t="shared" si="12"/>
        <v>0</v>
      </c>
      <c r="J513" s="74"/>
      <c r="K513" s="74"/>
      <c r="L513" s="74"/>
      <c r="M513" s="111">
        <v>0</v>
      </c>
      <c r="N513" s="49">
        <f t="shared" si="9"/>
        <v>0</v>
      </c>
    </row>
    <row r="514" spans="1:14" s="75" customFormat="1" ht="33.75">
      <c r="A514" s="12" t="s">
        <v>1081</v>
      </c>
      <c r="B514" s="53" t="s">
        <v>1082</v>
      </c>
      <c r="C514" s="73" t="s">
        <v>14</v>
      </c>
      <c r="D514" s="44">
        <v>1</v>
      </c>
      <c r="E514" s="44"/>
      <c r="F514" s="45"/>
      <c r="G514" s="45"/>
      <c r="H514" s="44">
        <v>0</v>
      </c>
      <c r="I514" s="48">
        <f t="shared" si="12"/>
        <v>0</v>
      </c>
      <c r="J514" s="74"/>
      <c r="K514" s="74"/>
      <c r="L514" s="74"/>
      <c r="M514" s="111">
        <v>0</v>
      </c>
      <c r="N514" s="49">
        <f t="shared" si="9"/>
        <v>0</v>
      </c>
    </row>
    <row r="515" spans="1:14" s="75" customFormat="1" ht="45">
      <c r="A515" s="12" t="s">
        <v>1084</v>
      </c>
      <c r="B515" s="53" t="s">
        <v>1085</v>
      </c>
      <c r="C515" s="73" t="s">
        <v>15</v>
      </c>
      <c r="D515" s="44">
        <v>4</v>
      </c>
      <c r="E515" s="44"/>
      <c r="F515" s="45"/>
      <c r="G515" s="45"/>
      <c r="H515" s="44">
        <v>0</v>
      </c>
      <c r="I515" s="48">
        <f t="shared" si="12"/>
        <v>0</v>
      </c>
      <c r="J515" s="74"/>
      <c r="K515" s="74"/>
      <c r="L515" s="74"/>
      <c r="M515" s="111">
        <v>0</v>
      </c>
      <c r="N515" s="49">
        <f t="shared" si="9"/>
        <v>0</v>
      </c>
    </row>
    <row r="516" spans="1:14" s="75" customFormat="1" ht="56.25">
      <c r="A516" s="12" t="s">
        <v>1087</v>
      </c>
      <c r="B516" s="53" t="s">
        <v>1088</v>
      </c>
      <c r="C516" s="73" t="s">
        <v>15</v>
      </c>
      <c r="D516" s="44">
        <v>2</v>
      </c>
      <c r="E516" s="44"/>
      <c r="F516" s="45"/>
      <c r="G516" s="45"/>
      <c r="H516" s="44">
        <v>0</v>
      </c>
      <c r="I516" s="48">
        <f t="shared" si="12"/>
        <v>0</v>
      </c>
      <c r="J516" s="74"/>
      <c r="K516" s="74"/>
      <c r="L516" s="74"/>
      <c r="M516" s="111">
        <v>0</v>
      </c>
      <c r="N516" s="49">
        <f t="shared" si="9"/>
        <v>0</v>
      </c>
    </row>
    <row r="517" spans="1:14" s="75" customFormat="1" ht="45">
      <c r="A517" s="12" t="s">
        <v>1090</v>
      </c>
      <c r="B517" s="53" t="s">
        <v>1091</v>
      </c>
      <c r="C517" s="73" t="s">
        <v>14</v>
      </c>
      <c r="D517" s="44">
        <v>1</v>
      </c>
      <c r="E517" s="44"/>
      <c r="F517" s="45"/>
      <c r="G517" s="45"/>
      <c r="H517" s="44">
        <v>0</v>
      </c>
      <c r="I517" s="48">
        <f t="shared" si="12"/>
        <v>0</v>
      </c>
      <c r="J517" s="74"/>
      <c r="K517" s="74"/>
      <c r="L517" s="74"/>
      <c r="M517" s="111">
        <v>0</v>
      </c>
      <c r="N517" s="49">
        <f t="shared" si="9"/>
        <v>0</v>
      </c>
    </row>
    <row r="518" spans="1:14" s="75" customFormat="1" ht="45">
      <c r="A518" s="12" t="s">
        <v>1093</v>
      </c>
      <c r="B518" s="53" t="s">
        <v>1094</v>
      </c>
      <c r="C518" s="73" t="s">
        <v>1095</v>
      </c>
      <c r="D518" s="44">
        <v>3</v>
      </c>
      <c r="E518" s="44"/>
      <c r="F518" s="45"/>
      <c r="G518" s="45"/>
      <c r="H518" s="44">
        <v>0</v>
      </c>
      <c r="I518" s="48">
        <f t="shared" si="12"/>
        <v>0</v>
      </c>
      <c r="J518" s="74"/>
      <c r="K518" s="74"/>
      <c r="L518" s="74"/>
      <c r="M518" s="111">
        <v>0</v>
      </c>
      <c r="N518" s="49">
        <f t="shared" si="9"/>
        <v>0</v>
      </c>
    </row>
    <row r="519" spans="1:14" s="75" customFormat="1" ht="22.5">
      <c r="A519" s="12" t="s">
        <v>1097</v>
      </c>
      <c r="B519" s="53" t="s">
        <v>1098</v>
      </c>
      <c r="C519" s="73" t="s">
        <v>1095</v>
      </c>
      <c r="D519" s="44">
        <v>4</v>
      </c>
      <c r="E519" s="44"/>
      <c r="F519" s="45"/>
      <c r="G519" s="45"/>
      <c r="H519" s="44">
        <v>0</v>
      </c>
      <c r="I519" s="48">
        <f t="shared" si="12"/>
        <v>0</v>
      </c>
      <c r="J519" s="74"/>
      <c r="K519" s="74"/>
      <c r="L519" s="74"/>
      <c r="M519" s="111">
        <v>0</v>
      </c>
      <c r="N519" s="49">
        <f t="shared" si="9"/>
        <v>0</v>
      </c>
    </row>
    <row r="520" spans="1:14" s="75" customFormat="1" ht="22.5">
      <c r="A520" s="12" t="s">
        <v>1100</v>
      </c>
      <c r="B520" s="53" t="s">
        <v>1101</v>
      </c>
      <c r="C520" s="73" t="s">
        <v>15</v>
      </c>
      <c r="D520" s="44">
        <v>2</v>
      </c>
      <c r="E520" s="44"/>
      <c r="F520" s="45"/>
      <c r="G520" s="45"/>
      <c r="H520" s="44">
        <v>0</v>
      </c>
      <c r="I520" s="48">
        <f t="shared" si="12"/>
        <v>0</v>
      </c>
      <c r="J520" s="74"/>
      <c r="K520" s="74"/>
      <c r="L520" s="74"/>
      <c r="M520" s="111">
        <v>0</v>
      </c>
      <c r="N520" s="49">
        <f t="shared" si="9"/>
        <v>0</v>
      </c>
    </row>
    <row r="521" spans="1:14" s="75" customFormat="1" ht="45">
      <c r="A521" s="12" t="s">
        <v>1103</v>
      </c>
      <c r="B521" s="53" t="s">
        <v>1104</v>
      </c>
      <c r="C521" s="73" t="s">
        <v>15</v>
      </c>
      <c r="D521" s="44">
        <v>4</v>
      </c>
      <c r="E521" s="44"/>
      <c r="F521" s="45"/>
      <c r="G521" s="45"/>
      <c r="H521" s="44">
        <v>0</v>
      </c>
      <c r="I521" s="48">
        <f t="shared" si="12"/>
        <v>0</v>
      </c>
      <c r="J521" s="74"/>
      <c r="K521" s="74"/>
      <c r="L521" s="74"/>
      <c r="M521" s="111">
        <v>0</v>
      </c>
      <c r="N521" s="49">
        <f t="shared" si="9"/>
        <v>0</v>
      </c>
    </row>
    <row r="522" spans="1:14" s="75" customFormat="1" ht="33.75">
      <c r="A522" s="12" t="s">
        <v>1106</v>
      </c>
      <c r="B522" s="53" t="s">
        <v>1107</v>
      </c>
      <c r="C522" s="73" t="s">
        <v>14</v>
      </c>
      <c r="D522" s="44">
        <v>2</v>
      </c>
      <c r="E522" s="44"/>
      <c r="F522" s="45"/>
      <c r="G522" s="45"/>
      <c r="H522" s="44">
        <v>0</v>
      </c>
      <c r="I522" s="48">
        <f t="shared" si="12"/>
        <v>0</v>
      </c>
      <c r="J522" s="74"/>
      <c r="K522" s="74"/>
      <c r="L522" s="74"/>
      <c r="M522" s="111">
        <v>0</v>
      </c>
      <c r="N522" s="49">
        <f t="shared" si="9"/>
        <v>0</v>
      </c>
    </row>
    <row r="523" spans="1:14" s="75" customFormat="1" ht="33.75">
      <c r="A523" s="12" t="s">
        <v>1109</v>
      </c>
      <c r="B523" s="53" t="s">
        <v>224</v>
      </c>
      <c r="C523" s="73" t="s">
        <v>15</v>
      </c>
      <c r="D523" s="44">
        <v>12</v>
      </c>
      <c r="E523" s="44"/>
      <c r="F523" s="45"/>
      <c r="G523" s="45"/>
      <c r="H523" s="44">
        <v>0</v>
      </c>
      <c r="I523" s="48">
        <f t="shared" si="12"/>
        <v>0</v>
      </c>
      <c r="J523" s="74"/>
      <c r="K523" s="74"/>
      <c r="L523" s="74"/>
      <c r="M523" s="111">
        <v>0</v>
      </c>
      <c r="N523" s="49">
        <f t="shared" si="9"/>
        <v>0</v>
      </c>
    </row>
    <row r="524" spans="1:14" s="75" customFormat="1" ht="22.5">
      <c r="A524" s="12" t="s">
        <v>1111</v>
      </c>
      <c r="B524" s="53" t="s">
        <v>1112</v>
      </c>
      <c r="C524" s="73" t="s">
        <v>15</v>
      </c>
      <c r="D524" s="44">
        <v>2</v>
      </c>
      <c r="E524" s="44"/>
      <c r="F524" s="45"/>
      <c r="G524" s="45"/>
      <c r="H524" s="44">
        <v>2</v>
      </c>
      <c r="I524" s="48">
        <f t="shared" si="12"/>
        <v>2</v>
      </c>
      <c r="J524" s="74"/>
      <c r="K524" s="74"/>
      <c r="L524" s="74"/>
      <c r="M524" s="111">
        <v>2</v>
      </c>
      <c r="N524" s="49">
        <f t="shared" si="9"/>
        <v>0</v>
      </c>
    </row>
    <row r="525" spans="1:14" s="75" customFormat="1" ht="45">
      <c r="A525" s="12" t="s">
        <v>1114</v>
      </c>
      <c r="B525" s="53" t="s">
        <v>1115</v>
      </c>
      <c r="C525" s="73" t="s">
        <v>1116</v>
      </c>
      <c r="D525" s="44">
        <v>4</v>
      </c>
      <c r="E525" s="44"/>
      <c r="F525" s="45"/>
      <c r="G525" s="45"/>
      <c r="H525" s="44">
        <v>0</v>
      </c>
      <c r="I525" s="48">
        <f t="shared" si="12"/>
        <v>0</v>
      </c>
      <c r="J525" s="74"/>
      <c r="K525" s="74"/>
      <c r="L525" s="74"/>
      <c r="M525" s="111">
        <v>0</v>
      </c>
      <c r="N525" s="49">
        <f t="shared" si="9"/>
        <v>0</v>
      </c>
    </row>
    <row r="526" spans="1:14" s="75" customFormat="1">
      <c r="A526" s="12" t="s">
        <v>1541</v>
      </c>
      <c r="B526" s="53" t="s">
        <v>1542</v>
      </c>
      <c r="C526" s="73" t="s">
        <v>15</v>
      </c>
      <c r="D526" s="44"/>
      <c r="E526" s="44">
        <v>1</v>
      </c>
      <c r="F526" s="45"/>
      <c r="G526" s="45"/>
      <c r="H526" s="44">
        <v>1</v>
      </c>
      <c r="I526" s="48">
        <f t="shared" si="12"/>
        <v>1</v>
      </c>
      <c r="J526" s="74"/>
      <c r="K526" s="74"/>
      <c r="L526" s="74"/>
      <c r="M526" s="111">
        <v>1</v>
      </c>
      <c r="N526" s="49">
        <f t="shared" si="9"/>
        <v>0</v>
      </c>
    </row>
    <row r="527" spans="1:14" s="75" customFormat="1" ht="22.5">
      <c r="A527" s="12" t="s">
        <v>1543</v>
      </c>
      <c r="B527" s="53" t="s">
        <v>1544</v>
      </c>
      <c r="C527" s="73" t="s">
        <v>15</v>
      </c>
      <c r="D527" s="44"/>
      <c r="E527" s="44">
        <v>1</v>
      </c>
      <c r="F527" s="45"/>
      <c r="G527" s="45"/>
      <c r="H527" s="44">
        <v>1</v>
      </c>
      <c r="I527" s="48">
        <f t="shared" si="12"/>
        <v>1</v>
      </c>
      <c r="J527" s="74"/>
      <c r="K527" s="74"/>
      <c r="L527" s="74"/>
      <c r="M527" s="111">
        <v>1</v>
      </c>
      <c r="N527" s="49">
        <f t="shared" si="9"/>
        <v>0</v>
      </c>
    </row>
    <row r="528" spans="1:14" s="75" customFormat="1" ht="56.25">
      <c r="A528" s="12" t="s">
        <v>1545</v>
      </c>
      <c r="B528" s="53" t="s">
        <v>1546</v>
      </c>
      <c r="C528" s="73" t="s">
        <v>15</v>
      </c>
      <c r="D528" s="44"/>
      <c r="E528" s="44">
        <v>2</v>
      </c>
      <c r="F528" s="45"/>
      <c r="G528" s="45"/>
      <c r="H528" s="44">
        <v>2</v>
      </c>
      <c r="I528" s="48">
        <f t="shared" si="12"/>
        <v>2</v>
      </c>
      <c r="J528" s="74"/>
      <c r="K528" s="74"/>
      <c r="L528" s="74"/>
      <c r="M528" s="111">
        <v>2</v>
      </c>
      <c r="N528" s="49">
        <f t="shared" si="9"/>
        <v>0</v>
      </c>
    </row>
    <row r="529" spans="1:14" s="75" customFormat="1" ht="45">
      <c r="A529" s="12" t="s">
        <v>1547</v>
      </c>
      <c r="B529" s="53" t="s">
        <v>1548</v>
      </c>
      <c r="C529" s="73" t="s">
        <v>15</v>
      </c>
      <c r="D529" s="44"/>
      <c r="E529" s="44">
        <v>1</v>
      </c>
      <c r="F529" s="45"/>
      <c r="G529" s="45"/>
      <c r="H529" s="44">
        <v>1</v>
      </c>
      <c r="I529" s="48">
        <f t="shared" si="12"/>
        <v>1</v>
      </c>
      <c r="J529" s="74"/>
      <c r="K529" s="74"/>
      <c r="L529" s="74"/>
      <c r="M529" s="111">
        <v>1</v>
      </c>
      <c r="N529" s="49">
        <f t="shared" si="9"/>
        <v>0</v>
      </c>
    </row>
    <row r="530" spans="1:14" s="75" customFormat="1" ht="33.75">
      <c r="A530" s="12" t="s">
        <v>1549</v>
      </c>
      <c r="B530" s="53" t="s">
        <v>1550</v>
      </c>
      <c r="C530" s="73" t="s">
        <v>15</v>
      </c>
      <c r="D530" s="44"/>
      <c r="E530" s="44">
        <v>2</v>
      </c>
      <c r="F530" s="45"/>
      <c r="G530" s="45"/>
      <c r="H530" s="44">
        <v>2</v>
      </c>
      <c r="I530" s="48">
        <f t="shared" si="12"/>
        <v>2</v>
      </c>
      <c r="J530" s="74"/>
      <c r="K530" s="74"/>
      <c r="L530" s="74"/>
      <c r="M530" s="111">
        <v>2</v>
      </c>
      <c r="N530" s="49">
        <f t="shared" si="9"/>
        <v>0</v>
      </c>
    </row>
    <row r="531" spans="1:14" ht="25.5" customHeight="1">
      <c r="A531" s="114" t="s">
        <v>115</v>
      </c>
      <c r="B531" s="115" t="s">
        <v>1118</v>
      </c>
      <c r="C531" s="116" t="s">
        <v>4</v>
      </c>
      <c r="D531" s="117">
        <v>1</v>
      </c>
      <c r="E531" s="117"/>
      <c r="F531" s="118"/>
      <c r="G531" s="118"/>
      <c r="H531" s="117"/>
      <c r="I531" s="119" t="s">
        <v>243</v>
      </c>
      <c r="N531" s="49"/>
    </row>
    <row r="532" spans="1:14" ht="42.75">
      <c r="A532" s="12" t="s">
        <v>116</v>
      </c>
      <c r="B532" s="10" t="s">
        <v>26</v>
      </c>
      <c r="C532" s="8" t="s">
        <v>20</v>
      </c>
      <c r="D532" s="44">
        <v>48</v>
      </c>
      <c r="E532" s="44"/>
      <c r="F532" s="45"/>
      <c r="G532" s="45"/>
      <c r="H532" s="44">
        <v>20</v>
      </c>
      <c r="I532" s="48">
        <f>H532</f>
        <v>20</v>
      </c>
      <c r="M532" s="111">
        <v>20</v>
      </c>
      <c r="N532" s="49">
        <f t="shared" si="9"/>
        <v>0</v>
      </c>
    </row>
    <row r="533" spans="1:14" ht="31.5">
      <c r="A533" s="12" t="s">
        <v>117</v>
      </c>
      <c r="B533" s="7" t="s">
        <v>27</v>
      </c>
      <c r="C533" s="8" t="s">
        <v>21</v>
      </c>
      <c r="D533" s="44">
        <v>6720</v>
      </c>
      <c r="E533" s="44">
        <v>28448</v>
      </c>
      <c r="F533" s="45"/>
      <c r="G533" s="45"/>
      <c r="H533" s="44">
        <v>8120</v>
      </c>
      <c r="I533" s="48">
        <f>H533</f>
        <v>8120</v>
      </c>
      <c r="M533" s="111">
        <v>8120</v>
      </c>
      <c r="N533" s="49">
        <f t="shared" si="9"/>
        <v>0</v>
      </c>
    </row>
    <row r="534" spans="1:14" ht="31.5">
      <c r="A534" s="12" t="s">
        <v>1552</v>
      </c>
      <c r="B534" s="7" t="s">
        <v>1553</v>
      </c>
      <c r="C534" s="8" t="s">
        <v>1554</v>
      </c>
      <c r="D534" s="44"/>
      <c r="E534" s="44">
        <v>1570</v>
      </c>
      <c r="F534" s="45"/>
      <c r="G534" s="45"/>
      <c r="H534" s="44">
        <v>228</v>
      </c>
      <c r="I534" s="48">
        <f>H534</f>
        <v>228</v>
      </c>
      <c r="M534" s="111">
        <v>228</v>
      </c>
      <c r="N534" s="49">
        <f t="shared" si="9"/>
        <v>0</v>
      </c>
    </row>
    <row r="535" spans="1:14" s="143" customFormat="1" ht="33">
      <c r="A535" s="114" t="s">
        <v>118</v>
      </c>
      <c r="B535" s="115" t="s">
        <v>1121</v>
      </c>
      <c r="C535" s="116" t="s">
        <v>4</v>
      </c>
      <c r="D535" s="117">
        <v>1</v>
      </c>
      <c r="E535" s="117"/>
      <c r="F535" s="118"/>
      <c r="G535" s="118"/>
      <c r="H535" s="117"/>
      <c r="I535" s="119" t="s">
        <v>243</v>
      </c>
      <c r="J535" s="141"/>
      <c r="K535" s="141"/>
      <c r="L535" s="141"/>
      <c r="M535" s="142"/>
      <c r="N535" s="49"/>
    </row>
    <row r="536" spans="1:14" ht="33">
      <c r="A536" s="12" t="s">
        <v>119</v>
      </c>
      <c r="B536" s="10" t="s">
        <v>1122</v>
      </c>
      <c r="C536" s="8" t="s">
        <v>8</v>
      </c>
      <c r="D536" s="44">
        <v>1294.97</v>
      </c>
      <c r="E536" s="44"/>
      <c r="F536" s="45" t="s">
        <v>1560</v>
      </c>
      <c r="G536" s="45" t="s">
        <v>1562</v>
      </c>
      <c r="H536" s="44">
        <f>(26.7+162+38.2+16.7+58+10+12+85.8+30+66.5+104.5+88+175+82.8)+(85.9+69.2+36)+(31.5+29.1+37.6+28)</f>
        <v>1273.5</v>
      </c>
      <c r="I536" s="48">
        <f>H536</f>
        <v>1273.5</v>
      </c>
      <c r="M536" s="111">
        <v>1273.5</v>
      </c>
      <c r="N536" s="49">
        <f t="shared" ref="N536:N582" si="13">I536-M536</f>
        <v>0</v>
      </c>
    </row>
    <row r="537" spans="1:14" ht="42.75">
      <c r="A537" s="12" t="s">
        <v>120</v>
      </c>
      <c r="B537" s="10" t="s">
        <v>1124</v>
      </c>
      <c r="C537" s="8" t="s">
        <v>13</v>
      </c>
      <c r="D537" s="44">
        <v>1840.93</v>
      </c>
      <c r="E537" s="44"/>
      <c r="F537" s="45" t="s">
        <v>1563</v>
      </c>
      <c r="G537" s="45" t="s">
        <v>1564</v>
      </c>
      <c r="H537" s="44">
        <f>((26.7+162+38.2+16.7+58+10+12+85.8+30+66.5+175)*2.4)+220</f>
        <v>1854.1599999999999</v>
      </c>
      <c r="I537" s="48">
        <f t="shared" ref="I537:I553" si="14">H537</f>
        <v>1854.1599999999999</v>
      </c>
      <c r="M537" s="111">
        <v>1835</v>
      </c>
      <c r="N537" s="49">
        <f t="shared" si="13"/>
        <v>19.159999999999854</v>
      </c>
    </row>
    <row r="538" spans="1:14" ht="42.75">
      <c r="A538" s="12" t="s">
        <v>121</v>
      </c>
      <c r="B538" s="10" t="s">
        <v>32</v>
      </c>
      <c r="C538" s="8" t="s">
        <v>7</v>
      </c>
      <c r="D538" s="44">
        <v>59</v>
      </c>
      <c r="E538" s="44"/>
      <c r="F538" s="45" t="s">
        <v>1218</v>
      </c>
      <c r="G538" s="45"/>
      <c r="H538" s="44">
        <v>59</v>
      </c>
      <c r="I538" s="48">
        <f t="shared" si="14"/>
        <v>59</v>
      </c>
      <c r="M538" s="111">
        <v>59</v>
      </c>
      <c r="N538" s="49">
        <f t="shared" si="13"/>
        <v>0</v>
      </c>
    </row>
    <row r="539" spans="1:14">
      <c r="A539" s="12" t="s">
        <v>122</v>
      </c>
      <c r="B539" s="7" t="s">
        <v>33</v>
      </c>
      <c r="C539" s="8" t="s">
        <v>5</v>
      </c>
      <c r="D539" s="44">
        <v>30</v>
      </c>
      <c r="E539" s="44"/>
      <c r="F539" s="45" t="s">
        <v>1219</v>
      </c>
      <c r="G539" s="45"/>
      <c r="H539" s="44">
        <v>30</v>
      </c>
      <c r="I539" s="48">
        <f t="shared" si="14"/>
        <v>30</v>
      </c>
      <c r="M539" s="111">
        <v>30</v>
      </c>
      <c r="N539" s="49">
        <f t="shared" si="13"/>
        <v>0</v>
      </c>
    </row>
    <row r="540" spans="1:14">
      <c r="A540" s="12" t="s">
        <v>123</v>
      </c>
      <c r="B540" s="7" t="s">
        <v>1128</v>
      </c>
      <c r="C540" s="8" t="s">
        <v>0</v>
      </c>
      <c r="D540" s="44">
        <v>19</v>
      </c>
      <c r="E540" s="44"/>
      <c r="F540" s="45" t="s">
        <v>1220</v>
      </c>
      <c r="G540" s="45"/>
      <c r="H540" s="44">
        <v>19</v>
      </c>
      <c r="I540" s="48">
        <f t="shared" si="14"/>
        <v>19</v>
      </c>
      <c r="M540" s="111">
        <v>19</v>
      </c>
      <c r="N540" s="49">
        <f t="shared" si="13"/>
        <v>0</v>
      </c>
    </row>
    <row r="541" spans="1:14" ht="31.5">
      <c r="A541" s="12" t="s">
        <v>124</v>
      </c>
      <c r="B541" s="7" t="s">
        <v>1130</v>
      </c>
      <c r="C541" s="8" t="s">
        <v>0</v>
      </c>
      <c r="D541" s="44">
        <v>10</v>
      </c>
      <c r="E541" s="44"/>
      <c r="F541" s="45" t="s">
        <v>1221</v>
      </c>
      <c r="G541" s="45"/>
      <c r="H541" s="44">
        <v>10</v>
      </c>
      <c r="I541" s="48">
        <f t="shared" si="14"/>
        <v>10</v>
      </c>
      <c r="M541" s="111">
        <v>5</v>
      </c>
      <c r="N541" s="49">
        <f t="shared" si="13"/>
        <v>5</v>
      </c>
    </row>
    <row r="542" spans="1:14">
      <c r="A542" s="12" t="s">
        <v>125</v>
      </c>
      <c r="B542" s="7" t="s">
        <v>30</v>
      </c>
      <c r="C542" s="8" t="s">
        <v>0</v>
      </c>
      <c r="D542" s="44">
        <v>577</v>
      </c>
      <c r="E542" s="44"/>
      <c r="F542" s="45"/>
      <c r="G542" s="45"/>
      <c r="H542" s="44">
        <v>387</v>
      </c>
      <c r="I542" s="48">
        <f t="shared" si="14"/>
        <v>387</v>
      </c>
      <c r="M542" s="111">
        <v>387</v>
      </c>
      <c r="N542" s="49">
        <f t="shared" si="13"/>
        <v>0</v>
      </c>
    </row>
    <row r="543" spans="1:14" ht="33.75">
      <c r="A543" s="12" t="s">
        <v>126</v>
      </c>
      <c r="B543" s="53" t="s">
        <v>1133</v>
      </c>
      <c r="C543" s="8" t="s">
        <v>0</v>
      </c>
      <c r="D543" s="44">
        <v>2</v>
      </c>
      <c r="E543" s="44"/>
      <c r="F543" s="45"/>
      <c r="G543" s="45"/>
      <c r="H543" s="44">
        <v>2</v>
      </c>
      <c r="I543" s="48">
        <f t="shared" si="14"/>
        <v>2</v>
      </c>
      <c r="M543" s="111">
        <v>2</v>
      </c>
      <c r="N543" s="49">
        <f t="shared" si="13"/>
        <v>0</v>
      </c>
    </row>
    <row r="544" spans="1:14" ht="33">
      <c r="A544" s="12" t="s">
        <v>127</v>
      </c>
      <c r="B544" s="10" t="s">
        <v>28</v>
      </c>
      <c r="C544" s="8" t="s">
        <v>22</v>
      </c>
      <c r="D544" s="44">
        <v>19</v>
      </c>
      <c r="E544" s="44"/>
      <c r="F544" s="45" t="s">
        <v>1222</v>
      </c>
      <c r="G544" s="45"/>
      <c r="H544" s="44">
        <v>19</v>
      </c>
      <c r="I544" s="48">
        <f t="shared" si="14"/>
        <v>19</v>
      </c>
      <c r="M544" s="111">
        <v>10</v>
      </c>
      <c r="N544" s="49">
        <f t="shared" si="13"/>
        <v>9</v>
      </c>
    </row>
    <row r="545" spans="1:14">
      <c r="A545" s="12" t="s">
        <v>128</v>
      </c>
      <c r="B545" s="7" t="s">
        <v>1136</v>
      </c>
      <c r="C545" s="8" t="s">
        <v>7</v>
      </c>
      <c r="D545" s="44">
        <v>19</v>
      </c>
      <c r="E545" s="44"/>
      <c r="F545" s="45" t="s">
        <v>1223</v>
      </c>
      <c r="G545" s="45"/>
      <c r="H545" s="44">
        <v>19</v>
      </c>
      <c r="I545" s="48">
        <f t="shared" si="14"/>
        <v>19</v>
      </c>
      <c r="M545" s="111">
        <v>10</v>
      </c>
      <c r="N545" s="49">
        <f t="shared" si="13"/>
        <v>9</v>
      </c>
    </row>
    <row r="546" spans="1:14" ht="31.5">
      <c r="A546" s="12" t="s">
        <v>129</v>
      </c>
      <c r="B546" s="7" t="s">
        <v>1138</v>
      </c>
      <c r="C546" s="8" t="s">
        <v>1139</v>
      </c>
      <c r="D546" s="44">
        <v>2</v>
      </c>
      <c r="E546" s="44"/>
      <c r="F546" s="45" t="s">
        <v>1226</v>
      </c>
      <c r="G546" s="45"/>
      <c r="H546" s="44">
        <v>2</v>
      </c>
      <c r="I546" s="48">
        <f t="shared" si="14"/>
        <v>2</v>
      </c>
      <c r="M546" s="111">
        <v>2</v>
      </c>
      <c r="N546" s="49">
        <f t="shared" si="13"/>
        <v>0</v>
      </c>
    </row>
    <row r="547" spans="1:14" ht="33">
      <c r="A547" s="12" t="s">
        <v>1141</v>
      </c>
      <c r="B547" s="7" t="s">
        <v>1142</v>
      </c>
      <c r="C547" s="8" t="s">
        <v>8</v>
      </c>
      <c r="D547" s="44">
        <v>698.15</v>
      </c>
      <c r="E547" s="44"/>
      <c r="F547" s="45" t="s">
        <v>1572</v>
      </c>
      <c r="G547" s="45" t="s">
        <v>1565</v>
      </c>
      <c r="H547" s="44">
        <f>((76.3+33.2+23)+39.2+(71*2)+(246.5+21))</f>
        <v>581.20000000000005</v>
      </c>
      <c r="I547" s="48">
        <f t="shared" si="14"/>
        <v>581.20000000000005</v>
      </c>
      <c r="M547" s="111">
        <v>570</v>
      </c>
      <c r="N547" s="49">
        <f t="shared" si="13"/>
        <v>11.200000000000045</v>
      </c>
    </row>
    <row r="548" spans="1:14" ht="47.25">
      <c r="A548" s="12" t="s">
        <v>1144</v>
      </c>
      <c r="B548" s="7" t="s">
        <v>1145</v>
      </c>
      <c r="C548" s="8" t="s">
        <v>8</v>
      </c>
      <c r="D548" s="44">
        <v>2498.77</v>
      </c>
      <c r="E548" s="44"/>
      <c r="F548" s="76" t="s">
        <v>1570</v>
      </c>
      <c r="G548" s="45" t="s">
        <v>1571</v>
      </c>
      <c r="H548" s="44">
        <f>(22.5+31.5*2+13.6*2)+(156.2+233.5+72+31.5)+(51.7+18.9)+86.2+(95.2+45+22.5)+(62.3+38.5+22.5)</f>
        <v>1048.7</v>
      </c>
      <c r="I548" s="48">
        <f t="shared" si="14"/>
        <v>1048.7</v>
      </c>
      <c r="M548" s="111">
        <v>1047.5</v>
      </c>
      <c r="N548" s="49">
        <f t="shared" si="13"/>
        <v>1.2000000000000455</v>
      </c>
    </row>
    <row r="549" spans="1:14" ht="31.5">
      <c r="A549" s="12" t="s">
        <v>1147</v>
      </c>
      <c r="B549" s="7" t="s">
        <v>1148</v>
      </c>
      <c r="C549" s="8" t="s">
        <v>8</v>
      </c>
      <c r="D549" s="44">
        <v>1396.3</v>
      </c>
      <c r="E549" s="44"/>
      <c r="F549" s="76" t="s">
        <v>1573</v>
      </c>
      <c r="G549" s="45"/>
      <c r="H549" s="44">
        <f>(32.3*2+41.5+16+30.5*2)+(53.5+25.2)+(18.5*2+21)+(65.2*2)+(246.5+36+27.6)</f>
        <v>760.30000000000007</v>
      </c>
      <c r="I549" s="48">
        <f t="shared" si="14"/>
        <v>760.30000000000007</v>
      </c>
      <c r="M549" s="111">
        <v>746</v>
      </c>
      <c r="N549" s="49">
        <f t="shared" si="13"/>
        <v>14.300000000000068</v>
      </c>
    </row>
    <row r="550" spans="1:14" ht="31.5">
      <c r="A550" s="12" t="s">
        <v>1150</v>
      </c>
      <c r="B550" s="7" t="s">
        <v>1151</v>
      </c>
      <c r="C550" s="8" t="s">
        <v>4</v>
      </c>
      <c r="D550" s="44">
        <v>1</v>
      </c>
      <c r="E550" s="44"/>
      <c r="F550" s="45"/>
      <c r="G550" s="45"/>
      <c r="H550" s="44"/>
      <c r="I550" s="48">
        <f t="shared" si="14"/>
        <v>0</v>
      </c>
      <c r="M550" s="111">
        <v>0</v>
      </c>
      <c r="N550" s="49">
        <f t="shared" si="13"/>
        <v>0</v>
      </c>
    </row>
    <row r="551" spans="1:14" ht="42.75">
      <c r="A551" s="12" t="s">
        <v>1555</v>
      </c>
      <c r="B551" s="10" t="s">
        <v>1556</v>
      </c>
      <c r="C551" s="8" t="s">
        <v>8</v>
      </c>
      <c r="D551" s="44"/>
      <c r="E551" s="44">
        <v>355</v>
      </c>
      <c r="F551" s="45" t="s">
        <v>1566</v>
      </c>
      <c r="G551" s="45" t="s">
        <v>1567</v>
      </c>
      <c r="H551" s="44">
        <f>255+20*2</f>
        <v>295</v>
      </c>
      <c r="I551" s="48">
        <f t="shared" si="14"/>
        <v>295</v>
      </c>
      <c r="M551" s="111">
        <v>295</v>
      </c>
      <c r="N551" s="49">
        <f t="shared" si="13"/>
        <v>0</v>
      </c>
    </row>
    <row r="552" spans="1:14" ht="31.5">
      <c r="A552" s="12" t="s">
        <v>1557</v>
      </c>
      <c r="B552" s="7" t="s">
        <v>29</v>
      </c>
      <c r="C552" s="8" t="s">
        <v>8</v>
      </c>
      <c r="D552" s="44"/>
      <c r="E552" s="44">
        <v>465</v>
      </c>
      <c r="F552" s="45" t="s">
        <v>1568</v>
      </c>
      <c r="G552" s="120" t="s">
        <v>1569</v>
      </c>
      <c r="H552" s="121">
        <f>28*2</f>
        <v>56</v>
      </c>
      <c r="I552" s="48">
        <f t="shared" si="14"/>
        <v>56</v>
      </c>
      <c r="M552" s="111">
        <v>0</v>
      </c>
      <c r="N552" s="49">
        <f t="shared" si="13"/>
        <v>56</v>
      </c>
    </row>
    <row r="553" spans="1:14" ht="33">
      <c r="A553" s="12" t="s">
        <v>1558</v>
      </c>
      <c r="B553" s="7" t="s">
        <v>1559</v>
      </c>
      <c r="C553" s="8" t="s">
        <v>16</v>
      </c>
      <c r="D553" s="44"/>
      <c r="E553" s="44">
        <v>4920</v>
      </c>
      <c r="F553" s="45" t="s">
        <v>1574</v>
      </c>
      <c r="G553" s="120" t="s">
        <v>1575</v>
      </c>
      <c r="H553" s="121">
        <f>(162*5*2)+(37*8)</f>
        <v>1916</v>
      </c>
      <c r="I553" s="48">
        <f t="shared" si="14"/>
        <v>1916</v>
      </c>
      <c r="M553" s="111">
        <v>1260</v>
      </c>
      <c r="N553" s="49">
        <f t="shared" si="13"/>
        <v>656</v>
      </c>
    </row>
    <row r="554" spans="1:14">
      <c r="A554" s="12"/>
      <c r="B554" s="7"/>
      <c r="C554" s="8"/>
      <c r="D554" s="44"/>
      <c r="E554" s="44"/>
      <c r="F554" s="45"/>
      <c r="G554" s="144" t="s">
        <v>1588</v>
      </c>
      <c r="H554" s="145">
        <f>323*5*3</f>
        <v>4845</v>
      </c>
      <c r="I554" s="48"/>
      <c r="N554" s="49"/>
    </row>
    <row r="555" spans="1:14" ht="24" customHeight="1">
      <c r="A555" s="114" t="s">
        <v>130</v>
      </c>
      <c r="B555" s="115" t="s">
        <v>34</v>
      </c>
      <c r="C555" s="116" t="s">
        <v>4</v>
      </c>
      <c r="D555" s="117">
        <v>1</v>
      </c>
      <c r="E555" s="117"/>
      <c r="F555" s="118"/>
      <c r="G555" s="118"/>
      <c r="H555" s="117"/>
      <c r="I555" s="119" t="s">
        <v>243</v>
      </c>
      <c r="N555" s="49"/>
    </row>
    <row r="556" spans="1:14" ht="33.75">
      <c r="A556" s="12" t="s">
        <v>131</v>
      </c>
      <c r="B556" s="53" t="s">
        <v>146</v>
      </c>
      <c r="C556" s="8" t="s">
        <v>1007</v>
      </c>
      <c r="D556" s="44">
        <v>10</v>
      </c>
      <c r="E556" s="44"/>
      <c r="F556" s="45"/>
      <c r="G556" s="45"/>
      <c r="H556" s="44">
        <v>5</v>
      </c>
      <c r="I556" s="48">
        <f>H556</f>
        <v>5</v>
      </c>
      <c r="M556" s="111">
        <v>5</v>
      </c>
      <c r="N556" s="49">
        <f t="shared" si="13"/>
        <v>0</v>
      </c>
    </row>
    <row r="557" spans="1:14" ht="33.75">
      <c r="A557" s="12" t="s">
        <v>132</v>
      </c>
      <c r="B557" s="53" t="s">
        <v>145</v>
      </c>
      <c r="C557" s="8" t="s">
        <v>1</v>
      </c>
      <c r="D557" s="44">
        <v>100</v>
      </c>
      <c r="E557" s="44"/>
      <c r="F557" s="45"/>
      <c r="G557" s="45"/>
      <c r="H557" s="44">
        <v>40</v>
      </c>
      <c r="I557" s="48">
        <f>H557</f>
        <v>40</v>
      </c>
      <c r="M557" s="111">
        <v>40</v>
      </c>
      <c r="N557" s="49">
        <f t="shared" si="13"/>
        <v>0</v>
      </c>
    </row>
    <row r="558" spans="1:14" ht="22.5">
      <c r="A558" s="12" t="s">
        <v>133</v>
      </c>
      <c r="B558" s="53" t="s">
        <v>144</v>
      </c>
      <c r="C558" s="8" t="s">
        <v>9</v>
      </c>
      <c r="D558" s="44">
        <v>50</v>
      </c>
      <c r="E558" s="44"/>
      <c r="F558" s="45"/>
      <c r="G558" s="45"/>
      <c r="H558" s="44">
        <v>30</v>
      </c>
      <c r="I558" s="48">
        <f t="shared" ref="I558:I574" si="15">H558</f>
        <v>30</v>
      </c>
      <c r="M558" s="111">
        <v>30</v>
      </c>
      <c r="N558" s="49">
        <f t="shared" si="13"/>
        <v>0</v>
      </c>
    </row>
    <row r="559" spans="1:14" ht="33.75">
      <c r="A559" s="12" t="s">
        <v>134</v>
      </c>
      <c r="B559" s="53" t="s">
        <v>35</v>
      </c>
      <c r="C559" s="8" t="s">
        <v>15</v>
      </c>
      <c r="D559" s="44">
        <v>75</v>
      </c>
      <c r="E559" s="44"/>
      <c r="F559" s="45"/>
      <c r="G559" s="45"/>
      <c r="H559" s="44">
        <v>40</v>
      </c>
      <c r="I559" s="48">
        <f t="shared" si="15"/>
        <v>40</v>
      </c>
      <c r="M559" s="111">
        <v>40</v>
      </c>
      <c r="N559" s="49">
        <f t="shared" si="13"/>
        <v>0</v>
      </c>
    </row>
    <row r="560" spans="1:14" ht="33.75">
      <c r="A560" s="12" t="s">
        <v>135</v>
      </c>
      <c r="B560" s="53" t="s">
        <v>143</v>
      </c>
      <c r="C560" s="8" t="s">
        <v>3</v>
      </c>
      <c r="D560" s="44">
        <v>200</v>
      </c>
      <c r="E560" s="44"/>
      <c r="F560" s="45"/>
      <c r="G560" s="45"/>
      <c r="H560" s="44">
        <v>70</v>
      </c>
      <c r="I560" s="48">
        <f t="shared" si="15"/>
        <v>70</v>
      </c>
      <c r="M560" s="111">
        <v>70</v>
      </c>
      <c r="N560" s="49">
        <f t="shared" si="13"/>
        <v>0</v>
      </c>
    </row>
    <row r="561" spans="1:14" ht="22.5">
      <c r="A561" s="12" t="s">
        <v>136</v>
      </c>
      <c r="B561" s="53" t="s">
        <v>36</v>
      </c>
      <c r="C561" s="8" t="s">
        <v>3</v>
      </c>
      <c r="D561" s="44">
        <v>100</v>
      </c>
      <c r="E561" s="44"/>
      <c r="F561" s="45"/>
      <c r="G561" s="45"/>
      <c r="H561" s="44">
        <v>40</v>
      </c>
      <c r="I561" s="48">
        <f t="shared" si="15"/>
        <v>40</v>
      </c>
      <c r="M561" s="111">
        <v>40</v>
      </c>
      <c r="N561" s="49">
        <f t="shared" si="13"/>
        <v>0</v>
      </c>
    </row>
    <row r="562" spans="1:14" ht="33.75">
      <c r="A562" s="12" t="s">
        <v>137</v>
      </c>
      <c r="B562" s="53" t="s">
        <v>1159</v>
      </c>
      <c r="C562" s="8" t="s">
        <v>18</v>
      </c>
      <c r="D562" s="44">
        <v>75</v>
      </c>
      <c r="E562" s="44"/>
      <c r="F562" s="45"/>
      <c r="G562" s="45"/>
      <c r="H562" s="44">
        <v>0</v>
      </c>
      <c r="I562" s="48">
        <f t="shared" si="15"/>
        <v>0</v>
      </c>
      <c r="M562" s="111">
        <v>0</v>
      </c>
      <c r="N562" s="49">
        <f t="shared" si="13"/>
        <v>0</v>
      </c>
    </row>
    <row r="563" spans="1:14" ht="45">
      <c r="A563" s="12" t="s">
        <v>138</v>
      </c>
      <c r="B563" s="53" t="s">
        <v>37</v>
      </c>
      <c r="C563" s="8" t="s">
        <v>18</v>
      </c>
      <c r="D563" s="44">
        <v>50</v>
      </c>
      <c r="E563" s="44"/>
      <c r="F563" s="45"/>
      <c r="G563" s="45"/>
      <c r="H563" s="44">
        <v>50</v>
      </c>
      <c r="I563" s="48">
        <f t="shared" si="15"/>
        <v>50</v>
      </c>
      <c r="M563" s="111">
        <v>50</v>
      </c>
      <c r="N563" s="49">
        <f t="shared" si="13"/>
        <v>0</v>
      </c>
    </row>
    <row r="564" spans="1:14" ht="33.75">
      <c r="A564" s="12" t="s">
        <v>139</v>
      </c>
      <c r="B564" s="53" t="s">
        <v>1162</v>
      </c>
      <c r="C564" s="8" t="s">
        <v>15</v>
      </c>
      <c r="D564" s="44">
        <v>10</v>
      </c>
      <c r="E564" s="44"/>
      <c r="F564" s="45"/>
      <c r="G564" s="45"/>
      <c r="H564" s="44">
        <v>10</v>
      </c>
      <c r="I564" s="48">
        <f t="shared" si="15"/>
        <v>10</v>
      </c>
      <c r="M564" s="111">
        <v>10</v>
      </c>
      <c r="N564" s="49">
        <f t="shared" si="13"/>
        <v>0</v>
      </c>
    </row>
    <row r="565" spans="1:14" ht="33.75">
      <c r="A565" s="12" t="s">
        <v>140</v>
      </c>
      <c r="B565" s="53" t="s">
        <v>38</v>
      </c>
      <c r="C565" s="8" t="s">
        <v>7</v>
      </c>
      <c r="D565" s="44">
        <v>4</v>
      </c>
      <c r="E565" s="44"/>
      <c r="F565" s="45" t="s">
        <v>1225</v>
      </c>
      <c r="G565" s="45"/>
      <c r="H565" s="44">
        <v>4</v>
      </c>
      <c r="I565" s="48">
        <f t="shared" si="15"/>
        <v>4</v>
      </c>
      <c r="M565" s="111">
        <v>4</v>
      </c>
      <c r="N565" s="49">
        <f t="shared" si="13"/>
        <v>0</v>
      </c>
    </row>
    <row r="566" spans="1:14" ht="33.75">
      <c r="A566" s="12" t="s">
        <v>141</v>
      </c>
      <c r="B566" s="53" t="s">
        <v>1165</v>
      </c>
      <c r="C566" s="8" t="s">
        <v>15</v>
      </c>
      <c r="D566" s="44">
        <v>5</v>
      </c>
      <c r="E566" s="44"/>
      <c r="F566" s="45" t="s">
        <v>1228</v>
      </c>
      <c r="G566" s="45"/>
      <c r="H566" s="44">
        <v>5</v>
      </c>
      <c r="I566" s="48">
        <f t="shared" si="15"/>
        <v>5</v>
      </c>
      <c r="M566" s="111">
        <v>5</v>
      </c>
      <c r="N566" s="49">
        <f t="shared" si="13"/>
        <v>0</v>
      </c>
    </row>
    <row r="567" spans="1:14" ht="33.75">
      <c r="A567" s="12" t="s">
        <v>1167</v>
      </c>
      <c r="B567" s="53" t="s">
        <v>1168</v>
      </c>
      <c r="C567" s="8" t="s">
        <v>15</v>
      </c>
      <c r="D567" s="44">
        <v>5</v>
      </c>
      <c r="E567" s="44"/>
      <c r="F567" s="45" t="s">
        <v>1229</v>
      </c>
      <c r="G567" s="45"/>
      <c r="H567" s="44">
        <v>5</v>
      </c>
      <c r="I567" s="48">
        <f t="shared" si="15"/>
        <v>5</v>
      </c>
      <c r="M567" s="111">
        <v>5</v>
      </c>
      <c r="N567" s="49">
        <f t="shared" si="13"/>
        <v>0</v>
      </c>
    </row>
    <row r="568" spans="1:14" ht="33.75">
      <c r="A568" s="12" t="s">
        <v>1170</v>
      </c>
      <c r="B568" s="53" t="s">
        <v>1171</v>
      </c>
      <c r="C568" s="8" t="s">
        <v>15</v>
      </c>
      <c r="D568" s="44">
        <v>5</v>
      </c>
      <c r="E568" s="44"/>
      <c r="F568" s="45" t="s">
        <v>1227</v>
      </c>
      <c r="G568" s="45"/>
      <c r="H568" s="44">
        <v>5</v>
      </c>
      <c r="I568" s="48">
        <f t="shared" si="15"/>
        <v>5</v>
      </c>
      <c r="M568" s="111">
        <v>5</v>
      </c>
      <c r="N568" s="49">
        <f t="shared" si="13"/>
        <v>0</v>
      </c>
    </row>
    <row r="569" spans="1:14" ht="33.75">
      <c r="A569" s="12" t="s">
        <v>1173</v>
      </c>
      <c r="B569" s="53" t="s">
        <v>1174</v>
      </c>
      <c r="C569" s="8" t="s">
        <v>15</v>
      </c>
      <c r="D569" s="44">
        <v>5</v>
      </c>
      <c r="E569" s="44"/>
      <c r="F569" s="45"/>
      <c r="G569" s="45"/>
      <c r="H569" s="44">
        <v>3</v>
      </c>
      <c r="I569" s="48">
        <f t="shared" si="15"/>
        <v>3</v>
      </c>
      <c r="M569" s="111">
        <v>3</v>
      </c>
      <c r="N569" s="49">
        <f t="shared" si="13"/>
        <v>0</v>
      </c>
    </row>
    <row r="570" spans="1:14" ht="22.5">
      <c r="A570" s="12" t="s">
        <v>1176</v>
      </c>
      <c r="B570" s="53" t="s">
        <v>1177</v>
      </c>
      <c r="C570" s="8" t="s">
        <v>15</v>
      </c>
      <c r="D570" s="44">
        <v>80</v>
      </c>
      <c r="E570" s="44"/>
      <c r="F570" s="45"/>
      <c r="G570" s="45"/>
      <c r="H570" s="44">
        <v>20</v>
      </c>
      <c r="I570" s="48">
        <f t="shared" si="15"/>
        <v>20</v>
      </c>
      <c r="M570" s="111">
        <v>20</v>
      </c>
      <c r="N570" s="49">
        <f t="shared" si="13"/>
        <v>0</v>
      </c>
    </row>
    <row r="571" spans="1:14" ht="22.5">
      <c r="A571" s="12" t="s">
        <v>1179</v>
      </c>
      <c r="B571" s="53" t="s">
        <v>39</v>
      </c>
      <c r="C571" s="8" t="s">
        <v>4</v>
      </c>
      <c r="D571" s="44">
        <v>1</v>
      </c>
      <c r="E571" s="44"/>
      <c r="F571" s="45" t="s">
        <v>1224</v>
      </c>
      <c r="G571" s="45"/>
      <c r="H571" s="44">
        <v>0.4</v>
      </c>
      <c r="I571" s="48">
        <f t="shared" si="15"/>
        <v>0.4</v>
      </c>
      <c r="M571" s="111">
        <v>0.4</v>
      </c>
      <c r="N571" s="49">
        <f t="shared" si="13"/>
        <v>0</v>
      </c>
    </row>
    <row r="572" spans="1:14" ht="22.5">
      <c r="A572" s="12" t="s">
        <v>1181</v>
      </c>
      <c r="B572" s="53" t="s">
        <v>1182</v>
      </c>
      <c r="C572" s="8" t="s">
        <v>8</v>
      </c>
      <c r="D572" s="44">
        <v>5000</v>
      </c>
      <c r="E572" s="44"/>
      <c r="F572" s="45"/>
      <c r="G572" s="45"/>
      <c r="H572" s="44">
        <v>1060</v>
      </c>
      <c r="I572" s="48">
        <f t="shared" si="15"/>
        <v>1060</v>
      </c>
      <c r="M572" s="111">
        <v>1060</v>
      </c>
      <c r="N572" s="49">
        <f t="shared" si="13"/>
        <v>0</v>
      </c>
    </row>
    <row r="573" spans="1:14">
      <c r="A573" s="12" t="s">
        <v>1184</v>
      </c>
      <c r="B573" s="53" t="s">
        <v>225</v>
      </c>
      <c r="C573" s="8" t="s">
        <v>226</v>
      </c>
      <c r="D573" s="44">
        <v>48</v>
      </c>
      <c r="E573" s="44"/>
      <c r="F573" s="45"/>
      <c r="G573" s="45"/>
      <c r="H573" s="44">
        <v>20</v>
      </c>
      <c r="I573" s="48">
        <f t="shared" si="15"/>
        <v>20</v>
      </c>
      <c r="M573" s="111">
        <v>20</v>
      </c>
      <c r="N573" s="49">
        <f t="shared" si="13"/>
        <v>0</v>
      </c>
    </row>
    <row r="574" spans="1:14" ht="22.5">
      <c r="A574" s="12" t="s">
        <v>1186</v>
      </c>
      <c r="B574" s="53" t="s">
        <v>1187</v>
      </c>
      <c r="C574" s="8" t="s">
        <v>4</v>
      </c>
      <c r="D574" s="44">
        <v>1</v>
      </c>
      <c r="E574" s="44"/>
      <c r="F574" s="45"/>
      <c r="G574" s="45"/>
      <c r="H574" s="44">
        <v>0.4</v>
      </c>
      <c r="I574" s="48">
        <f t="shared" si="15"/>
        <v>0.4</v>
      </c>
      <c r="M574" s="111">
        <v>0.4</v>
      </c>
      <c r="N574" s="49">
        <f t="shared" si="13"/>
        <v>0</v>
      </c>
    </row>
    <row r="575" spans="1:14" ht="21.95" customHeight="1">
      <c r="A575" s="114" t="s">
        <v>1189</v>
      </c>
      <c r="B575" s="115" t="s">
        <v>227</v>
      </c>
      <c r="C575" s="116" t="s">
        <v>4</v>
      </c>
      <c r="D575" s="117">
        <v>1</v>
      </c>
      <c r="E575" s="117"/>
      <c r="F575" s="118"/>
      <c r="G575" s="118"/>
      <c r="H575" s="117"/>
      <c r="I575" s="119" t="s">
        <v>243</v>
      </c>
      <c r="N575" s="49"/>
    </row>
    <row r="576" spans="1:14">
      <c r="A576" s="12" t="s">
        <v>1190</v>
      </c>
      <c r="B576" s="7" t="s">
        <v>228</v>
      </c>
      <c r="C576" s="8" t="s">
        <v>226</v>
      </c>
      <c r="D576" s="44">
        <v>48</v>
      </c>
      <c r="E576" s="44"/>
      <c r="F576" s="45"/>
      <c r="G576" s="45"/>
      <c r="H576" s="44">
        <v>20</v>
      </c>
      <c r="I576" s="48">
        <f>H576</f>
        <v>20</v>
      </c>
      <c r="M576" s="111">
        <v>20</v>
      </c>
      <c r="N576" s="49">
        <f t="shared" si="13"/>
        <v>0</v>
      </c>
    </row>
    <row r="577" spans="1:14">
      <c r="A577" s="12" t="s">
        <v>1192</v>
      </c>
      <c r="B577" s="7" t="s">
        <v>1193</v>
      </c>
      <c r="C577" s="8" t="s">
        <v>4</v>
      </c>
      <c r="D577" s="44">
        <v>1</v>
      </c>
      <c r="E577" s="44"/>
      <c r="F577" s="45"/>
      <c r="G577" s="45"/>
      <c r="H577" s="44">
        <v>0.40980000000000005</v>
      </c>
      <c r="I577" s="48">
        <f>H577</f>
        <v>0.40980000000000005</v>
      </c>
      <c r="M577" s="111">
        <v>0.40980000000000005</v>
      </c>
      <c r="N577" s="49">
        <f t="shared" si="13"/>
        <v>0</v>
      </c>
    </row>
    <row r="578" spans="1:14" ht="27.75" customHeight="1">
      <c r="A578" s="114" t="s">
        <v>1195</v>
      </c>
      <c r="B578" s="146" t="s">
        <v>1196</v>
      </c>
      <c r="C578" s="116" t="s">
        <v>4</v>
      </c>
      <c r="D578" s="117">
        <v>1</v>
      </c>
      <c r="E578" s="117"/>
      <c r="F578" s="118"/>
      <c r="G578" s="118"/>
      <c r="H578" s="117"/>
      <c r="I578" s="119" t="s">
        <v>243</v>
      </c>
      <c r="N578" s="49"/>
    </row>
    <row r="579" spans="1:14" ht="19.5" customHeight="1">
      <c r="A579" s="114" t="s">
        <v>1198</v>
      </c>
      <c r="B579" s="146" t="s">
        <v>1199</v>
      </c>
      <c r="C579" s="116" t="s">
        <v>4</v>
      </c>
      <c r="D579" s="117">
        <v>1</v>
      </c>
      <c r="E579" s="117"/>
      <c r="F579" s="118"/>
      <c r="G579" s="118"/>
      <c r="H579" s="117"/>
      <c r="I579" s="119" t="s">
        <v>243</v>
      </c>
      <c r="N579" s="49"/>
    </row>
    <row r="580" spans="1:14">
      <c r="A580" s="12" t="s">
        <v>1201</v>
      </c>
      <c r="B580" s="10" t="s">
        <v>1199</v>
      </c>
      <c r="C580" s="8" t="s">
        <v>6</v>
      </c>
      <c r="D580" s="44">
        <v>13251</v>
      </c>
      <c r="E580" s="44"/>
      <c r="F580" s="45" t="s">
        <v>1576</v>
      </c>
      <c r="G580" s="45"/>
      <c r="H580" s="44">
        <f>H52</f>
        <v>10404</v>
      </c>
      <c r="I580" s="48">
        <f>H580</f>
        <v>10404</v>
      </c>
      <c r="M580" s="111">
        <v>10404</v>
      </c>
      <c r="N580" s="49">
        <f t="shared" si="13"/>
        <v>0</v>
      </c>
    </row>
    <row r="581" spans="1:14" ht="33">
      <c r="A581" s="114" t="s">
        <v>1203</v>
      </c>
      <c r="B581" s="146" t="s">
        <v>1204</v>
      </c>
      <c r="C581" s="116" t="s">
        <v>4</v>
      </c>
      <c r="D581" s="117">
        <v>1</v>
      </c>
      <c r="E581" s="117"/>
      <c r="F581" s="118"/>
      <c r="G581" s="118"/>
      <c r="H581" s="117"/>
      <c r="I581" s="119" t="s">
        <v>243</v>
      </c>
      <c r="N581" s="49"/>
    </row>
    <row r="582" spans="1:14" ht="28.5">
      <c r="A582" s="12" t="s">
        <v>1206</v>
      </c>
      <c r="B582" s="10" t="s">
        <v>1207</v>
      </c>
      <c r="C582" s="8" t="s">
        <v>13</v>
      </c>
      <c r="D582" s="44">
        <v>1000</v>
      </c>
      <c r="E582" s="44">
        <v>3208.78</v>
      </c>
      <c r="F582" s="45"/>
      <c r="G582" s="45"/>
      <c r="H582" s="44">
        <v>3208.78</v>
      </c>
      <c r="I582" s="48">
        <f>H582</f>
        <v>3208.78</v>
      </c>
      <c r="M582" s="111">
        <v>2892.39</v>
      </c>
      <c r="N582" s="49">
        <f t="shared" si="13"/>
        <v>316.39000000000033</v>
      </c>
    </row>
    <row r="583" spans="1:14" ht="24.75" customHeight="1">
      <c r="A583" s="6"/>
      <c r="B583" s="10" t="s">
        <v>1209</v>
      </c>
      <c r="C583" s="8"/>
      <c r="D583" s="44"/>
      <c r="E583" s="44"/>
      <c r="F583" s="45"/>
      <c r="G583" s="45"/>
      <c r="H583" s="46"/>
      <c r="I583" s="46" t="s">
        <v>243</v>
      </c>
    </row>
    <row r="584" spans="1:14" ht="21.95" customHeight="1">
      <c r="A584" s="6"/>
      <c r="B584" s="7" t="s">
        <v>1210</v>
      </c>
      <c r="C584" s="8"/>
      <c r="D584" s="44"/>
      <c r="E584" s="44"/>
      <c r="F584" s="45"/>
      <c r="G584" s="45"/>
      <c r="H584" s="46"/>
      <c r="I584" s="46" t="s">
        <v>243</v>
      </c>
    </row>
    <row r="585" spans="1:14" ht="10.5" customHeight="1">
      <c r="A585" s="1002"/>
      <c r="B585" s="1003"/>
      <c r="C585" s="1003"/>
      <c r="D585" s="1003"/>
      <c r="E585" s="1003"/>
      <c r="F585" s="1003"/>
      <c r="G585" s="1003"/>
      <c r="H585" s="1004"/>
      <c r="I585" s="77"/>
    </row>
  </sheetData>
  <autoFilter ref="A5:L584" xr:uid="{E21CD539-3EB1-4D8C-9974-633841A871FF}"/>
  <mergeCells count="2">
    <mergeCell ref="A585:H585"/>
    <mergeCell ref="A3:F3"/>
  </mergeCells>
  <phoneticPr fontId="1" type="noConversion"/>
  <printOptions horizontalCentered="1"/>
  <pageMargins left="0.11811023622047245" right="0.11811023622047245" top="0.35433070866141736" bottom="0.15748031496062992" header="0.31496062992125984" footer="0.31496062992125984"/>
  <pageSetup paperSize="9" scale="78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F9973-76FE-4F3C-8EFC-18B8819F056A}">
  <sheetPr filterMode="1"/>
  <dimension ref="A1:U471"/>
  <sheetViews>
    <sheetView view="pageBreakPreview" zoomScale="73" zoomScaleNormal="100" zoomScaleSheetLayoutView="73" workbookViewId="0">
      <pane ySplit="8" topLeftCell="A248" activePane="bottomLeft" state="frozen"/>
      <selection activeCell="P201" sqref="P201"/>
      <selection pane="bottomLeft" activeCell="O442" sqref="O442"/>
    </sheetView>
  </sheetViews>
  <sheetFormatPr defaultColWidth="9.140625" defaultRowHeight="12.75"/>
  <cols>
    <col min="1" max="1" width="3.28515625" style="82" customWidth="1"/>
    <col min="2" max="2" width="31.140625" style="82" customWidth="1"/>
    <col min="3" max="3" width="4.140625" style="82" customWidth="1"/>
    <col min="4" max="6" width="9.28515625" style="82" customWidth="1"/>
    <col min="7" max="7" width="11.7109375" style="82" customWidth="1"/>
    <col min="8" max="8" width="10.7109375" style="82" customWidth="1"/>
    <col min="9" max="10" width="14.7109375" style="82" customWidth="1"/>
    <col min="11" max="11" width="14.7109375" style="545" customWidth="1"/>
    <col min="12" max="12" width="14.7109375" style="94" customWidth="1"/>
    <col min="13" max="13" width="14.28515625" style="82" customWidth="1"/>
    <col min="14" max="14" width="2.28515625" style="82" customWidth="1"/>
    <col min="15" max="15" width="24.140625" style="325" customWidth="1"/>
    <col min="16" max="16" width="26.42578125" style="325" customWidth="1"/>
    <col min="17" max="17" width="38.140625" style="82" customWidth="1"/>
    <col min="18" max="18" width="8.5703125" style="82" customWidth="1"/>
    <col min="19" max="19" width="25" style="82" customWidth="1"/>
    <col min="20" max="20" width="16.140625" style="82" customWidth="1"/>
    <col min="21" max="16384" width="9.140625" style="82"/>
  </cols>
  <sheetData>
    <row r="1" spans="1:18" ht="25.5">
      <c r="A1" s="323"/>
      <c r="B1" s="323"/>
      <c r="C1" s="980" t="s">
        <v>230</v>
      </c>
      <c r="D1" s="980"/>
      <c r="E1" s="980"/>
      <c r="F1" s="980"/>
      <c r="G1" s="980"/>
      <c r="H1" s="980"/>
      <c r="I1" s="980"/>
      <c r="J1" s="980"/>
      <c r="K1" s="980"/>
      <c r="L1" s="531"/>
      <c r="M1" s="324"/>
      <c r="N1" s="1"/>
      <c r="R1" s="82">
        <v>1</v>
      </c>
    </row>
    <row r="2" spans="1:18" ht="19.5">
      <c r="A2" s="981" t="s">
        <v>242</v>
      </c>
      <c r="B2" s="981"/>
      <c r="C2" s="982" t="s">
        <v>2603</v>
      </c>
      <c r="D2" s="982"/>
      <c r="E2" s="982"/>
      <c r="F2" s="982"/>
      <c r="G2" s="982"/>
      <c r="H2" s="982"/>
      <c r="I2" s="982"/>
      <c r="J2" s="982"/>
      <c r="K2" s="982"/>
      <c r="L2" s="532"/>
      <c r="M2" s="29"/>
      <c r="N2" s="1"/>
      <c r="O2" s="774"/>
      <c r="R2" s="82">
        <v>1</v>
      </c>
    </row>
    <row r="3" spans="1:18" ht="16.5">
      <c r="A3" s="983" t="s">
        <v>2140</v>
      </c>
      <c r="B3" s="983"/>
      <c r="C3" s="983"/>
      <c r="D3" s="983"/>
      <c r="E3" s="983"/>
      <c r="F3" s="983"/>
      <c r="G3" s="983"/>
      <c r="H3" s="983"/>
      <c r="I3" s="983"/>
      <c r="J3" s="983"/>
      <c r="K3" s="537" t="s">
        <v>2299</v>
      </c>
      <c r="L3" s="984">
        <v>45672</v>
      </c>
      <c r="M3" s="984"/>
      <c r="N3" s="327"/>
      <c r="P3" s="328"/>
      <c r="R3" s="82">
        <v>1</v>
      </c>
    </row>
    <row r="4" spans="1:18" ht="16.5">
      <c r="A4" s="566" t="s">
        <v>2970</v>
      </c>
      <c r="B4" s="567"/>
      <c r="C4" s="567"/>
      <c r="D4" s="567"/>
      <c r="E4" s="567"/>
      <c r="F4" s="567"/>
      <c r="G4" s="567"/>
      <c r="H4" s="567"/>
      <c r="I4" s="568"/>
      <c r="J4" s="329" t="s">
        <v>2300</v>
      </c>
      <c r="K4" s="538"/>
      <c r="L4" s="973">
        <v>257600000</v>
      </c>
      <c r="M4" s="974"/>
      <c r="N4" s="327"/>
      <c r="O4" s="328"/>
      <c r="R4" s="82">
        <v>1</v>
      </c>
    </row>
    <row r="5" spans="1:18" ht="16.5">
      <c r="A5" s="970" t="s">
        <v>2604</v>
      </c>
      <c r="B5" s="971"/>
      <c r="C5" s="971"/>
      <c r="D5" s="971"/>
      <c r="E5" s="971"/>
      <c r="F5" s="971"/>
      <c r="G5" s="971"/>
      <c r="H5" s="971"/>
      <c r="I5" s="972"/>
      <c r="J5" s="387" t="s">
        <v>2301</v>
      </c>
      <c r="K5" s="539"/>
      <c r="L5" s="973">
        <v>308240521</v>
      </c>
      <c r="M5" s="974"/>
      <c r="N5" s="327"/>
      <c r="R5" s="82">
        <v>1</v>
      </c>
    </row>
    <row r="6" spans="1:18" ht="16.5">
      <c r="A6" s="975" t="s">
        <v>2637</v>
      </c>
      <c r="B6" s="976"/>
      <c r="C6" s="976"/>
      <c r="D6" s="976"/>
      <c r="E6" s="976"/>
      <c r="F6" s="976"/>
      <c r="G6" s="976"/>
      <c r="H6" s="976"/>
      <c r="I6" s="977"/>
      <c r="J6" s="329" t="s">
        <v>2302</v>
      </c>
      <c r="K6" s="538"/>
      <c r="L6" s="978">
        <f>J9</f>
        <v>323647565.53000009</v>
      </c>
      <c r="M6" s="979"/>
      <c r="N6" s="327"/>
      <c r="O6" s="331"/>
      <c r="P6" s="331"/>
      <c r="R6" s="82">
        <v>1</v>
      </c>
    </row>
    <row r="7" spans="1:18" ht="14.25" customHeight="1">
      <c r="A7" s="957" t="s">
        <v>235</v>
      </c>
      <c r="B7" s="964" t="s">
        <v>2303</v>
      </c>
      <c r="C7" s="964" t="s">
        <v>237</v>
      </c>
      <c r="D7" s="957" t="s">
        <v>2605</v>
      </c>
      <c r="E7" s="957" t="s">
        <v>2602</v>
      </c>
      <c r="F7" s="968" t="s">
        <v>2305</v>
      </c>
      <c r="G7" s="957" t="s">
        <v>2306</v>
      </c>
      <c r="H7" s="957" t="s">
        <v>2307</v>
      </c>
      <c r="I7" s="957" t="s">
        <v>2308</v>
      </c>
      <c r="J7" s="957" t="s">
        <v>2612</v>
      </c>
      <c r="K7" s="959" t="s">
        <v>2309</v>
      </c>
      <c r="L7" s="961" t="s">
        <v>2310</v>
      </c>
      <c r="M7" s="964" t="s">
        <v>2311</v>
      </c>
      <c r="N7" s="332"/>
      <c r="O7" s="1005" t="s">
        <v>2312</v>
      </c>
      <c r="P7" s="967" t="s">
        <v>2313</v>
      </c>
      <c r="Q7" s="963" t="s">
        <v>2314</v>
      </c>
      <c r="R7" s="82">
        <v>1</v>
      </c>
    </row>
    <row r="8" spans="1:18" ht="14.25">
      <c r="A8" s="958"/>
      <c r="B8" s="965"/>
      <c r="C8" s="965"/>
      <c r="D8" s="958"/>
      <c r="E8" s="958"/>
      <c r="F8" s="969"/>
      <c r="G8" s="958"/>
      <c r="H8" s="958"/>
      <c r="I8" s="958"/>
      <c r="J8" s="958"/>
      <c r="K8" s="960"/>
      <c r="L8" s="962"/>
      <c r="M8" s="965"/>
      <c r="N8" s="332"/>
      <c r="O8" s="1006"/>
      <c r="P8" s="967"/>
      <c r="Q8" s="963"/>
      <c r="R8" s="82">
        <v>1</v>
      </c>
    </row>
    <row r="9" spans="1:18" ht="33">
      <c r="A9" s="333" t="s">
        <v>10</v>
      </c>
      <c r="B9" s="334" t="s">
        <v>12</v>
      </c>
      <c r="C9" s="335" t="s">
        <v>4</v>
      </c>
      <c r="D9" s="336"/>
      <c r="E9" s="336"/>
      <c r="F9" s="336"/>
      <c r="G9" s="336">
        <f>I9</f>
        <v>308240521.00000006</v>
      </c>
      <c r="H9" s="336"/>
      <c r="I9" s="419">
        <f>I10+I354+I380+I420+I424+I444+I464+I467+I468+I470</f>
        <v>308240521.00000006</v>
      </c>
      <c r="J9" s="419">
        <f>J10+J354+J380+J420+J424+J444+J464+J467+J468+J470</f>
        <v>323647565.53000009</v>
      </c>
      <c r="K9" s="540">
        <f>K10+K354+K380+K420+K424+K444+K464+K467+K468+K470</f>
        <v>23104847.27</v>
      </c>
      <c r="L9" s="453">
        <f>L10+L354+L380+L420+L424+L444+L464+L467+L468+L470</f>
        <v>-7697802.7400000002</v>
      </c>
      <c r="M9" s="419"/>
      <c r="N9" s="11" t="s">
        <v>243</v>
      </c>
      <c r="O9" s="338">
        <f>K9+L9</f>
        <v>15407044.529999999</v>
      </c>
      <c r="P9" s="759">
        <f>J9-I9</f>
        <v>15407044.530000031</v>
      </c>
      <c r="R9" s="82">
        <v>1</v>
      </c>
    </row>
    <row r="10" spans="1:18" ht="33">
      <c r="A10" s="333" t="s">
        <v>2152</v>
      </c>
      <c r="B10" s="334" t="s">
        <v>2</v>
      </c>
      <c r="C10" s="335" t="s">
        <v>4</v>
      </c>
      <c r="D10" s="336"/>
      <c r="E10" s="336"/>
      <c r="F10" s="336"/>
      <c r="G10" s="336">
        <f>I10</f>
        <v>232868088.52999997</v>
      </c>
      <c r="H10" s="336"/>
      <c r="I10" s="419">
        <f>I11+I37+I126+I166+I195+I215+I232+I310+I344</f>
        <v>232868088.52999997</v>
      </c>
      <c r="J10" s="419">
        <f>J11+J37+J126+J166+J195+J215+J232+J310+J344</f>
        <v>245463991.91</v>
      </c>
      <c r="K10" s="540">
        <f>K11+K37+K126+K166+K195+K215+K232+K310+K344</f>
        <v>20293706.119999997</v>
      </c>
      <c r="L10" s="453">
        <f>L11+L37+L126+L166+L195+L215+L232+L310+L344</f>
        <v>-7697802.7400000002</v>
      </c>
      <c r="M10" s="231" t="s">
        <v>242</v>
      </c>
      <c r="N10" s="11" t="s">
        <v>243</v>
      </c>
      <c r="O10" s="341"/>
      <c r="P10" s="339"/>
      <c r="R10" s="82">
        <v>1</v>
      </c>
    </row>
    <row r="11" spans="1:18" ht="33">
      <c r="A11" s="406" t="s">
        <v>2153</v>
      </c>
      <c r="B11" s="407" t="s">
        <v>244</v>
      </c>
      <c r="C11" s="408" t="s">
        <v>4</v>
      </c>
      <c r="D11" s="409"/>
      <c r="E11" s="409"/>
      <c r="F11" s="409"/>
      <c r="G11" s="409">
        <v>61233815.539999999</v>
      </c>
      <c r="H11" s="409"/>
      <c r="I11" s="411">
        <f>SUM(I12:I36)</f>
        <v>61233815.539999984</v>
      </c>
      <c r="J11" s="411">
        <f>SUM(J12:J36)</f>
        <v>61418256.479999982</v>
      </c>
      <c r="K11" s="541">
        <f>SUM(K12:K36)</f>
        <v>5176911.3099999996</v>
      </c>
      <c r="L11" s="454">
        <f>SUM(L12:L36)</f>
        <v>-4992470.37</v>
      </c>
      <c r="M11" s="288" t="s">
        <v>242</v>
      </c>
      <c r="N11" s="11" t="s">
        <v>243</v>
      </c>
      <c r="O11" s="338"/>
      <c r="P11" s="339"/>
      <c r="R11" s="82">
        <v>1</v>
      </c>
    </row>
    <row r="12" spans="1:18" ht="33" hidden="1">
      <c r="A12" s="333" t="s">
        <v>2154</v>
      </c>
      <c r="B12" s="334" t="s">
        <v>245</v>
      </c>
      <c r="C12" s="335" t="s">
        <v>6</v>
      </c>
      <c r="D12" s="336">
        <v>720.24</v>
      </c>
      <c r="E12" s="336">
        <f>估驗單!F8</f>
        <v>720.24</v>
      </c>
      <c r="F12" s="390"/>
      <c r="G12" s="336">
        <v>193.11</v>
      </c>
      <c r="H12" s="336"/>
      <c r="I12" s="336">
        <f t="shared" ref="I12:I36" si="0">ROUND(D12*G12,2)</f>
        <v>139085.54999999999</v>
      </c>
      <c r="J12" s="336">
        <f t="shared" ref="J12:J36" si="1">ROUND(E12*G12,2)</f>
        <v>139085.54999999999</v>
      </c>
      <c r="K12" s="546">
        <f>J12-I12</f>
        <v>0</v>
      </c>
      <c r="L12" s="546">
        <f>I12-J12</f>
        <v>0</v>
      </c>
      <c r="M12" s="231" t="s">
        <v>242</v>
      </c>
      <c r="N12" s="11" t="s">
        <v>243</v>
      </c>
      <c r="O12" s="341"/>
      <c r="P12" s="339"/>
    </row>
    <row r="13" spans="1:18" ht="33" hidden="1">
      <c r="A13" s="333" t="s">
        <v>2155</v>
      </c>
      <c r="B13" s="334" t="s">
        <v>247</v>
      </c>
      <c r="C13" s="335" t="s">
        <v>6</v>
      </c>
      <c r="D13" s="336">
        <v>4813.4399999999996</v>
      </c>
      <c r="E13" s="336">
        <f>估驗單!F9</f>
        <v>4813.4399999999996</v>
      </c>
      <c r="F13" s="390"/>
      <c r="G13" s="336">
        <v>1046.1600000000001</v>
      </c>
      <c r="H13" s="336"/>
      <c r="I13" s="336">
        <f t="shared" si="0"/>
        <v>5035628.3899999997</v>
      </c>
      <c r="J13" s="336">
        <f t="shared" si="1"/>
        <v>5035628.3899999997</v>
      </c>
      <c r="K13" s="546">
        <f t="shared" ref="K13:K76" si="2">J13-I13</f>
        <v>0</v>
      </c>
      <c r="L13" s="546">
        <f t="shared" ref="L13:L36" si="3">I13-J13</f>
        <v>0</v>
      </c>
      <c r="M13" s="231" t="s">
        <v>242</v>
      </c>
      <c r="N13" s="11" t="s">
        <v>243</v>
      </c>
      <c r="O13" s="341"/>
      <c r="P13" s="339"/>
    </row>
    <row r="14" spans="1:18" ht="33" hidden="1">
      <c r="A14" s="333" t="s">
        <v>2156</v>
      </c>
      <c r="B14" s="334" t="s">
        <v>249</v>
      </c>
      <c r="C14" s="335" t="s">
        <v>8</v>
      </c>
      <c r="D14" s="336">
        <v>1743</v>
      </c>
      <c r="E14" s="336">
        <f>估驗單!F10</f>
        <v>1743</v>
      </c>
      <c r="F14" s="390"/>
      <c r="G14" s="336">
        <v>6199.66</v>
      </c>
      <c r="H14" s="336"/>
      <c r="I14" s="336">
        <f t="shared" si="0"/>
        <v>10806007.380000001</v>
      </c>
      <c r="J14" s="336">
        <f t="shared" si="1"/>
        <v>10806007.380000001</v>
      </c>
      <c r="K14" s="546">
        <f t="shared" si="2"/>
        <v>0</v>
      </c>
      <c r="L14" s="546">
        <f t="shared" si="3"/>
        <v>0</v>
      </c>
      <c r="M14" s="231"/>
      <c r="N14" s="11" t="s">
        <v>243</v>
      </c>
      <c r="O14" s="341"/>
      <c r="P14" s="339"/>
    </row>
    <row r="15" spans="1:18" ht="45" hidden="1">
      <c r="A15" s="333" t="s">
        <v>2157</v>
      </c>
      <c r="B15" s="632" t="s">
        <v>194</v>
      </c>
      <c r="C15" s="335" t="s">
        <v>23</v>
      </c>
      <c r="D15" s="336">
        <v>28009.56</v>
      </c>
      <c r="E15" s="336">
        <f>估驗單!F11</f>
        <v>28009.56</v>
      </c>
      <c r="F15" s="453"/>
      <c r="G15" s="336">
        <v>48.28</v>
      </c>
      <c r="H15" s="336"/>
      <c r="I15" s="336">
        <f t="shared" si="0"/>
        <v>1352301.56</v>
      </c>
      <c r="J15" s="336">
        <f t="shared" si="1"/>
        <v>1352301.56</v>
      </c>
      <c r="K15" s="546"/>
      <c r="L15" s="453"/>
      <c r="M15" s="231"/>
      <c r="N15" s="11" t="s">
        <v>243</v>
      </c>
      <c r="O15" s="341" t="s">
        <v>2966</v>
      </c>
      <c r="P15" s="339"/>
      <c r="Q15" s="325" t="s">
        <v>2957</v>
      </c>
    </row>
    <row r="16" spans="1:18" ht="33" hidden="1">
      <c r="A16" s="333" t="s">
        <v>2158</v>
      </c>
      <c r="B16" s="334" t="s">
        <v>252</v>
      </c>
      <c r="C16" s="335" t="s">
        <v>6</v>
      </c>
      <c r="D16" s="336">
        <v>4726.67</v>
      </c>
      <c r="E16" s="336">
        <f>估驗單!F12</f>
        <v>4726.67</v>
      </c>
      <c r="F16" s="390"/>
      <c r="G16" s="336">
        <v>599.71</v>
      </c>
      <c r="H16" s="336"/>
      <c r="I16" s="336">
        <f t="shared" si="0"/>
        <v>2834631.27</v>
      </c>
      <c r="J16" s="336">
        <f t="shared" si="1"/>
        <v>2834631.27</v>
      </c>
      <c r="K16" s="546">
        <f t="shared" si="2"/>
        <v>0</v>
      </c>
      <c r="L16" s="546">
        <f t="shared" si="3"/>
        <v>0</v>
      </c>
      <c r="M16" s="231"/>
      <c r="N16" s="11" t="s">
        <v>243</v>
      </c>
      <c r="O16" s="341"/>
      <c r="P16" s="339"/>
    </row>
    <row r="17" spans="1:18" ht="45" hidden="1">
      <c r="A17" s="333" t="s">
        <v>2159</v>
      </c>
      <c r="B17" s="632" t="s">
        <v>255</v>
      </c>
      <c r="C17" s="335" t="s">
        <v>6</v>
      </c>
      <c r="D17" s="336">
        <v>13120</v>
      </c>
      <c r="E17" s="336">
        <f>估驗單!F13</f>
        <v>13120</v>
      </c>
      <c r="F17" s="390"/>
      <c r="G17" s="336">
        <v>104.64</v>
      </c>
      <c r="H17" s="336"/>
      <c r="I17" s="336">
        <f t="shared" si="0"/>
        <v>1372876.8</v>
      </c>
      <c r="J17" s="336">
        <f t="shared" si="1"/>
        <v>1372876.8</v>
      </c>
      <c r="K17" s="546">
        <f t="shared" si="2"/>
        <v>0</v>
      </c>
      <c r="L17" s="546"/>
      <c r="M17" s="231"/>
      <c r="N17" s="11" t="s">
        <v>243</v>
      </c>
      <c r="O17" s="341" t="s">
        <v>2958</v>
      </c>
      <c r="P17" s="339" t="s">
        <v>2914</v>
      </c>
      <c r="Q17" s="293" t="s">
        <v>2959</v>
      </c>
    </row>
    <row r="18" spans="1:18" ht="42.75">
      <c r="A18" s="503" t="s">
        <v>2160</v>
      </c>
      <c r="B18" s="504" t="s">
        <v>258</v>
      </c>
      <c r="C18" s="505" t="s">
        <v>23</v>
      </c>
      <c r="D18" s="506">
        <v>13251</v>
      </c>
      <c r="E18" s="506">
        <f>'數量計算(FOR4變)'!I54</f>
        <v>18245</v>
      </c>
      <c r="F18" s="507">
        <f>E18-D18</f>
        <v>4994</v>
      </c>
      <c r="G18" s="506">
        <v>1027.3699999999999</v>
      </c>
      <c r="H18" s="506"/>
      <c r="I18" s="506">
        <f t="shared" si="0"/>
        <v>13613679.869999999</v>
      </c>
      <c r="J18" s="506">
        <f t="shared" si="1"/>
        <v>18744365.649999999</v>
      </c>
      <c r="K18" s="547">
        <f t="shared" si="2"/>
        <v>5130685.7799999993</v>
      </c>
      <c r="L18" s="547"/>
      <c r="M18" s="520" t="s">
        <v>3058</v>
      </c>
      <c r="N18" s="11" t="s">
        <v>243</v>
      </c>
      <c r="O18" s="474" t="s">
        <v>3010</v>
      </c>
      <c r="P18" s="339" t="s">
        <v>3059</v>
      </c>
      <c r="Q18" s="293" t="s">
        <v>3008</v>
      </c>
      <c r="R18" s="82">
        <v>1</v>
      </c>
    </row>
    <row r="19" spans="1:18" ht="33">
      <c r="A19" s="503" t="s">
        <v>2161</v>
      </c>
      <c r="B19" s="504" t="s">
        <v>261</v>
      </c>
      <c r="C19" s="505" t="s">
        <v>6</v>
      </c>
      <c r="D19" s="506">
        <v>4601.4399999999996</v>
      </c>
      <c r="E19" s="751" t="str">
        <f>估驗單!F15</f>
        <v>0_x000D_</v>
      </c>
      <c r="F19" s="519">
        <f>0-D19</f>
        <v>-4601.4399999999996</v>
      </c>
      <c r="G19" s="506">
        <v>1084.98</v>
      </c>
      <c r="H19" s="506"/>
      <c r="I19" s="506">
        <f t="shared" si="0"/>
        <v>4992470.37</v>
      </c>
      <c r="J19" s="506">
        <v>0</v>
      </c>
      <c r="K19" s="547"/>
      <c r="L19" s="519">
        <f>J19-I19</f>
        <v>-4992470.37</v>
      </c>
      <c r="M19" s="508" t="s">
        <v>242</v>
      </c>
      <c r="N19" s="11" t="s">
        <v>243</v>
      </c>
      <c r="O19" s="474" t="s">
        <v>3010</v>
      </c>
      <c r="P19" s="339"/>
      <c r="Q19" s="147" t="s">
        <v>3028</v>
      </c>
      <c r="R19" s="82">
        <v>1</v>
      </c>
    </row>
    <row r="20" spans="1:18" ht="42.75" hidden="1">
      <c r="A20" s="333" t="s">
        <v>2162</v>
      </c>
      <c r="B20" s="334" t="s">
        <v>264</v>
      </c>
      <c r="C20" s="335" t="s">
        <v>13</v>
      </c>
      <c r="D20" s="336">
        <v>2588.5</v>
      </c>
      <c r="E20" s="336">
        <f>估驗單!F16</f>
        <v>2588.5</v>
      </c>
      <c r="F20" s="390"/>
      <c r="G20" s="336">
        <v>30.45</v>
      </c>
      <c r="H20" s="336"/>
      <c r="I20" s="336">
        <f t="shared" si="0"/>
        <v>78819.83</v>
      </c>
      <c r="J20" s="336">
        <f t="shared" si="1"/>
        <v>78819.83</v>
      </c>
      <c r="K20" s="546">
        <f t="shared" si="2"/>
        <v>0</v>
      </c>
      <c r="L20" s="546">
        <f t="shared" si="3"/>
        <v>0</v>
      </c>
      <c r="M20" s="231"/>
      <c r="N20" s="11" t="s">
        <v>243</v>
      </c>
      <c r="O20" s="341"/>
      <c r="P20" s="339"/>
    </row>
    <row r="21" spans="1:18" ht="33" hidden="1">
      <c r="A21" s="333" t="s">
        <v>2163</v>
      </c>
      <c r="B21" s="334" t="s">
        <v>267</v>
      </c>
      <c r="C21" s="335" t="s">
        <v>13</v>
      </c>
      <c r="D21" s="336">
        <v>9177</v>
      </c>
      <c r="E21" s="336">
        <f>估驗單!F17</f>
        <v>9177</v>
      </c>
      <c r="F21" s="390"/>
      <c r="G21" s="336">
        <v>28.48</v>
      </c>
      <c r="H21" s="336"/>
      <c r="I21" s="336">
        <f t="shared" si="0"/>
        <v>261360.96</v>
      </c>
      <c r="J21" s="336">
        <f t="shared" si="1"/>
        <v>261360.96</v>
      </c>
      <c r="K21" s="546">
        <f t="shared" si="2"/>
        <v>0</v>
      </c>
      <c r="L21" s="546">
        <f t="shared" si="3"/>
        <v>0</v>
      </c>
      <c r="M21" s="231" t="s">
        <v>242</v>
      </c>
      <c r="N21" s="11" t="s">
        <v>243</v>
      </c>
      <c r="O21" s="341"/>
      <c r="P21" s="339"/>
    </row>
    <row r="22" spans="1:18" ht="33" hidden="1">
      <c r="A22" s="333" t="s">
        <v>2164</v>
      </c>
      <c r="B22" s="334" t="s">
        <v>270</v>
      </c>
      <c r="C22" s="335" t="s">
        <v>8</v>
      </c>
      <c r="D22" s="336">
        <v>162.5</v>
      </c>
      <c r="E22" s="336">
        <f>估驗單!F18</f>
        <v>162.5</v>
      </c>
      <c r="F22" s="390"/>
      <c r="G22" s="336">
        <v>65.400000000000006</v>
      </c>
      <c r="H22" s="336"/>
      <c r="I22" s="336">
        <f t="shared" si="0"/>
        <v>10627.5</v>
      </c>
      <c r="J22" s="336">
        <f t="shared" si="1"/>
        <v>10627.5</v>
      </c>
      <c r="K22" s="546">
        <f t="shared" si="2"/>
        <v>0</v>
      </c>
      <c r="L22" s="546">
        <f t="shared" si="3"/>
        <v>0</v>
      </c>
      <c r="M22" s="231" t="s">
        <v>242</v>
      </c>
      <c r="N22" s="11" t="s">
        <v>243</v>
      </c>
      <c r="O22" s="341"/>
      <c r="P22" s="339"/>
    </row>
    <row r="23" spans="1:18" ht="33" hidden="1">
      <c r="A23" s="333" t="s">
        <v>2165</v>
      </c>
      <c r="B23" s="334" t="s">
        <v>273</v>
      </c>
      <c r="C23" s="335" t="s">
        <v>13</v>
      </c>
      <c r="D23" s="336">
        <v>5217.7</v>
      </c>
      <c r="E23" s="336">
        <f>估驗單!F19</f>
        <v>5217.7</v>
      </c>
      <c r="F23" s="390"/>
      <c r="G23" s="336">
        <v>20.190000000000001</v>
      </c>
      <c r="H23" s="336"/>
      <c r="I23" s="336">
        <f t="shared" si="0"/>
        <v>105345.36</v>
      </c>
      <c r="J23" s="336">
        <f t="shared" si="1"/>
        <v>105345.36</v>
      </c>
      <c r="K23" s="546">
        <f t="shared" si="2"/>
        <v>0</v>
      </c>
      <c r="L23" s="546">
        <f t="shared" si="3"/>
        <v>0</v>
      </c>
      <c r="M23" s="231" t="s">
        <v>242</v>
      </c>
      <c r="N23" s="11" t="s">
        <v>243</v>
      </c>
      <c r="O23" s="341"/>
      <c r="P23" s="339"/>
    </row>
    <row r="24" spans="1:18" ht="33" hidden="1">
      <c r="A24" s="343" t="s">
        <v>2166</v>
      </c>
      <c r="B24" s="344" t="s">
        <v>276</v>
      </c>
      <c r="C24" s="345" t="s">
        <v>6</v>
      </c>
      <c r="D24" s="340">
        <v>782.66</v>
      </c>
      <c r="E24" s="336">
        <f>估驗單!F20</f>
        <v>782.66</v>
      </c>
      <c r="F24" s="390"/>
      <c r="G24" s="340">
        <v>2286.6799999999998</v>
      </c>
      <c r="H24" s="340"/>
      <c r="I24" s="336">
        <f t="shared" si="0"/>
        <v>1789692.97</v>
      </c>
      <c r="J24" s="336">
        <f t="shared" si="1"/>
        <v>1789692.97</v>
      </c>
      <c r="K24" s="546">
        <f t="shared" si="2"/>
        <v>0</v>
      </c>
      <c r="L24" s="546">
        <f t="shared" si="3"/>
        <v>0</v>
      </c>
      <c r="M24" s="346"/>
      <c r="N24" s="347" t="s">
        <v>243</v>
      </c>
      <c r="O24" s="348"/>
      <c r="P24" s="349"/>
    </row>
    <row r="25" spans="1:18" ht="33" hidden="1">
      <c r="A25" s="333" t="s">
        <v>2167</v>
      </c>
      <c r="B25" s="334" t="s">
        <v>279</v>
      </c>
      <c r="C25" s="335" t="s">
        <v>14</v>
      </c>
      <c r="D25" s="336">
        <v>425</v>
      </c>
      <c r="E25" s="336">
        <f>估驗單!F21</f>
        <v>425</v>
      </c>
      <c r="F25" s="390"/>
      <c r="G25" s="336">
        <v>521.15</v>
      </c>
      <c r="H25" s="336"/>
      <c r="I25" s="336">
        <f t="shared" si="0"/>
        <v>221488.75</v>
      </c>
      <c r="J25" s="336">
        <f t="shared" si="1"/>
        <v>221488.75</v>
      </c>
      <c r="K25" s="546">
        <f t="shared" si="2"/>
        <v>0</v>
      </c>
      <c r="L25" s="546">
        <f t="shared" si="3"/>
        <v>0</v>
      </c>
      <c r="M25" s="231"/>
      <c r="N25" s="11" t="s">
        <v>243</v>
      </c>
      <c r="O25" s="341"/>
      <c r="P25" s="339"/>
    </row>
    <row r="26" spans="1:18" ht="33">
      <c r="A26" s="503" t="s">
        <v>2168</v>
      </c>
      <c r="B26" s="504" t="s">
        <v>282</v>
      </c>
      <c r="C26" s="505" t="s">
        <v>8</v>
      </c>
      <c r="D26" s="506">
        <v>255.5</v>
      </c>
      <c r="E26" s="506">
        <f>估驗單!F22</f>
        <v>415.08000000000004</v>
      </c>
      <c r="F26" s="507">
        <f t="shared" ref="F26:F89" si="4">E26-D26</f>
        <v>159.58000000000004</v>
      </c>
      <c r="G26" s="506">
        <v>289.67</v>
      </c>
      <c r="H26" s="506"/>
      <c r="I26" s="506">
        <f t="shared" si="0"/>
        <v>74010.69</v>
      </c>
      <c r="J26" s="506">
        <f t="shared" si="1"/>
        <v>120236.22</v>
      </c>
      <c r="K26" s="547">
        <f t="shared" si="2"/>
        <v>46225.53</v>
      </c>
      <c r="L26" s="547"/>
      <c r="M26" s="508" t="s">
        <v>242</v>
      </c>
      <c r="N26" s="11" t="s">
        <v>243</v>
      </c>
      <c r="O26" s="341" t="s">
        <v>2877</v>
      </c>
      <c r="P26" s="339" t="s">
        <v>2890</v>
      </c>
      <c r="Q26" s="586" t="s">
        <v>2891</v>
      </c>
      <c r="R26" s="82">
        <v>1</v>
      </c>
    </row>
    <row r="27" spans="1:18" ht="33" hidden="1">
      <c r="A27" s="333" t="s">
        <v>2169</v>
      </c>
      <c r="B27" s="334" t="s">
        <v>285</v>
      </c>
      <c r="C27" s="335" t="s">
        <v>286</v>
      </c>
      <c r="D27" s="336">
        <v>2204</v>
      </c>
      <c r="E27" s="336">
        <f>估驗單!F23</f>
        <v>2204</v>
      </c>
      <c r="F27" s="390"/>
      <c r="G27" s="336">
        <v>3082.11</v>
      </c>
      <c r="H27" s="336"/>
      <c r="I27" s="336">
        <f t="shared" si="0"/>
        <v>6792970.4400000004</v>
      </c>
      <c r="J27" s="336">
        <f t="shared" si="1"/>
        <v>6792970.4400000004</v>
      </c>
      <c r="K27" s="546">
        <f t="shared" si="2"/>
        <v>0</v>
      </c>
      <c r="L27" s="546">
        <f t="shared" si="3"/>
        <v>0</v>
      </c>
      <c r="M27" s="231" t="s">
        <v>242</v>
      </c>
      <c r="N27" s="11" t="s">
        <v>243</v>
      </c>
      <c r="O27" s="341"/>
      <c r="P27" s="339"/>
    </row>
    <row r="28" spans="1:18" ht="33" hidden="1">
      <c r="A28" s="333" t="s">
        <v>2170</v>
      </c>
      <c r="B28" s="334" t="s">
        <v>289</v>
      </c>
      <c r="C28" s="335" t="s">
        <v>290</v>
      </c>
      <c r="D28" s="336">
        <v>66</v>
      </c>
      <c r="E28" s="336">
        <f>估驗單!F24</f>
        <v>66</v>
      </c>
      <c r="F28" s="390"/>
      <c r="G28" s="336">
        <v>3311.26</v>
      </c>
      <c r="H28" s="336"/>
      <c r="I28" s="336">
        <f t="shared" si="0"/>
        <v>218543.16</v>
      </c>
      <c r="J28" s="336">
        <f t="shared" si="1"/>
        <v>218543.16</v>
      </c>
      <c r="K28" s="546">
        <f t="shared" si="2"/>
        <v>0</v>
      </c>
      <c r="L28" s="546">
        <f t="shared" si="3"/>
        <v>0</v>
      </c>
      <c r="M28" s="231"/>
      <c r="N28" s="11" t="s">
        <v>243</v>
      </c>
      <c r="O28" s="341"/>
      <c r="P28" s="339"/>
    </row>
    <row r="29" spans="1:18" ht="33" hidden="1">
      <c r="A29" s="333" t="s">
        <v>2171</v>
      </c>
      <c r="B29" s="334" t="s">
        <v>293</v>
      </c>
      <c r="C29" s="335" t="s">
        <v>0</v>
      </c>
      <c r="D29" s="336">
        <v>18</v>
      </c>
      <c r="E29" s="336">
        <f>估驗單!F25</f>
        <v>18</v>
      </c>
      <c r="F29" s="390"/>
      <c r="G29" s="336">
        <v>1199.93</v>
      </c>
      <c r="H29" s="336"/>
      <c r="I29" s="336">
        <f t="shared" si="0"/>
        <v>21598.74</v>
      </c>
      <c r="J29" s="336">
        <f t="shared" si="1"/>
        <v>21598.74</v>
      </c>
      <c r="K29" s="546">
        <f t="shared" si="2"/>
        <v>0</v>
      </c>
      <c r="L29" s="546">
        <f t="shared" si="3"/>
        <v>0</v>
      </c>
      <c r="M29" s="231"/>
      <c r="N29" s="11" t="s">
        <v>243</v>
      </c>
      <c r="O29" s="341"/>
      <c r="P29" s="339"/>
    </row>
    <row r="30" spans="1:18" ht="33" hidden="1">
      <c r="A30" s="333" t="s">
        <v>2172</v>
      </c>
      <c r="B30" s="334" t="s">
        <v>296</v>
      </c>
      <c r="C30" s="335" t="s">
        <v>0</v>
      </c>
      <c r="D30" s="336">
        <v>4</v>
      </c>
      <c r="E30" s="336">
        <f>估驗單!F26</f>
        <v>4</v>
      </c>
      <c r="F30" s="390"/>
      <c r="G30" s="336">
        <v>2999.84</v>
      </c>
      <c r="H30" s="336"/>
      <c r="I30" s="336">
        <f t="shared" si="0"/>
        <v>11999.36</v>
      </c>
      <c r="J30" s="336">
        <f t="shared" si="1"/>
        <v>11999.36</v>
      </c>
      <c r="K30" s="546">
        <f t="shared" si="2"/>
        <v>0</v>
      </c>
      <c r="L30" s="546">
        <f t="shared" si="3"/>
        <v>0</v>
      </c>
      <c r="M30" s="231"/>
      <c r="N30" s="11" t="s">
        <v>243</v>
      </c>
      <c r="O30" s="341"/>
      <c r="P30" s="339"/>
    </row>
    <row r="31" spans="1:18" ht="33" hidden="1">
      <c r="A31" s="333" t="s">
        <v>2173</v>
      </c>
      <c r="B31" s="334" t="s">
        <v>299</v>
      </c>
      <c r="C31" s="335" t="s">
        <v>0</v>
      </c>
      <c r="D31" s="336">
        <v>20</v>
      </c>
      <c r="E31" s="336">
        <f>估驗單!F27</f>
        <v>20</v>
      </c>
      <c r="F31" s="390"/>
      <c r="G31" s="336">
        <v>2999.84</v>
      </c>
      <c r="H31" s="336"/>
      <c r="I31" s="336">
        <f t="shared" si="0"/>
        <v>59996.800000000003</v>
      </c>
      <c r="J31" s="336">
        <f t="shared" si="1"/>
        <v>59996.800000000003</v>
      </c>
      <c r="K31" s="546">
        <f t="shared" si="2"/>
        <v>0</v>
      </c>
      <c r="L31" s="546">
        <f t="shared" si="3"/>
        <v>0</v>
      </c>
      <c r="M31" s="231"/>
      <c r="N31" s="11" t="s">
        <v>243</v>
      </c>
      <c r="O31" s="341"/>
      <c r="P31" s="339"/>
    </row>
    <row r="32" spans="1:18" ht="33" hidden="1">
      <c r="A32" s="333" t="s">
        <v>2174</v>
      </c>
      <c r="B32" s="334" t="s">
        <v>302</v>
      </c>
      <c r="C32" s="335" t="s">
        <v>0</v>
      </c>
      <c r="D32" s="336">
        <v>15</v>
      </c>
      <c r="E32" s="336">
        <f>估驗單!F28</f>
        <v>15</v>
      </c>
      <c r="F32" s="390"/>
      <c r="G32" s="336">
        <v>2999.84</v>
      </c>
      <c r="H32" s="336"/>
      <c r="I32" s="336">
        <f t="shared" si="0"/>
        <v>44997.599999999999</v>
      </c>
      <c r="J32" s="336">
        <f t="shared" si="1"/>
        <v>44997.599999999999</v>
      </c>
      <c r="K32" s="546">
        <f t="shared" si="2"/>
        <v>0</v>
      </c>
      <c r="L32" s="546">
        <f t="shared" si="3"/>
        <v>0</v>
      </c>
      <c r="M32" s="231"/>
      <c r="N32" s="11" t="s">
        <v>243</v>
      </c>
      <c r="O32" s="341"/>
      <c r="P32" s="339"/>
    </row>
    <row r="33" spans="1:19" ht="33" hidden="1">
      <c r="A33" s="333" t="s">
        <v>2175</v>
      </c>
      <c r="B33" s="334" t="s">
        <v>305</v>
      </c>
      <c r="C33" s="335" t="s">
        <v>4</v>
      </c>
      <c r="D33" s="336">
        <v>1</v>
      </c>
      <c r="E33" s="336">
        <f>估驗單!F29</f>
        <v>1</v>
      </c>
      <c r="F33" s="390"/>
      <c r="G33" s="336">
        <v>399978.19</v>
      </c>
      <c r="H33" s="336"/>
      <c r="I33" s="336">
        <f t="shared" si="0"/>
        <v>399978.19</v>
      </c>
      <c r="J33" s="336">
        <f t="shared" si="1"/>
        <v>399978.19</v>
      </c>
      <c r="K33" s="546">
        <f t="shared" si="2"/>
        <v>0</v>
      </c>
      <c r="L33" s="546">
        <f t="shared" si="3"/>
        <v>0</v>
      </c>
      <c r="M33" s="231"/>
      <c r="N33" s="11" t="s">
        <v>243</v>
      </c>
      <c r="O33" s="341"/>
      <c r="P33" s="339"/>
    </row>
    <row r="34" spans="1:19" ht="33" hidden="1">
      <c r="A34" s="333" t="s">
        <v>2177</v>
      </c>
      <c r="B34" s="334" t="s">
        <v>31</v>
      </c>
      <c r="C34" s="335" t="s">
        <v>16</v>
      </c>
      <c r="D34" s="336">
        <v>30800</v>
      </c>
      <c r="E34" s="336">
        <f>估驗單!F30</f>
        <v>30800</v>
      </c>
      <c r="F34" s="390">
        <f t="shared" si="4"/>
        <v>0</v>
      </c>
      <c r="G34" s="336">
        <v>280</v>
      </c>
      <c r="H34" s="336"/>
      <c r="I34" s="336">
        <f t="shared" si="0"/>
        <v>8624000</v>
      </c>
      <c r="J34" s="336">
        <f t="shared" si="1"/>
        <v>8624000</v>
      </c>
      <c r="K34" s="546">
        <f t="shared" si="2"/>
        <v>0</v>
      </c>
      <c r="L34" s="546">
        <f t="shared" si="3"/>
        <v>0</v>
      </c>
      <c r="M34" s="231"/>
      <c r="N34" s="11" t="s">
        <v>243</v>
      </c>
      <c r="O34" s="341"/>
      <c r="P34" s="339"/>
    </row>
    <row r="35" spans="1:19" ht="33" hidden="1">
      <c r="A35" s="333" t="s">
        <v>2178</v>
      </c>
      <c r="B35" s="334" t="s">
        <v>1312</v>
      </c>
      <c r="C35" s="335" t="s">
        <v>13</v>
      </c>
      <c r="D35" s="336">
        <v>2150</v>
      </c>
      <c r="E35" s="336">
        <f>估驗單!F31</f>
        <v>2150</v>
      </c>
      <c r="F35" s="390">
        <f t="shared" si="4"/>
        <v>0</v>
      </c>
      <c r="G35" s="336">
        <v>70.56</v>
      </c>
      <c r="H35" s="336"/>
      <c r="I35" s="336">
        <f t="shared" si="0"/>
        <v>151704</v>
      </c>
      <c r="J35" s="336">
        <f t="shared" si="1"/>
        <v>151704</v>
      </c>
      <c r="K35" s="546">
        <f t="shared" si="2"/>
        <v>0</v>
      </c>
      <c r="L35" s="546">
        <f t="shared" si="3"/>
        <v>0</v>
      </c>
      <c r="M35" s="231"/>
      <c r="N35" s="11" t="s">
        <v>243</v>
      </c>
      <c r="O35" s="341"/>
      <c r="P35" s="339"/>
    </row>
    <row r="36" spans="1:19" s="352" customFormat="1" ht="33" hidden="1">
      <c r="A36" s="343">
        <v>25</v>
      </c>
      <c r="B36" s="344" t="s">
        <v>2327</v>
      </c>
      <c r="C36" s="335" t="s">
        <v>2328</v>
      </c>
      <c r="D36" s="340">
        <v>111</v>
      </c>
      <c r="E36" s="336">
        <f>估驗單!F32</f>
        <v>111</v>
      </c>
      <c r="F36" s="390">
        <f t="shared" si="4"/>
        <v>0</v>
      </c>
      <c r="G36" s="340">
        <v>20000</v>
      </c>
      <c r="H36" s="340"/>
      <c r="I36" s="336">
        <f t="shared" si="0"/>
        <v>2220000</v>
      </c>
      <c r="J36" s="336">
        <f t="shared" si="1"/>
        <v>2220000</v>
      </c>
      <c r="K36" s="546">
        <f t="shared" si="2"/>
        <v>0</v>
      </c>
      <c r="L36" s="546">
        <f t="shared" si="3"/>
        <v>0</v>
      </c>
      <c r="M36" s="350"/>
      <c r="N36" s="347" t="s">
        <v>243</v>
      </c>
      <c r="O36" s="348"/>
      <c r="P36" s="351"/>
      <c r="Q36" s="325"/>
      <c r="S36" s="353"/>
    </row>
    <row r="37" spans="1:19" ht="33">
      <c r="A37" s="406" t="s">
        <v>2180</v>
      </c>
      <c r="B37" s="407" t="s">
        <v>309</v>
      </c>
      <c r="C37" s="408" t="s">
        <v>4</v>
      </c>
      <c r="D37" s="409"/>
      <c r="E37" s="409">
        <f>估驗單!F33</f>
        <v>0</v>
      </c>
      <c r="F37" s="410">
        <f t="shared" si="4"/>
        <v>0</v>
      </c>
      <c r="G37" s="409">
        <v>30807124.300000001</v>
      </c>
      <c r="H37" s="409"/>
      <c r="I37" s="409">
        <f>SUM(I38:I125)</f>
        <v>30807124.299999997</v>
      </c>
      <c r="J37" s="409">
        <f>SUM(J38:J125)</f>
        <v>32286202.670000002</v>
      </c>
      <c r="K37" s="542">
        <f>SUM(K38:K125)</f>
        <v>3305690.73</v>
      </c>
      <c r="L37" s="452">
        <f>SUM(L38:L125)</f>
        <v>-1826612.36</v>
      </c>
      <c r="M37" s="288" t="s">
        <v>242</v>
      </c>
      <c r="N37" s="11" t="s">
        <v>243</v>
      </c>
      <c r="O37" s="338"/>
      <c r="P37" s="339"/>
      <c r="R37" s="82">
        <v>1</v>
      </c>
    </row>
    <row r="38" spans="1:19" ht="33" hidden="1">
      <c r="A38" s="333" t="s">
        <v>2154</v>
      </c>
      <c r="B38" s="334" t="s">
        <v>310</v>
      </c>
      <c r="C38" s="335" t="s">
        <v>223</v>
      </c>
      <c r="D38" s="336">
        <v>1887.64</v>
      </c>
      <c r="E38" s="336">
        <f>估驗單!F34</f>
        <v>1887.64</v>
      </c>
      <c r="F38" s="390">
        <f t="shared" si="4"/>
        <v>0</v>
      </c>
      <c r="G38" s="336">
        <v>320.72000000000003</v>
      </c>
      <c r="H38" s="336"/>
      <c r="I38" s="336">
        <f t="shared" ref="I38:I101" si="5">ROUND(D38*G38,2)</f>
        <v>605403.9</v>
      </c>
      <c r="J38" s="336">
        <f t="shared" ref="J38:J101" si="6">ROUND(E38*G38,2)</f>
        <v>605403.9</v>
      </c>
      <c r="K38" s="546">
        <f t="shared" si="2"/>
        <v>0</v>
      </c>
      <c r="L38" s="502"/>
      <c r="M38" s="231" t="s">
        <v>242</v>
      </c>
      <c r="N38" s="11" t="s">
        <v>243</v>
      </c>
      <c r="O38" s="341"/>
      <c r="P38" s="339"/>
    </row>
    <row r="39" spans="1:19" ht="33" hidden="1">
      <c r="A39" s="333" t="s">
        <v>2155</v>
      </c>
      <c r="B39" s="334" t="s">
        <v>312</v>
      </c>
      <c r="C39" s="335" t="s">
        <v>223</v>
      </c>
      <c r="D39" s="336">
        <v>402.21</v>
      </c>
      <c r="E39" s="336">
        <f>估驗單!F35</f>
        <v>402.21</v>
      </c>
      <c r="F39" s="390">
        <f t="shared" si="4"/>
        <v>0</v>
      </c>
      <c r="G39" s="336">
        <v>346.06</v>
      </c>
      <c r="H39" s="336"/>
      <c r="I39" s="336">
        <f t="shared" si="5"/>
        <v>139188.79</v>
      </c>
      <c r="J39" s="336">
        <f t="shared" si="6"/>
        <v>139188.79</v>
      </c>
      <c r="K39" s="546">
        <f t="shared" si="2"/>
        <v>0</v>
      </c>
      <c r="L39" s="502"/>
      <c r="M39" s="231" t="s">
        <v>242</v>
      </c>
      <c r="N39" s="11" t="s">
        <v>243</v>
      </c>
      <c r="O39" s="341"/>
      <c r="P39" s="339"/>
    </row>
    <row r="40" spans="1:19" ht="33" hidden="1">
      <c r="A40" s="333" t="s">
        <v>2156</v>
      </c>
      <c r="B40" s="334" t="s">
        <v>2730</v>
      </c>
      <c r="C40" s="335" t="s">
        <v>17</v>
      </c>
      <c r="D40" s="336">
        <v>18865.759999999998</v>
      </c>
      <c r="E40" s="336">
        <f>估驗單!F36</f>
        <v>18865.759999999998</v>
      </c>
      <c r="F40" s="390">
        <f t="shared" si="4"/>
        <v>0</v>
      </c>
      <c r="G40" s="336">
        <v>36.4</v>
      </c>
      <c r="H40" s="336"/>
      <c r="I40" s="336">
        <f t="shared" si="5"/>
        <v>686713.66</v>
      </c>
      <c r="J40" s="336">
        <f t="shared" si="6"/>
        <v>686713.66</v>
      </c>
      <c r="K40" s="546">
        <f t="shared" si="2"/>
        <v>0</v>
      </c>
      <c r="L40" s="502"/>
      <c r="M40" s="231"/>
      <c r="N40" s="11" t="s">
        <v>243</v>
      </c>
      <c r="O40" s="341"/>
      <c r="P40" s="339"/>
    </row>
    <row r="41" spans="1:19" ht="33" hidden="1">
      <c r="A41" s="333" t="s">
        <v>2157</v>
      </c>
      <c r="B41" s="334" t="s">
        <v>315</v>
      </c>
      <c r="C41" s="335" t="s">
        <v>6</v>
      </c>
      <c r="D41" s="336">
        <v>107.91</v>
      </c>
      <c r="E41" s="336">
        <f>估驗單!F37</f>
        <v>107.91</v>
      </c>
      <c r="F41" s="390">
        <f t="shared" si="4"/>
        <v>0</v>
      </c>
      <c r="G41" s="336">
        <v>3114.97</v>
      </c>
      <c r="H41" s="336"/>
      <c r="I41" s="336">
        <f t="shared" si="5"/>
        <v>336136.41</v>
      </c>
      <c r="J41" s="336">
        <f t="shared" si="6"/>
        <v>336136.41</v>
      </c>
      <c r="K41" s="546">
        <f t="shared" si="2"/>
        <v>0</v>
      </c>
      <c r="L41" s="502"/>
      <c r="M41" s="231" t="s">
        <v>242</v>
      </c>
      <c r="N41" s="11" t="s">
        <v>243</v>
      </c>
      <c r="O41" s="341"/>
      <c r="P41" s="339"/>
    </row>
    <row r="42" spans="1:19" ht="33" hidden="1">
      <c r="A42" s="333" t="s">
        <v>2158</v>
      </c>
      <c r="B42" s="334" t="s">
        <v>24</v>
      </c>
      <c r="C42" s="335" t="s">
        <v>6</v>
      </c>
      <c r="D42" s="336">
        <v>564.01</v>
      </c>
      <c r="E42" s="336">
        <f>估驗單!F38</f>
        <v>564.01</v>
      </c>
      <c r="F42" s="390">
        <f t="shared" si="4"/>
        <v>0</v>
      </c>
      <c r="G42" s="336">
        <v>3320.96</v>
      </c>
      <c r="H42" s="336"/>
      <c r="I42" s="336">
        <f t="shared" si="5"/>
        <v>1873054.65</v>
      </c>
      <c r="J42" s="336">
        <f t="shared" si="6"/>
        <v>1873054.65</v>
      </c>
      <c r="K42" s="546">
        <f t="shared" si="2"/>
        <v>0</v>
      </c>
      <c r="L42" s="502"/>
      <c r="M42" s="231" t="s">
        <v>242</v>
      </c>
      <c r="N42" s="11" t="s">
        <v>243</v>
      </c>
      <c r="O42" s="341"/>
      <c r="P42" s="339"/>
    </row>
    <row r="43" spans="1:19" ht="33" hidden="1">
      <c r="A43" s="333" t="s">
        <v>2159</v>
      </c>
      <c r="B43" s="334" t="s">
        <v>193</v>
      </c>
      <c r="C43" s="335" t="s">
        <v>13</v>
      </c>
      <c r="D43" s="336">
        <v>1926.87</v>
      </c>
      <c r="E43" s="336">
        <f>估驗單!F39</f>
        <v>1926.87</v>
      </c>
      <c r="F43" s="390">
        <f t="shared" si="4"/>
        <v>0</v>
      </c>
      <c r="G43" s="336">
        <v>533.61</v>
      </c>
      <c r="H43" s="336"/>
      <c r="I43" s="336">
        <f t="shared" si="5"/>
        <v>1028197.1</v>
      </c>
      <c r="J43" s="336">
        <f t="shared" si="6"/>
        <v>1028197.1</v>
      </c>
      <c r="K43" s="546">
        <f t="shared" si="2"/>
        <v>0</v>
      </c>
      <c r="L43" s="502"/>
      <c r="M43" s="231"/>
      <c r="N43" s="11" t="s">
        <v>243</v>
      </c>
      <c r="O43" s="341"/>
      <c r="P43" s="339"/>
    </row>
    <row r="44" spans="1:19" ht="33" hidden="1">
      <c r="A44" s="333" t="s">
        <v>2160</v>
      </c>
      <c r="B44" s="334" t="s">
        <v>319</v>
      </c>
      <c r="C44" s="335" t="s">
        <v>13</v>
      </c>
      <c r="D44" s="336">
        <v>301.33</v>
      </c>
      <c r="E44" s="336">
        <f>估驗單!F40</f>
        <v>301.33</v>
      </c>
      <c r="F44" s="390">
        <f t="shared" si="4"/>
        <v>0</v>
      </c>
      <c r="G44" s="336">
        <v>1299.82</v>
      </c>
      <c r="H44" s="336"/>
      <c r="I44" s="336">
        <f t="shared" si="5"/>
        <v>391674.76</v>
      </c>
      <c r="J44" s="336">
        <f t="shared" si="6"/>
        <v>391674.76</v>
      </c>
      <c r="K44" s="546">
        <f t="shared" si="2"/>
        <v>0</v>
      </c>
      <c r="L44" s="502"/>
      <c r="M44" s="231"/>
      <c r="N44" s="11" t="s">
        <v>243</v>
      </c>
      <c r="O44" s="341"/>
      <c r="P44" s="339"/>
    </row>
    <row r="45" spans="1:19" ht="67.5" hidden="1">
      <c r="A45" s="333" t="s">
        <v>2161</v>
      </c>
      <c r="B45" s="632" t="s">
        <v>321</v>
      </c>
      <c r="C45" s="335" t="s">
        <v>17</v>
      </c>
      <c r="D45" s="336">
        <v>5991.34</v>
      </c>
      <c r="E45" s="336">
        <f>估驗單!F41</f>
        <v>5991.34</v>
      </c>
      <c r="F45" s="390">
        <f t="shared" si="4"/>
        <v>0</v>
      </c>
      <c r="G45" s="336">
        <v>60</v>
      </c>
      <c r="H45" s="336"/>
      <c r="I45" s="336">
        <f t="shared" si="5"/>
        <v>359480.4</v>
      </c>
      <c r="J45" s="336">
        <f t="shared" si="6"/>
        <v>359480.4</v>
      </c>
      <c r="K45" s="546">
        <f t="shared" si="2"/>
        <v>0</v>
      </c>
      <c r="L45" s="502"/>
      <c r="M45" s="231"/>
      <c r="N45" s="11" t="s">
        <v>243</v>
      </c>
      <c r="O45" s="341" t="s">
        <v>2995</v>
      </c>
      <c r="P45" s="339" t="s">
        <v>2881</v>
      </c>
      <c r="Q45" s="746" t="s">
        <v>2876</v>
      </c>
    </row>
    <row r="46" spans="1:19" ht="67.5" hidden="1">
      <c r="A46" s="333" t="s">
        <v>2162</v>
      </c>
      <c r="B46" s="632" t="s">
        <v>323</v>
      </c>
      <c r="C46" s="335" t="s">
        <v>17</v>
      </c>
      <c r="D46" s="336">
        <v>5991.34</v>
      </c>
      <c r="E46" s="336">
        <f>估驗單!F42</f>
        <v>5991.34</v>
      </c>
      <c r="F46" s="390">
        <f t="shared" si="4"/>
        <v>0</v>
      </c>
      <c r="G46" s="336">
        <v>31.9</v>
      </c>
      <c r="H46" s="336"/>
      <c r="I46" s="336">
        <f t="shared" si="5"/>
        <v>191123.75</v>
      </c>
      <c r="J46" s="336">
        <f t="shared" si="6"/>
        <v>191123.75</v>
      </c>
      <c r="K46" s="546">
        <f t="shared" si="2"/>
        <v>0</v>
      </c>
      <c r="L46" s="502"/>
      <c r="M46" s="231" t="s">
        <v>242</v>
      </c>
      <c r="N46" s="11" t="s">
        <v>243</v>
      </c>
      <c r="O46" s="341" t="s">
        <v>2995</v>
      </c>
      <c r="P46" s="339" t="s">
        <v>2881</v>
      </c>
      <c r="Q46" s="147" t="s">
        <v>2878</v>
      </c>
    </row>
    <row r="47" spans="1:19" ht="57" hidden="1">
      <c r="A47" s="333" t="s">
        <v>2163</v>
      </c>
      <c r="B47" s="334" t="s">
        <v>325</v>
      </c>
      <c r="C47" s="335" t="s">
        <v>17</v>
      </c>
      <c r="D47" s="336">
        <v>1180.03</v>
      </c>
      <c r="E47" s="336">
        <f>估驗單!F43</f>
        <v>1180.03</v>
      </c>
      <c r="F47" s="390">
        <f t="shared" si="4"/>
        <v>0</v>
      </c>
      <c r="G47" s="336">
        <v>107.3</v>
      </c>
      <c r="H47" s="336"/>
      <c r="I47" s="336">
        <f t="shared" si="5"/>
        <v>126617.22</v>
      </c>
      <c r="J47" s="336">
        <f t="shared" si="6"/>
        <v>126617.22</v>
      </c>
      <c r="K47" s="546">
        <f t="shared" si="2"/>
        <v>0</v>
      </c>
      <c r="L47" s="502"/>
      <c r="M47" s="231"/>
      <c r="N47" s="11" t="s">
        <v>243</v>
      </c>
      <c r="O47" s="341"/>
      <c r="P47" s="339"/>
    </row>
    <row r="48" spans="1:19" ht="33" hidden="1">
      <c r="A48" s="333" t="s">
        <v>2164</v>
      </c>
      <c r="B48" s="334" t="s">
        <v>327</v>
      </c>
      <c r="C48" s="335" t="s">
        <v>13</v>
      </c>
      <c r="D48" s="336">
        <v>3879.21</v>
      </c>
      <c r="E48" s="336">
        <f>估驗單!F44</f>
        <v>3879.21</v>
      </c>
      <c r="F48" s="390">
        <f t="shared" si="4"/>
        <v>0</v>
      </c>
      <c r="G48" s="336">
        <v>3092.69</v>
      </c>
      <c r="H48" s="336"/>
      <c r="I48" s="336">
        <f t="shared" si="5"/>
        <v>11997193.970000001</v>
      </c>
      <c r="J48" s="336">
        <f t="shared" si="6"/>
        <v>11997193.970000001</v>
      </c>
      <c r="K48" s="546">
        <f t="shared" si="2"/>
        <v>0</v>
      </c>
      <c r="L48" s="502"/>
      <c r="M48" s="231" t="s">
        <v>242</v>
      </c>
      <c r="N48" s="11" t="s">
        <v>243</v>
      </c>
      <c r="O48" s="341"/>
      <c r="P48" s="339"/>
    </row>
    <row r="49" spans="1:17" ht="33" hidden="1">
      <c r="A49" s="333" t="s">
        <v>2165</v>
      </c>
      <c r="B49" s="334" t="s">
        <v>329</v>
      </c>
      <c r="C49" s="335" t="s">
        <v>13</v>
      </c>
      <c r="D49" s="336">
        <v>462.9</v>
      </c>
      <c r="E49" s="336">
        <f>估驗單!F45</f>
        <v>462.9</v>
      </c>
      <c r="F49" s="390">
        <f t="shared" si="4"/>
        <v>0</v>
      </c>
      <c r="G49" s="336">
        <v>3961.37</v>
      </c>
      <c r="H49" s="336"/>
      <c r="I49" s="336">
        <f t="shared" si="5"/>
        <v>1833718.17</v>
      </c>
      <c r="J49" s="336">
        <f t="shared" si="6"/>
        <v>1833718.17</v>
      </c>
      <c r="K49" s="546">
        <f t="shared" si="2"/>
        <v>0</v>
      </c>
      <c r="L49" s="502"/>
      <c r="M49" s="231" t="s">
        <v>242</v>
      </c>
      <c r="N49" s="11" t="s">
        <v>243</v>
      </c>
      <c r="O49" s="341"/>
      <c r="P49" s="339"/>
    </row>
    <row r="50" spans="1:17" ht="33" hidden="1">
      <c r="A50" s="333" t="s">
        <v>2166</v>
      </c>
      <c r="B50" s="407" t="s">
        <v>331</v>
      </c>
      <c r="C50" s="335" t="s">
        <v>13</v>
      </c>
      <c r="D50" s="336">
        <v>5.09</v>
      </c>
      <c r="E50" s="336">
        <f>估驗單!F46</f>
        <v>5.09</v>
      </c>
      <c r="F50" s="390">
        <f t="shared" si="4"/>
        <v>0</v>
      </c>
      <c r="G50" s="336">
        <v>3965.59</v>
      </c>
      <c r="H50" s="336"/>
      <c r="I50" s="336">
        <f t="shared" si="5"/>
        <v>20184.849999999999</v>
      </c>
      <c r="J50" s="336">
        <f t="shared" si="6"/>
        <v>20184.849999999999</v>
      </c>
      <c r="K50" s="546">
        <f t="shared" si="2"/>
        <v>0</v>
      </c>
      <c r="L50" s="502"/>
      <c r="M50" s="231" t="s">
        <v>242</v>
      </c>
      <c r="N50" s="11" t="s">
        <v>243</v>
      </c>
      <c r="O50" s="474" t="s">
        <v>2892</v>
      </c>
      <c r="P50" s="339" t="s">
        <v>2880</v>
      </c>
      <c r="Q50" s="147" t="s">
        <v>2879</v>
      </c>
    </row>
    <row r="51" spans="1:17" ht="33" hidden="1">
      <c r="A51" s="333" t="s">
        <v>2167</v>
      </c>
      <c r="B51" s="334" t="s">
        <v>333</v>
      </c>
      <c r="C51" s="335" t="s">
        <v>13</v>
      </c>
      <c r="D51" s="336">
        <v>18.760000000000002</v>
      </c>
      <c r="E51" s="336">
        <f>估驗單!F47</f>
        <v>18.760000000000002</v>
      </c>
      <c r="F51" s="390">
        <f t="shared" si="4"/>
        <v>0</v>
      </c>
      <c r="G51" s="336">
        <v>3391.22</v>
      </c>
      <c r="H51" s="336"/>
      <c r="I51" s="336">
        <f t="shared" si="5"/>
        <v>63619.29</v>
      </c>
      <c r="J51" s="336">
        <f t="shared" si="6"/>
        <v>63619.29</v>
      </c>
      <c r="K51" s="546">
        <f t="shared" si="2"/>
        <v>0</v>
      </c>
      <c r="L51" s="502"/>
      <c r="M51" s="231" t="s">
        <v>242</v>
      </c>
      <c r="N51" s="11" t="s">
        <v>243</v>
      </c>
      <c r="O51" s="341"/>
      <c r="P51" s="339"/>
    </row>
    <row r="52" spans="1:17" ht="33" hidden="1">
      <c r="A52" s="333" t="s">
        <v>2168</v>
      </c>
      <c r="B52" s="334" t="s">
        <v>335</v>
      </c>
      <c r="C52" s="335" t="s">
        <v>13</v>
      </c>
      <c r="D52" s="336">
        <v>118.92</v>
      </c>
      <c r="E52" s="336">
        <f>估驗單!F48</f>
        <v>118.92</v>
      </c>
      <c r="F52" s="390">
        <f t="shared" si="4"/>
        <v>0</v>
      </c>
      <c r="G52" s="336">
        <v>773.85</v>
      </c>
      <c r="H52" s="336"/>
      <c r="I52" s="336">
        <f t="shared" si="5"/>
        <v>92026.240000000005</v>
      </c>
      <c r="J52" s="336">
        <f t="shared" si="6"/>
        <v>92026.240000000005</v>
      </c>
      <c r="K52" s="546">
        <f t="shared" si="2"/>
        <v>0</v>
      </c>
      <c r="L52" s="502"/>
      <c r="M52" s="231" t="s">
        <v>242</v>
      </c>
      <c r="N52" s="11" t="s">
        <v>243</v>
      </c>
      <c r="O52" s="341"/>
      <c r="P52" s="339"/>
    </row>
    <row r="53" spans="1:17" ht="33" hidden="1">
      <c r="A53" s="333" t="s">
        <v>2169</v>
      </c>
      <c r="B53" s="334" t="s">
        <v>337</v>
      </c>
      <c r="C53" s="335" t="s">
        <v>13</v>
      </c>
      <c r="D53" s="336">
        <v>173.3</v>
      </c>
      <c r="E53" s="336">
        <f>估驗單!F49</f>
        <v>173.3</v>
      </c>
      <c r="F53" s="390">
        <f t="shared" si="4"/>
        <v>0</v>
      </c>
      <c r="G53" s="336">
        <v>948.34</v>
      </c>
      <c r="H53" s="336"/>
      <c r="I53" s="336">
        <f t="shared" si="5"/>
        <v>164347.32</v>
      </c>
      <c r="J53" s="336">
        <f t="shared" si="6"/>
        <v>164347.32</v>
      </c>
      <c r="K53" s="546">
        <f t="shared" si="2"/>
        <v>0</v>
      </c>
      <c r="L53" s="502"/>
      <c r="M53" s="231" t="s">
        <v>242</v>
      </c>
      <c r="N53" s="11" t="s">
        <v>243</v>
      </c>
      <c r="O53" s="341"/>
      <c r="P53" s="339"/>
    </row>
    <row r="54" spans="1:17" ht="33" hidden="1">
      <c r="A54" s="333" t="s">
        <v>2170</v>
      </c>
      <c r="B54" s="334" t="s">
        <v>339</v>
      </c>
      <c r="C54" s="335" t="s">
        <v>0</v>
      </c>
      <c r="D54" s="336">
        <v>1</v>
      </c>
      <c r="E54" s="336">
        <f>估驗單!F50</f>
        <v>1</v>
      </c>
      <c r="F54" s="390">
        <f t="shared" si="4"/>
        <v>0</v>
      </c>
      <c r="G54" s="336">
        <v>144378.63</v>
      </c>
      <c r="H54" s="336"/>
      <c r="I54" s="336">
        <f t="shared" si="5"/>
        <v>144378.63</v>
      </c>
      <c r="J54" s="336">
        <f t="shared" si="6"/>
        <v>144378.63</v>
      </c>
      <c r="K54" s="546">
        <f t="shared" si="2"/>
        <v>0</v>
      </c>
      <c r="L54" s="502"/>
      <c r="M54" s="231" t="s">
        <v>242</v>
      </c>
      <c r="N54" s="11" t="s">
        <v>243</v>
      </c>
      <c r="O54" s="341"/>
      <c r="P54" s="339"/>
    </row>
    <row r="55" spans="1:17" ht="33" hidden="1">
      <c r="A55" s="333" t="s">
        <v>2171</v>
      </c>
      <c r="B55" s="334" t="s">
        <v>341</v>
      </c>
      <c r="C55" s="335" t="s">
        <v>223</v>
      </c>
      <c r="D55" s="336">
        <v>156.68</v>
      </c>
      <c r="E55" s="336">
        <f>估驗單!F51</f>
        <v>156.68</v>
      </c>
      <c r="F55" s="390">
        <f t="shared" si="4"/>
        <v>0</v>
      </c>
      <c r="G55" s="336">
        <v>145.21</v>
      </c>
      <c r="H55" s="336"/>
      <c r="I55" s="336">
        <f t="shared" si="5"/>
        <v>22751.5</v>
      </c>
      <c r="J55" s="336">
        <f t="shared" si="6"/>
        <v>22751.5</v>
      </c>
      <c r="K55" s="546">
        <f t="shared" si="2"/>
        <v>0</v>
      </c>
      <c r="L55" s="502"/>
      <c r="M55" s="231" t="s">
        <v>242</v>
      </c>
      <c r="N55" s="11" t="s">
        <v>243</v>
      </c>
      <c r="O55" s="341"/>
      <c r="P55" s="339"/>
    </row>
    <row r="56" spans="1:17" ht="33" hidden="1">
      <c r="A56" s="333" t="s">
        <v>2172</v>
      </c>
      <c r="B56" s="334" t="s">
        <v>343</v>
      </c>
      <c r="C56" s="335" t="s">
        <v>8</v>
      </c>
      <c r="D56" s="336">
        <v>689.86</v>
      </c>
      <c r="E56" s="336">
        <f>估驗單!F52</f>
        <v>689.86</v>
      </c>
      <c r="F56" s="390">
        <f t="shared" si="4"/>
        <v>0</v>
      </c>
      <c r="G56" s="336">
        <v>2755.78</v>
      </c>
      <c r="H56" s="336"/>
      <c r="I56" s="336">
        <f t="shared" si="5"/>
        <v>1901102.39</v>
      </c>
      <c r="J56" s="336">
        <f t="shared" si="6"/>
        <v>1901102.39</v>
      </c>
      <c r="K56" s="546">
        <f t="shared" si="2"/>
        <v>0</v>
      </c>
      <c r="L56" s="502"/>
      <c r="M56" s="231"/>
      <c r="N56" s="11" t="s">
        <v>243</v>
      </c>
      <c r="O56" s="341"/>
      <c r="P56" s="339"/>
    </row>
    <row r="57" spans="1:17" ht="33" hidden="1">
      <c r="A57" s="333" t="s">
        <v>2173</v>
      </c>
      <c r="B57" s="334" t="s">
        <v>345</v>
      </c>
      <c r="C57" s="335" t="s">
        <v>8</v>
      </c>
      <c r="D57" s="336">
        <v>12.91</v>
      </c>
      <c r="E57" s="336">
        <f>估驗單!F53</f>
        <v>12.91</v>
      </c>
      <c r="F57" s="390">
        <f t="shared" si="4"/>
        <v>0</v>
      </c>
      <c r="G57" s="336">
        <v>576.77</v>
      </c>
      <c r="H57" s="336"/>
      <c r="I57" s="336">
        <f t="shared" si="5"/>
        <v>7446.1</v>
      </c>
      <c r="J57" s="336">
        <f t="shared" si="6"/>
        <v>7446.1</v>
      </c>
      <c r="K57" s="546">
        <f t="shared" si="2"/>
        <v>0</v>
      </c>
      <c r="L57" s="502"/>
      <c r="M57" s="231"/>
      <c r="N57" s="11" t="s">
        <v>243</v>
      </c>
      <c r="O57" s="341"/>
      <c r="P57" s="339"/>
    </row>
    <row r="58" spans="1:17" ht="33" hidden="1">
      <c r="A58" s="333" t="s">
        <v>2174</v>
      </c>
      <c r="B58" s="334" t="s">
        <v>347</v>
      </c>
      <c r="C58" s="335" t="s">
        <v>8</v>
      </c>
      <c r="D58" s="336">
        <v>56.09</v>
      </c>
      <c r="E58" s="336">
        <f>估驗單!F54</f>
        <v>56.09</v>
      </c>
      <c r="F58" s="390">
        <f t="shared" si="4"/>
        <v>0</v>
      </c>
      <c r="G58" s="336">
        <v>615.30999999999995</v>
      </c>
      <c r="H58" s="336"/>
      <c r="I58" s="336">
        <f t="shared" si="5"/>
        <v>34512.74</v>
      </c>
      <c r="J58" s="336">
        <f t="shared" si="6"/>
        <v>34512.74</v>
      </c>
      <c r="K58" s="546">
        <f t="shared" si="2"/>
        <v>0</v>
      </c>
      <c r="L58" s="502"/>
      <c r="M58" s="231"/>
      <c r="N58" s="11" t="s">
        <v>243</v>
      </c>
      <c r="O58" s="341"/>
      <c r="P58" s="339"/>
    </row>
    <row r="59" spans="1:17" ht="33" hidden="1">
      <c r="A59" s="333" t="s">
        <v>2175</v>
      </c>
      <c r="B59" s="334" t="s">
        <v>349</v>
      </c>
      <c r="C59" s="335" t="s">
        <v>8</v>
      </c>
      <c r="D59" s="336">
        <v>656.91</v>
      </c>
      <c r="E59" s="336">
        <f>估驗單!F55</f>
        <v>656.91</v>
      </c>
      <c r="F59" s="390">
        <f t="shared" si="4"/>
        <v>0</v>
      </c>
      <c r="G59" s="336">
        <v>685.27</v>
      </c>
      <c r="H59" s="336"/>
      <c r="I59" s="336">
        <f t="shared" si="5"/>
        <v>450160.72</v>
      </c>
      <c r="J59" s="336">
        <f t="shared" si="6"/>
        <v>450160.72</v>
      </c>
      <c r="K59" s="546">
        <f t="shared" si="2"/>
        <v>0</v>
      </c>
      <c r="L59" s="502"/>
      <c r="M59" s="231"/>
      <c r="N59" s="11" t="s">
        <v>243</v>
      </c>
      <c r="O59" s="341"/>
      <c r="P59" s="339"/>
    </row>
    <row r="60" spans="1:17" ht="33" hidden="1">
      <c r="A60" s="333" t="s">
        <v>2177</v>
      </c>
      <c r="B60" s="334" t="s">
        <v>351</v>
      </c>
      <c r="C60" s="335" t="s">
        <v>8</v>
      </c>
      <c r="D60" s="336">
        <v>1254.1300000000001</v>
      </c>
      <c r="E60" s="336">
        <f>估驗單!F56</f>
        <v>1254.1300000000001</v>
      </c>
      <c r="F60" s="390">
        <f t="shared" si="4"/>
        <v>0</v>
      </c>
      <c r="G60" s="336">
        <v>699.69</v>
      </c>
      <c r="H60" s="336"/>
      <c r="I60" s="336">
        <f t="shared" si="5"/>
        <v>877502.22</v>
      </c>
      <c r="J60" s="336">
        <f t="shared" si="6"/>
        <v>877502.22</v>
      </c>
      <c r="K60" s="546">
        <f t="shared" si="2"/>
        <v>0</v>
      </c>
      <c r="L60" s="502"/>
      <c r="M60" s="231"/>
      <c r="N60" s="11" t="s">
        <v>243</v>
      </c>
      <c r="O60" s="341"/>
      <c r="P60" s="339"/>
    </row>
    <row r="61" spans="1:17" ht="33" hidden="1">
      <c r="A61" s="333" t="s">
        <v>2178</v>
      </c>
      <c r="B61" s="334" t="s">
        <v>353</v>
      </c>
      <c r="C61" s="335" t="s">
        <v>8</v>
      </c>
      <c r="D61" s="336">
        <v>44.64</v>
      </c>
      <c r="E61" s="336">
        <f>估驗單!F57</f>
        <v>44.64</v>
      </c>
      <c r="F61" s="390">
        <f t="shared" si="4"/>
        <v>0</v>
      </c>
      <c r="G61" s="336">
        <v>1199.27</v>
      </c>
      <c r="H61" s="336"/>
      <c r="I61" s="336">
        <f t="shared" si="5"/>
        <v>53535.41</v>
      </c>
      <c r="J61" s="336">
        <f t="shared" si="6"/>
        <v>53535.41</v>
      </c>
      <c r="K61" s="546">
        <f t="shared" si="2"/>
        <v>0</v>
      </c>
      <c r="L61" s="502"/>
      <c r="M61" s="231"/>
      <c r="N61" s="11" t="s">
        <v>243</v>
      </c>
      <c r="O61" s="341"/>
      <c r="P61" s="339"/>
    </row>
    <row r="62" spans="1:17" ht="33" hidden="1">
      <c r="A62" s="333" t="s">
        <v>2179</v>
      </c>
      <c r="B62" s="334" t="s">
        <v>355</v>
      </c>
      <c r="C62" s="335" t="s">
        <v>8</v>
      </c>
      <c r="D62" s="336">
        <v>142.26</v>
      </c>
      <c r="E62" s="336">
        <f>估驗單!F58</f>
        <v>142.26</v>
      </c>
      <c r="F62" s="390">
        <f t="shared" si="4"/>
        <v>0</v>
      </c>
      <c r="G62" s="336">
        <v>57.68</v>
      </c>
      <c r="H62" s="336"/>
      <c r="I62" s="336">
        <f t="shared" si="5"/>
        <v>8205.56</v>
      </c>
      <c r="J62" s="336">
        <f t="shared" si="6"/>
        <v>8205.56</v>
      </c>
      <c r="K62" s="546">
        <f t="shared" si="2"/>
        <v>0</v>
      </c>
      <c r="L62" s="502"/>
      <c r="M62" s="231"/>
      <c r="N62" s="11" t="s">
        <v>243</v>
      </c>
      <c r="O62" s="341"/>
      <c r="P62" s="339"/>
    </row>
    <row r="63" spans="1:17" ht="33" hidden="1">
      <c r="A63" s="333" t="s">
        <v>2181</v>
      </c>
      <c r="B63" s="334" t="s">
        <v>357</v>
      </c>
      <c r="C63" s="335" t="s">
        <v>8</v>
      </c>
      <c r="D63" s="336">
        <v>8.5</v>
      </c>
      <c r="E63" s="336">
        <f>估驗單!F59</f>
        <v>8.5</v>
      </c>
      <c r="F63" s="390">
        <f t="shared" si="4"/>
        <v>0</v>
      </c>
      <c r="G63" s="336">
        <v>138.84</v>
      </c>
      <c r="H63" s="336"/>
      <c r="I63" s="336">
        <f t="shared" si="5"/>
        <v>1180.1400000000001</v>
      </c>
      <c r="J63" s="336">
        <f t="shared" si="6"/>
        <v>1180.1400000000001</v>
      </c>
      <c r="K63" s="546">
        <f t="shared" si="2"/>
        <v>0</v>
      </c>
      <c r="L63" s="502"/>
      <c r="M63" s="231" t="s">
        <v>242</v>
      </c>
      <c r="N63" s="11" t="s">
        <v>243</v>
      </c>
      <c r="O63" s="341"/>
      <c r="P63" s="339"/>
    </row>
    <row r="64" spans="1:17" ht="33" hidden="1">
      <c r="A64" s="333" t="s">
        <v>2182</v>
      </c>
      <c r="B64" s="334" t="s">
        <v>359</v>
      </c>
      <c r="C64" s="335" t="s">
        <v>13</v>
      </c>
      <c r="D64" s="336">
        <v>20.48</v>
      </c>
      <c r="E64" s="336">
        <f>估驗單!F60</f>
        <v>20.48</v>
      </c>
      <c r="F64" s="390">
        <f t="shared" si="4"/>
        <v>0</v>
      </c>
      <c r="G64" s="336">
        <v>2145.31</v>
      </c>
      <c r="H64" s="336"/>
      <c r="I64" s="336">
        <f t="shared" si="5"/>
        <v>43935.95</v>
      </c>
      <c r="J64" s="336">
        <f t="shared" si="6"/>
        <v>43935.95</v>
      </c>
      <c r="K64" s="546">
        <f t="shared" si="2"/>
        <v>0</v>
      </c>
      <c r="L64" s="502"/>
      <c r="M64" s="231"/>
      <c r="N64" s="11" t="s">
        <v>243</v>
      </c>
      <c r="O64" s="341"/>
      <c r="P64" s="339"/>
    </row>
    <row r="65" spans="1:18" ht="33" hidden="1">
      <c r="A65" s="333" t="s">
        <v>2183</v>
      </c>
      <c r="B65" s="334" t="s">
        <v>361</v>
      </c>
      <c r="C65" s="335" t="s">
        <v>8</v>
      </c>
      <c r="D65" s="336">
        <v>56.1</v>
      </c>
      <c r="E65" s="336">
        <f>估驗單!F61</f>
        <v>56.1</v>
      </c>
      <c r="F65" s="390">
        <f t="shared" si="4"/>
        <v>0</v>
      </c>
      <c r="G65" s="336">
        <v>511.36</v>
      </c>
      <c r="H65" s="336"/>
      <c r="I65" s="336">
        <f t="shared" si="5"/>
        <v>28687.3</v>
      </c>
      <c r="J65" s="336">
        <f t="shared" si="6"/>
        <v>28687.3</v>
      </c>
      <c r="K65" s="546">
        <f t="shared" si="2"/>
        <v>0</v>
      </c>
      <c r="L65" s="502"/>
      <c r="M65" s="231" t="s">
        <v>242</v>
      </c>
      <c r="N65" s="11" t="s">
        <v>243</v>
      </c>
      <c r="O65" s="341"/>
      <c r="P65" s="339"/>
    </row>
    <row r="66" spans="1:18" ht="33" hidden="1">
      <c r="A66" s="333" t="s">
        <v>2184</v>
      </c>
      <c r="B66" s="334" t="s">
        <v>363</v>
      </c>
      <c r="C66" s="335" t="s">
        <v>8</v>
      </c>
      <c r="D66" s="336">
        <v>16.600000000000001</v>
      </c>
      <c r="E66" s="336">
        <f>估驗單!F62</f>
        <v>16.600000000000001</v>
      </c>
      <c r="F66" s="390">
        <f t="shared" si="4"/>
        <v>0</v>
      </c>
      <c r="G66" s="336">
        <v>829.1</v>
      </c>
      <c r="H66" s="336"/>
      <c r="I66" s="336">
        <f t="shared" si="5"/>
        <v>13763.06</v>
      </c>
      <c r="J66" s="336">
        <f t="shared" si="6"/>
        <v>13763.06</v>
      </c>
      <c r="K66" s="546">
        <f t="shared" si="2"/>
        <v>0</v>
      </c>
      <c r="L66" s="502"/>
      <c r="M66" s="231" t="s">
        <v>242</v>
      </c>
      <c r="N66" s="11" t="s">
        <v>243</v>
      </c>
      <c r="O66" s="341"/>
      <c r="P66" s="339"/>
    </row>
    <row r="67" spans="1:18" ht="33" hidden="1">
      <c r="A67" s="333" t="s">
        <v>2185</v>
      </c>
      <c r="B67" s="334" t="s">
        <v>365</v>
      </c>
      <c r="C67" s="335" t="s">
        <v>8</v>
      </c>
      <c r="D67" s="336">
        <v>2</v>
      </c>
      <c r="E67" s="336">
        <f>估驗單!F63</f>
        <v>2</v>
      </c>
      <c r="F67" s="390">
        <f t="shared" si="4"/>
        <v>0</v>
      </c>
      <c r="G67" s="336">
        <v>443.91</v>
      </c>
      <c r="H67" s="336"/>
      <c r="I67" s="336">
        <f t="shared" si="5"/>
        <v>887.82</v>
      </c>
      <c r="J67" s="336">
        <f t="shared" si="6"/>
        <v>887.82</v>
      </c>
      <c r="K67" s="546">
        <f t="shared" si="2"/>
        <v>0</v>
      </c>
      <c r="L67" s="502"/>
      <c r="M67" s="231" t="s">
        <v>242</v>
      </c>
      <c r="N67" s="11" t="s">
        <v>243</v>
      </c>
      <c r="O67" s="341"/>
      <c r="P67" s="339"/>
    </row>
    <row r="68" spans="1:18" ht="33" hidden="1">
      <c r="A68" s="333" t="s">
        <v>2186</v>
      </c>
      <c r="B68" s="334" t="s">
        <v>367</v>
      </c>
      <c r="C68" s="335" t="s">
        <v>0</v>
      </c>
      <c r="D68" s="336">
        <v>7</v>
      </c>
      <c r="E68" s="336">
        <f>估驗單!F64</f>
        <v>7</v>
      </c>
      <c r="F68" s="390">
        <f t="shared" si="4"/>
        <v>0</v>
      </c>
      <c r="G68" s="336">
        <v>26450.3</v>
      </c>
      <c r="H68" s="336"/>
      <c r="I68" s="336">
        <f t="shared" si="5"/>
        <v>185152.1</v>
      </c>
      <c r="J68" s="336">
        <f t="shared" si="6"/>
        <v>185152.1</v>
      </c>
      <c r="K68" s="546">
        <f t="shared" si="2"/>
        <v>0</v>
      </c>
      <c r="L68" s="502"/>
      <c r="M68" s="231" t="s">
        <v>242</v>
      </c>
      <c r="N68" s="11" t="s">
        <v>243</v>
      </c>
      <c r="O68" s="341"/>
      <c r="P68" s="339"/>
    </row>
    <row r="69" spans="1:18" ht="33" hidden="1">
      <c r="A69" s="333" t="s">
        <v>2187</v>
      </c>
      <c r="B69" s="334" t="s">
        <v>369</v>
      </c>
      <c r="C69" s="335" t="s">
        <v>8</v>
      </c>
      <c r="D69" s="336">
        <v>19.2</v>
      </c>
      <c r="E69" s="336">
        <f>估驗單!F65</f>
        <v>19.2</v>
      </c>
      <c r="F69" s="390">
        <f t="shared" si="4"/>
        <v>0</v>
      </c>
      <c r="G69" s="336">
        <v>443.91</v>
      </c>
      <c r="H69" s="336"/>
      <c r="I69" s="336">
        <f t="shared" si="5"/>
        <v>8523.07</v>
      </c>
      <c r="J69" s="336">
        <f t="shared" si="6"/>
        <v>8523.07</v>
      </c>
      <c r="K69" s="546">
        <f t="shared" si="2"/>
        <v>0</v>
      </c>
      <c r="L69" s="502"/>
      <c r="M69" s="231"/>
      <c r="N69" s="11" t="s">
        <v>243</v>
      </c>
      <c r="O69" s="341"/>
      <c r="P69" s="339"/>
    </row>
    <row r="70" spans="1:18" ht="33" hidden="1">
      <c r="A70" s="333" t="s">
        <v>2188</v>
      </c>
      <c r="B70" s="334" t="s">
        <v>372</v>
      </c>
      <c r="C70" s="335" t="s">
        <v>0</v>
      </c>
      <c r="D70" s="336">
        <v>2</v>
      </c>
      <c r="E70" s="336">
        <f>估驗單!F66</f>
        <v>2</v>
      </c>
      <c r="F70" s="390">
        <f t="shared" si="4"/>
        <v>0</v>
      </c>
      <c r="G70" s="336">
        <v>23899.56</v>
      </c>
      <c r="H70" s="336"/>
      <c r="I70" s="336">
        <f t="shared" si="5"/>
        <v>47799.12</v>
      </c>
      <c r="J70" s="336">
        <f t="shared" si="6"/>
        <v>47799.12</v>
      </c>
      <c r="K70" s="546">
        <f t="shared" si="2"/>
        <v>0</v>
      </c>
      <c r="L70" s="502"/>
      <c r="M70" s="231" t="s">
        <v>242</v>
      </c>
      <c r="N70" s="11" t="s">
        <v>243</v>
      </c>
      <c r="O70" s="341"/>
      <c r="P70" s="339"/>
    </row>
    <row r="71" spans="1:18" ht="33" hidden="1">
      <c r="A71" s="333" t="s">
        <v>2189</v>
      </c>
      <c r="B71" s="334" t="s">
        <v>374</v>
      </c>
      <c r="C71" s="335" t="s">
        <v>0</v>
      </c>
      <c r="D71" s="336">
        <v>8</v>
      </c>
      <c r="E71" s="336">
        <f>估驗單!F67</f>
        <v>8</v>
      </c>
      <c r="F71" s="390">
        <f t="shared" si="4"/>
        <v>0</v>
      </c>
      <c r="G71" s="336">
        <v>25125.57</v>
      </c>
      <c r="H71" s="336"/>
      <c r="I71" s="336">
        <f t="shared" si="5"/>
        <v>201004.56</v>
      </c>
      <c r="J71" s="336">
        <f t="shared" si="6"/>
        <v>201004.56</v>
      </c>
      <c r="K71" s="546">
        <f t="shared" si="2"/>
        <v>0</v>
      </c>
      <c r="L71" s="502"/>
      <c r="M71" s="231"/>
      <c r="N71" s="11" t="s">
        <v>243</v>
      </c>
      <c r="O71" s="341"/>
      <c r="P71" s="339"/>
    </row>
    <row r="72" spans="1:18" ht="33" hidden="1">
      <c r="A72" s="333" t="s">
        <v>2190</v>
      </c>
      <c r="B72" s="334" t="s">
        <v>376</v>
      </c>
      <c r="C72" s="335" t="s">
        <v>0</v>
      </c>
      <c r="D72" s="336">
        <v>3</v>
      </c>
      <c r="E72" s="336">
        <f>估驗單!F68</f>
        <v>3</v>
      </c>
      <c r="F72" s="390">
        <f t="shared" si="4"/>
        <v>0</v>
      </c>
      <c r="G72" s="336">
        <v>24022.04</v>
      </c>
      <c r="H72" s="336"/>
      <c r="I72" s="336">
        <f t="shared" si="5"/>
        <v>72066.12</v>
      </c>
      <c r="J72" s="336">
        <f t="shared" si="6"/>
        <v>72066.12</v>
      </c>
      <c r="K72" s="546">
        <f t="shared" si="2"/>
        <v>0</v>
      </c>
      <c r="L72" s="502"/>
      <c r="M72" s="231"/>
      <c r="N72" s="11" t="s">
        <v>243</v>
      </c>
      <c r="O72" s="341"/>
      <c r="P72" s="339"/>
    </row>
    <row r="73" spans="1:18" ht="33" hidden="1">
      <c r="A73" s="333" t="s">
        <v>2191</v>
      </c>
      <c r="B73" s="334" t="s">
        <v>378</v>
      </c>
      <c r="C73" s="335" t="s">
        <v>8</v>
      </c>
      <c r="D73" s="336">
        <v>30.1</v>
      </c>
      <c r="E73" s="336">
        <f>估驗單!F69</f>
        <v>30.1</v>
      </c>
      <c r="F73" s="390">
        <f t="shared" si="4"/>
        <v>0</v>
      </c>
      <c r="G73" s="336">
        <v>545.1</v>
      </c>
      <c r="H73" s="336"/>
      <c r="I73" s="336">
        <f t="shared" si="5"/>
        <v>16407.509999999998</v>
      </c>
      <c r="J73" s="336">
        <f t="shared" si="6"/>
        <v>16407.509999999998</v>
      </c>
      <c r="K73" s="546">
        <f t="shared" si="2"/>
        <v>0</v>
      </c>
      <c r="L73" s="502"/>
      <c r="M73" s="231"/>
      <c r="N73" s="11" t="s">
        <v>243</v>
      </c>
      <c r="O73" s="341"/>
      <c r="P73" s="339"/>
    </row>
    <row r="74" spans="1:18" ht="40.5">
      <c r="A74" s="503" t="s">
        <v>2192</v>
      </c>
      <c r="B74" s="504" t="s">
        <v>380</v>
      </c>
      <c r="C74" s="505" t="s">
        <v>8</v>
      </c>
      <c r="D74" s="506">
        <v>31.2</v>
      </c>
      <c r="E74" s="506">
        <f>估驗單!F70</f>
        <v>35.200000000000003</v>
      </c>
      <c r="F74" s="507">
        <f t="shared" si="4"/>
        <v>4.0000000000000036</v>
      </c>
      <c r="G74" s="506">
        <v>8355.11</v>
      </c>
      <c r="H74" s="506"/>
      <c r="I74" s="506">
        <f t="shared" si="5"/>
        <v>260679.43</v>
      </c>
      <c r="J74" s="506">
        <f t="shared" si="6"/>
        <v>294099.87</v>
      </c>
      <c r="K74" s="547">
        <f t="shared" si="2"/>
        <v>33420.44</v>
      </c>
      <c r="L74" s="510"/>
      <c r="M74" s="508"/>
      <c r="N74" s="11" t="s">
        <v>243</v>
      </c>
      <c r="O74" s="341" t="s">
        <v>2916</v>
      </c>
      <c r="P74" s="339" t="s">
        <v>3007</v>
      </c>
      <c r="Q74" s="753" t="s">
        <v>3006</v>
      </c>
      <c r="R74" s="82">
        <v>1</v>
      </c>
    </row>
    <row r="75" spans="1:18" ht="40.5">
      <c r="A75" s="503" t="s">
        <v>2193</v>
      </c>
      <c r="B75" s="504" t="s">
        <v>383</v>
      </c>
      <c r="C75" s="505" t="s">
        <v>8</v>
      </c>
      <c r="D75" s="506">
        <v>17.899999999999999</v>
      </c>
      <c r="E75" s="506">
        <f>估驗單!F71</f>
        <v>24.3</v>
      </c>
      <c r="F75" s="507">
        <f t="shared" si="4"/>
        <v>6.4000000000000021</v>
      </c>
      <c r="G75" s="506">
        <v>5394.64</v>
      </c>
      <c r="H75" s="506"/>
      <c r="I75" s="506">
        <f t="shared" si="5"/>
        <v>96564.06</v>
      </c>
      <c r="J75" s="506">
        <f t="shared" si="6"/>
        <v>131089.75</v>
      </c>
      <c r="K75" s="547">
        <f t="shared" si="2"/>
        <v>34525.69</v>
      </c>
      <c r="L75" s="510"/>
      <c r="M75" s="508"/>
      <c r="N75" s="11" t="s">
        <v>243</v>
      </c>
      <c r="O75" s="341" t="s">
        <v>2916</v>
      </c>
      <c r="P75" s="752">
        <v>24.3</v>
      </c>
      <c r="Q75" s="753" t="s">
        <v>3006</v>
      </c>
      <c r="R75" s="82">
        <v>1</v>
      </c>
    </row>
    <row r="76" spans="1:18" ht="33" hidden="1">
      <c r="A76" s="333" t="s">
        <v>2194</v>
      </c>
      <c r="B76" s="334" t="s">
        <v>386</v>
      </c>
      <c r="C76" s="335" t="s">
        <v>8</v>
      </c>
      <c r="D76" s="336">
        <v>19.600000000000001</v>
      </c>
      <c r="E76" s="336">
        <f>估驗單!F72</f>
        <v>19.600000000000001</v>
      </c>
      <c r="F76" s="390">
        <f t="shared" si="4"/>
        <v>0</v>
      </c>
      <c r="G76" s="336">
        <v>432.57</v>
      </c>
      <c r="H76" s="336"/>
      <c r="I76" s="336">
        <f t="shared" si="5"/>
        <v>8478.3700000000008</v>
      </c>
      <c r="J76" s="336">
        <f t="shared" si="6"/>
        <v>8478.3700000000008</v>
      </c>
      <c r="K76" s="546">
        <f t="shared" si="2"/>
        <v>0</v>
      </c>
      <c r="L76" s="502"/>
      <c r="M76" s="231"/>
      <c r="N76" s="11" t="s">
        <v>243</v>
      </c>
      <c r="O76" s="341"/>
      <c r="P76" s="339"/>
    </row>
    <row r="77" spans="1:18" ht="33" hidden="1">
      <c r="A77" s="333" t="s">
        <v>2195</v>
      </c>
      <c r="B77" s="334" t="s">
        <v>389</v>
      </c>
      <c r="C77" s="335" t="s">
        <v>8</v>
      </c>
      <c r="D77" s="336">
        <v>24.9</v>
      </c>
      <c r="E77" s="336">
        <f>估驗單!F73</f>
        <v>24.9</v>
      </c>
      <c r="F77" s="390">
        <f t="shared" si="4"/>
        <v>0</v>
      </c>
      <c r="G77" s="336">
        <v>1224.22</v>
      </c>
      <c r="H77" s="336"/>
      <c r="I77" s="336">
        <f t="shared" si="5"/>
        <v>30483.08</v>
      </c>
      <c r="J77" s="336">
        <f t="shared" si="6"/>
        <v>30483.08</v>
      </c>
      <c r="K77" s="546">
        <f t="shared" ref="K77:K140" si="7">J77-I77</f>
        <v>0</v>
      </c>
      <c r="L77" s="502"/>
      <c r="M77" s="231" t="s">
        <v>242</v>
      </c>
      <c r="N77" s="11" t="s">
        <v>243</v>
      </c>
      <c r="O77" s="341"/>
      <c r="P77" s="339"/>
    </row>
    <row r="78" spans="1:18" ht="33" hidden="1">
      <c r="A78" s="333" t="s">
        <v>2196</v>
      </c>
      <c r="B78" s="334" t="s">
        <v>392</v>
      </c>
      <c r="C78" s="335" t="s">
        <v>8</v>
      </c>
      <c r="D78" s="336">
        <v>3.5</v>
      </c>
      <c r="E78" s="336">
        <f>估驗單!F74</f>
        <v>3.5</v>
      </c>
      <c r="F78" s="390">
        <f t="shared" si="4"/>
        <v>0</v>
      </c>
      <c r="G78" s="336">
        <v>1148.6300000000001</v>
      </c>
      <c r="H78" s="336"/>
      <c r="I78" s="336">
        <f t="shared" si="5"/>
        <v>4020.21</v>
      </c>
      <c r="J78" s="336">
        <f t="shared" si="6"/>
        <v>4020.21</v>
      </c>
      <c r="K78" s="546">
        <f t="shared" si="7"/>
        <v>0</v>
      </c>
      <c r="L78" s="502"/>
      <c r="M78" s="231" t="s">
        <v>242</v>
      </c>
      <c r="N78" s="11" t="s">
        <v>243</v>
      </c>
      <c r="O78" s="341"/>
      <c r="P78" s="339"/>
    </row>
    <row r="79" spans="1:18" ht="33" hidden="1">
      <c r="A79" s="333" t="s">
        <v>2197</v>
      </c>
      <c r="B79" s="334" t="s">
        <v>395</v>
      </c>
      <c r="C79" s="335" t="s">
        <v>0</v>
      </c>
      <c r="D79" s="336">
        <v>1</v>
      </c>
      <c r="E79" s="336">
        <f>估驗單!F75</f>
        <v>1</v>
      </c>
      <c r="F79" s="390">
        <f t="shared" si="4"/>
        <v>0</v>
      </c>
      <c r="G79" s="336">
        <v>5698.63</v>
      </c>
      <c r="H79" s="336"/>
      <c r="I79" s="336">
        <f t="shared" si="5"/>
        <v>5698.63</v>
      </c>
      <c r="J79" s="336">
        <f t="shared" si="6"/>
        <v>5698.63</v>
      </c>
      <c r="K79" s="546">
        <f t="shared" si="7"/>
        <v>0</v>
      </c>
      <c r="L79" s="502"/>
      <c r="M79" s="231" t="s">
        <v>242</v>
      </c>
      <c r="N79" s="11" t="s">
        <v>243</v>
      </c>
      <c r="O79" s="341"/>
      <c r="P79" s="339"/>
    </row>
    <row r="80" spans="1:18" ht="33" hidden="1">
      <c r="A80" s="333" t="s">
        <v>2198</v>
      </c>
      <c r="B80" s="334" t="s">
        <v>398</v>
      </c>
      <c r="C80" s="335" t="s">
        <v>0</v>
      </c>
      <c r="D80" s="336">
        <v>1</v>
      </c>
      <c r="E80" s="336">
        <f>估驗單!F76</f>
        <v>1</v>
      </c>
      <c r="F80" s="390">
        <f t="shared" si="4"/>
        <v>0</v>
      </c>
      <c r="G80" s="336">
        <v>5963.22</v>
      </c>
      <c r="H80" s="336"/>
      <c r="I80" s="336">
        <f t="shared" si="5"/>
        <v>5963.22</v>
      </c>
      <c r="J80" s="336">
        <f t="shared" si="6"/>
        <v>5963.22</v>
      </c>
      <c r="K80" s="546">
        <f t="shared" si="7"/>
        <v>0</v>
      </c>
      <c r="L80" s="502"/>
      <c r="M80" s="231" t="s">
        <v>242</v>
      </c>
      <c r="N80" s="11" t="s">
        <v>243</v>
      </c>
      <c r="O80" s="341"/>
      <c r="P80" s="339"/>
    </row>
    <row r="81" spans="1:16" ht="33" hidden="1">
      <c r="A81" s="333" t="s">
        <v>2199</v>
      </c>
      <c r="B81" s="334" t="s">
        <v>401</v>
      </c>
      <c r="C81" s="335" t="s">
        <v>0</v>
      </c>
      <c r="D81" s="336">
        <v>1</v>
      </c>
      <c r="E81" s="336">
        <f>估驗單!F77</f>
        <v>1</v>
      </c>
      <c r="F81" s="390">
        <f t="shared" si="4"/>
        <v>0</v>
      </c>
      <c r="G81" s="336">
        <v>1421.11</v>
      </c>
      <c r="H81" s="336"/>
      <c r="I81" s="336">
        <f t="shared" si="5"/>
        <v>1421.11</v>
      </c>
      <c r="J81" s="336">
        <f t="shared" si="6"/>
        <v>1421.11</v>
      </c>
      <c r="K81" s="546">
        <f t="shared" si="7"/>
        <v>0</v>
      </c>
      <c r="L81" s="502"/>
      <c r="M81" s="231" t="s">
        <v>242</v>
      </c>
      <c r="N81" s="11" t="s">
        <v>243</v>
      </c>
      <c r="O81" s="341"/>
      <c r="P81" s="339"/>
    </row>
    <row r="82" spans="1:16" ht="33" hidden="1">
      <c r="A82" s="333" t="s">
        <v>2200</v>
      </c>
      <c r="B82" s="334" t="s">
        <v>404</v>
      </c>
      <c r="C82" s="335" t="s">
        <v>0</v>
      </c>
      <c r="D82" s="336">
        <v>1</v>
      </c>
      <c r="E82" s="336">
        <f>估驗單!F78</f>
        <v>1</v>
      </c>
      <c r="F82" s="390">
        <f t="shared" si="4"/>
        <v>0</v>
      </c>
      <c r="G82" s="336">
        <v>4031.83</v>
      </c>
      <c r="H82" s="336"/>
      <c r="I82" s="336">
        <f t="shared" si="5"/>
        <v>4031.83</v>
      </c>
      <c r="J82" s="336">
        <f t="shared" si="6"/>
        <v>4031.83</v>
      </c>
      <c r="K82" s="546">
        <f t="shared" si="7"/>
        <v>0</v>
      </c>
      <c r="L82" s="502"/>
      <c r="M82" s="231" t="s">
        <v>242</v>
      </c>
      <c r="N82" s="11" t="s">
        <v>243</v>
      </c>
      <c r="O82" s="341"/>
      <c r="P82" s="339"/>
    </row>
    <row r="83" spans="1:16" ht="33" hidden="1">
      <c r="A83" s="333" t="s">
        <v>2201</v>
      </c>
      <c r="B83" s="334" t="s">
        <v>407</v>
      </c>
      <c r="C83" s="335" t="s">
        <v>0</v>
      </c>
      <c r="D83" s="336">
        <v>1</v>
      </c>
      <c r="E83" s="336">
        <f>估驗單!F79</f>
        <v>1</v>
      </c>
      <c r="F83" s="390">
        <f t="shared" si="4"/>
        <v>0</v>
      </c>
      <c r="G83" s="336">
        <v>3313.67</v>
      </c>
      <c r="H83" s="336"/>
      <c r="I83" s="336">
        <f t="shared" si="5"/>
        <v>3313.67</v>
      </c>
      <c r="J83" s="336">
        <f t="shared" si="6"/>
        <v>3313.67</v>
      </c>
      <c r="K83" s="546">
        <f t="shared" si="7"/>
        <v>0</v>
      </c>
      <c r="L83" s="502"/>
      <c r="M83" s="231" t="s">
        <v>242</v>
      </c>
      <c r="N83" s="11" t="s">
        <v>243</v>
      </c>
      <c r="O83" s="341"/>
      <c r="P83" s="339"/>
    </row>
    <row r="84" spans="1:16" ht="33" hidden="1">
      <c r="A84" s="333" t="s">
        <v>2202</v>
      </c>
      <c r="B84" s="334" t="s">
        <v>410</v>
      </c>
      <c r="C84" s="335" t="s">
        <v>8</v>
      </c>
      <c r="D84" s="336">
        <v>149.5</v>
      </c>
      <c r="E84" s="336">
        <f>估驗單!F80</f>
        <v>149.5</v>
      </c>
      <c r="F84" s="390">
        <f t="shared" si="4"/>
        <v>0</v>
      </c>
      <c r="G84" s="336">
        <v>1975.94</v>
      </c>
      <c r="H84" s="336"/>
      <c r="I84" s="336">
        <f t="shared" si="5"/>
        <v>295403.03000000003</v>
      </c>
      <c r="J84" s="336">
        <f t="shared" si="6"/>
        <v>295403.03000000003</v>
      </c>
      <c r="K84" s="546">
        <f t="shared" si="7"/>
        <v>0</v>
      </c>
      <c r="L84" s="502"/>
      <c r="M84" s="231" t="s">
        <v>242</v>
      </c>
      <c r="N84" s="11" t="s">
        <v>243</v>
      </c>
      <c r="O84" s="341"/>
      <c r="P84" s="339"/>
    </row>
    <row r="85" spans="1:16" ht="33" hidden="1">
      <c r="A85" s="333" t="s">
        <v>2203</v>
      </c>
      <c r="B85" s="334" t="s">
        <v>413</v>
      </c>
      <c r="C85" s="335" t="s">
        <v>8</v>
      </c>
      <c r="D85" s="336">
        <v>39.299999999999997</v>
      </c>
      <c r="E85" s="336">
        <f>估驗單!F81</f>
        <v>39.299999999999997</v>
      </c>
      <c r="F85" s="390">
        <f t="shared" si="4"/>
        <v>0</v>
      </c>
      <c r="G85" s="336">
        <v>4874.2299999999996</v>
      </c>
      <c r="H85" s="336"/>
      <c r="I85" s="336">
        <f t="shared" si="5"/>
        <v>191557.24</v>
      </c>
      <c r="J85" s="336">
        <f t="shared" si="6"/>
        <v>191557.24</v>
      </c>
      <c r="K85" s="546">
        <f t="shared" si="7"/>
        <v>0</v>
      </c>
      <c r="L85" s="502"/>
      <c r="M85" s="231" t="s">
        <v>242</v>
      </c>
      <c r="N85" s="11" t="s">
        <v>243</v>
      </c>
      <c r="O85" s="341"/>
      <c r="P85" s="339"/>
    </row>
    <row r="86" spans="1:16" ht="33" hidden="1">
      <c r="A86" s="333" t="s">
        <v>2204</v>
      </c>
      <c r="B86" s="334" t="s">
        <v>416</v>
      </c>
      <c r="C86" s="335" t="s">
        <v>8</v>
      </c>
      <c r="D86" s="336">
        <v>51.3</v>
      </c>
      <c r="E86" s="336">
        <f>估驗單!F82</f>
        <v>51.3</v>
      </c>
      <c r="F86" s="390">
        <f t="shared" si="4"/>
        <v>0</v>
      </c>
      <c r="G86" s="336">
        <v>2938.96</v>
      </c>
      <c r="H86" s="336"/>
      <c r="I86" s="336">
        <f t="shared" si="5"/>
        <v>150768.65</v>
      </c>
      <c r="J86" s="336">
        <f t="shared" si="6"/>
        <v>150768.65</v>
      </c>
      <c r="K86" s="546">
        <f t="shared" si="7"/>
        <v>0</v>
      </c>
      <c r="L86" s="502"/>
      <c r="M86" s="231" t="s">
        <v>242</v>
      </c>
      <c r="N86" s="11" t="s">
        <v>243</v>
      </c>
      <c r="O86" s="341"/>
      <c r="P86" s="339"/>
    </row>
    <row r="87" spans="1:16" ht="33" hidden="1">
      <c r="A87" s="333" t="s">
        <v>2205</v>
      </c>
      <c r="B87" s="334" t="s">
        <v>419</v>
      </c>
      <c r="C87" s="335" t="s">
        <v>0</v>
      </c>
      <c r="D87" s="336">
        <v>1</v>
      </c>
      <c r="E87" s="336">
        <f>估驗單!F83</f>
        <v>1</v>
      </c>
      <c r="F87" s="390">
        <f t="shared" si="4"/>
        <v>0</v>
      </c>
      <c r="G87" s="336">
        <v>23029.53</v>
      </c>
      <c r="H87" s="336"/>
      <c r="I87" s="336">
        <f t="shared" si="5"/>
        <v>23029.53</v>
      </c>
      <c r="J87" s="336">
        <f t="shared" si="6"/>
        <v>23029.53</v>
      </c>
      <c r="K87" s="546">
        <f t="shared" si="7"/>
        <v>0</v>
      </c>
      <c r="L87" s="502"/>
      <c r="M87" s="231"/>
      <c r="N87" s="11" t="s">
        <v>243</v>
      </c>
      <c r="O87" s="341"/>
      <c r="P87" s="339"/>
    </row>
    <row r="88" spans="1:16" ht="33" hidden="1">
      <c r="A88" s="333" t="s">
        <v>2206</v>
      </c>
      <c r="B88" s="334" t="s">
        <v>422</v>
      </c>
      <c r="C88" s="335" t="s">
        <v>0</v>
      </c>
      <c r="D88" s="336">
        <v>2</v>
      </c>
      <c r="E88" s="336">
        <f>估驗單!F84</f>
        <v>2</v>
      </c>
      <c r="F88" s="390">
        <f t="shared" si="4"/>
        <v>0</v>
      </c>
      <c r="G88" s="336">
        <v>18604.87</v>
      </c>
      <c r="H88" s="336"/>
      <c r="I88" s="336">
        <f t="shared" si="5"/>
        <v>37209.74</v>
      </c>
      <c r="J88" s="336">
        <f t="shared" si="6"/>
        <v>37209.74</v>
      </c>
      <c r="K88" s="546">
        <f t="shared" si="7"/>
        <v>0</v>
      </c>
      <c r="L88" s="502"/>
      <c r="M88" s="231"/>
      <c r="N88" s="11" t="s">
        <v>243</v>
      </c>
      <c r="O88" s="341"/>
      <c r="P88" s="339"/>
    </row>
    <row r="89" spans="1:16" ht="33" hidden="1">
      <c r="A89" s="333" t="s">
        <v>2207</v>
      </c>
      <c r="B89" s="334" t="s">
        <v>425</v>
      </c>
      <c r="C89" s="335" t="s">
        <v>0</v>
      </c>
      <c r="D89" s="336">
        <v>1</v>
      </c>
      <c r="E89" s="336">
        <f>估驗單!F85</f>
        <v>1</v>
      </c>
      <c r="F89" s="390">
        <f t="shared" si="4"/>
        <v>0</v>
      </c>
      <c r="G89" s="336">
        <v>18604.87</v>
      </c>
      <c r="H89" s="336"/>
      <c r="I89" s="336">
        <f t="shared" si="5"/>
        <v>18604.87</v>
      </c>
      <c r="J89" s="336">
        <f t="shared" si="6"/>
        <v>18604.87</v>
      </c>
      <c r="K89" s="546">
        <f t="shared" si="7"/>
        <v>0</v>
      </c>
      <c r="L89" s="502"/>
      <c r="M89" s="231" t="s">
        <v>242</v>
      </c>
      <c r="N89" s="11" t="s">
        <v>243</v>
      </c>
      <c r="O89" s="341"/>
      <c r="P89" s="339"/>
    </row>
    <row r="90" spans="1:16" ht="33" hidden="1">
      <c r="A90" s="333" t="s">
        <v>2208</v>
      </c>
      <c r="B90" s="334" t="s">
        <v>428</v>
      </c>
      <c r="C90" s="335" t="s">
        <v>0</v>
      </c>
      <c r="D90" s="336">
        <v>2</v>
      </c>
      <c r="E90" s="336">
        <f>估驗單!F86</f>
        <v>2</v>
      </c>
      <c r="F90" s="390">
        <f t="shared" ref="F90:F156" si="8">E90-D90</f>
        <v>0</v>
      </c>
      <c r="G90" s="336">
        <v>11654.82</v>
      </c>
      <c r="H90" s="336"/>
      <c r="I90" s="336">
        <f t="shared" si="5"/>
        <v>23309.64</v>
      </c>
      <c r="J90" s="336">
        <f t="shared" si="6"/>
        <v>23309.64</v>
      </c>
      <c r="K90" s="546">
        <f t="shared" si="7"/>
        <v>0</v>
      </c>
      <c r="L90" s="502"/>
      <c r="M90" s="231" t="s">
        <v>242</v>
      </c>
      <c r="N90" s="11" t="s">
        <v>243</v>
      </c>
      <c r="O90" s="341"/>
      <c r="P90" s="339"/>
    </row>
    <row r="91" spans="1:16" ht="33" hidden="1">
      <c r="A91" s="333" t="s">
        <v>2209</v>
      </c>
      <c r="B91" s="334" t="s">
        <v>431</v>
      </c>
      <c r="C91" s="335" t="s">
        <v>0</v>
      </c>
      <c r="D91" s="336">
        <v>2</v>
      </c>
      <c r="E91" s="336">
        <f>估驗單!F87</f>
        <v>2</v>
      </c>
      <c r="F91" s="390">
        <f t="shared" si="8"/>
        <v>0</v>
      </c>
      <c r="G91" s="336">
        <v>25107.48</v>
      </c>
      <c r="H91" s="336"/>
      <c r="I91" s="336">
        <f t="shared" si="5"/>
        <v>50214.96</v>
      </c>
      <c r="J91" s="336">
        <f t="shared" si="6"/>
        <v>50214.96</v>
      </c>
      <c r="K91" s="546">
        <f t="shared" si="7"/>
        <v>0</v>
      </c>
      <c r="L91" s="502"/>
      <c r="M91" s="231" t="s">
        <v>242</v>
      </c>
      <c r="N91" s="11" t="s">
        <v>243</v>
      </c>
      <c r="O91" s="341"/>
      <c r="P91" s="339"/>
    </row>
    <row r="92" spans="1:16" ht="33" hidden="1">
      <c r="A92" s="333" t="s">
        <v>2210</v>
      </c>
      <c r="B92" s="334" t="s">
        <v>434</v>
      </c>
      <c r="C92" s="335" t="s">
        <v>0</v>
      </c>
      <c r="D92" s="336">
        <v>1</v>
      </c>
      <c r="E92" s="336">
        <f>估驗單!F88</f>
        <v>1</v>
      </c>
      <c r="F92" s="390">
        <f t="shared" si="8"/>
        <v>0</v>
      </c>
      <c r="G92" s="336">
        <v>22415.66</v>
      </c>
      <c r="H92" s="336"/>
      <c r="I92" s="336">
        <f t="shared" si="5"/>
        <v>22415.66</v>
      </c>
      <c r="J92" s="336">
        <f t="shared" si="6"/>
        <v>22415.66</v>
      </c>
      <c r="K92" s="546">
        <f t="shared" si="7"/>
        <v>0</v>
      </c>
      <c r="L92" s="502"/>
      <c r="M92" s="231" t="s">
        <v>242</v>
      </c>
      <c r="N92" s="11" t="s">
        <v>243</v>
      </c>
      <c r="O92" s="341"/>
      <c r="P92" s="339"/>
    </row>
    <row r="93" spans="1:16" ht="33" hidden="1">
      <c r="A93" s="333" t="s">
        <v>2211</v>
      </c>
      <c r="B93" s="334" t="s">
        <v>437</v>
      </c>
      <c r="C93" s="335" t="s">
        <v>0</v>
      </c>
      <c r="D93" s="336">
        <v>1</v>
      </c>
      <c r="E93" s="336">
        <f>估驗單!F89</f>
        <v>1</v>
      </c>
      <c r="F93" s="390">
        <f t="shared" si="8"/>
        <v>0</v>
      </c>
      <c r="G93" s="336">
        <v>21723.54</v>
      </c>
      <c r="H93" s="336"/>
      <c r="I93" s="336">
        <f t="shared" si="5"/>
        <v>21723.54</v>
      </c>
      <c r="J93" s="336">
        <f t="shared" si="6"/>
        <v>21723.54</v>
      </c>
      <c r="K93" s="546">
        <f t="shared" si="7"/>
        <v>0</v>
      </c>
      <c r="L93" s="502"/>
      <c r="M93" s="231" t="s">
        <v>242</v>
      </c>
      <c r="N93" s="11" t="s">
        <v>243</v>
      </c>
      <c r="O93" s="341"/>
      <c r="P93" s="339"/>
    </row>
    <row r="94" spans="1:16" ht="33" hidden="1">
      <c r="A94" s="333" t="s">
        <v>2212</v>
      </c>
      <c r="B94" s="334" t="s">
        <v>440</v>
      </c>
      <c r="C94" s="335" t="s">
        <v>0</v>
      </c>
      <c r="D94" s="336">
        <v>1</v>
      </c>
      <c r="E94" s="336">
        <f>估驗單!F90</f>
        <v>1</v>
      </c>
      <c r="F94" s="390">
        <f t="shared" si="8"/>
        <v>0</v>
      </c>
      <c r="G94" s="336">
        <v>22646.36</v>
      </c>
      <c r="H94" s="336"/>
      <c r="I94" s="336">
        <f t="shared" si="5"/>
        <v>22646.36</v>
      </c>
      <c r="J94" s="336">
        <f t="shared" si="6"/>
        <v>22646.36</v>
      </c>
      <c r="K94" s="546">
        <f t="shared" si="7"/>
        <v>0</v>
      </c>
      <c r="L94" s="502"/>
      <c r="M94" s="231" t="s">
        <v>242</v>
      </c>
      <c r="N94" s="11" t="s">
        <v>243</v>
      </c>
      <c r="O94" s="341"/>
      <c r="P94" s="339"/>
    </row>
    <row r="95" spans="1:16" ht="33" hidden="1">
      <c r="A95" s="333" t="s">
        <v>2213</v>
      </c>
      <c r="B95" s="334" t="s">
        <v>443</v>
      </c>
      <c r="C95" s="335" t="s">
        <v>0</v>
      </c>
      <c r="D95" s="336">
        <v>4</v>
      </c>
      <c r="E95" s="336">
        <f>估驗單!F91</f>
        <v>4</v>
      </c>
      <c r="F95" s="390">
        <f t="shared" si="8"/>
        <v>0</v>
      </c>
      <c r="G95" s="336">
        <v>17340.05</v>
      </c>
      <c r="H95" s="336"/>
      <c r="I95" s="336">
        <f t="shared" si="5"/>
        <v>69360.2</v>
      </c>
      <c r="J95" s="336">
        <f t="shared" si="6"/>
        <v>69360.2</v>
      </c>
      <c r="K95" s="546">
        <f t="shared" si="7"/>
        <v>0</v>
      </c>
      <c r="L95" s="502"/>
      <c r="M95" s="231" t="s">
        <v>242</v>
      </c>
      <c r="N95" s="11" t="s">
        <v>243</v>
      </c>
      <c r="O95" s="341"/>
      <c r="P95" s="339"/>
    </row>
    <row r="96" spans="1:16" ht="33" hidden="1">
      <c r="A96" s="333" t="s">
        <v>2214</v>
      </c>
      <c r="B96" s="334" t="s">
        <v>446</v>
      </c>
      <c r="C96" s="335" t="s">
        <v>0</v>
      </c>
      <c r="D96" s="336">
        <v>6</v>
      </c>
      <c r="E96" s="336">
        <f>估驗單!F92</f>
        <v>6</v>
      </c>
      <c r="F96" s="390">
        <f t="shared" si="8"/>
        <v>0</v>
      </c>
      <c r="G96" s="336">
        <v>17340.05</v>
      </c>
      <c r="H96" s="336"/>
      <c r="I96" s="336">
        <f t="shared" si="5"/>
        <v>104040.3</v>
      </c>
      <c r="J96" s="336">
        <f t="shared" si="6"/>
        <v>104040.3</v>
      </c>
      <c r="K96" s="546">
        <f t="shared" si="7"/>
        <v>0</v>
      </c>
      <c r="L96" s="502"/>
      <c r="M96" s="231" t="s">
        <v>242</v>
      </c>
      <c r="N96" s="11" t="s">
        <v>243</v>
      </c>
      <c r="O96" s="341"/>
      <c r="P96" s="339"/>
    </row>
    <row r="97" spans="1:17" ht="33" hidden="1">
      <c r="A97" s="333" t="s">
        <v>2215</v>
      </c>
      <c r="B97" s="334" t="s">
        <v>449</v>
      </c>
      <c r="C97" s="335" t="s">
        <v>0</v>
      </c>
      <c r="D97" s="336">
        <v>1</v>
      </c>
      <c r="E97" s="336">
        <f>估驗單!F93</f>
        <v>1</v>
      </c>
      <c r="F97" s="390">
        <f t="shared" si="8"/>
        <v>0</v>
      </c>
      <c r="G97" s="336">
        <v>17496.650000000001</v>
      </c>
      <c r="H97" s="336"/>
      <c r="I97" s="336">
        <f t="shared" si="5"/>
        <v>17496.650000000001</v>
      </c>
      <c r="J97" s="336">
        <f t="shared" si="6"/>
        <v>17496.650000000001</v>
      </c>
      <c r="K97" s="546">
        <f t="shared" si="7"/>
        <v>0</v>
      </c>
      <c r="L97" s="502"/>
      <c r="M97" s="231" t="s">
        <v>242</v>
      </c>
      <c r="N97" s="11" t="s">
        <v>243</v>
      </c>
      <c r="O97" s="341"/>
      <c r="P97" s="339"/>
    </row>
    <row r="98" spans="1:17" ht="33" hidden="1">
      <c r="A98" s="333" t="s">
        <v>2216</v>
      </c>
      <c r="B98" s="334" t="s">
        <v>452</v>
      </c>
      <c r="C98" s="335" t="s">
        <v>0</v>
      </c>
      <c r="D98" s="336">
        <v>1</v>
      </c>
      <c r="E98" s="336">
        <f>估驗單!F94</f>
        <v>1</v>
      </c>
      <c r="F98" s="390">
        <f t="shared" si="8"/>
        <v>0</v>
      </c>
      <c r="G98" s="336">
        <v>1501.66</v>
      </c>
      <c r="H98" s="336"/>
      <c r="I98" s="336">
        <f t="shared" si="5"/>
        <v>1501.66</v>
      </c>
      <c r="J98" s="336">
        <f t="shared" si="6"/>
        <v>1501.66</v>
      </c>
      <c r="K98" s="546">
        <f t="shared" si="7"/>
        <v>0</v>
      </c>
      <c r="L98" s="502"/>
      <c r="M98" s="231" t="s">
        <v>242</v>
      </c>
      <c r="N98" s="11" t="s">
        <v>243</v>
      </c>
      <c r="O98" s="341"/>
      <c r="P98" s="339"/>
    </row>
    <row r="99" spans="1:17" ht="33" hidden="1">
      <c r="A99" s="333" t="s">
        <v>2217</v>
      </c>
      <c r="B99" s="334" t="s">
        <v>455</v>
      </c>
      <c r="C99" s="335" t="s">
        <v>0</v>
      </c>
      <c r="D99" s="336">
        <v>1</v>
      </c>
      <c r="E99" s="336">
        <f>估驗單!F95</f>
        <v>1</v>
      </c>
      <c r="F99" s="390">
        <f t="shared" si="8"/>
        <v>0</v>
      </c>
      <c r="G99" s="336">
        <v>1240.05</v>
      </c>
      <c r="H99" s="336"/>
      <c r="I99" s="336">
        <f t="shared" si="5"/>
        <v>1240.05</v>
      </c>
      <c r="J99" s="336">
        <f t="shared" si="6"/>
        <v>1240.05</v>
      </c>
      <c r="K99" s="546">
        <f t="shared" si="7"/>
        <v>0</v>
      </c>
      <c r="L99" s="502"/>
      <c r="M99" s="231" t="s">
        <v>242</v>
      </c>
      <c r="N99" s="11" t="s">
        <v>243</v>
      </c>
      <c r="O99" s="341"/>
      <c r="P99" s="339"/>
    </row>
    <row r="100" spans="1:17" ht="33" hidden="1">
      <c r="A100" s="333" t="s">
        <v>2218</v>
      </c>
      <c r="B100" s="334" t="s">
        <v>458</v>
      </c>
      <c r="C100" s="335" t="s">
        <v>0</v>
      </c>
      <c r="D100" s="336">
        <v>1</v>
      </c>
      <c r="E100" s="336">
        <f>估驗單!F96</f>
        <v>1</v>
      </c>
      <c r="F100" s="390">
        <f t="shared" si="8"/>
        <v>0</v>
      </c>
      <c r="G100" s="336">
        <v>1470.75</v>
      </c>
      <c r="H100" s="336"/>
      <c r="I100" s="336">
        <f t="shared" si="5"/>
        <v>1470.75</v>
      </c>
      <c r="J100" s="336">
        <f t="shared" si="6"/>
        <v>1470.75</v>
      </c>
      <c r="K100" s="546">
        <f t="shared" si="7"/>
        <v>0</v>
      </c>
      <c r="L100" s="502"/>
      <c r="M100" s="231" t="s">
        <v>242</v>
      </c>
      <c r="N100" s="11" t="s">
        <v>243</v>
      </c>
      <c r="O100" s="341"/>
      <c r="P100" s="339"/>
    </row>
    <row r="101" spans="1:17" ht="33" hidden="1">
      <c r="A101" s="333" t="s">
        <v>2219</v>
      </c>
      <c r="B101" s="334" t="s">
        <v>461</v>
      </c>
      <c r="C101" s="335" t="s">
        <v>0</v>
      </c>
      <c r="D101" s="336">
        <v>1</v>
      </c>
      <c r="E101" s="336">
        <f>估驗單!F97</f>
        <v>1</v>
      </c>
      <c r="F101" s="390">
        <f t="shared" si="8"/>
        <v>0</v>
      </c>
      <c r="G101" s="336">
        <v>1326.56</v>
      </c>
      <c r="H101" s="336"/>
      <c r="I101" s="336">
        <f t="shared" si="5"/>
        <v>1326.56</v>
      </c>
      <c r="J101" s="336">
        <f t="shared" si="6"/>
        <v>1326.56</v>
      </c>
      <c r="K101" s="546">
        <f t="shared" si="7"/>
        <v>0</v>
      </c>
      <c r="L101" s="502"/>
      <c r="M101" s="231" t="s">
        <v>242</v>
      </c>
      <c r="N101" s="11" t="s">
        <v>243</v>
      </c>
      <c r="O101" s="341"/>
      <c r="P101" s="339"/>
    </row>
    <row r="102" spans="1:17" ht="33" hidden="1">
      <c r="A102" s="333" t="s">
        <v>2220</v>
      </c>
      <c r="B102" s="334" t="s">
        <v>464</v>
      </c>
      <c r="C102" s="335" t="s">
        <v>0</v>
      </c>
      <c r="D102" s="336">
        <v>3</v>
      </c>
      <c r="E102" s="336">
        <f>估驗單!F98</f>
        <v>3</v>
      </c>
      <c r="F102" s="390">
        <f t="shared" si="8"/>
        <v>0</v>
      </c>
      <c r="G102" s="336">
        <v>331.64</v>
      </c>
      <c r="H102" s="336"/>
      <c r="I102" s="336">
        <f t="shared" ref="I102:I125" si="9">ROUND(D102*G102,2)</f>
        <v>994.92</v>
      </c>
      <c r="J102" s="336">
        <f t="shared" ref="J102:J122" si="10">ROUND(E102*G102,2)</f>
        <v>994.92</v>
      </c>
      <c r="K102" s="546">
        <f t="shared" si="7"/>
        <v>0</v>
      </c>
      <c r="L102" s="502"/>
      <c r="M102" s="231" t="s">
        <v>242</v>
      </c>
      <c r="N102" s="11" t="s">
        <v>243</v>
      </c>
      <c r="O102" s="341"/>
      <c r="P102" s="339"/>
    </row>
    <row r="103" spans="1:17" ht="33" hidden="1">
      <c r="A103" s="333" t="s">
        <v>2221</v>
      </c>
      <c r="B103" s="334" t="s">
        <v>467</v>
      </c>
      <c r="C103" s="335" t="s">
        <v>0</v>
      </c>
      <c r="D103" s="336">
        <v>7</v>
      </c>
      <c r="E103" s="336">
        <f>估驗單!F99</f>
        <v>7</v>
      </c>
      <c r="F103" s="390">
        <f t="shared" si="8"/>
        <v>0</v>
      </c>
      <c r="G103" s="336">
        <v>952.18</v>
      </c>
      <c r="H103" s="336"/>
      <c r="I103" s="336">
        <f t="shared" si="9"/>
        <v>6665.26</v>
      </c>
      <c r="J103" s="336">
        <f t="shared" si="10"/>
        <v>6665.26</v>
      </c>
      <c r="K103" s="546">
        <f t="shared" si="7"/>
        <v>0</v>
      </c>
      <c r="L103" s="502"/>
      <c r="M103" s="231" t="s">
        <v>242</v>
      </c>
      <c r="N103" s="11" t="s">
        <v>243</v>
      </c>
      <c r="O103" s="341"/>
      <c r="P103" s="339"/>
    </row>
    <row r="104" spans="1:17" ht="33" hidden="1">
      <c r="A104" s="333" t="s">
        <v>2222</v>
      </c>
      <c r="B104" s="334" t="s">
        <v>470</v>
      </c>
      <c r="C104" s="335" t="s">
        <v>0</v>
      </c>
      <c r="D104" s="336">
        <v>1</v>
      </c>
      <c r="E104" s="336">
        <f>估驗單!F100</f>
        <v>1</v>
      </c>
      <c r="F104" s="390">
        <f t="shared" si="8"/>
        <v>0</v>
      </c>
      <c r="G104" s="336">
        <v>272825.21000000002</v>
      </c>
      <c r="H104" s="336"/>
      <c r="I104" s="336">
        <f t="shared" si="9"/>
        <v>272825.21000000002</v>
      </c>
      <c r="J104" s="336">
        <f t="shared" si="10"/>
        <v>272825.21000000002</v>
      </c>
      <c r="K104" s="546">
        <f t="shared" si="7"/>
        <v>0</v>
      </c>
      <c r="L104" s="502"/>
      <c r="M104" s="231" t="s">
        <v>242</v>
      </c>
      <c r="N104" s="11" t="s">
        <v>243</v>
      </c>
      <c r="O104" s="341"/>
      <c r="P104" s="339"/>
    </row>
    <row r="105" spans="1:17" ht="33" hidden="1">
      <c r="A105" s="333" t="s">
        <v>2223</v>
      </c>
      <c r="B105" s="334" t="s">
        <v>473</v>
      </c>
      <c r="C105" s="335" t="s">
        <v>13</v>
      </c>
      <c r="D105" s="336">
        <v>759.43</v>
      </c>
      <c r="E105" s="336">
        <f>估驗單!F101</f>
        <v>759.43</v>
      </c>
      <c r="F105" s="390">
        <f t="shared" si="8"/>
        <v>0</v>
      </c>
      <c r="G105" s="336">
        <v>647.65</v>
      </c>
      <c r="H105" s="336"/>
      <c r="I105" s="336">
        <f t="shared" si="9"/>
        <v>491844.84</v>
      </c>
      <c r="J105" s="336">
        <f t="shared" si="10"/>
        <v>491844.84</v>
      </c>
      <c r="K105" s="546">
        <f t="shared" si="7"/>
        <v>0</v>
      </c>
      <c r="L105" s="502"/>
      <c r="M105" s="231" t="s">
        <v>242</v>
      </c>
      <c r="N105" s="11" t="s">
        <v>243</v>
      </c>
      <c r="O105" s="341"/>
      <c r="P105" s="339"/>
    </row>
    <row r="106" spans="1:17" ht="33" hidden="1">
      <c r="A106" s="333" t="s">
        <v>2224</v>
      </c>
      <c r="B106" s="334" t="s">
        <v>476</v>
      </c>
      <c r="C106" s="335" t="s">
        <v>15</v>
      </c>
      <c r="D106" s="336">
        <v>1</v>
      </c>
      <c r="E106" s="336">
        <f>估驗單!F102</f>
        <v>1</v>
      </c>
      <c r="F106" s="390">
        <f t="shared" si="8"/>
        <v>0</v>
      </c>
      <c r="G106" s="336">
        <v>10412.73</v>
      </c>
      <c r="H106" s="336"/>
      <c r="I106" s="336">
        <f t="shared" si="9"/>
        <v>10412.73</v>
      </c>
      <c r="J106" s="336">
        <f t="shared" si="10"/>
        <v>10412.73</v>
      </c>
      <c r="K106" s="546">
        <f t="shared" si="7"/>
        <v>0</v>
      </c>
      <c r="L106" s="502"/>
      <c r="M106" s="231"/>
      <c r="N106" s="11" t="s">
        <v>243</v>
      </c>
      <c r="O106" s="341"/>
      <c r="P106" s="339"/>
    </row>
    <row r="107" spans="1:17" ht="33" hidden="1">
      <c r="A107" s="333" t="s">
        <v>2225</v>
      </c>
      <c r="B107" s="334" t="s">
        <v>479</v>
      </c>
      <c r="C107" s="335" t="s">
        <v>15</v>
      </c>
      <c r="D107" s="336">
        <v>3</v>
      </c>
      <c r="E107" s="336">
        <f>估驗單!F103</f>
        <v>3</v>
      </c>
      <c r="F107" s="390">
        <f t="shared" si="8"/>
        <v>0</v>
      </c>
      <c r="G107" s="336">
        <v>4575.03</v>
      </c>
      <c r="H107" s="336"/>
      <c r="I107" s="336">
        <f t="shared" si="9"/>
        <v>13725.09</v>
      </c>
      <c r="J107" s="336">
        <f t="shared" si="10"/>
        <v>13725.09</v>
      </c>
      <c r="K107" s="546">
        <f t="shared" si="7"/>
        <v>0</v>
      </c>
      <c r="L107" s="502"/>
      <c r="M107" s="231"/>
      <c r="N107" s="11" t="s">
        <v>243</v>
      </c>
      <c r="O107" s="341"/>
      <c r="P107" s="339"/>
    </row>
    <row r="108" spans="1:17" ht="33.75" hidden="1">
      <c r="A108" s="333" t="s">
        <v>2226</v>
      </c>
      <c r="B108" s="334" t="s">
        <v>482</v>
      </c>
      <c r="C108" s="335" t="s">
        <v>483</v>
      </c>
      <c r="D108" s="336">
        <v>88.17</v>
      </c>
      <c r="E108" s="336">
        <f>估驗單!F104</f>
        <v>88.17</v>
      </c>
      <c r="F108" s="390">
        <f t="shared" si="8"/>
        <v>0</v>
      </c>
      <c r="G108" s="336">
        <v>15299.17</v>
      </c>
      <c r="H108" s="336"/>
      <c r="I108" s="336">
        <f t="shared" si="9"/>
        <v>1348927.82</v>
      </c>
      <c r="J108" s="336">
        <f t="shared" si="10"/>
        <v>1348927.82</v>
      </c>
      <c r="K108" s="546">
        <f t="shared" si="7"/>
        <v>0</v>
      </c>
      <c r="L108" s="502"/>
      <c r="M108" s="231"/>
      <c r="N108" s="11" t="s">
        <v>243</v>
      </c>
      <c r="O108" s="474" t="s">
        <v>2912</v>
      </c>
      <c r="P108" s="339" t="s">
        <v>2882</v>
      </c>
      <c r="Q108" s="245" t="s">
        <v>2875</v>
      </c>
    </row>
    <row r="109" spans="1:17" ht="33" hidden="1">
      <c r="A109" s="333" t="s">
        <v>2227</v>
      </c>
      <c r="B109" s="334" t="s">
        <v>486</v>
      </c>
      <c r="C109" s="335" t="s">
        <v>0</v>
      </c>
      <c r="D109" s="336">
        <v>25</v>
      </c>
      <c r="E109" s="336">
        <f>估驗單!F105</f>
        <v>25</v>
      </c>
      <c r="F109" s="390">
        <f t="shared" si="8"/>
        <v>0</v>
      </c>
      <c r="G109" s="336">
        <v>4498.3100000000004</v>
      </c>
      <c r="H109" s="336"/>
      <c r="I109" s="336">
        <f t="shared" si="9"/>
        <v>112457.75</v>
      </c>
      <c r="J109" s="336">
        <f t="shared" si="10"/>
        <v>112457.75</v>
      </c>
      <c r="K109" s="546">
        <f t="shared" si="7"/>
        <v>0</v>
      </c>
      <c r="L109" s="502"/>
      <c r="M109" s="231" t="s">
        <v>242</v>
      </c>
      <c r="N109" s="11" t="s">
        <v>243</v>
      </c>
      <c r="O109" s="341"/>
      <c r="P109" s="339"/>
    </row>
    <row r="110" spans="1:17" ht="33" hidden="1">
      <c r="A110" s="333" t="s">
        <v>2228</v>
      </c>
      <c r="B110" s="334" t="s">
        <v>489</v>
      </c>
      <c r="C110" s="335" t="s">
        <v>0</v>
      </c>
      <c r="D110" s="336">
        <v>13</v>
      </c>
      <c r="E110" s="336">
        <f>估驗單!F106</f>
        <v>13</v>
      </c>
      <c r="F110" s="390">
        <f t="shared" si="8"/>
        <v>0</v>
      </c>
      <c r="G110" s="336">
        <v>3353.5</v>
      </c>
      <c r="H110" s="336"/>
      <c r="I110" s="336">
        <f t="shared" si="9"/>
        <v>43595.5</v>
      </c>
      <c r="J110" s="336">
        <f t="shared" si="10"/>
        <v>43595.5</v>
      </c>
      <c r="K110" s="546">
        <f t="shared" si="7"/>
        <v>0</v>
      </c>
      <c r="L110" s="502"/>
      <c r="M110" s="231" t="s">
        <v>242</v>
      </c>
      <c r="N110" s="11" t="s">
        <v>243</v>
      </c>
      <c r="O110" s="341"/>
      <c r="P110" s="339"/>
    </row>
    <row r="111" spans="1:17" ht="33" hidden="1">
      <c r="A111" s="333" t="s">
        <v>2229</v>
      </c>
      <c r="B111" s="334" t="s">
        <v>492</v>
      </c>
      <c r="C111" s="335" t="s">
        <v>8</v>
      </c>
      <c r="D111" s="336">
        <v>9.8000000000000007</v>
      </c>
      <c r="E111" s="336">
        <f>估驗單!F107</f>
        <v>9.8000000000000007</v>
      </c>
      <c r="F111" s="390">
        <f t="shared" si="8"/>
        <v>0</v>
      </c>
      <c r="G111" s="336">
        <v>9873.85</v>
      </c>
      <c r="H111" s="336"/>
      <c r="I111" s="336">
        <f t="shared" si="9"/>
        <v>96763.73</v>
      </c>
      <c r="J111" s="336">
        <f t="shared" si="10"/>
        <v>96763.73</v>
      </c>
      <c r="K111" s="546">
        <f t="shared" si="7"/>
        <v>0</v>
      </c>
      <c r="L111" s="502"/>
      <c r="M111" s="231" t="s">
        <v>242</v>
      </c>
      <c r="N111" s="11" t="s">
        <v>243</v>
      </c>
      <c r="O111" s="341"/>
      <c r="P111" s="339"/>
    </row>
    <row r="112" spans="1:17" ht="33" hidden="1">
      <c r="A112" s="333" t="s">
        <v>2230</v>
      </c>
      <c r="B112" s="334" t="s">
        <v>495</v>
      </c>
      <c r="C112" s="335" t="s">
        <v>8</v>
      </c>
      <c r="D112" s="336">
        <v>6.2</v>
      </c>
      <c r="E112" s="336">
        <f>估驗單!F108</f>
        <v>6.2</v>
      </c>
      <c r="F112" s="390">
        <f t="shared" si="8"/>
        <v>0</v>
      </c>
      <c r="G112" s="336">
        <v>6554</v>
      </c>
      <c r="H112" s="336"/>
      <c r="I112" s="336">
        <f t="shared" si="9"/>
        <v>40634.800000000003</v>
      </c>
      <c r="J112" s="336">
        <f t="shared" si="10"/>
        <v>40634.800000000003</v>
      </c>
      <c r="K112" s="546">
        <f t="shared" si="7"/>
        <v>0</v>
      </c>
      <c r="L112" s="502"/>
      <c r="M112" s="231" t="s">
        <v>242</v>
      </c>
      <c r="N112" s="11" t="s">
        <v>243</v>
      </c>
      <c r="O112" s="341"/>
      <c r="P112" s="339"/>
    </row>
    <row r="113" spans="1:18" ht="33" hidden="1">
      <c r="A113" s="333" t="s">
        <v>2231</v>
      </c>
      <c r="B113" s="334" t="s">
        <v>498</v>
      </c>
      <c r="C113" s="335" t="s">
        <v>8</v>
      </c>
      <c r="D113" s="336">
        <v>3.3</v>
      </c>
      <c r="E113" s="336">
        <f>估驗單!F109</f>
        <v>3.3</v>
      </c>
      <c r="F113" s="390">
        <f t="shared" si="8"/>
        <v>0</v>
      </c>
      <c r="G113" s="336">
        <v>8390.27</v>
      </c>
      <c r="H113" s="336"/>
      <c r="I113" s="336">
        <f t="shared" si="9"/>
        <v>27687.89</v>
      </c>
      <c r="J113" s="336">
        <f t="shared" si="10"/>
        <v>27687.89</v>
      </c>
      <c r="K113" s="546">
        <f t="shared" si="7"/>
        <v>0</v>
      </c>
      <c r="L113" s="502"/>
      <c r="M113" s="231" t="s">
        <v>242</v>
      </c>
      <c r="N113" s="11" t="s">
        <v>243</v>
      </c>
      <c r="O113" s="341"/>
      <c r="P113" s="339"/>
    </row>
    <row r="114" spans="1:18" ht="33" hidden="1">
      <c r="A114" s="333" t="s">
        <v>2232</v>
      </c>
      <c r="B114" s="334" t="s">
        <v>501</v>
      </c>
      <c r="C114" s="335" t="s">
        <v>8</v>
      </c>
      <c r="D114" s="336">
        <v>40.6</v>
      </c>
      <c r="E114" s="336">
        <f>估驗單!F110</f>
        <v>40.6</v>
      </c>
      <c r="F114" s="390">
        <f t="shared" si="8"/>
        <v>0</v>
      </c>
      <c r="G114" s="336">
        <v>671.95</v>
      </c>
      <c r="H114" s="336"/>
      <c r="I114" s="336">
        <f t="shared" si="9"/>
        <v>27281.17</v>
      </c>
      <c r="J114" s="336">
        <f t="shared" si="10"/>
        <v>27281.17</v>
      </c>
      <c r="K114" s="546">
        <f t="shared" si="7"/>
        <v>0</v>
      </c>
      <c r="L114" s="502"/>
      <c r="M114" s="231"/>
      <c r="N114" s="11" t="s">
        <v>243</v>
      </c>
      <c r="O114" s="341"/>
      <c r="P114" s="339"/>
    </row>
    <row r="115" spans="1:18" ht="33" hidden="1">
      <c r="A115" s="333" t="s">
        <v>2233</v>
      </c>
      <c r="B115" s="334" t="s">
        <v>504</v>
      </c>
      <c r="C115" s="335" t="s">
        <v>8</v>
      </c>
      <c r="D115" s="336">
        <v>176.7</v>
      </c>
      <c r="E115" s="336">
        <f>估驗單!F111</f>
        <v>176.7</v>
      </c>
      <c r="F115" s="390">
        <f t="shared" si="8"/>
        <v>0</v>
      </c>
      <c r="G115" s="336">
        <v>658.27</v>
      </c>
      <c r="H115" s="336"/>
      <c r="I115" s="336">
        <f t="shared" si="9"/>
        <v>116316.31</v>
      </c>
      <c r="J115" s="336">
        <f t="shared" si="10"/>
        <v>116316.31</v>
      </c>
      <c r="K115" s="546">
        <f t="shared" si="7"/>
        <v>0</v>
      </c>
      <c r="L115" s="502"/>
      <c r="M115" s="231"/>
      <c r="N115" s="11" t="s">
        <v>243</v>
      </c>
      <c r="O115" s="341"/>
      <c r="P115" s="339"/>
    </row>
    <row r="116" spans="1:18" ht="33" hidden="1">
      <c r="A116" s="333" t="s">
        <v>2234</v>
      </c>
      <c r="B116" s="334" t="s">
        <v>507</v>
      </c>
      <c r="C116" s="335" t="s">
        <v>8</v>
      </c>
      <c r="D116" s="336">
        <v>251.7</v>
      </c>
      <c r="E116" s="336">
        <f>估驗單!F112</f>
        <v>251.7</v>
      </c>
      <c r="F116" s="390">
        <f t="shared" si="8"/>
        <v>0</v>
      </c>
      <c r="G116" s="336">
        <v>730.37</v>
      </c>
      <c r="H116" s="336"/>
      <c r="I116" s="336">
        <f t="shared" si="9"/>
        <v>183834.13</v>
      </c>
      <c r="J116" s="336">
        <f t="shared" si="10"/>
        <v>183834.13</v>
      </c>
      <c r="K116" s="546">
        <f t="shared" si="7"/>
        <v>0</v>
      </c>
      <c r="L116" s="502"/>
      <c r="M116" s="231"/>
      <c r="N116" s="11" t="s">
        <v>243</v>
      </c>
      <c r="O116" s="341"/>
      <c r="P116" s="339"/>
    </row>
    <row r="117" spans="1:18" ht="33" hidden="1">
      <c r="A117" s="333" t="s">
        <v>2235</v>
      </c>
      <c r="B117" s="334" t="s">
        <v>510</v>
      </c>
      <c r="C117" s="335" t="s">
        <v>8</v>
      </c>
      <c r="D117" s="336">
        <v>6.8</v>
      </c>
      <c r="E117" s="336">
        <f>估驗單!F113</f>
        <v>6.8</v>
      </c>
      <c r="F117" s="390">
        <f t="shared" si="8"/>
        <v>0</v>
      </c>
      <c r="G117" s="336">
        <v>406.38</v>
      </c>
      <c r="H117" s="336"/>
      <c r="I117" s="336">
        <f t="shared" si="9"/>
        <v>2763.38</v>
      </c>
      <c r="J117" s="336">
        <f t="shared" si="10"/>
        <v>2763.38</v>
      </c>
      <c r="K117" s="546">
        <f t="shared" si="7"/>
        <v>0</v>
      </c>
      <c r="L117" s="502"/>
      <c r="M117" s="231"/>
      <c r="N117" s="11" t="s">
        <v>243</v>
      </c>
      <c r="O117" s="341"/>
      <c r="P117" s="339"/>
    </row>
    <row r="118" spans="1:18" ht="33" hidden="1">
      <c r="A118" s="333" t="s">
        <v>2236</v>
      </c>
      <c r="B118" s="334" t="s">
        <v>513</v>
      </c>
      <c r="C118" s="335" t="s">
        <v>8</v>
      </c>
      <c r="D118" s="336">
        <v>44.2</v>
      </c>
      <c r="E118" s="336">
        <f>估驗單!F114</f>
        <v>44.2</v>
      </c>
      <c r="F118" s="390">
        <f t="shared" si="8"/>
        <v>0</v>
      </c>
      <c r="G118" s="336">
        <v>457.88</v>
      </c>
      <c r="H118" s="336"/>
      <c r="I118" s="336">
        <f t="shared" si="9"/>
        <v>20238.3</v>
      </c>
      <c r="J118" s="336">
        <f t="shared" si="10"/>
        <v>20238.3</v>
      </c>
      <c r="K118" s="546">
        <f t="shared" si="7"/>
        <v>0</v>
      </c>
      <c r="L118" s="502"/>
      <c r="M118" s="231"/>
      <c r="N118" s="11" t="s">
        <v>243</v>
      </c>
      <c r="O118" s="341"/>
      <c r="P118" s="339"/>
    </row>
    <row r="119" spans="1:18" ht="33" hidden="1">
      <c r="A119" s="333" t="s">
        <v>2237</v>
      </c>
      <c r="B119" s="334" t="s">
        <v>516</v>
      </c>
      <c r="C119" s="335" t="s">
        <v>8</v>
      </c>
      <c r="D119" s="336">
        <v>10.7</v>
      </c>
      <c r="E119" s="336">
        <f>估驗單!F115</f>
        <v>10.7</v>
      </c>
      <c r="F119" s="390">
        <f t="shared" si="8"/>
        <v>0</v>
      </c>
      <c r="G119" s="336">
        <v>499.08</v>
      </c>
      <c r="H119" s="336"/>
      <c r="I119" s="336">
        <f t="shared" si="9"/>
        <v>5340.16</v>
      </c>
      <c r="J119" s="336">
        <f t="shared" si="10"/>
        <v>5340.16</v>
      </c>
      <c r="K119" s="546">
        <f t="shared" si="7"/>
        <v>0</v>
      </c>
      <c r="L119" s="502"/>
      <c r="M119" s="231"/>
      <c r="N119" s="11" t="s">
        <v>243</v>
      </c>
      <c r="O119" s="341"/>
      <c r="P119" s="339"/>
    </row>
    <row r="120" spans="1:18" ht="33" hidden="1">
      <c r="A120" s="333" t="s">
        <v>2238</v>
      </c>
      <c r="B120" s="334" t="s">
        <v>519</v>
      </c>
      <c r="C120" s="335" t="s">
        <v>8</v>
      </c>
      <c r="D120" s="336">
        <v>62.5</v>
      </c>
      <c r="E120" s="336">
        <f>估驗單!F116</f>
        <v>62.5</v>
      </c>
      <c r="F120" s="390">
        <f t="shared" si="8"/>
        <v>0</v>
      </c>
      <c r="G120" s="336">
        <v>545.82000000000005</v>
      </c>
      <c r="H120" s="336"/>
      <c r="I120" s="336">
        <f t="shared" si="9"/>
        <v>34113.75</v>
      </c>
      <c r="J120" s="336">
        <f t="shared" si="10"/>
        <v>34113.75</v>
      </c>
      <c r="K120" s="546">
        <f t="shared" si="7"/>
        <v>0</v>
      </c>
      <c r="L120" s="502"/>
      <c r="M120" s="231"/>
      <c r="N120" s="11" t="s">
        <v>243</v>
      </c>
      <c r="O120" s="341"/>
      <c r="P120" s="339"/>
    </row>
    <row r="121" spans="1:18" ht="33" hidden="1">
      <c r="A121" s="333" t="s">
        <v>2239</v>
      </c>
      <c r="B121" s="334" t="s">
        <v>522</v>
      </c>
      <c r="C121" s="335" t="s">
        <v>8</v>
      </c>
      <c r="D121" s="336">
        <v>84.8</v>
      </c>
      <c r="E121" s="336">
        <f>估驗單!F117</f>
        <v>84.8</v>
      </c>
      <c r="F121" s="390">
        <f t="shared" si="8"/>
        <v>0</v>
      </c>
      <c r="G121" s="336">
        <v>7340.02</v>
      </c>
      <c r="H121" s="336"/>
      <c r="I121" s="336">
        <f t="shared" si="9"/>
        <v>622433.69999999995</v>
      </c>
      <c r="J121" s="336">
        <f t="shared" si="10"/>
        <v>622433.69999999995</v>
      </c>
      <c r="K121" s="546">
        <f t="shared" si="7"/>
        <v>0</v>
      </c>
      <c r="L121" s="502"/>
      <c r="M121" s="231"/>
      <c r="N121" s="11" t="s">
        <v>243</v>
      </c>
      <c r="O121" s="341"/>
      <c r="P121" s="339"/>
    </row>
    <row r="122" spans="1:18" ht="45" customHeight="1">
      <c r="A122" s="503" t="s">
        <v>2240</v>
      </c>
      <c r="B122" s="504" t="s">
        <v>525</v>
      </c>
      <c r="C122" s="505" t="s">
        <v>0</v>
      </c>
      <c r="D122" s="506">
        <v>2</v>
      </c>
      <c r="E122" s="506">
        <v>0</v>
      </c>
      <c r="F122" s="509">
        <f t="shared" si="8"/>
        <v>-2</v>
      </c>
      <c r="G122" s="506">
        <v>913306.18</v>
      </c>
      <c r="H122" s="506"/>
      <c r="I122" s="506">
        <f t="shared" si="9"/>
        <v>1826612.36</v>
      </c>
      <c r="J122" s="506">
        <f t="shared" si="10"/>
        <v>0</v>
      </c>
      <c r="K122" s="547"/>
      <c r="L122" s="510">
        <f>J122-I122</f>
        <v>-1826612.36</v>
      </c>
      <c r="M122" s="508"/>
      <c r="N122" s="11" t="s">
        <v>243</v>
      </c>
      <c r="O122" s="1007" t="s">
        <v>2883</v>
      </c>
      <c r="P122" s="339"/>
      <c r="Q122" s="1010" t="s">
        <v>3026</v>
      </c>
      <c r="R122" s="82">
        <v>1</v>
      </c>
    </row>
    <row r="123" spans="1:18" ht="27.95" customHeight="1">
      <c r="A123" s="503" t="s">
        <v>2606</v>
      </c>
      <c r="B123" s="504" t="s">
        <v>2609</v>
      </c>
      <c r="C123" s="505" t="s">
        <v>0</v>
      </c>
      <c r="D123" s="511">
        <v>0</v>
      </c>
      <c r="E123" s="511">
        <v>1</v>
      </c>
      <c r="F123" s="507">
        <f t="shared" si="8"/>
        <v>1</v>
      </c>
      <c r="G123" s="511">
        <v>0</v>
      </c>
      <c r="H123" s="511">
        <v>704273.82</v>
      </c>
      <c r="I123" s="506">
        <f t="shared" si="9"/>
        <v>0</v>
      </c>
      <c r="J123" s="506">
        <f>ROUND(E123*H123,2)</f>
        <v>704273.82</v>
      </c>
      <c r="K123" s="547">
        <f t="shared" si="7"/>
        <v>704273.82</v>
      </c>
      <c r="L123" s="533"/>
      <c r="M123" s="768" t="s">
        <v>3025</v>
      </c>
      <c r="N123" s="11"/>
      <c r="O123" s="1008"/>
      <c r="P123" s="339" t="s">
        <v>2884</v>
      </c>
      <c r="Q123" s="1011"/>
      <c r="R123" s="82">
        <v>1</v>
      </c>
    </row>
    <row r="124" spans="1:18" ht="27.95" customHeight="1">
      <c r="A124" s="503" t="s">
        <v>2607</v>
      </c>
      <c r="B124" s="504" t="s">
        <v>2610</v>
      </c>
      <c r="C124" s="505" t="s">
        <v>0</v>
      </c>
      <c r="D124" s="511">
        <v>0</v>
      </c>
      <c r="E124" s="511">
        <v>1</v>
      </c>
      <c r="F124" s="507">
        <f t="shared" si="8"/>
        <v>1</v>
      </c>
      <c r="G124" s="511">
        <v>0</v>
      </c>
      <c r="H124" s="511">
        <v>1255553.18</v>
      </c>
      <c r="I124" s="506">
        <f t="shared" si="9"/>
        <v>0</v>
      </c>
      <c r="J124" s="506">
        <f>ROUND(E124*H124,2)</f>
        <v>1255553.18</v>
      </c>
      <c r="K124" s="547">
        <f t="shared" si="7"/>
        <v>1255553.18</v>
      </c>
      <c r="L124" s="533"/>
      <c r="M124" s="768" t="s">
        <v>3025</v>
      </c>
      <c r="N124" s="11"/>
      <c r="O124" s="1008"/>
      <c r="P124" s="339" t="s">
        <v>2885</v>
      </c>
      <c r="Q124" s="1011"/>
      <c r="R124" s="82">
        <v>1</v>
      </c>
    </row>
    <row r="125" spans="1:18" ht="27.95" customHeight="1">
      <c r="A125" s="503" t="s">
        <v>2608</v>
      </c>
      <c r="B125" s="504" t="s">
        <v>2611</v>
      </c>
      <c r="C125" s="505" t="s">
        <v>0</v>
      </c>
      <c r="D125" s="511">
        <v>0</v>
      </c>
      <c r="E125" s="511">
        <v>1</v>
      </c>
      <c r="F125" s="507">
        <f t="shared" si="8"/>
        <v>1</v>
      </c>
      <c r="G125" s="511">
        <v>0</v>
      </c>
      <c r="H125" s="511">
        <v>1277917.6000000001</v>
      </c>
      <c r="I125" s="506">
        <f t="shared" si="9"/>
        <v>0</v>
      </c>
      <c r="J125" s="506">
        <f>ROUND(E125*H125,2)</f>
        <v>1277917.6000000001</v>
      </c>
      <c r="K125" s="547">
        <f t="shared" si="7"/>
        <v>1277917.6000000001</v>
      </c>
      <c r="L125" s="533"/>
      <c r="M125" s="768" t="s">
        <v>3025</v>
      </c>
      <c r="N125" s="11"/>
      <c r="O125" s="1009"/>
      <c r="P125" s="339" t="s">
        <v>2886</v>
      </c>
      <c r="Q125" s="1011"/>
      <c r="R125" s="82">
        <v>1</v>
      </c>
    </row>
    <row r="126" spans="1:18" ht="33">
      <c r="A126" s="406" t="s">
        <v>2241</v>
      </c>
      <c r="B126" s="407" t="s">
        <v>527</v>
      </c>
      <c r="C126" s="408" t="s">
        <v>4</v>
      </c>
      <c r="D126" s="409"/>
      <c r="E126" s="409">
        <f>估驗單!F119</f>
        <v>0</v>
      </c>
      <c r="F126" s="410">
        <f t="shared" si="8"/>
        <v>0</v>
      </c>
      <c r="G126" s="409">
        <f>I126</f>
        <v>45369259.610000014</v>
      </c>
      <c r="H126" s="409"/>
      <c r="I126" s="409">
        <f>SUM(I127:I165)</f>
        <v>45369259.610000014</v>
      </c>
      <c r="J126" s="409">
        <f>SUM(J127:J165)</f>
        <v>45442982.900000013</v>
      </c>
      <c r="K126" s="542">
        <f>SUM(K127:K165)</f>
        <v>240343.79999999976</v>
      </c>
      <c r="L126" s="534">
        <f>SUM(L127:L165)</f>
        <v>-166620.51</v>
      </c>
      <c r="M126" s="288" t="s">
        <v>242</v>
      </c>
      <c r="N126" s="11" t="s">
        <v>243</v>
      </c>
      <c r="O126" s="338"/>
      <c r="P126" s="339"/>
      <c r="R126" s="82">
        <v>1</v>
      </c>
    </row>
    <row r="127" spans="1:18" ht="33" hidden="1">
      <c r="A127" s="333" t="s">
        <v>2154</v>
      </c>
      <c r="B127" s="334" t="s">
        <v>310</v>
      </c>
      <c r="C127" s="335" t="s">
        <v>223</v>
      </c>
      <c r="D127" s="336">
        <v>928.51</v>
      </c>
      <c r="E127" s="336">
        <f>估驗單!F120</f>
        <v>928.51</v>
      </c>
      <c r="F127" s="390">
        <f t="shared" si="8"/>
        <v>0</v>
      </c>
      <c r="G127" s="336">
        <v>320.72000000000003</v>
      </c>
      <c r="H127" s="336"/>
      <c r="I127" s="336">
        <f t="shared" ref="I127:I165" si="11">ROUND(D127*G127,2)</f>
        <v>297791.73</v>
      </c>
      <c r="J127" s="336">
        <f t="shared" ref="J127:J165" si="12">ROUND(E127*G127,2)</f>
        <v>297791.73</v>
      </c>
      <c r="K127" s="546">
        <f t="shared" si="7"/>
        <v>0</v>
      </c>
      <c r="L127" s="502"/>
      <c r="M127" s="231" t="s">
        <v>242</v>
      </c>
      <c r="N127" s="11" t="s">
        <v>243</v>
      </c>
      <c r="O127" s="341"/>
      <c r="P127" s="339"/>
      <c r="Q127" s="342"/>
    </row>
    <row r="128" spans="1:18" ht="33" hidden="1">
      <c r="A128" s="333" t="s">
        <v>2155</v>
      </c>
      <c r="B128" s="334" t="s">
        <v>315</v>
      </c>
      <c r="C128" s="335" t="s">
        <v>6</v>
      </c>
      <c r="D128" s="336">
        <v>26.33</v>
      </c>
      <c r="E128" s="336">
        <f>估驗單!F121</f>
        <v>26.33</v>
      </c>
      <c r="F128" s="390">
        <f t="shared" si="8"/>
        <v>0</v>
      </c>
      <c r="G128" s="336">
        <v>3114.97</v>
      </c>
      <c r="H128" s="336"/>
      <c r="I128" s="336">
        <f t="shared" si="11"/>
        <v>82017.16</v>
      </c>
      <c r="J128" s="336">
        <f t="shared" si="12"/>
        <v>82017.16</v>
      </c>
      <c r="K128" s="546">
        <f t="shared" si="7"/>
        <v>0</v>
      </c>
      <c r="L128" s="502"/>
      <c r="M128" s="231" t="s">
        <v>242</v>
      </c>
      <c r="N128" s="11" t="s">
        <v>243</v>
      </c>
      <c r="O128" s="341"/>
      <c r="P128" s="339"/>
    </row>
    <row r="129" spans="1:18" ht="33" hidden="1">
      <c r="A129" s="333" t="s">
        <v>2156</v>
      </c>
      <c r="B129" s="334" t="s">
        <v>24</v>
      </c>
      <c r="C129" s="335" t="s">
        <v>6</v>
      </c>
      <c r="D129" s="336">
        <v>36.86</v>
      </c>
      <c r="E129" s="336">
        <f>估驗單!F122</f>
        <v>36.86</v>
      </c>
      <c r="F129" s="390">
        <f t="shared" si="8"/>
        <v>0</v>
      </c>
      <c r="G129" s="336">
        <v>3320.96</v>
      </c>
      <c r="H129" s="336"/>
      <c r="I129" s="336">
        <f t="shared" si="11"/>
        <v>122410.59</v>
      </c>
      <c r="J129" s="336">
        <f t="shared" si="12"/>
        <v>122410.59</v>
      </c>
      <c r="K129" s="546">
        <f t="shared" si="7"/>
        <v>0</v>
      </c>
      <c r="L129" s="502"/>
      <c r="M129" s="231" t="s">
        <v>242</v>
      </c>
      <c r="N129" s="11" t="s">
        <v>243</v>
      </c>
      <c r="O129" s="341"/>
      <c r="P129" s="339"/>
    </row>
    <row r="130" spans="1:18" ht="33" hidden="1">
      <c r="A130" s="333" t="s">
        <v>2157</v>
      </c>
      <c r="B130" s="334" t="s">
        <v>528</v>
      </c>
      <c r="C130" s="335" t="s">
        <v>6</v>
      </c>
      <c r="D130" s="336">
        <v>654.83000000000004</v>
      </c>
      <c r="E130" s="336">
        <f>估驗單!F123</f>
        <v>654.83000000000004</v>
      </c>
      <c r="F130" s="390">
        <f t="shared" si="8"/>
        <v>0</v>
      </c>
      <c r="G130" s="336">
        <v>3643.53</v>
      </c>
      <c r="H130" s="336"/>
      <c r="I130" s="336">
        <f t="shared" si="11"/>
        <v>2385892.75</v>
      </c>
      <c r="J130" s="336">
        <f t="shared" si="12"/>
        <v>2385892.75</v>
      </c>
      <c r="K130" s="546">
        <f t="shared" si="7"/>
        <v>0</v>
      </c>
      <c r="L130" s="502"/>
      <c r="M130" s="231" t="s">
        <v>242</v>
      </c>
      <c r="N130" s="11" t="s">
        <v>243</v>
      </c>
      <c r="O130" s="341"/>
      <c r="P130" s="339"/>
    </row>
    <row r="131" spans="1:18" ht="33" hidden="1">
      <c r="A131" s="333" t="s">
        <v>2158</v>
      </c>
      <c r="B131" s="334" t="s">
        <v>192</v>
      </c>
      <c r="C131" s="335" t="s">
        <v>17</v>
      </c>
      <c r="D131" s="336">
        <v>6240.88</v>
      </c>
      <c r="E131" s="336">
        <f>估驗單!F124</f>
        <v>6240.88</v>
      </c>
      <c r="F131" s="390">
        <f t="shared" si="8"/>
        <v>0</v>
      </c>
      <c r="G131" s="336">
        <v>36.4</v>
      </c>
      <c r="H131" s="336"/>
      <c r="I131" s="336">
        <f t="shared" si="11"/>
        <v>227168.03</v>
      </c>
      <c r="J131" s="336">
        <f t="shared" si="12"/>
        <v>227168.03</v>
      </c>
      <c r="K131" s="546">
        <f t="shared" si="7"/>
        <v>0</v>
      </c>
      <c r="L131" s="502"/>
      <c r="M131" s="231"/>
      <c r="N131" s="11" t="s">
        <v>243</v>
      </c>
      <c r="O131" s="341"/>
      <c r="P131" s="339"/>
    </row>
    <row r="132" spans="1:18" ht="33" hidden="1">
      <c r="A132" s="333" t="s">
        <v>2159</v>
      </c>
      <c r="B132" s="334" t="s">
        <v>530</v>
      </c>
      <c r="C132" s="335" t="s">
        <v>17</v>
      </c>
      <c r="D132" s="336">
        <v>102796.95</v>
      </c>
      <c r="E132" s="336">
        <f>估驗單!F125</f>
        <v>102796.95</v>
      </c>
      <c r="F132" s="390">
        <f t="shared" si="8"/>
        <v>0</v>
      </c>
      <c r="G132" s="336">
        <v>38.71</v>
      </c>
      <c r="H132" s="336"/>
      <c r="I132" s="336">
        <f t="shared" si="11"/>
        <v>3979269.93</v>
      </c>
      <c r="J132" s="336">
        <f t="shared" si="12"/>
        <v>3979269.93</v>
      </c>
      <c r="K132" s="546">
        <f t="shared" si="7"/>
        <v>0</v>
      </c>
      <c r="L132" s="502"/>
      <c r="M132" s="231"/>
      <c r="N132" s="11" t="s">
        <v>243</v>
      </c>
      <c r="O132" s="341"/>
      <c r="P132" s="339"/>
    </row>
    <row r="133" spans="1:18" ht="33" hidden="1">
      <c r="A133" s="333" t="s">
        <v>2160</v>
      </c>
      <c r="B133" s="334" t="s">
        <v>532</v>
      </c>
      <c r="C133" s="335" t="s">
        <v>13</v>
      </c>
      <c r="D133" s="336">
        <v>223.3</v>
      </c>
      <c r="E133" s="336">
        <f>估驗單!F126</f>
        <v>223.3</v>
      </c>
      <c r="F133" s="390">
        <f t="shared" si="8"/>
        <v>0</v>
      </c>
      <c r="G133" s="336">
        <v>1154.9100000000001</v>
      </c>
      <c r="H133" s="336"/>
      <c r="I133" s="336">
        <f t="shared" si="11"/>
        <v>257891.4</v>
      </c>
      <c r="J133" s="336">
        <f t="shared" si="12"/>
        <v>257891.4</v>
      </c>
      <c r="K133" s="546">
        <f t="shared" si="7"/>
        <v>0</v>
      </c>
      <c r="L133" s="502"/>
      <c r="M133" s="231"/>
      <c r="N133" s="11" t="s">
        <v>243</v>
      </c>
      <c r="O133" s="341"/>
      <c r="P133" s="339"/>
    </row>
    <row r="134" spans="1:18" ht="45">
      <c r="A134" s="503" t="s">
        <v>2161</v>
      </c>
      <c r="B134" s="504" t="s">
        <v>534</v>
      </c>
      <c r="C134" s="505" t="s">
        <v>13</v>
      </c>
      <c r="D134" s="506">
        <v>450.04</v>
      </c>
      <c r="E134" s="506">
        <f>估驗單!F127</f>
        <v>484.31400000000008</v>
      </c>
      <c r="F134" s="507">
        <f t="shared" si="8"/>
        <v>34.274000000000058</v>
      </c>
      <c r="G134" s="506">
        <v>982.93</v>
      </c>
      <c r="H134" s="506"/>
      <c r="I134" s="506">
        <f t="shared" si="11"/>
        <v>442357.82</v>
      </c>
      <c r="J134" s="506">
        <f t="shared" si="12"/>
        <v>476046.76</v>
      </c>
      <c r="K134" s="547">
        <f t="shared" si="7"/>
        <v>33688.94</v>
      </c>
      <c r="L134" s="510"/>
      <c r="M134" s="508"/>
      <c r="N134" s="11" t="s">
        <v>243</v>
      </c>
      <c r="O134" s="341" t="s">
        <v>3017</v>
      </c>
      <c r="P134" s="339"/>
      <c r="Q134" s="586" t="s">
        <v>3018</v>
      </c>
      <c r="R134" s="82">
        <v>1</v>
      </c>
    </row>
    <row r="135" spans="1:18" ht="45">
      <c r="A135" s="503" t="s">
        <v>2162</v>
      </c>
      <c r="B135" s="504" t="s">
        <v>536</v>
      </c>
      <c r="C135" s="505" t="s">
        <v>13</v>
      </c>
      <c r="D135" s="506">
        <v>28.27</v>
      </c>
      <c r="E135" s="506">
        <f>估驗單!F128</f>
        <v>42.534999999999997</v>
      </c>
      <c r="F135" s="507">
        <f t="shared" si="8"/>
        <v>14.264999999999997</v>
      </c>
      <c r="G135" s="506">
        <v>804.75</v>
      </c>
      <c r="H135" s="506"/>
      <c r="I135" s="506">
        <f t="shared" si="11"/>
        <v>22750.28</v>
      </c>
      <c r="J135" s="506">
        <f t="shared" si="12"/>
        <v>34230.04</v>
      </c>
      <c r="K135" s="547">
        <f t="shared" si="7"/>
        <v>11479.760000000002</v>
      </c>
      <c r="L135" s="510"/>
      <c r="M135" s="508"/>
      <c r="N135" s="11" t="s">
        <v>243</v>
      </c>
      <c r="O135" s="341" t="s">
        <v>3017</v>
      </c>
      <c r="P135" s="339"/>
      <c r="Q135" s="586" t="s">
        <v>3018</v>
      </c>
      <c r="R135" s="82">
        <v>1</v>
      </c>
    </row>
    <row r="136" spans="1:18" ht="33" hidden="1">
      <c r="A136" s="333" t="s">
        <v>2163</v>
      </c>
      <c r="B136" s="334" t="s">
        <v>538</v>
      </c>
      <c r="C136" s="335" t="s">
        <v>539</v>
      </c>
      <c r="D136" s="336">
        <v>25655</v>
      </c>
      <c r="E136" s="336">
        <f>估驗單!F129</f>
        <v>25655</v>
      </c>
      <c r="F136" s="390">
        <f t="shared" si="8"/>
        <v>0</v>
      </c>
      <c r="G136" s="336">
        <v>75</v>
      </c>
      <c r="H136" s="336"/>
      <c r="I136" s="336">
        <f t="shared" si="11"/>
        <v>1924125</v>
      </c>
      <c r="J136" s="336">
        <f t="shared" si="12"/>
        <v>1924125</v>
      </c>
      <c r="K136" s="546">
        <f t="shared" si="7"/>
        <v>0</v>
      </c>
      <c r="L136" s="502"/>
      <c r="M136" s="231" t="s">
        <v>242</v>
      </c>
      <c r="N136" s="11" t="s">
        <v>243</v>
      </c>
      <c r="O136" s="341"/>
      <c r="P136" s="339"/>
    </row>
    <row r="137" spans="1:18" ht="33" hidden="1">
      <c r="A137" s="333" t="s">
        <v>2164</v>
      </c>
      <c r="B137" s="334" t="s">
        <v>321</v>
      </c>
      <c r="C137" s="335" t="s">
        <v>17</v>
      </c>
      <c r="D137" s="336">
        <v>3691</v>
      </c>
      <c r="E137" s="336">
        <f>估驗單!F130</f>
        <v>3691</v>
      </c>
      <c r="F137" s="390">
        <f t="shared" si="8"/>
        <v>0</v>
      </c>
      <c r="G137" s="336">
        <v>60</v>
      </c>
      <c r="H137" s="336"/>
      <c r="I137" s="336">
        <f t="shared" si="11"/>
        <v>221460</v>
      </c>
      <c r="J137" s="336">
        <f t="shared" si="12"/>
        <v>221460</v>
      </c>
      <c r="K137" s="546">
        <f t="shared" si="7"/>
        <v>0</v>
      </c>
      <c r="L137" s="502"/>
      <c r="M137" s="231"/>
      <c r="N137" s="11" t="s">
        <v>243</v>
      </c>
      <c r="O137" s="341"/>
      <c r="P137" s="339"/>
    </row>
    <row r="138" spans="1:18" ht="33" hidden="1">
      <c r="A138" s="333" t="s">
        <v>2165</v>
      </c>
      <c r="B138" s="334" t="s">
        <v>323</v>
      </c>
      <c r="C138" s="335" t="s">
        <v>17</v>
      </c>
      <c r="D138" s="336">
        <v>3691</v>
      </c>
      <c r="E138" s="336">
        <f>估驗單!F131</f>
        <v>3691</v>
      </c>
      <c r="F138" s="390">
        <f t="shared" si="8"/>
        <v>0</v>
      </c>
      <c r="G138" s="336">
        <v>31.9</v>
      </c>
      <c r="H138" s="336"/>
      <c r="I138" s="336">
        <f t="shared" si="11"/>
        <v>117742.9</v>
      </c>
      <c r="J138" s="336">
        <f t="shared" si="12"/>
        <v>117742.9</v>
      </c>
      <c r="K138" s="546">
        <f t="shared" si="7"/>
        <v>0</v>
      </c>
      <c r="L138" s="502"/>
      <c r="M138" s="231" t="s">
        <v>242</v>
      </c>
      <c r="N138" s="11" t="s">
        <v>243</v>
      </c>
      <c r="O138" s="341"/>
      <c r="P138" s="339"/>
    </row>
    <row r="139" spans="1:18" ht="33" hidden="1">
      <c r="A139" s="333" t="s">
        <v>2166</v>
      </c>
      <c r="B139" s="334" t="s">
        <v>542</v>
      </c>
      <c r="C139" s="335" t="s">
        <v>17</v>
      </c>
      <c r="D139" s="336">
        <v>2162</v>
      </c>
      <c r="E139" s="336">
        <f>估驗單!F132</f>
        <v>2162</v>
      </c>
      <c r="F139" s="390">
        <f t="shared" si="8"/>
        <v>0</v>
      </c>
      <c r="G139" s="336">
        <v>278.08</v>
      </c>
      <c r="H139" s="336"/>
      <c r="I139" s="336">
        <f t="shared" si="11"/>
        <v>601208.96</v>
      </c>
      <c r="J139" s="336">
        <f t="shared" si="12"/>
        <v>601208.96</v>
      </c>
      <c r="K139" s="546">
        <f t="shared" si="7"/>
        <v>0</v>
      </c>
      <c r="L139" s="502"/>
      <c r="M139" s="231" t="s">
        <v>242</v>
      </c>
      <c r="N139" s="11" t="s">
        <v>243</v>
      </c>
      <c r="O139" s="341"/>
      <c r="P139" s="339"/>
    </row>
    <row r="140" spans="1:18" ht="33" hidden="1">
      <c r="A140" s="333" t="s">
        <v>2167</v>
      </c>
      <c r="B140" s="334" t="s">
        <v>544</v>
      </c>
      <c r="C140" s="335" t="s">
        <v>13</v>
      </c>
      <c r="D140" s="336">
        <v>99.7</v>
      </c>
      <c r="E140" s="336">
        <f>估驗單!F133</f>
        <v>99.7</v>
      </c>
      <c r="F140" s="390">
        <f t="shared" si="8"/>
        <v>0</v>
      </c>
      <c r="G140" s="336">
        <v>1399.92</v>
      </c>
      <c r="H140" s="336"/>
      <c r="I140" s="336">
        <f t="shared" si="11"/>
        <v>139572.01999999999</v>
      </c>
      <c r="J140" s="336">
        <f t="shared" si="12"/>
        <v>139572.01999999999</v>
      </c>
      <c r="K140" s="546">
        <f t="shared" si="7"/>
        <v>0</v>
      </c>
      <c r="L140" s="502"/>
      <c r="M140" s="231"/>
      <c r="N140" s="11" t="s">
        <v>243</v>
      </c>
      <c r="O140" s="341"/>
      <c r="P140" s="339"/>
    </row>
    <row r="141" spans="1:18" ht="57">
      <c r="A141" s="503" t="s">
        <v>2168</v>
      </c>
      <c r="B141" s="504" t="s">
        <v>325</v>
      </c>
      <c r="C141" s="505" t="s">
        <v>17</v>
      </c>
      <c r="D141" s="506">
        <v>95900</v>
      </c>
      <c r="E141" s="506">
        <f>估驗單!F134</f>
        <v>96604.35</v>
      </c>
      <c r="F141" s="507">
        <f t="shared" si="8"/>
        <v>704.35000000000582</v>
      </c>
      <c r="G141" s="506">
        <v>107.3</v>
      </c>
      <c r="H141" s="506"/>
      <c r="I141" s="506">
        <f t="shared" si="11"/>
        <v>10290070</v>
      </c>
      <c r="J141" s="506">
        <f t="shared" si="12"/>
        <v>10365646.76</v>
      </c>
      <c r="K141" s="547">
        <f t="shared" ref="K141:K204" si="13">J141-I141</f>
        <v>75576.759999999776</v>
      </c>
      <c r="L141" s="510"/>
      <c r="M141" s="508"/>
      <c r="N141" s="11" t="s">
        <v>243</v>
      </c>
      <c r="O141" s="341" t="s">
        <v>2992</v>
      </c>
      <c r="P141" s="339"/>
      <c r="Q141" s="756" t="s">
        <v>3016</v>
      </c>
      <c r="R141" s="82">
        <v>1</v>
      </c>
    </row>
    <row r="142" spans="1:18" ht="33">
      <c r="A142" s="503" t="s">
        <v>2169</v>
      </c>
      <c r="B142" s="504" t="s">
        <v>222</v>
      </c>
      <c r="C142" s="505" t="s">
        <v>13</v>
      </c>
      <c r="D142" s="506">
        <v>438.86</v>
      </c>
      <c r="E142" s="506">
        <f>估驗單!F135</f>
        <v>611.66</v>
      </c>
      <c r="F142" s="507">
        <f t="shared" si="8"/>
        <v>172.79999999999995</v>
      </c>
      <c r="G142" s="506">
        <v>692.12</v>
      </c>
      <c r="H142" s="506"/>
      <c r="I142" s="506">
        <f t="shared" si="11"/>
        <v>303743.78000000003</v>
      </c>
      <c r="J142" s="506">
        <f t="shared" si="12"/>
        <v>423342.12</v>
      </c>
      <c r="K142" s="547">
        <f t="shared" si="13"/>
        <v>119598.33999999997</v>
      </c>
      <c r="L142" s="510"/>
      <c r="M142" s="508"/>
      <c r="N142" s="11" t="s">
        <v>243</v>
      </c>
      <c r="O142" s="341" t="s">
        <v>2953</v>
      </c>
      <c r="P142" s="339" t="s">
        <v>2929</v>
      </c>
      <c r="Q142" s="147" t="s">
        <v>2928</v>
      </c>
      <c r="R142" s="82">
        <v>1</v>
      </c>
    </row>
    <row r="143" spans="1:18" ht="33" hidden="1">
      <c r="A143" s="333" t="s">
        <v>2170</v>
      </c>
      <c r="B143" s="334" t="s">
        <v>194</v>
      </c>
      <c r="C143" s="335" t="s">
        <v>23</v>
      </c>
      <c r="D143" s="336">
        <v>342.71</v>
      </c>
      <c r="E143" s="336">
        <f>估驗單!F136</f>
        <v>342.71</v>
      </c>
      <c r="F143" s="390">
        <f t="shared" si="8"/>
        <v>0</v>
      </c>
      <c r="G143" s="336">
        <v>48.28</v>
      </c>
      <c r="H143" s="336"/>
      <c r="I143" s="336">
        <f t="shared" si="11"/>
        <v>16546.04</v>
      </c>
      <c r="J143" s="336">
        <f t="shared" si="12"/>
        <v>16546.04</v>
      </c>
      <c r="K143" s="546">
        <f t="shared" si="13"/>
        <v>0</v>
      </c>
      <c r="L143" s="502"/>
      <c r="M143" s="231" t="s">
        <v>242</v>
      </c>
      <c r="N143" s="11" t="s">
        <v>243</v>
      </c>
      <c r="O143" s="341"/>
      <c r="P143" s="339"/>
    </row>
    <row r="144" spans="1:18" ht="33">
      <c r="A144" s="503" t="s">
        <v>2171</v>
      </c>
      <c r="B144" s="504" t="s">
        <v>205</v>
      </c>
      <c r="C144" s="505" t="s">
        <v>23</v>
      </c>
      <c r="D144" s="506">
        <v>231.09</v>
      </c>
      <c r="E144" s="506">
        <f>估驗單!F137</f>
        <v>0</v>
      </c>
      <c r="F144" s="510">
        <f t="shared" si="8"/>
        <v>-231.09</v>
      </c>
      <c r="G144" s="506">
        <v>721.02</v>
      </c>
      <c r="H144" s="506"/>
      <c r="I144" s="506">
        <f t="shared" si="11"/>
        <v>166620.51</v>
      </c>
      <c r="J144" s="506">
        <f t="shared" si="12"/>
        <v>0</v>
      </c>
      <c r="K144" s="547"/>
      <c r="L144" s="510">
        <f>J144-I144</f>
        <v>-166620.51</v>
      </c>
      <c r="M144" s="508" t="s">
        <v>242</v>
      </c>
      <c r="N144" s="11" t="s">
        <v>243</v>
      </c>
      <c r="O144" s="474" t="s">
        <v>3010</v>
      </c>
      <c r="P144" s="339"/>
      <c r="Q144" s="147" t="s">
        <v>3028</v>
      </c>
      <c r="R144" s="82">
        <v>1</v>
      </c>
    </row>
    <row r="145" spans="1:16" ht="33" hidden="1">
      <c r="A145" s="333" t="s">
        <v>2172</v>
      </c>
      <c r="B145" s="334" t="s">
        <v>548</v>
      </c>
      <c r="C145" s="335" t="s">
        <v>13</v>
      </c>
      <c r="D145" s="336">
        <v>27956</v>
      </c>
      <c r="E145" s="336">
        <f>估驗單!F138</f>
        <v>27956</v>
      </c>
      <c r="F145" s="390">
        <f t="shared" si="8"/>
        <v>0</v>
      </c>
      <c r="G145" s="336">
        <v>28</v>
      </c>
      <c r="H145" s="336"/>
      <c r="I145" s="336">
        <f t="shared" si="11"/>
        <v>782768</v>
      </c>
      <c r="J145" s="336">
        <f t="shared" si="12"/>
        <v>782768</v>
      </c>
      <c r="K145" s="546">
        <f t="shared" si="13"/>
        <v>0</v>
      </c>
      <c r="L145" s="502"/>
      <c r="M145" s="231"/>
      <c r="N145" s="11" t="s">
        <v>243</v>
      </c>
      <c r="O145" s="341"/>
      <c r="P145" s="339"/>
    </row>
    <row r="146" spans="1:16" ht="33" hidden="1">
      <c r="A146" s="333" t="s">
        <v>2173</v>
      </c>
      <c r="B146" s="334" t="s">
        <v>2242</v>
      </c>
      <c r="C146" s="335" t="s">
        <v>8</v>
      </c>
      <c r="D146" s="336">
        <v>322</v>
      </c>
      <c r="E146" s="336">
        <f>估驗單!F139</f>
        <v>322</v>
      </c>
      <c r="F146" s="390">
        <f t="shared" si="8"/>
        <v>0</v>
      </c>
      <c r="G146" s="336">
        <v>19011.37</v>
      </c>
      <c r="H146" s="336"/>
      <c r="I146" s="336">
        <f t="shared" si="11"/>
        <v>6121661.1399999997</v>
      </c>
      <c r="J146" s="336">
        <f t="shared" si="12"/>
        <v>6121661.1399999997</v>
      </c>
      <c r="K146" s="546">
        <f t="shared" si="13"/>
        <v>0</v>
      </c>
      <c r="L146" s="502"/>
      <c r="M146" s="231"/>
      <c r="N146" s="11" t="s">
        <v>243</v>
      </c>
      <c r="O146" s="341"/>
      <c r="P146" s="339"/>
    </row>
    <row r="147" spans="1:16" ht="33" hidden="1">
      <c r="A147" s="333" t="s">
        <v>2174</v>
      </c>
      <c r="B147" s="334" t="s">
        <v>552</v>
      </c>
      <c r="C147" s="335" t="s">
        <v>13</v>
      </c>
      <c r="D147" s="336">
        <v>100</v>
      </c>
      <c r="E147" s="336">
        <f>估驗單!F140</f>
        <v>100</v>
      </c>
      <c r="F147" s="390">
        <f t="shared" si="8"/>
        <v>0</v>
      </c>
      <c r="G147" s="336">
        <v>373.08</v>
      </c>
      <c r="H147" s="336"/>
      <c r="I147" s="336">
        <f t="shared" si="11"/>
        <v>37308</v>
      </c>
      <c r="J147" s="336">
        <f t="shared" si="12"/>
        <v>37308</v>
      </c>
      <c r="K147" s="546">
        <f t="shared" si="13"/>
        <v>0</v>
      </c>
      <c r="L147" s="502"/>
      <c r="M147" s="231" t="s">
        <v>242</v>
      </c>
      <c r="N147" s="11" t="s">
        <v>243</v>
      </c>
      <c r="O147" s="341"/>
      <c r="P147" s="339"/>
    </row>
    <row r="148" spans="1:16" ht="33" hidden="1">
      <c r="A148" s="333" t="s">
        <v>2175</v>
      </c>
      <c r="B148" s="334" t="s">
        <v>554</v>
      </c>
      <c r="C148" s="335" t="s">
        <v>13</v>
      </c>
      <c r="D148" s="336">
        <v>83</v>
      </c>
      <c r="E148" s="336">
        <f>估驗單!F141</f>
        <v>83</v>
      </c>
      <c r="F148" s="390">
        <f t="shared" si="8"/>
        <v>0</v>
      </c>
      <c r="G148" s="336">
        <v>616.49</v>
      </c>
      <c r="H148" s="336"/>
      <c r="I148" s="336">
        <f t="shared" si="11"/>
        <v>51168.67</v>
      </c>
      <c r="J148" s="336">
        <f t="shared" si="12"/>
        <v>51168.67</v>
      </c>
      <c r="K148" s="546">
        <f t="shared" si="13"/>
        <v>0</v>
      </c>
      <c r="L148" s="502"/>
      <c r="M148" s="231" t="s">
        <v>242</v>
      </c>
      <c r="N148" s="11" t="s">
        <v>243</v>
      </c>
      <c r="O148" s="341"/>
      <c r="P148" s="339"/>
    </row>
    <row r="149" spans="1:16" ht="33" hidden="1">
      <c r="A149" s="333" t="s">
        <v>2177</v>
      </c>
      <c r="B149" s="334" t="s">
        <v>556</v>
      </c>
      <c r="C149" s="335" t="s">
        <v>13</v>
      </c>
      <c r="D149" s="336">
        <v>2.1</v>
      </c>
      <c r="E149" s="336">
        <f>估驗單!F142</f>
        <v>2.1</v>
      </c>
      <c r="F149" s="390">
        <f t="shared" si="8"/>
        <v>0</v>
      </c>
      <c r="G149" s="336">
        <v>1874.26</v>
      </c>
      <c r="H149" s="336"/>
      <c r="I149" s="336">
        <f t="shared" si="11"/>
        <v>3935.95</v>
      </c>
      <c r="J149" s="336">
        <f t="shared" si="12"/>
        <v>3935.95</v>
      </c>
      <c r="K149" s="546">
        <f t="shared" si="13"/>
        <v>0</v>
      </c>
      <c r="L149" s="502"/>
      <c r="M149" s="231" t="s">
        <v>242</v>
      </c>
      <c r="N149" s="11" t="s">
        <v>243</v>
      </c>
      <c r="O149" s="341"/>
      <c r="P149" s="339"/>
    </row>
    <row r="150" spans="1:16" ht="33" hidden="1">
      <c r="A150" s="333" t="s">
        <v>2178</v>
      </c>
      <c r="B150" s="334" t="s">
        <v>558</v>
      </c>
      <c r="C150" s="335" t="s">
        <v>8</v>
      </c>
      <c r="D150" s="336">
        <v>62</v>
      </c>
      <c r="E150" s="336">
        <f>估驗單!F143</f>
        <v>62</v>
      </c>
      <c r="F150" s="390">
        <f t="shared" si="8"/>
        <v>0</v>
      </c>
      <c r="G150" s="336">
        <v>2388.4299999999998</v>
      </c>
      <c r="H150" s="336"/>
      <c r="I150" s="336">
        <f t="shared" si="11"/>
        <v>148082.66</v>
      </c>
      <c r="J150" s="336">
        <f t="shared" si="12"/>
        <v>148082.66</v>
      </c>
      <c r="K150" s="546">
        <f t="shared" si="13"/>
        <v>0</v>
      </c>
      <c r="L150" s="502"/>
      <c r="M150" s="231"/>
      <c r="N150" s="11" t="s">
        <v>243</v>
      </c>
      <c r="O150" s="341"/>
      <c r="P150" s="339"/>
    </row>
    <row r="151" spans="1:16" ht="33" hidden="1">
      <c r="A151" s="333" t="s">
        <v>2179</v>
      </c>
      <c r="B151" s="334" t="s">
        <v>560</v>
      </c>
      <c r="C151" s="335" t="s">
        <v>8</v>
      </c>
      <c r="D151" s="336">
        <v>33</v>
      </c>
      <c r="E151" s="336">
        <f>估驗單!F144</f>
        <v>33</v>
      </c>
      <c r="F151" s="390">
        <f t="shared" si="8"/>
        <v>0</v>
      </c>
      <c r="G151" s="336">
        <v>12777.68</v>
      </c>
      <c r="H151" s="336"/>
      <c r="I151" s="336">
        <f t="shared" si="11"/>
        <v>421663.44</v>
      </c>
      <c r="J151" s="336">
        <f t="shared" si="12"/>
        <v>421663.44</v>
      </c>
      <c r="K151" s="546">
        <f t="shared" si="13"/>
        <v>0</v>
      </c>
      <c r="L151" s="502"/>
      <c r="M151" s="231"/>
      <c r="N151" s="11" t="s">
        <v>243</v>
      </c>
      <c r="O151" s="341"/>
      <c r="P151" s="339"/>
    </row>
    <row r="152" spans="1:16" ht="33" hidden="1">
      <c r="A152" s="333" t="s">
        <v>2181</v>
      </c>
      <c r="B152" s="334" t="s">
        <v>562</v>
      </c>
      <c r="C152" s="335" t="s">
        <v>8</v>
      </c>
      <c r="D152" s="336">
        <v>32.6</v>
      </c>
      <c r="E152" s="336">
        <f>估驗單!F145</f>
        <v>32.6</v>
      </c>
      <c r="F152" s="390">
        <f t="shared" si="8"/>
        <v>0</v>
      </c>
      <c r="G152" s="336">
        <v>71914.34</v>
      </c>
      <c r="H152" s="336"/>
      <c r="I152" s="336">
        <f t="shared" si="11"/>
        <v>2344407.48</v>
      </c>
      <c r="J152" s="336">
        <f t="shared" si="12"/>
        <v>2344407.48</v>
      </c>
      <c r="K152" s="546">
        <f t="shared" si="13"/>
        <v>0</v>
      </c>
      <c r="L152" s="502"/>
      <c r="M152" s="231"/>
      <c r="N152" s="11" t="s">
        <v>243</v>
      </c>
      <c r="O152" s="341"/>
      <c r="P152" s="339"/>
    </row>
    <row r="153" spans="1:16" ht="33" hidden="1">
      <c r="A153" s="333" t="s">
        <v>2182</v>
      </c>
      <c r="B153" s="334" t="s">
        <v>564</v>
      </c>
      <c r="C153" s="335" t="s">
        <v>8</v>
      </c>
      <c r="D153" s="336">
        <v>32.6</v>
      </c>
      <c r="E153" s="336">
        <f>估驗單!F146</f>
        <v>32.6</v>
      </c>
      <c r="F153" s="390">
        <f t="shared" si="8"/>
        <v>0</v>
      </c>
      <c r="G153" s="336">
        <v>189793.78</v>
      </c>
      <c r="H153" s="336"/>
      <c r="I153" s="336">
        <f t="shared" si="11"/>
        <v>6187277.2300000004</v>
      </c>
      <c r="J153" s="336">
        <f t="shared" si="12"/>
        <v>6187277.2300000004</v>
      </c>
      <c r="K153" s="546">
        <f t="shared" si="13"/>
        <v>0</v>
      </c>
      <c r="L153" s="502"/>
      <c r="M153" s="231"/>
      <c r="N153" s="11" t="s">
        <v>243</v>
      </c>
      <c r="O153" s="341"/>
      <c r="P153" s="339"/>
    </row>
    <row r="154" spans="1:16" ht="33" hidden="1">
      <c r="A154" s="333" t="s">
        <v>2183</v>
      </c>
      <c r="B154" s="334" t="s">
        <v>567</v>
      </c>
      <c r="C154" s="335" t="s">
        <v>0</v>
      </c>
      <c r="D154" s="336">
        <v>1</v>
      </c>
      <c r="E154" s="336">
        <f>估驗單!F147</f>
        <v>1</v>
      </c>
      <c r="F154" s="390">
        <f t="shared" si="8"/>
        <v>0</v>
      </c>
      <c r="G154" s="336">
        <v>78208.240000000005</v>
      </c>
      <c r="H154" s="336"/>
      <c r="I154" s="336">
        <f t="shared" si="11"/>
        <v>78208.240000000005</v>
      </c>
      <c r="J154" s="336">
        <f t="shared" si="12"/>
        <v>78208.240000000005</v>
      </c>
      <c r="K154" s="546">
        <f t="shared" si="13"/>
        <v>0</v>
      </c>
      <c r="L154" s="502"/>
      <c r="M154" s="231"/>
      <c r="N154" s="11" t="s">
        <v>243</v>
      </c>
      <c r="O154" s="341"/>
      <c r="P154" s="339"/>
    </row>
    <row r="155" spans="1:16" ht="33" hidden="1">
      <c r="A155" s="333" t="s">
        <v>2184</v>
      </c>
      <c r="B155" s="334" t="s">
        <v>570</v>
      </c>
      <c r="C155" s="335" t="s">
        <v>8</v>
      </c>
      <c r="D155" s="336">
        <v>9.6</v>
      </c>
      <c r="E155" s="336">
        <f>估驗單!F148</f>
        <v>9.6</v>
      </c>
      <c r="F155" s="390">
        <f t="shared" si="8"/>
        <v>0</v>
      </c>
      <c r="G155" s="336">
        <v>4213.4799999999996</v>
      </c>
      <c r="H155" s="336"/>
      <c r="I155" s="336">
        <f t="shared" si="11"/>
        <v>40449.410000000003</v>
      </c>
      <c r="J155" s="336">
        <f t="shared" si="12"/>
        <v>40449.410000000003</v>
      </c>
      <c r="K155" s="546">
        <f t="shared" si="13"/>
        <v>0</v>
      </c>
      <c r="L155" s="502"/>
      <c r="M155" s="231"/>
      <c r="N155" s="11" t="s">
        <v>243</v>
      </c>
      <c r="O155" s="341"/>
      <c r="P155" s="339"/>
    </row>
    <row r="156" spans="1:16" ht="33" hidden="1">
      <c r="A156" s="333" t="s">
        <v>2185</v>
      </c>
      <c r="B156" s="334" t="s">
        <v>573</v>
      </c>
      <c r="C156" s="335" t="s">
        <v>0</v>
      </c>
      <c r="D156" s="336">
        <v>1</v>
      </c>
      <c r="E156" s="336">
        <f>估驗單!F149</f>
        <v>1</v>
      </c>
      <c r="F156" s="390">
        <f t="shared" si="8"/>
        <v>0</v>
      </c>
      <c r="G156" s="336">
        <v>2005.23</v>
      </c>
      <c r="H156" s="336"/>
      <c r="I156" s="336">
        <f t="shared" si="11"/>
        <v>2005.23</v>
      </c>
      <c r="J156" s="336">
        <f t="shared" si="12"/>
        <v>2005.23</v>
      </c>
      <c r="K156" s="546">
        <f t="shared" si="13"/>
        <v>0</v>
      </c>
      <c r="L156" s="502"/>
      <c r="M156" s="231" t="s">
        <v>242</v>
      </c>
      <c r="N156" s="11" t="s">
        <v>243</v>
      </c>
      <c r="O156" s="341"/>
      <c r="P156" s="339"/>
    </row>
    <row r="157" spans="1:16" ht="33" hidden="1">
      <c r="A157" s="333" t="s">
        <v>2186</v>
      </c>
      <c r="B157" s="334" t="s">
        <v>576</v>
      </c>
      <c r="C157" s="335" t="s">
        <v>8</v>
      </c>
      <c r="D157" s="336">
        <v>32.6</v>
      </c>
      <c r="E157" s="336">
        <f>估驗單!F150</f>
        <v>32.6</v>
      </c>
      <c r="F157" s="390">
        <f t="shared" ref="F157:F220" si="14">E157-D157</f>
        <v>0</v>
      </c>
      <c r="G157" s="336">
        <v>21727.78</v>
      </c>
      <c r="H157" s="336"/>
      <c r="I157" s="336">
        <f t="shared" si="11"/>
        <v>708325.63</v>
      </c>
      <c r="J157" s="336">
        <f t="shared" si="12"/>
        <v>708325.63</v>
      </c>
      <c r="K157" s="546">
        <f t="shared" si="13"/>
        <v>0</v>
      </c>
      <c r="L157" s="502"/>
      <c r="M157" s="231"/>
      <c r="N157" s="11" t="s">
        <v>243</v>
      </c>
      <c r="O157" s="341"/>
      <c r="P157" s="339"/>
    </row>
    <row r="158" spans="1:16" ht="33" hidden="1">
      <c r="A158" s="333" t="s">
        <v>2187</v>
      </c>
      <c r="B158" s="334" t="s">
        <v>579</v>
      </c>
      <c r="C158" s="335" t="s">
        <v>8</v>
      </c>
      <c r="D158" s="336">
        <v>32.6</v>
      </c>
      <c r="E158" s="336">
        <f>估驗單!F151</f>
        <v>32.6</v>
      </c>
      <c r="F158" s="390">
        <f t="shared" si="14"/>
        <v>0</v>
      </c>
      <c r="G158" s="336">
        <v>15955.67</v>
      </c>
      <c r="H158" s="336"/>
      <c r="I158" s="336">
        <f t="shared" si="11"/>
        <v>520154.84</v>
      </c>
      <c r="J158" s="336">
        <f t="shared" si="12"/>
        <v>520154.84</v>
      </c>
      <c r="K158" s="546">
        <f t="shared" si="13"/>
        <v>0</v>
      </c>
      <c r="L158" s="502"/>
      <c r="M158" s="231"/>
      <c r="N158" s="11" t="s">
        <v>243</v>
      </c>
      <c r="O158" s="341"/>
      <c r="P158" s="339"/>
    </row>
    <row r="159" spans="1:16" ht="33" hidden="1">
      <c r="A159" s="333" t="s">
        <v>2188</v>
      </c>
      <c r="B159" s="334" t="s">
        <v>582</v>
      </c>
      <c r="C159" s="335" t="s">
        <v>583</v>
      </c>
      <c r="D159" s="336">
        <v>4</v>
      </c>
      <c r="E159" s="336">
        <f>估驗單!F152</f>
        <v>4</v>
      </c>
      <c r="F159" s="390">
        <f t="shared" si="14"/>
        <v>0</v>
      </c>
      <c r="G159" s="336">
        <v>299.98</v>
      </c>
      <c r="H159" s="336"/>
      <c r="I159" s="336">
        <f t="shared" si="11"/>
        <v>1199.92</v>
      </c>
      <c r="J159" s="336">
        <f t="shared" si="12"/>
        <v>1199.92</v>
      </c>
      <c r="K159" s="546">
        <f t="shared" si="13"/>
        <v>0</v>
      </c>
      <c r="L159" s="502"/>
      <c r="M159" s="231"/>
      <c r="N159" s="11" t="s">
        <v>243</v>
      </c>
      <c r="O159" s="341"/>
      <c r="P159" s="339"/>
    </row>
    <row r="160" spans="1:16" ht="33" hidden="1">
      <c r="A160" s="343" t="s">
        <v>2189</v>
      </c>
      <c r="B160" s="344" t="s">
        <v>2346</v>
      </c>
      <c r="C160" s="345" t="s">
        <v>8</v>
      </c>
      <c r="D160" s="340">
        <v>4.8</v>
      </c>
      <c r="E160" s="336">
        <f>估驗單!F153</f>
        <v>4.8</v>
      </c>
      <c r="F160" s="390">
        <f t="shared" si="14"/>
        <v>0</v>
      </c>
      <c r="G160" s="340">
        <v>119.99</v>
      </c>
      <c r="H160" s="340"/>
      <c r="I160" s="336">
        <f t="shared" si="11"/>
        <v>575.95000000000005</v>
      </c>
      <c r="J160" s="336">
        <f t="shared" si="12"/>
        <v>575.95000000000005</v>
      </c>
      <c r="K160" s="546">
        <f t="shared" si="13"/>
        <v>0</v>
      </c>
      <c r="L160" s="502"/>
      <c r="M160" s="346"/>
      <c r="N160" s="347" t="s">
        <v>243</v>
      </c>
      <c r="O160" s="354"/>
      <c r="P160" s="322"/>
    </row>
    <row r="161" spans="1:19" ht="33" hidden="1">
      <c r="A161" s="333" t="s">
        <v>2190</v>
      </c>
      <c r="B161" s="334" t="s">
        <v>589</v>
      </c>
      <c r="C161" s="335" t="s">
        <v>0</v>
      </c>
      <c r="D161" s="336">
        <v>1</v>
      </c>
      <c r="E161" s="336">
        <f>估驗單!F154</f>
        <v>1</v>
      </c>
      <c r="F161" s="390">
        <f t="shared" si="14"/>
        <v>0</v>
      </c>
      <c r="G161" s="336">
        <v>849172.02</v>
      </c>
      <c r="H161" s="336"/>
      <c r="I161" s="336">
        <f t="shared" si="11"/>
        <v>849172.02</v>
      </c>
      <c r="J161" s="336">
        <f t="shared" si="12"/>
        <v>849172.02</v>
      </c>
      <c r="K161" s="546">
        <f t="shared" si="13"/>
        <v>0</v>
      </c>
      <c r="L161" s="502"/>
      <c r="M161" s="231"/>
      <c r="N161" s="11" t="s">
        <v>243</v>
      </c>
      <c r="O161" s="341"/>
      <c r="P161" s="339"/>
    </row>
    <row r="162" spans="1:19" ht="33" hidden="1">
      <c r="A162" s="333" t="s">
        <v>2191</v>
      </c>
      <c r="B162" s="334" t="s">
        <v>592</v>
      </c>
      <c r="C162" s="335" t="s">
        <v>0</v>
      </c>
      <c r="D162" s="336">
        <v>1</v>
      </c>
      <c r="E162" s="336">
        <f>估驗單!F155</f>
        <v>1</v>
      </c>
      <c r="F162" s="390">
        <f t="shared" si="14"/>
        <v>0</v>
      </c>
      <c r="G162" s="336">
        <v>2066157.04</v>
      </c>
      <c r="H162" s="336"/>
      <c r="I162" s="336">
        <f t="shared" si="11"/>
        <v>2066157.04</v>
      </c>
      <c r="J162" s="336">
        <f t="shared" si="12"/>
        <v>2066157.04</v>
      </c>
      <c r="K162" s="546">
        <f t="shared" si="13"/>
        <v>0</v>
      </c>
      <c r="L162" s="502"/>
      <c r="M162" s="231" t="s">
        <v>242</v>
      </c>
      <c r="N162" s="11" t="s">
        <v>243</v>
      </c>
      <c r="O162" s="341"/>
      <c r="P162" s="339"/>
    </row>
    <row r="163" spans="1:19" ht="33" hidden="1" customHeight="1">
      <c r="A163" s="333" t="s">
        <v>2192</v>
      </c>
      <c r="B163" s="334" t="s">
        <v>1360</v>
      </c>
      <c r="C163" s="335" t="s">
        <v>606</v>
      </c>
      <c r="D163" s="336">
        <v>2</v>
      </c>
      <c r="E163" s="336">
        <f>估驗單!F156</f>
        <v>2</v>
      </c>
      <c r="F163" s="390">
        <f t="shared" si="14"/>
        <v>0</v>
      </c>
      <c r="G163" s="336">
        <v>201796.15</v>
      </c>
      <c r="H163" s="336"/>
      <c r="I163" s="336">
        <f t="shared" si="11"/>
        <v>403592.3</v>
      </c>
      <c r="J163" s="336">
        <f t="shared" si="12"/>
        <v>403592.3</v>
      </c>
      <c r="K163" s="546">
        <f t="shared" si="13"/>
        <v>0</v>
      </c>
      <c r="L163" s="502"/>
      <c r="M163" s="231" t="s">
        <v>242</v>
      </c>
      <c r="N163" s="11" t="s">
        <v>243</v>
      </c>
      <c r="O163" s="341"/>
      <c r="P163" s="339"/>
    </row>
    <row r="164" spans="1:19" s="356" customFormat="1" ht="33" hidden="1" customHeight="1">
      <c r="A164" s="343">
        <v>38</v>
      </c>
      <c r="B164" s="344" t="s">
        <v>2347</v>
      </c>
      <c r="C164" s="345" t="s">
        <v>2348</v>
      </c>
      <c r="D164" s="340">
        <v>96850</v>
      </c>
      <c r="E164" s="336">
        <f>估驗單!F157</f>
        <v>96850</v>
      </c>
      <c r="F164" s="390">
        <f t="shared" si="14"/>
        <v>0</v>
      </c>
      <c r="G164" s="340">
        <v>16.21</v>
      </c>
      <c r="H164" s="340"/>
      <c r="I164" s="336">
        <f t="shared" si="11"/>
        <v>1569938.5</v>
      </c>
      <c r="J164" s="336">
        <f t="shared" si="12"/>
        <v>1569938.5</v>
      </c>
      <c r="K164" s="546">
        <f t="shared" si="13"/>
        <v>0</v>
      </c>
      <c r="L164" s="502"/>
      <c r="M164" s="757"/>
      <c r="N164" s="347"/>
      <c r="O164" s="517"/>
      <c r="P164" s="349"/>
      <c r="Q164" s="325"/>
    </row>
    <row r="165" spans="1:19" s="359" customFormat="1" ht="33" hidden="1" customHeight="1">
      <c r="A165" s="343">
        <v>39</v>
      </c>
      <c r="B165" s="344" t="s">
        <v>2352</v>
      </c>
      <c r="C165" s="345" t="s">
        <v>2353</v>
      </c>
      <c r="D165" s="340">
        <v>18</v>
      </c>
      <c r="E165" s="336">
        <f>估驗單!F158</f>
        <v>18</v>
      </c>
      <c r="F165" s="390">
        <f t="shared" si="14"/>
        <v>0</v>
      </c>
      <c r="G165" s="340">
        <v>79587.17</v>
      </c>
      <c r="H165" s="340"/>
      <c r="I165" s="336">
        <f t="shared" si="11"/>
        <v>1432569.06</v>
      </c>
      <c r="J165" s="336">
        <f t="shared" si="12"/>
        <v>1432569.06</v>
      </c>
      <c r="K165" s="546">
        <f t="shared" si="13"/>
        <v>0</v>
      </c>
      <c r="L165" s="502"/>
      <c r="M165" s="346"/>
      <c r="N165" s="357"/>
      <c r="O165" s="355"/>
      <c r="P165" s="349"/>
      <c r="Q165" s="358"/>
      <c r="S165" s="359" t="s">
        <v>2357</v>
      </c>
    </row>
    <row r="166" spans="1:19" ht="33">
      <c r="A166" s="406" t="s">
        <v>2243</v>
      </c>
      <c r="B166" s="407" t="s">
        <v>594</v>
      </c>
      <c r="C166" s="408" t="s">
        <v>4</v>
      </c>
      <c r="D166" s="409"/>
      <c r="E166" s="409">
        <f>估驗單!F159</f>
        <v>0</v>
      </c>
      <c r="F166" s="410">
        <f t="shared" si="14"/>
        <v>0</v>
      </c>
      <c r="G166" s="409">
        <f>I166</f>
        <v>31723888.269999996</v>
      </c>
      <c r="H166" s="409"/>
      <c r="I166" s="448">
        <f>SUM(I167:I194)</f>
        <v>31723888.269999996</v>
      </c>
      <c r="J166" s="448">
        <f>SUM(J167:J194)</f>
        <v>35058442.640000001</v>
      </c>
      <c r="K166" s="543">
        <f>SUM(K167:K194)</f>
        <v>3573708.53</v>
      </c>
      <c r="L166" s="452">
        <f>SUM(L167:L194)</f>
        <v>-239154.16</v>
      </c>
      <c r="M166" s="288" t="s">
        <v>242</v>
      </c>
      <c r="N166" s="11" t="s">
        <v>243</v>
      </c>
      <c r="O166" s="338"/>
      <c r="P166" s="339"/>
      <c r="R166" s="82">
        <v>1</v>
      </c>
    </row>
    <row r="167" spans="1:19" ht="33" hidden="1">
      <c r="A167" s="333" t="s">
        <v>2154</v>
      </c>
      <c r="B167" s="334" t="s">
        <v>315</v>
      </c>
      <c r="C167" s="335" t="s">
        <v>6</v>
      </c>
      <c r="D167" s="336">
        <v>22</v>
      </c>
      <c r="E167" s="336">
        <f>估驗單!F160</f>
        <v>22</v>
      </c>
      <c r="F167" s="390">
        <f t="shared" si="14"/>
        <v>0</v>
      </c>
      <c r="G167" s="336">
        <v>3114.97</v>
      </c>
      <c r="H167" s="336"/>
      <c r="I167" s="336">
        <f t="shared" ref="I167:I194" si="15">ROUND(D167*G167,2)</f>
        <v>68529.34</v>
      </c>
      <c r="J167" s="336">
        <f t="shared" ref="J167:J194" si="16">ROUND(E167*G167,2)</f>
        <v>68529.34</v>
      </c>
      <c r="K167" s="546">
        <f t="shared" si="13"/>
        <v>0</v>
      </c>
      <c r="L167" s="502"/>
      <c r="M167" s="231" t="s">
        <v>242</v>
      </c>
      <c r="N167" s="11" t="s">
        <v>243</v>
      </c>
      <c r="O167" s="341"/>
      <c r="P167" s="339"/>
    </row>
    <row r="168" spans="1:19" ht="33" hidden="1">
      <c r="A168" s="333" t="s">
        <v>2155</v>
      </c>
      <c r="B168" s="334" t="s">
        <v>24</v>
      </c>
      <c r="C168" s="335" t="s">
        <v>6</v>
      </c>
      <c r="D168" s="336">
        <v>302</v>
      </c>
      <c r="E168" s="336">
        <f>估驗單!F161</f>
        <v>302</v>
      </c>
      <c r="F168" s="390">
        <f t="shared" si="14"/>
        <v>0</v>
      </c>
      <c r="G168" s="336">
        <v>3320.96</v>
      </c>
      <c r="H168" s="336"/>
      <c r="I168" s="336">
        <f t="shared" si="15"/>
        <v>1002929.92</v>
      </c>
      <c r="J168" s="336">
        <f t="shared" si="16"/>
        <v>1002929.92</v>
      </c>
      <c r="K168" s="546"/>
      <c r="L168" s="453"/>
      <c r="M168" s="234"/>
      <c r="N168" s="11" t="s">
        <v>243</v>
      </c>
      <c r="O168" s="338"/>
      <c r="P168" s="339"/>
    </row>
    <row r="169" spans="1:19" ht="33" hidden="1">
      <c r="A169" s="333" t="s">
        <v>2156</v>
      </c>
      <c r="B169" s="334" t="s">
        <v>528</v>
      </c>
      <c r="C169" s="335" t="s">
        <v>6</v>
      </c>
      <c r="D169" s="336">
        <v>0</v>
      </c>
      <c r="E169" s="336">
        <f>估驗單!F162</f>
        <v>0</v>
      </c>
      <c r="F169" s="390">
        <f t="shared" si="14"/>
        <v>0</v>
      </c>
      <c r="G169" s="340">
        <v>3643.53</v>
      </c>
      <c r="H169" s="340"/>
      <c r="I169" s="336">
        <f t="shared" si="15"/>
        <v>0</v>
      </c>
      <c r="J169" s="336">
        <f t="shared" si="16"/>
        <v>0</v>
      </c>
      <c r="K169" s="546">
        <f t="shared" si="13"/>
        <v>0</v>
      </c>
      <c r="L169" s="502"/>
      <c r="M169" s="231" t="s">
        <v>242</v>
      </c>
      <c r="N169" s="11" t="s">
        <v>243</v>
      </c>
      <c r="O169" s="341"/>
      <c r="P169" s="339"/>
      <c r="Q169" s="358"/>
    </row>
    <row r="170" spans="1:19" ht="33">
      <c r="A170" s="503" t="s">
        <v>2157</v>
      </c>
      <c r="B170" s="504" t="s">
        <v>595</v>
      </c>
      <c r="C170" s="505" t="s">
        <v>6</v>
      </c>
      <c r="D170" s="506">
        <v>1090</v>
      </c>
      <c r="E170" s="506">
        <f>估驗單!F163</f>
        <v>1501.8982857142857</v>
      </c>
      <c r="F170" s="507">
        <f t="shared" si="14"/>
        <v>411.89828571428575</v>
      </c>
      <c r="G170" s="506">
        <v>199.99</v>
      </c>
      <c r="H170" s="506"/>
      <c r="I170" s="506">
        <f t="shared" si="15"/>
        <v>217989.1</v>
      </c>
      <c r="J170" s="506">
        <f t="shared" si="16"/>
        <v>300364.64</v>
      </c>
      <c r="K170" s="547">
        <f t="shared" si="13"/>
        <v>82375.540000000008</v>
      </c>
      <c r="L170" s="510"/>
      <c r="M170" s="508" t="s">
        <v>242</v>
      </c>
      <c r="N170" s="11" t="s">
        <v>243</v>
      </c>
      <c r="O170" s="341"/>
      <c r="P170" s="339"/>
      <c r="Q170" s="245" t="s">
        <v>3029</v>
      </c>
      <c r="R170" s="82">
        <v>1</v>
      </c>
    </row>
    <row r="171" spans="1:19" ht="71.25">
      <c r="A171" s="503" t="s">
        <v>2158</v>
      </c>
      <c r="B171" s="504" t="s">
        <v>534</v>
      </c>
      <c r="C171" s="505" t="s">
        <v>13</v>
      </c>
      <c r="D171" s="506">
        <v>1203</v>
      </c>
      <c r="E171" s="506">
        <f>估驗單!F164</f>
        <v>1274.9890000000003</v>
      </c>
      <c r="F171" s="507">
        <f t="shared" si="14"/>
        <v>71.98900000000026</v>
      </c>
      <c r="G171" s="506">
        <v>982.93</v>
      </c>
      <c r="H171" s="506"/>
      <c r="I171" s="506">
        <f t="shared" si="15"/>
        <v>1182464.79</v>
      </c>
      <c r="J171" s="506">
        <f t="shared" si="16"/>
        <v>1253224.94</v>
      </c>
      <c r="K171" s="547">
        <f t="shared" si="13"/>
        <v>70760.149999999907</v>
      </c>
      <c r="L171" s="510"/>
      <c r="M171" s="508"/>
      <c r="N171" s="11" t="s">
        <v>243</v>
      </c>
      <c r="O171" s="341" t="s">
        <v>3032</v>
      </c>
      <c r="P171" s="339" t="s">
        <v>2927</v>
      </c>
      <c r="Q171" s="758" t="s">
        <v>3036</v>
      </c>
      <c r="R171" s="82">
        <v>1</v>
      </c>
    </row>
    <row r="172" spans="1:19" ht="71.25">
      <c r="A172" s="503" t="s">
        <v>2159</v>
      </c>
      <c r="B172" s="504" t="s">
        <v>536</v>
      </c>
      <c r="C172" s="505" t="s">
        <v>13</v>
      </c>
      <c r="D172" s="506">
        <v>393</v>
      </c>
      <c r="E172" s="506">
        <f>估驗單!F165</f>
        <v>821.92359999999985</v>
      </c>
      <c r="F172" s="507">
        <f t="shared" si="14"/>
        <v>428.92359999999985</v>
      </c>
      <c r="G172" s="506">
        <v>804.75</v>
      </c>
      <c r="H172" s="506"/>
      <c r="I172" s="506">
        <f t="shared" si="15"/>
        <v>316266.75</v>
      </c>
      <c r="J172" s="506">
        <f t="shared" si="16"/>
        <v>661443.02</v>
      </c>
      <c r="K172" s="547">
        <f t="shared" si="13"/>
        <v>345176.27</v>
      </c>
      <c r="L172" s="510"/>
      <c r="M172" s="508"/>
      <c r="N172" s="11" t="s">
        <v>243</v>
      </c>
      <c r="O172" s="341" t="s">
        <v>3032</v>
      </c>
      <c r="P172" s="339" t="s">
        <v>2927</v>
      </c>
      <c r="Q172" s="758" t="s">
        <v>3036</v>
      </c>
      <c r="R172" s="82">
        <v>1</v>
      </c>
    </row>
    <row r="173" spans="1:19" ht="71.25">
      <c r="A173" s="503" t="s">
        <v>2160</v>
      </c>
      <c r="B173" s="504" t="s">
        <v>192</v>
      </c>
      <c r="C173" s="505" t="s">
        <v>17</v>
      </c>
      <c r="D173" s="506">
        <v>13138</v>
      </c>
      <c r="E173" s="506">
        <f>估驗單!F166</f>
        <v>35217.512975700003</v>
      </c>
      <c r="F173" s="507">
        <f t="shared" si="14"/>
        <v>22079.512975700003</v>
      </c>
      <c r="G173" s="506">
        <v>36.4</v>
      </c>
      <c r="H173" s="506"/>
      <c r="I173" s="506">
        <f t="shared" si="15"/>
        <v>478223.2</v>
      </c>
      <c r="J173" s="506">
        <f t="shared" si="16"/>
        <v>1281917.47</v>
      </c>
      <c r="K173" s="547">
        <f t="shared" si="13"/>
        <v>803694.27</v>
      </c>
      <c r="L173" s="510"/>
      <c r="M173" s="508"/>
      <c r="N173" s="11" t="s">
        <v>243</v>
      </c>
      <c r="O173" s="341" t="s">
        <v>3032</v>
      </c>
      <c r="P173" s="339" t="s">
        <v>2927</v>
      </c>
      <c r="Q173" s="758" t="s">
        <v>3038</v>
      </c>
      <c r="R173" s="82">
        <v>1</v>
      </c>
    </row>
    <row r="174" spans="1:19" ht="99.75">
      <c r="A174" s="503" t="s">
        <v>2161</v>
      </c>
      <c r="B174" s="504" t="s">
        <v>530</v>
      </c>
      <c r="C174" s="505" t="s">
        <v>17</v>
      </c>
      <c r="D174" s="506">
        <v>15589</v>
      </c>
      <c r="E174" s="506">
        <f>估驗單!F167</f>
        <v>25125.1749375</v>
      </c>
      <c r="F174" s="507">
        <f t="shared" si="14"/>
        <v>9536.1749374999999</v>
      </c>
      <c r="G174" s="506">
        <v>38.71</v>
      </c>
      <c r="H174" s="506"/>
      <c r="I174" s="506">
        <f t="shared" si="15"/>
        <v>603450.18999999994</v>
      </c>
      <c r="J174" s="506">
        <f t="shared" si="16"/>
        <v>972595.52</v>
      </c>
      <c r="K174" s="547">
        <f t="shared" si="13"/>
        <v>369145.33000000007</v>
      </c>
      <c r="L174" s="510"/>
      <c r="M174" s="508"/>
      <c r="N174" s="11" t="s">
        <v>243</v>
      </c>
      <c r="O174" s="341" t="s">
        <v>3033</v>
      </c>
      <c r="P174" s="339" t="s">
        <v>2927</v>
      </c>
      <c r="Q174" s="758" t="s">
        <v>3037</v>
      </c>
      <c r="R174" s="82">
        <v>1</v>
      </c>
    </row>
    <row r="175" spans="1:19" ht="33" hidden="1">
      <c r="A175" s="343" t="s">
        <v>2162</v>
      </c>
      <c r="B175" s="344" t="s">
        <v>597</v>
      </c>
      <c r="C175" s="345" t="s">
        <v>13</v>
      </c>
      <c r="D175" s="340">
        <v>776</v>
      </c>
      <c r="E175" s="336">
        <f>估驗單!F168</f>
        <v>776</v>
      </c>
      <c r="F175" s="390">
        <f t="shared" si="14"/>
        <v>0</v>
      </c>
      <c r="G175" s="340">
        <v>2510.64</v>
      </c>
      <c r="H175" s="340"/>
      <c r="I175" s="336">
        <f t="shared" si="15"/>
        <v>1948256.64</v>
      </c>
      <c r="J175" s="336">
        <f t="shared" si="16"/>
        <v>1948256.64</v>
      </c>
      <c r="K175" s="546">
        <f t="shared" si="13"/>
        <v>0</v>
      </c>
      <c r="L175" s="502"/>
      <c r="M175" s="346"/>
      <c r="N175" s="347" t="s">
        <v>243</v>
      </c>
      <c r="O175" s="354"/>
      <c r="P175" s="349"/>
    </row>
    <row r="176" spans="1:19" ht="33">
      <c r="A176" s="503" t="s">
        <v>2163</v>
      </c>
      <c r="B176" s="504" t="s">
        <v>599</v>
      </c>
      <c r="C176" s="505" t="s">
        <v>223</v>
      </c>
      <c r="D176" s="506">
        <v>235</v>
      </c>
      <c r="E176" s="506">
        <f>估驗單!F169</f>
        <v>251.85</v>
      </c>
      <c r="F176" s="507">
        <f t="shared" si="14"/>
        <v>16.849999999999994</v>
      </c>
      <c r="G176" s="506">
        <v>3297.86</v>
      </c>
      <c r="H176" s="506"/>
      <c r="I176" s="506">
        <f t="shared" si="15"/>
        <v>774997.1</v>
      </c>
      <c r="J176" s="506">
        <f t="shared" si="16"/>
        <v>830566.04</v>
      </c>
      <c r="K176" s="547">
        <f t="shared" si="13"/>
        <v>55568.940000000061</v>
      </c>
      <c r="L176" s="510"/>
      <c r="M176" s="508"/>
      <c r="N176" s="11" t="s">
        <v>243</v>
      </c>
      <c r="O176" s="341" t="s">
        <v>2931</v>
      </c>
      <c r="P176" s="339" t="s">
        <v>2927</v>
      </c>
      <c r="Q176" s="753" t="s">
        <v>2932</v>
      </c>
      <c r="R176" s="82">
        <v>1</v>
      </c>
    </row>
    <row r="177" spans="1:19" ht="33">
      <c r="A177" s="503" t="s">
        <v>2164</v>
      </c>
      <c r="B177" s="504" t="s">
        <v>601</v>
      </c>
      <c r="C177" s="505" t="s">
        <v>13</v>
      </c>
      <c r="D177" s="506">
        <v>102</v>
      </c>
      <c r="E177" s="506">
        <f>估驗單!F170</f>
        <v>173.82</v>
      </c>
      <c r="F177" s="507">
        <f t="shared" si="14"/>
        <v>71.819999999999993</v>
      </c>
      <c r="G177" s="506">
        <v>2952.01</v>
      </c>
      <c r="H177" s="506"/>
      <c r="I177" s="506">
        <f t="shared" si="15"/>
        <v>301105.02</v>
      </c>
      <c r="J177" s="506">
        <f t="shared" si="16"/>
        <v>513118.38</v>
      </c>
      <c r="K177" s="547">
        <f t="shared" si="13"/>
        <v>212013.36</v>
      </c>
      <c r="L177" s="510"/>
      <c r="M177" s="508"/>
      <c r="N177" s="11" t="s">
        <v>243</v>
      </c>
      <c r="O177" s="341" t="s">
        <v>2917</v>
      </c>
      <c r="P177" s="339" t="s">
        <v>2927</v>
      </c>
      <c r="Q177" s="245" t="s">
        <v>2918</v>
      </c>
      <c r="R177" s="82">
        <v>1</v>
      </c>
    </row>
    <row r="178" spans="1:19" ht="45" hidden="1">
      <c r="A178" s="631" t="s">
        <v>2165</v>
      </c>
      <c r="B178" s="632" t="s">
        <v>603</v>
      </c>
      <c r="C178" s="633" t="s">
        <v>13</v>
      </c>
      <c r="D178" s="634">
        <v>400</v>
      </c>
      <c r="E178" s="634">
        <f>估驗單!F171</f>
        <v>400</v>
      </c>
      <c r="F178" s="635">
        <f t="shared" si="14"/>
        <v>0</v>
      </c>
      <c r="G178" s="634">
        <v>1454.49</v>
      </c>
      <c r="H178" s="634"/>
      <c r="I178" s="634">
        <f t="shared" si="15"/>
        <v>581796</v>
      </c>
      <c r="J178" s="634">
        <f t="shared" si="16"/>
        <v>581796</v>
      </c>
      <c r="K178" s="636">
        <f t="shared" si="13"/>
        <v>0</v>
      </c>
      <c r="L178" s="637"/>
      <c r="M178" s="638" t="s">
        <v>242</v>
      </c>
      <c r="N178" s="11" t="s">
        <v>243</v>
      </c>
      <c r="O178" s="341" t="s">
        <v>2960</v>
      </c>
      <c r="P178" s="339" t="s">
        <v>2996</v>
      </c>
      <c r="Q178" s="756" t="s">
        <v>2936</v>
      </c>
    </row>
    <row r="179" spans="1:19" ht="33" hidden="1">
      <c r="A179" s="333" t="s">
        <v>2166</v>
      </c>
      <c r="B179" s="334" t="s">
        <v>605</v>
      </c>
      <c r="C179" s="335" t="s">
        <v>606</v>
      </c>
      <c r="D179" s="336">
        <v>333</v>
      </c>
      <c r="E179" s="336">
        <f>估驗單!F172</f>
        <v>333</v>
      </c>
      <c r="F179" s="390">
        <f t="shared" si="14"/>
        <v>0</v>
      </c>
      <c r="G179" s="336">
        <v>434.98</v>
      </c>
      <c r="H179" s="336"/>
      <c r="I179" s="336">
        <f t="shared" si="15"/>
        <v>144848.34</v>
      </c>
      <c r="J179" s="336">
        <f t="shared" si="16"/>
        <v>144848.34</v>
      </c>
      <c r="K179" s="546">
        <f t="shared" si="13"/>
        <v>0</v>
      </c>
      <c r="L179" s="502"/>
      <c r="M179" s="231" t="s">
        <v>242</v>
      </c>
      <c r="N179" s="11" t="s">
        <v>243</v>
      </c>
      <c r="O179" s="341"/>
      <c r="P179" s="339"/>
    </row>
    <row r="180" spans="1:19" ht="33" hidden="1">
      <c r="A180" s="631" t="s">
        <v>2167</v>
      </c>
      <c r="B180" s="632" t="s">
        <v>608</v>
      </c>
      <c r="C180" s="633" t="s">
        <v>13</v>
      </c>
      <c r="D180" s="634">
        <v>1702</v>
      </c>
      <c r="E180" s="634">
        <f>估驗單!G173</f>
        <v>1702</v>
      </c>
      <c r="F180" s="635">
        <f t="shared" si="14"/>
        <v>0</v>
      </c>
      <c r="G180" s="634">
        <v>885.76</v>
      </c>
      <c r="H180" s="634"/>
      <c r="I180" s="634">
        <f t="shared" si="15"/>
        <v>1507563.52</v>
      </c>
      <c r="J180" s="634">
        <f t="shared" si="16"/>
        <v>1507563.52</v>
      </c>
      <c r="K180" s="636"/>
      <c r="L180" s="639"/>
      <c r="M180" s="638"/>
      <c r="N180" s="11" t="s">
        <v>243</v>
      </c>
      <c r="O180" s="341" t="s">
        <v>2962</v>
      </c>
      <c r="P180" s="339" t="s">
        <v>2998</v>
      </c>
      <c r="Q180" s="147" t="s">
        <v>2963</v>
      </c>
    </row>
    <row r="181" spans="1:19" ht="33" hidden="1">
      <c r="A181" s="333" t="s">
        <v>2168</v>
      </c>
      <c r="B181" s="334" t="s">
        <v>357</v>
      </c>
      <c r="C181" s="335" t="s">
        <v>8</v>
      </c>
      <c r="D181" s="336">
        <v>49</v>
      </c>
      <c r="E181" s="336">
        <f>估驗單!F174</f>
        <v>49</v>
      </c>
      <c r="F181" s="390">
        <f t="shared" si="14"/>
        <v>0</v>
      </c>
      <c r="G181" s="336">
        <v>138.84</v>
      </c>
      <c r="H181" s="336"/>
      <c r="I181" s="336">
        <f t="shared" si="15"/>
        <v>6803.16</v>
      </c>
      <c r="J181" s="336">
        <f t="shared" si="16"/>
        <v>6803.16</v>
      </c>
      <c r="K181" s="546">
        <f t="shared" si="13"/>
        <v>0</v>
      </c>
      <c r="L181" s="502"/>
      <c r="M181" s="231" t="s">
        <v>242</v>
      </c>
      <c r="N181" s="11" t="s">
        <v>243</v>
      </c>
      <c r="O181" s="341"/>
      <c r="P181" s="339"/>
    </row>
    <row r="182" spans="1:19" ht="33" hidden="1">
      <c r="A182" s="333" t="s">
        <v>2169</v>
      </c>
      <c r="B182" s="334" t="s">
        <v>611</v>
      </c>
      <c r="C182" s="335" t="s">
        <v>8</v>
      </c>
      <c r="D182" s="336">
        <v>85</v>
      </c>
      <c r="E182" s="336">
        <f>估驗單!F175</f>
        <v>85</v>
      </c>
      <c r="F182" s="390">
        <f t="shared" si="14"/>
        <v>0</v>
      </c>
      <c r="G182" s="336">
        <v>326.27999999999997</v>
      </c>
      <c r="H182" s="336"/>
      <c r="I182" s="336">
        <f t="shared" si="15"/>
        <v>27733.8</v>
      </c>
      <c r="J182" s="336">
        <f t="shared" si="16"/>
        <v>27733.8</v>
      </c>
      <c r="K182" s="546">
        <f t="shared" si="13"/>
        <v>0</v>
      </c>
      <c r="L182" s="502"/>
      <c r="M182" s="231" t="s">
        <v>242</v>
      </c>
      <c r="N182" s="11" t="s">
        <v>243</v>
      </c>
      <c r="O182" s="341"/>
      <c r="P182" s="339"/>
    </row>
    <row r="183" spans="1:19" ht="33">
      <c r="A183" s="503" t="s">
        <v>2170</v>
      </c>
      <c r="B183" s="504" t="s">
        <v>222</v>
      </c>
      <c r="C183" s="505" t="s">
        <v>13</v>
      </c>
      <c r="D183" s="506">
        <v>385</v>
      </c>
      <c r="E183" s="506">
        <f>估驗單!F176</f>
        <v>2005</v>
      </c>
      <c r="F183" s="507">
        <f t="shared" si="14"/>
        <v>1620</v>
      </c>
      <c r="G183" s="506">
        <v>692.12</v>
      </c>
      <c r="H183" s="506"/>
      <c r="I183" s="506">
        <f t="shared" si="15"/>
        <v>266466.2</v>
      </c>
      <c r="J183" s="506">
        <f t="shared" si="16"/>
        <v>1387700.6</v>
      </c>
      <c r="K183" s="547">
        <f t="shared" si="13"/>
        <v>1121234.4000000001</v>
      </c>
      <c r="L183" s="510"/>
      <c r="M183" s="508"/>
      <c r="N183" s="11" t="s">
        <v>243</v>
      </c>
      <c r="O183" s="341" t="s">
        <v>2953</v>
      </c>
      <c r="P183" s="339" t="s">
        <v>3061</v>
      </c>
      <c r="Q183" s="586" t="s">
        <v>3030</v>
      </c>
      <c r="R183" s="82">
        <v>1</v>
      </c>
    </row>
    <row r="184" spans="1:19" ht="33" hidden="1">
      <c r="A184" s="333" t="s">
        <v>2171</v>
      </c>
      <c r="B184" s="334" t="s">
        <v>615</v>
      </c>
      <c r="C184" s="335" t="s">
        <v>8</v>
      </c>
      <c r="D184" s="336">
        <v>0</v>
      </c>
      <c r="E184" s="336">
        <f>估驗單!F177</f>
        <v>0</v>
      </c>
      <c r="F184" s="390">
        <f t="shared" si="14"/>
        <v>0</v>
      </c>
      <c r="G184" s="336">
        <v>1706.44</v>
      </c>
      <c r="H184" s="336"/>
      <c r="I184" s="336">
        <f t="shared" si="15"/>
        <v>0</v>
      </c>
      <c r="J184" s="336">
        <f t="shared" si="16"/>
        <v>0</v>
      </c>
      <c r="K184" s="546">
        <f t="shared" si="13"/>
        <v>0</v>
      </c>
      <c r="L184" s="502"/>
      <c r="M184" s="231"/>
      <c r="N184" s="11" t="s">
        <v>243</v>
      </c>
      <c r="O184" s="341"/>
      <c r="P184" s="339"/>
    </row>
    <row r="185" spans="1:19" ht="33" hidden="1">
      <c r="A185" s="333" t="s">
        <v>2172</v>
      </c>
      <c r="B185" s="334" t="s">
        <v>618</v>
      </c>
      <c r="C185" s="335" t="s">
        <v>23</v>
      </c>
      <c r="D185" s="336">
        <v>1070.5</v>
      </c>
      <c r="E185" s="336">
        <f>估驗單!F178</f>
        <v>1070.5</v>
      </c>
      <c r="F185" s="390">
        <f t="shared" si="14"/>
        <v>0</v>
      </c>
      <c r="G185" s="336">
        <v>49</v>
      </c>
      <c r="H185" s="336"/>
      <c r="I185" s="336">
        <f t="shared" si="15"/>
        <v>52454.5</v>
      </c>
      <c r="J185" s="336">
        <f t="shared" si="16"/>
        <v>52454.5</v>
      </c>
      <c r="K185" s="546">
        <f t="shared" si="13"/>
        <v>0</v>
      </c>
      <c r="L185" s="502"/>
      <c r="M185" s="231" t="s">
        <v>242</v>
      </c>
      <c r="N185" s="11" t="s">
        <v>243</v>
      </c>
      <c r="O185" s="341"/>
      <c r="P185" s="339"/>
    </row>
    <row r="186" spans="1:19" ht="33" hidden="1">
      <c r="A186" s="333" t="s">
        <v>2173</v>
      </c>
      <c r="B186" s="334" t="s">
        <v>621</v>
      </c>
      <c r="C186" s="335" t="s">
        <v>19</v>
      </c>
      <c r="D186" s="336">
        <v>2</v>
      </c>
      <c r="E186" s="336">
        <f>估驗單!F179</f>
        <v>2</v>
      </c>
      <c r="F186" s="390">
        <f t="shared" si="14"/>
        <v>0</v>
      </c>
      <c r="G186" s="336">
        <v>5349708.26</v>
      </c>
      <c r="H186" s="336"/>
      <c r="I186" s="336">
        <f t="shared" si="15"/>
        <v>10699416.52</v>
      </c>
      <c r="J186" s="336">
        <f t="shared" si="16"/>
        <v>10699416.52</v>
      </c>
      <c r="K186" s="546">
        <f t="shared" si="13"/>
        <v>0</v>
      </c>
      <c r="L186" s="502"/>
      <c r="M186" s="231" t="s">
        <v>242</v>
      </c>
      <c r="N186" s="11" t="s">
        <v>243</v>
      </c>
      <c r="O186" s="341"/>
      <c r="P186" s="339"/>
    </row>
    <row r="187" spans="1:19" ht="42.75" hidden="1">
      <c r="A187" s="333" t="s">
        <v>2174</v>
      </c>
      <c r="B187" s="334" t="s">
        <v>1368</v>
      </c>
      <c r="C187" s="335" t="s">
        <v>8</v>
      </c>
      <c r="D187" s="336">
        <v>571.08000000000004</v>
      </c>
      <c r="E187" s="336">
        <f>估驗單!F180</f>
        <v>571.08000000000004</v>
      </c>
      <c r="F187" s="390">
        <f t="shared" si="14"/>
        <v>0</v>
      </c>
      <c r="G187" s="336">
        <v>5456.33</v>
      </c>
      <c r="H187" s="336"/>
      <c r="I187" s="336">
        <f t="shared" si="15"/>
        <v>3116000.94</v>
      </c>
      <c r="J187" s="336">
        <f t="shared" si="16"/>
        <v>3116000.94</v>
      </c>
      <c r="K187" s="546">
        <f t="shared" si="13"/>
        <v>0</v>
      </c>
      <c r="L187" s="502"/>
      <c r="M187" s="231" t="s">
        <v>242</v>
      </c>
      <c r="N187" s="11" t="s">
        <v>243</v>
      </c>
      <c r="O187" s="341"/>
      <c r="P187" s="339"/>
    </row>
    <row r="188" spans="1:19" ht="33">
      <c r="A188" s="503" t="s">
        <v>2175</v>
      </c>
      <c r="B188" s="504" t="s">
        <v>1370</v>
      </c>
      <c r="C188" s="505" t="s">
        <v>6</v>
      </c>
      <c r="D188" s="506">
        <v>161.38999999999999</v>
      </c>
      <c r="E188" s="506">
        <f>估驗單!F181</f>
        <v>0</v>
      </c>
      <c r="F188" s="519">
        <f t="shared" si="14"/>
        <v>-161.38999999999999</v>
      </c>
      <c r="G188" s="506">
        <v>1481.84</v>
      </c>
      <c r="H188" s="506"/>
      <c r="I188" s="506">
        <f t="shared" si="15"/>
        <v>239154.16</v>
      </c>
      <c r="J188" s="506">
        <f t="shared" si="16"/>
        <v>0</v>
      </c>
      <c r="K188" s="547"/>
      <c r="L188" s="510">
        <f>J188-I188</f>
        <v>-239154.16</v>
      </c>
      <c r="M188" s="508" t="s">
        <v>242</v>
      </c>
      <c r="N188" s="11" t="s">
        <v>243</v>
      </c>
      <c r="O188" s="769" t="s">
        <v>3009</v>
      </c>
      <c r="P188" s="339"/>
      <c r="Q188" s="245" t="s">
        <v>3027</v>
      </c>
      <c r="R188" s="82">
        <v>1</v>
      </c>
    </row>
    <row r="189" spans="1:19" s="352" customFormat="1" ht="56.25">
      <c r="A189" s="512">
        <v>24</v>
      </c>
      <c r="B189" s="513" t="s">
        <v>1372</v>
      </c>
      <c r="C189" s="514" t="s">
        <v>13</v>
      </c>
      <c r="D189" s="515">
        <v>634.14</v>
      </c>
      <c r="E189" s="506">
        <f>估驗單!F182</f>
        <v>776.79333333333329</v>
      </c>
      <c r="F189" s="507">
        <f t="shared" si="14"/>
        <v>142.65333333333331</v>
      </c>
      <c r="G189" s="515">
        <v>3120.65</v>
      </c>
      <c r="H189" s="515"/>
      <c r="I189" s="506">
        <f t="shared" si="15"/>
        <v>1978928.99</v>
      </c>
      <c r="J189" s="506">
        <f t="shared" si="16"/>
        <v>2424100.12</v>
      </c>
      <c r="K189" s="547">
        <f t="shared" si="13"/>
        <v>445171.13000000012</v>
      </c>
      <c r="L189" s="510"/>
      <c r="M189" s="527"/>
      <c r="N189" s="347" t="s">
        <v>243</v>
      </c>
      <c r="O189" s="341" t="s">
        <v>3034</v>
      </c>
      <c r="P189" s="339" t="s">
        <v>2927</v>
      </c>
      <c r="Q189" s="325" t="s">
        <v>3035</v>
      </c>
      <c r="R189" s="352">
        <v>1</v>
      </c>
      <c r="S189" s="361"/>
    </row>
    <row r="190" spans="1:19" s="363" customFormat="1" ht="33" hidden="1">
      <c r="A190" s="343">
        <v>25</v>
      </c>
      <c r="B190" s="344" t="s">
        <v>2346</v>
      </c>
      <c r="C190" s="345" t="s">
        <v>8</v>
      </c>
      <c r="D190" s="340">
        <f>295*0.7+76*0.75+40*2</f>
        <v>343.5</v>
      </c>
      <c r="E190" s="336">
        <f>估驗單!F183</f>
        <v>343.5</v>
      </c>
      <c r="F190" s="390">
        <f t="shared" si="14"/>
        <v>0</v>
      </c>
      <c r="G190" s="340">
        <v>119.99</v>
      </c>
      <c r="H190" s="340"/>
      <c r="I190" s="336">
        <f t="shared" si="15"/>
        <v>41216.57</v>
      </c>
      <c r="J190" s="336">
        <f t="shared" si="16"/>
        <v>41216.57</v>
      </c>
      <c r="K190" s="546">
        <f t="shared" si="13"/>
        <v>0</v>
      </c>
      <c r="L190" s="502"/>
      <c r="M190" s="346"/>
      <c r="N190" s="347" t="s">
        <v>243</v>
      </c>
      <c r="O190" s="354"/>
      <c r="P190" s="322"/>
      <c r="Q190" s="362"/>
    </row>
    <row r="191" spans="1:19" s="363" customFormat="1" ht="16.5" hidden="1">
      <c r="A191" s="343">
        <v>26</v>
      </c>
      <c r="B191" s="344" t="s">
        <v>2367</v>
      </c>
      <c r="C191" s="345" t="s">
        <v>2368</v>
      </c>
      <c r="D191" s="340">
        <f>295+76+80</f>
        <v>451</v>
      </c>
      <c r="E191" s="336">
        <f>估驗單!F184</f>
        <v>451</v>
      </c>
      <c r="F191" s="390">
        <f t="shared" si="14"/>
        <v>0</v>
      </c>
      <c r="G191" s="340">
        <v>324.97000000000003</v>
      </c>
      <c r="H191" s="340"/>
      <c r="I191" s="336">
        <f t="shared" si="15"/>
        <v>146561.47</v>
      </c>
      <c r="J191" s="336">
        <f t="shared" si="16"/>
        <v>146561.47</v>
      </c>
      <c r="K191" s="546">
        <f t="shared" si="13"/>
        <v>0</v>
      </c>
      <c r="L191" s="502"/>
      <c r="M191" s="346"/>
      <c r="N191" s="347"/>
      <c r="O191" s="354"/>
      <c r="P191" s="322"/>
      <c r="Q191" s="362"/>
    </row>
    <row r="192" spans="1:19" ht="33" hidden="1">
      <c r="A192" s="333">
        <v>28</v>
      </c>
      <c r="B192" s="334" t="s">
        <v>1377</v>
      </c>
      <c r="C192" s="335" t="s">
        <v>6</v>
      </c>
      <c r="D192" s="336">
        <v>1513</v>
      </c>
      <c r="E192" s="336">
        <f>估驗單!F185</f>
        <v>1513</v>
      </c>
      <c r="F192" s="390">
        <f t="shared" si="14"/>
        <v>0</v>
      </c>
      <c r="G192" s="336">
        <v>926.62</v>
      </c>
      <c r="H192" s="336"/>
      <c r="I192" s="336">
        <f t="shared" si="15"/>
        <v>1401976.06</v>
      </c>
      <c r="J192" s="336">
        <f t="shared" si="16"/>
        <v>1401976.06</v>
      </c>
      <c r="K192" s="546">
        <f t="shared" si="13"/>
        <v>0</v>
      </c>
      <c r="L192" s="502"/>
      <c r="M192" s="231"/>
      <c r="N192" s="11" t="s">
        <v>243</v>
      </c>
      <c r="O192" s="364"/>
      <c r="P192" s="365"/>
      <c r="Q192" s="325"/>
      <c r="S192" s="82">
        <f>(1.5*1.5*0.45*0.45)^(1/2)*(295+57.3)*0.15</f>
        <v>35.670375000000007</v>
      </c>
    </row>
    <row r="193" spans="1:19" s="368" customFormat="1" ht="52.5" hidden="1">
      <c r="A193" s="333">
        <v>29</v>
      </c>
      <c r="B193" s="334" t="s">
        <v>2375</v>
      </c>
      <c r="C193" s="335" t="s">
        <v>6</v>
      </c>
      <c r="D193" s="336">
        <v>1177.9000000000001</v>
      </c>
      <c r="E193" s="336">
        <f>估驗單!F186</f>
        <v>1177.9000000000001</v>
      </c>
      <c r="F193" s="390">
        <f t="shared" si="14"/>
        <v>0</v>
      </c>
      <c r="G193" s="336">
        <v>3832.9</v>
      </c>
      <c r="H193" s="336"/>
      <c r="I193" s="336">
        <f t="shared" si="15"/>
        <v>4514772.91</v>
      </c>
      <c r="J193" s="336">
        <f t="shared" si="16"/>
        <v>4514772.91</v>
      </c>
      <c r="K193" s="546">
        <f t="shared" si="13"/>
        <v>0</v>
      </c>
      <c r="L193" s="502"/>
      <c r="M193" s="231"/>
      <c r="N193" s="11" t="s">
        <v>243</v>
      </c>
      <c r="O193" s="433" t="s">
        <v>2913</v>
      </c>
      <c r="P193" s="366"/>
      <c r="Q193" s="367"/>
      <c r="S193" s="369" t="s">
        <v>2380</v>
      </c>
    </row>
    <row r="194" spans="1:19" s="368" customFormat="1" ht="33" customHeight="1">
      <c r="A194" s="503">
        <v>30</v>
      </c>
      <c r="B194" s="504" t="s">
        <v>1380</v>
      </c>
      <c r="C194" s="505" t="s">
        <v>13</v>
      </c>
      <c r="D194" s="506">
        <v>442.5</v>
      </c>
      <c r="E194" s="506">
        <f>估驗單!F187</f>
        <v>734.29600000000005</v>
      </c>
      <c r="F194" s="507">
        <f t="shared" si="14"/>
        <v>291.79600000000005</v>
      </c>
      <c r="G194" s="506">
        <v>234.99</v>
      </c>
      <c r="H194" s="506"/>
      <c r="I194" s="506">
        <f t="shared" si="15"/>
        <v>103983.08</v>
      </c>
      <c r="J194" s="506">
        <f t="shared" si="16"/>
        <v>172552.22</v>
      </c>
      <c r="K194" s="547">
        <f t="shared" si="13"/>
        <v>68569.14</v>
      </c>
      <c r="L194" s="510"/>
      <c r="M194" s="508"/>
      <c r="N194" s="11"/>
      <c r="O194" s="754" t="s">
        <v>2915</v>
      </c>
      <c r="P194" s="755" t="s">
        <v>2926</v>
      </c>
      <c r="Q194" s="325" t="s">
        <v>2933</v>
      </c>
      <c r="R194" s="368">
        <v>1</v>
      </c>
      <c r="S194" s="369"/>
    </row>
    <row r="195" spans="1:19" ht="33">
      <c r="A195" s="406" t="s">
        <v>2244</v>
      </c>
      <c r="B195" s="407" t="s">
        <v>623</v>
      </c>
      <c r="C195" s="408" t="s">
        <v>4</v>
      </c>
      <c r="D195" s="409"/>
      <c r="E195" s="409">
        <f>估驗單!F188</f>
        <v>0</v>
      </c>
      <c r="F195" s="410">
        <f t="shared" si="14"/>
        <v>0</v>
      </c>
      <c r="G195" s="409">
        <f>I195</f>
        <v>28004421.200000003</v>
      </c>
      <c r="H195" s="409"/>
      <c r="I195" s="409">
        <f>SUM(I196:I214)</f>
        <v>28004421.200000003</v>
      </c>
      <c r="J195" s="409">
        <f>SUM(J196:J214)</f>
        <v>33518571.399999999</v>
      </c>
      <c r="K195" s="409">
        <f>SUM(K196:K214)</f>
        <v>5987095.5399999991</v>
      </c>
      <c r="L195" s="452">
        <f>SUM(L196:L214)</f>
        <v>-472945.33999999991</v>
      </c>
      <c r="M195" s="288" t="s">
        <v>242</v>
      </c>
      <c r="N195" s="11" t="s">
        <v>243</v>
      </c>
      <c r="O195" s="338"/>
      <c r="P195" s="339"/>
      <c r="R195" s="82">
        <v>1</v>
      </c>
    </row>
    <row r="196" spans="1:19" ht="33">
      <c r="A196" s="503" t="s">
        <v>2154</v>
      </c>
      <c r="B196" s="504" t="s">
        <v>315</v>
      </c>
      <c r="C196" s="505" t="s">
        <v>6</v>
      </c>
      <c r="D196" s="506">
        <v>252</v>
      </c>
      <c r="E196" s="506">
        <f>估驗單!F189</f>
        <v>109.33</v>
      </c>
      <c r="F196" s="519">
        <f t="shared" si="14"/>
        <v>-142.67000000000002</v>
      </c>
      <c r="G196" s="506">
        <v>3114.97</v>
      </c>
      <c r="H196" s="506"/>
      <c r="I196" s="506">
        <f t="shared" ref="I196:I214" si="17">ROUND(D196*G196,2)</f>
        <v>784972.44</v>
      </c>
      <c r="J196" s="506">
        <f t="shared" ref="J196:J214" si="18">ROUND(E196*G196,2)</f>
        <v>340559.67</v>
      </c>
      <c r="K196" s="547"/>
      <c r="L196" s="519">
        <f>J196-I196</f>
        <v>-444412.76999999996</v>
      </c>
      <c r="M196" s="520"/>
      <c r="N196" s="11" t="s">
        <v>243</v>
      </c>
      <c r="O196" s="341" t="s">
        <v>2961</v>
      </c>
      <c r="P196" s="339"/>
      <c r="Q196" s="293" t="s">
        <v>3039</v>
      </c>
      <c r="R196" s="82">
        <v>1</v>
      </c>
    </row>
    <row r="197" spans="1:19" ht="33" hidden="1">
      <c r="A197" s="333" t="s">
        <v>2155</v>
      </c>
      <c r="B197" s="334" t="s">
        <v>24</v>
      </c>
      <c r="C197" s="335" t="s">
        <v>6</v>
      </c>
      <c r="D197" s="336">
        <v>2490</v>
      </c>
      <c r="E197" s="336">
        <f>估驗單!F190</f>
        <v>2490</v>
      </c>
      <c r="F197" s="390">
        <f t="shared" si="14"/>
        <v>0</v>
      </c>
      <c r="G197" s="336">
        <v>3320.96</v>
      </c>
      <c r="H197" s="336"/>
      <c r="I197" s="336">
        <f t="shared" si="17"/>
        <v>8269190.4000000004</v>
      </c>
      <c r="J197" s="336">
        <f t="shared" si="18"/>
        <v>8269190.4000000004</v>
      </c>
      <c r="K197" s="546">
        <f t="shared" si="13"/>
        <v>0</v>
      </c>
      <c r="L197" s="502"/>
      <c r="M197" s="231" t="s">
        <v>242</v>
      </c>
      <c r="N197" s="11" t="s">
        <v>243</v>
      </c>
      <c r="O197" s="433" t="s">
        <v>2940</v>
      </c>
      <c r="P197" s="339"/>
    </row>
    <row r="198" spans="1:19" ht="33" hidden="1">
      <c r="A198" s="333" t="s">
        <v>2156</v>
      </c>
      <c r="B198" s="334" t="s">
        <v>624</v>
      </c>
      <c r="C198" s="335" t="s">
        <v>6</v>
      </c>
      <c r="D198" s="336">
        <v>998</v>
      </c>
      <c r="E198" s="336">
        <f>估驗單!F191</f>
        <v>998</v>
      </c>
      <c r="F198" s="390">
        <f t="shared" si="14"/>
        <v>0</v>
      </c>
      <c r="G198" s="336">
        <v>1749.16</v>
      </c>
      <c r="H198" s="336"/>
      <c r="I198" s="336">
        <f t="shared" si="17"/>
        <v>1745661.68</v>
      </c>
      <c r="J198" s="336">
        <f t="shared" si="18"/>
        <v>1745661.68</v>
      </c>
      <c r="K198" s="546">
        <f t="shared" si="13"/>
        <v>0</v>
      </c>
      <c r="L198" s="502"/>
      <c r="M198" s="231" t="s">
        <v>242</v>
      </c>
      <c r="N198" s="11" t="s">
        <v>243</v>
      </c>
      <c r="O198" s="341"/>
      <c r="P198" s="339"/>
    </row>
    <row r="199" spans="1:19" ht="33">
      <c r="A199" s="503" t="s">
        <v>2157</v>
      </c>
      <c r="B199" s="504" t="s">
        <v>595</v>
      </c>
      <c r="C199" s="505" t="s">
        <v>6</v>
      </c>
      <c r="D199" s="506">
        <v>3740</v>
      </c>
      <c r="E199" s="506">
        <f>估驗單!F192</f>
        <v>3597.33</v>
      </c>
      <c r="F199" s="519">
        <f t="shared" si="14"/>
        <v>-142.67000000000007</v>
      </c>
      <c r="G199" s="506">
        <v>199.99</v>
      </c>
      <c r="H199" s="506"/>
      <c r="I199" s="506">
        <f t="shared" si="17"/>
        <v>747962.6</v>
      </c>
      <c r="J199" s="506">
        <f t="shared" si="18"/>
        <v>719430.03</v>
      </c>
      <c r="K199" s="547"/>
      <c r="L199" s="519">
        <f>J199-I199</f>
        <v>-28532.569999999949</v>
      </c>
      <c r="M199" s="508" t="s">
        <v>242</v>
      </c>
      <c r="N199" s="11" t="s">
        <v>243</v>
      </c>
      <c r="O199" s="341" t="s">
        <v>2961</v>
      </c>
      <c r="P199" s="339"/>
      <c r="Q199" s="82" t="s">
        <v>2941</v>
      </c>
      <c r="R199" s="82">
        <v>1</v>
      </c>
    </row>
    <row r="200" spans="1:19" s="325" customFormat="1" ht="56.25">
      <c r="A200" s="503" t="s">
        <v>2158</v>
      </c>
      <c r="B200" s="504" t="s">
        <v>534</v>
      </c>
      <c r="C200" s="505" t="s">
        <v>13</v>
      </c>
      <c r="D200" s="506">
        <v>4240</v>
      </c>
      <c r="E200" s="506">
        <f>估驗單!F193</f>
        <v>4949.6072000000013</v>
      </c>
      <c r="F200" s="507">
        <f t="shared" si="14"/>
        <v>709.60720000000128</v>
      </c>
      <c r="G200" s="506">
        <v>982.93</v>
      </c>
      <c r="H200" s="506"/>
      <c r="I200" s="506">
        <f t="shared" si="17"/>
        <v>4167623.2</v>
      </c>
      <c r="J200" s="506">
        <f t="shared" si="18"/>
        <v>4865117.41</v>
      </c>
      <c r="K200" s="547">
        <f t="shared" si="13"/>
        <v>697494.21</v>
      </c>
      <c r="L200" s="510"/>
      <c r="M200" s="508"/>
      <c r="N200" s="11" t="s">
        <v>243</v>
      </c>
      <c r="O200" s="341" t="s">
        <v>3041</v>
      </c>
      <c r="P200" s="360"/>
      <c r="Q200" s="325" t="s">
        <v>3040</v>
      </c>
      <c r="R200" s="325">
        <v>1</v>
      </c>
    </row>
    <row r="201" spans="1:19" s="325" customFormat="1" ht="56.25">
      <c r="A201" s="503" t="s">
        <v>2159</v>
      </c>
      <c r="B201" s="504" t="s">
        <v>626</v>
      </c>
      <c r="C201" s="505" t="s">
        <v>13</v>
      </c>
      <c r="D201" s="506">
        <v>38</v>
      </c>
      <c r="E201" s="506">
        <f>估驗單!F194</f>
        <v>49.359999999999992</v>
      </c>
      <c r="F201" s="507">
        <f t="shared" si="14"/>
        <v>11.359999999999992</v>
      </c>
      <c r="G201" s="506">
        <v>698.28</v>
      </c>
      <c r="H201" s="506"/>
      <c r="I201" s="506">
        <f t="shared" si="17"/>
        <v>26534.639999999999</v>
      </c>
      <c r="J201" s="506">
        <f t="shared" si="18"/>
        <v>34467.1</v>
      </c>
      <c r="K201" s="547">
        <f t="shared" si="13"/>
        <v>7932.4599999999991</v>
      </c>
      <c r="L201" s="510"/>
      <c r="M201" s="508"/>
      <c r="N201" s="11" t="s">
        <v>243</v>
      </c>
      <c r="O201" s="341" t="s">
        <v>3041</v>
      </c>
      <c r="P201" s="339"/>
      <c r="Q201" s="325" t="s">
        <v>3040</v>
      </c>
      <c r="R201" s="325">
        <v>1</v>
      </c>
    </row>
    <row r="202" spans="1:19" s="325" customFormat="1" ht="56.25">
      <c r="A202" s="503" t="s">
        <v>2160</v>
      </c>
      <c r="B202" s="504" t="s">
        <v>536</v>
      </c>
      <c r="C202" s="505" t="s">
        <v>13</v>
      </c>
      <c r="D202" s="506">
        <v>783</v>
      </c>
      <c r="E202" s="506">
        <f>估驗單!F195</f>
        <v>1409.35</v>
      </c>
      <c r="F202" s="507">
        <f t="shared" si="14"/>
        <v>626.34999999999991</v>
      </c>
      <c r="G202" s="506">
        <v>804.75</v>
      </c>
      <c r="H202" s="506"/>
      <c r="I202" s="506">
        <f t="shared" si="17"/>
        <v>630119.25</v>
      </c>
      <c r="J202" s="506">
        <f t="shared" si="18"/>
        <v>1134174.4099999999</v>
      </c>
      <c r="K202" s="547">
        <f t="shared" si="13"/>
        <v>504055.15999999992</v>
      </c>
      <c r="L202" s="510"/>
      <c r="M202" s="508"/>
      <c r="N202" s="11" t="s">
        <v>243</v>
      </c>
      <c r="O202" s="341" t="s">
        <v>3041</v>
      </c>
      <c r="P202" s="339"/>
      <c r="Q202" s="325" t="s">
        <v>3040</v>
      </c>
      <c r="R202" s="325">
        <v>1</v>
      </c>
    </row>
    <row r="203" spans="1:19" s="325" customFormat="1" ht="56.25">
      <c r="A203" s="503" t="s">
        <v>2161</v>
      </c>
      <c r="B203" s="504" t="s">
        <v>193</v>
      </c>
      <c r="C203" s="505" t="s">
        <v>13</v>
      </c>
      <c r="D203" s="506">
        <v>300</v>
      </c>
      <c r="E203" s="506">
        <f>估驗單!F196</f>
        <v>761.34</v>
      </c>
      <c r="F203" s="507">
        <f t="shared" si="14"/>
        <v>461.34000000000003</v>
      </c>
      <c r="G203" s="506">
        <v>533.61</v>
      </c>
      <c r="H203" s="506"/>
      <c r="I203" s="506">
        <f t="shared" si="17"/>
        <v>160083</v>
      </c>
      <c r="J203" s="506">
        <f t="shared" si="18"/>
        <v>406258.64</v>
      </c>
      <c r="K203" s="547">
        <f t="shared" si="13"/>
        <v>246175.64</v>
      </c>
      <c r="L203" s="510"/>
      <c r="M203" s="508"/>
      <c r="N203" s="11" t="s">
        <v>243</v>
      </c>
      <c r="O203" s="341" t="s">
        <v>3041</v>
      </c>
      <c r="P203" s="360"/>
      <c r="Q203" s="325" t="s">
        <v>3040</v>
      </c>
      <c r="R203" s="325">
        <v>1</v>
      </c>
    </row>
    <row r="204" spans="1:19" s="325" customFormat="1" ht="56.25">
      <c r="A204" s="503" t="s">
        <v>2162</v>
      </c>
      <c r="B204" s="504" t="s">
        <v>192</v>
      </c>
      <c r="C204" s="505" t="s">
        <v>17</v>
      </c>
      <c r="D204" s="506">
        <v>137462</v>
      </c>
      <c r="E204" s="506">
        <f>估驗單!F197</f>
        <v>207085.17276800002</v>
      </c>
      <c r="F204" s="507">
        <f t="shared" si="14"/>
        <v>69623.172768000019</v>
      </c>
      <c r="G204" s="506">
        <v>36.4</v>
      </c>
      <c r="H204" s="506"/>
      <c r="I204" s="506">
        <f t="shared" si="17"/>
        <v>5003616.8</v>
      </c>
      <c r="J204" s="506">
        <f t="shared" si="18"/>
        <v>7537900.29</v>
      </c>
      <c r="K204" s="547">
        <f t="shared" si="13"/>
        <v>2534283.4900000002</v>
      </c>
      <c r="L204" s="510"/>
      <c r="M204" s="508"/>
      <c r="N204" s="11" t="s">
        <v>243</v>
      </c>
      <c r="O204" s="341" t="s">
        <v>3041</v>
      </c>
      <c r="P204" s="339"/>
      <c r="Q204" s="325" t="s">
        <v>3040</v>
      </c>
      <c r="R204" s="325">
        <v>1</v>
      </c>
    </row>
    <row r="205" spans="1:19" s="325" customFormat="1" ht="56.25">
      <c r="A205" s="503" t="s">
        <v>2163</v>
      </c>
      <c r="B205" s="504" t="s">
        <v>530</v>
      </c>
      <c r="C205" s="505" t="s">
        <v>17</v>
      </c>
      <c r="D205" s="506">
        <v>116638</v>
      </c>
      <c r="E205" s="506">
        <f>估驗單!F198</f>
        <v>168230.73</v>
      </c>
      <c r="F205" s="507">
        <f t="shared" si="14"/>
        <v>51592.73000000001</v>
      </c>
      <c r="G205" s="506">
        <v>38.71</v>
      </c>
      <c r="H205" s="506"/>
      <c r="I205" s="506">
        <f t="shared" si="17"/>
        <v>4515056.9800000004</v>
      </c>
      <c r="J205" s="506">
        <f t="shared" si="18"/>
        <v>6512211.5599999996</v>
      </c>
      <c r="K205" s="547">
        <f t="shared" ref="K205:K268" si="19">J205-I205</f>
        <v>1997154.5799999991</v>
      </c>
      <c r="L205" s="510"/>
      <c r="M205" s="508"/>
      <c r="N205" s="11" t="s">
        <v>243</v>
      </c>
      <c r="O205" s="341" t="s">
        <v>3041</v>
      </c>
      <c r="P205" s="339"/>
      <c r="Q205" s="325" t="s">
        <v>3040</v>
      </c>
      <c r="R205" s="325">
        <v>1</v>
      </c>
    </row>
    <row r="206" spans="1:19" s="325" customFormat="1" ht="33" hidden="1">
      <c r="A206" s="333" t="s">
        <v>2164</v>
      </c>
      <c r="B206" s="334" t="s">
        <v>628</v>
      </c>
      <c r="C206" s="335" t="s">
        <v>8</v>
      </c>
      <c r="D206" s="336">
        <v>112</v>
      </c>
      <c r="E206" s="336">
        <f>估驗單!F199</f>
        <v>112</v>
      </c>
      <c r="F206" s="390">
        <f t="shared" si="14"/>
        <v>0</v>
      </c>
      <c r="G206" s="336">
        <v>2865.8</v>
      </c>
      <c r="H206" s="336"/>
      <c r="I206" s="336">
        <f t="shared" si="17"/>
        <v>320969.59999999998</v>
      </c>
      <c r="J206" s="336">
        <f t="shared" si="18"/>
        <v>320969.59999999998</v>
      </c>
      <c r="K206" s="546"/>
      <c r="L206" s="453"/>
      <c r="M206" s="234" t="s">
        <v>2496</v>
      </c>
      <c r="N206" s="11" t="s">
        <v>243</v>
      </c>
      <c r="O206" s="325" t="s">
        <v>2947</v>
      </c>
      <c r="P206" s="770" t="s">
        <v>3042</v>
      </c>
      <c r="Q206" s="325" t="s">
        <v>2947</v>
      </c>
    </row>
    <row r="207" spans="1:19" s="325" customFormat="1" ht="33" hidden="1">
      <c r="A207" s="333" t="s">
        <v>2165</v>
      </c>
      <c r="B207" s="334" t="s">
        <v>630</v>
      </c>
      <c r="C207" s="335" t="s">
        <v>0</v>
      </c>
      <c r="D207" s="336">
        <v>47</v>
      </c>
      <c r="E207" s="336">
        <f>估驗單!F200</f>
        <v>47</v>
      </c>
      <c r="F207" s="390">
        <f t="shared" si="14"/>
        <v>0</v>
      </c>
      <c r="G207" s="336">
        <v>1477.97</v>
      </c>
      <c r="H207" s="336"/>
      <c r="I207" s="336">
        <f t="shared" si="17"/>
        <v>69464.59</v>
      </c>
      <c r="J207" s="336">
        <f t="shared" si="18"/>
        <v>69464.59</v>
      </c>
      <c r="K207" s="546">
        <f t="shared" si="19"/>
        <v>0</v>
      </c>
      <c r="L207" s="502"/>
      <c r="M207" s="234"/>
      <c r="N207" s="11" t="s">
        <v>243</v>
      </c>
      <c r="O207" s="341"/>
      <c r="P207" s="339"/>
    </row>
    <row r="208" spans="1:19" s="325" customFormat="1" ht="42.75" hidden="1">
      <c r="A208" s="333" t="s">
        <v>2166</v>
      </c>
      <c r="B208" s="334" t="s">
        <v>632</v>
      </c>
      <c r="C208" s="335" t="s">
        <v>8</v>
      </c>
      <c r="D208" s="336">
        <v>148</v>
      </c>
      <c r="E208" s="336">
        <f>估驗單!F201</f>
        <v>148</v>
      </c>
      <c r="F208" s="390">
        <f t="shared" si="14"/>
        <v>0</v>
      </c>
      <c r="G208" s="336">
        <v>151.71</v>
      </c>
      <c r="H208" s="336"/>
      <c r="I208" s="336">
        <f t="shared" si="17"/>
        <v>22453.08</v>
      </c>
      <c r="J208" s="336">
        <f t="shared" si="18"/>
        <v>22453.08</v>
      </c>
      <c r="K208" s="546">
        <f t="shared" si="19"/>
        <v>0</v>
      </c>
      <c r="L208" s="502"/>
      <c r="M208" s="231" t="s">
        <v>242</v>
      </c>
      <c r="N208" s="11" t="s">
        <v>243</v>
      </c>
      <c r="O208" s="341"/>
      <c r="P208" s="339"/>
    </row>
    <row r="209" spans="1:18" s="325" customFormat="1" ht="33" hidden="1">
      <c r="A209" s="333" t="s">
        <v>2167</v>
      </c>
      <c r="B209" s="334" t="s">
        <v>634</v>
      </c>
      <c r="C209" s="335" t="s">
        <v>15</v>
      </c>
      <c r="D209" s="336">
        <v>6</v>
      </c>
      <c r="E209" s="336">
        <f>估驗單!F202</f>
        <v>6</v>
      </c>
      <c r="F209" s="390">
        <f t="shared" si="14"/>
        <v>0</v>
      </c>
      <c r="G209" s="336">
        <v>15778.75</v>
      </c>
      <c r="H209" s="336"/>
      <c r="I209" s="336">
        <f t="shared" si="17"/>
        <v>94672.5</v>
      </c>
      <c r="J209" s="336">
        <f t="shared" si="18"/>
        <v>94672.5</v>
      </c>
      <c r="K209" s="546">
        <f t="shared" si="19"/>
        <v>0</v>
      </c>
      <c r="L209" s="502"/>
      <c r="M209" s="231" t="s">
        <v>242</v>
      </c>
      <c r="N209" s="11" t="s">
        <v>243</v>
      </c>
      <c r="O209" s="341"/>
      <c r="P209" s="339"/>
    </row>
    <row r="210" spans="1:18" s="325" customFormat="1" ht="33" hidden="1">
      <c r="A210" s="333" t="s">
        <v>2168</v>
      </c>
      <c r="B210" s="334" t="s">
        <v>357</v>
      </c>
      <c r="C210" s="335" t="s">
        <v>8</v>
      </c>
      <c r="D210" s="336">
        <v>746</v>
      </c>
      <c r="E210" s="336">
        <f>估驗單!F203</f>
        <v>746</v>
      </c>
      <c r="F210" s="390">
        <f t="shared" si="14"/>
        <v>0</v>
      </c>
      <c r="G210" s="336">
        <v>138.84</v>
      </c>
      <c r="H210" s="336"/>
      <c r="I210" s="336">
        <f t="shared" si="17"/>
        <v>103574.64</v>
      </c>
      <c r="J210" s="336">
        <f t="shared" si="18"/>
        <v>103574.64</v>
      </c>
      <c r="K210" s="546"/>
      <c r="L210" s="453"/>
      <c r="M210" s="234"/>
      <c r="N210" s="11" t="s">
        <v>243</v>
      </c>
      <c r="O210" s="341"/>
      <c r="P210" s="339"/>
    </row>
    <row r="211" spans="1:18" s="325" customFormat="1" ht="33" hidden="1">
      <c r="A211" s="333" t="s">
        <v>2169</v>
      </c>
      <c r="B211" s="334" t="s">
        <v>611</v>
      </c>
      <c r="C211" s="335" t="s">
        <v>8</v>
      </c>
      <c r="D211" s="336">
        <v>1740</v>
      </c>
      <c r="E211" s="336">
        <f>估驗單!F204</f>
        <v>1740</v>
      </c>
      <c r="F211" s="390">
        <f t="shared" si="14"/>
        <v>0</v>
      </c>
      <c r="G211" s="336">
        <v>326.27999999999997</v>
      </c>
      <c r="H211" s="336"/>
      <c r="I211" s="336">
        <f t="shared" si="17"/>
        <v>567727.19999999995</v>
      </c>
      <c r="J211" s="336">
        <f t="shared" si="18"/>
        <v>567727.19999999995</v>
      </c>
      <c r="K211" s="546"/>
      <c r="L211" s="453"/>
      <c r="M211" s="234"/>
      <c r="N211" s="11" t="s">
        <v>243</v>
      </c>
      <c r="O211" s="341"/>
      <c r="P211" s="339"/>
    </row>
    <row r="212" spans="1:18" s="325" customFormat="1" ht="33" hidden="1">
      <c r="A212" s="333" t="s">
        <v>2170</v>
      </c>
      <c r="B212" s="334" t="s">
        <v>222</v>
      </c>
      <c r="C212" s="335" t="s">
        <v>13</v>
      </c>
      <c r="D212" s="336">
        <v>783</v>
      </c>
      <c r="E212" s="336">
        <f>估驗單!F205</f>
        <v>783</v>
      </c>
      <c r="F212" s="390">
        <f t="shared" si="14"/>
        <v>0</v>
      </c>
      <c r="G212" s="336">
        <v>692.12</v>
      </c>
      <c r="H212" s="336"/>
      <c r="I212" s="336">
        <f t="shared" si="17"/>
        <v>541929.96</v>
      </c>
      <c r="J212" s="336">
        <f t="shared" si="18"/>
        <v>541929.96</v>
      </c>
      <c r="K212" s="546">
        <f t="shared" si="19"/>
        <v>0</v>
      </c>
      <c r="L212" s="502"/>
      <c r="M212" s="231"/>
      <c r="N212" s="11" t="s">
        <v>243</v>
      </c>
      <c r="O212" s="341"/>
      <c r="P212" s="339"/>
    </row>
    <row r="213" spans="1:18" s="325" customFormat="1" ht="33" hidden="1">
      <c r="A213" s="333" t="s">
        <v>2171</v>
      </c>
      <c r="B213" s="334" t="s">
        <v>640</v>
      </c>
      <c r="C213" s="335" t="s">
        <v>15</v>
      </c>
      <c r="D213" s="336">
        <v>1</v>
      </c>
      <c r="E213" s="336">
        <f>估驗單!F206</f>
        <v>1</v>
      </c>
      <c r="F213" s="390">
        <f t="shared" si="14"/>
        <v>0</v>
      </c>
      <c r="G213" s="336">
        <v>214228.32</v>
      </c>
      <c r="H213" s="336"/>
      <c r="I213" s="336">
        <f t="shared" si="17"/>
        <v>214228.32</v>
      </c>
      <c r="J213" s="336">
        <f t="shared" si="18"/>
        <v>214228.32</v>
      </c>
      <c r="K213" s="546">
        <f t="shared" si="19"/>
        <v>0</v>
      </c>
      <c r="L213" s="502"/>
      <c r="M213" s="231" t="s">
        <v>242</v>
      </c>
      <c r="N213" s="11" t="s">
        <v>243</v>
      </c>
      <c r="O213" s="341"/>
      <c r="P213" s="339"/>
    </row>
    <row r="214" spans="1:18" s="325" customFormat="1" ht="33" hidden="1">
      <c r="A214" s="333" t="s">
        <v>2172</v>
      </c>
      <c r="B214" s="334" t="s">
        <v>643</v>
      </c>
      <c r="C214" s="335" t="s">
        <v>5</v>
      </c>
      <c r="D214" s="336">
        <v>44</v>
      </c>
      <c r="E214" s="336">
        <f>估驗單!F207</f>
        <v>44</v>
      </c>
      <c r="F214" s="390">
        <f t="shared" si="14"/>
        <v>0</v>
      </c>
      <c r="G214" s="336">
        <v>422.28</v>
      </c>
      <c r="H214" s="336"/>
      <c r="I214" s="336">
        <f t="shared" si="17"/>
        <v>18580.32</v>
      </c>
      <c r="J214" s="336">
        <f t="shared" si="18"/>
        <v>18580.32</v>
      </c>
      <c r="K214" s="546">
        <f t="shared" si="19"/>
        <v>0</v>
      </c>
      <c r="L214" s="502"/>
      <c r="M214" s="231" t="s">
        <v>242</v>
      </c>
      <c r="N214" s="11" t="s">
        <v>243</v>
      </c>
      <c r="O214" s="341"/>
      <c r="P214" s="339"/>
    </row>
    <row r="215" spans="1:18" s="325" customFormat="1" ht="33">
      <c r="A215" s="406" t="s">
        <v>2245</v>
      </c>
      <c r="B215" s="407" t="s">
        <v>645</v>
      </c>
      <c r="C215" s="408" t="s">
        <v>4</v>
      </c>
      <c r="D215" s="409"/>
      <c r="E215" s="409"/>
      <c r="F215" s="410"/>
      <c r="G215" s="409">
        <f>I215</f>
        <v>13631722.120000003</v>
      </c>
      <c r="H215" s="409"/>
      <c r="I215" s="409">
        <f>SUM(I216:I231)</f>
        <v>13631722.120000003</v>
      </c>
      <c r="J215" s="409">
        <f>SUM(J216:J231)</f>
        <v>13631722.120000003</v>
      </c>
      <c r="K215" s="542">
        <f>SUM(K216:K231)</f>
        <v>0</v>
      </c>
      <c r="L215" s="452">
        <f>SUM(L216:L231)</f>
        <v>0</v>
      </c>
      <c r="M215" s="288" t="s">
        <v>242</v>
      </c>
      <c r="N215" s="11" t="s">
        <v>243</v>
      </c>
      <c r="O215" s="338"/>
      <c r="P215" s="339"/>
      <c r="R215" s="325">
        <v>1</v>
      </c>
    </row>
    <row r="216" spans="1:18" s="325" customFormat="1" ht="33" hidden="1">
      <c r="A216" s="333" t="s">
        <v>2154</v>
      </c>
      <c r="B216" s="334" t="s">
        <v>646</v>
      </c>
      <c r="C216" s="335" t="s">
        <v>6</v>
      </c>
      <c r="D216" s="336">
        <v>230</v>
      </c>
      <c r="E216" s="336">
        <f>估驗單!F209</f>
        <v>230</v>
      </c>
      <c r="F216" s="390">
        <f t="shared" si="14"/>
        <v>0</v>
      </c>
      <c r="G216" s="336">
        <v>7517.15</v>
      </c>
      <c r="H216" s="336"/>
      <c r="I216" s="336">
        <f t="shared" ref="I216:I231" si="20">ROUND(D216*G216,2)</f>
        <v>1728944.5</v>
      </c>
      <c r="J216" s="336">
        <f t="shared" ref="J216:J231" si="21">ROUND(E216*G216,2)</f>
        <v>1728944.5</v>
      </c>
      <c r="K216" s="546">
        <f t="shared" si="19"/>
        <v>0</v>
      </c>
      <c r="L216" s="502"/>
      <c r="M216" s="231" t="s">
        <v>242</v>
      </c>
      <c r="N216" s="11" t="s">
        <v>243</v>
      </c>
      <c r="O216" s="341"/>
      <c r="P216" s="339"/>
    </row>
    <row r="217" spans="1:18" s="325" customFormat="1" ht="33" hidden="1">
      <c r="A217" s="333" t="s">
        <v>2155</v>
      </c>
      <c r="B217" s="334" t="s">
        <v>648</v>
      </c>
      <c r="C217" s="335" t="s">
        <v>6</v>
      </c>
      <c r="D217" s="336">
        <v>689</v>
      </c>
      <c r="E217" s="336">
        <f>估驗單!F210</f>
        <v>689</v>
      </c>
      <c r="F217" s="390">
        <f t="shared" si="14"/>
        <v>0</v>
      </c>
      <c r="G217" s="336">
        <v>7496.55</v>
      </c>
      <c r="H217" s="336"/>
      <c r="I217" s="336">
        <f t="shared" si="20"/>
        <v>5165122.95</v>
      </c>
      <c r="J217" s="336">
        <f t="shared" si="21"/>
        <v>5165122.95</v>
      </c>
      <c r="K217" s="546">
        <f t="shared" si="19"/>
        <v>0</v>
      </c>
      <c r="L217" s="502"/>
      <c r="M217" s="231" t="s">
        <v>242</v>
      </c>
      <c r="N217" s="11" t="s">
        <v>243</v>
      </c>
      <c r="O217" s="341"/>
      <c r="P217" s="339"/>
    </row>
    <row r="218" spans="1:18" s="325" customFormat="1" ht="33" hidden="1">
      <c r="A218" s="333" t="s">
        <v>2156</v>
      </c>
      <c r="B218" s="334" t="s">
        <v>650</v>
      </c>
      <c r="C218" s="335" t="s">
        <v>13</v>
      </c>
      <c r="D218" s="336">
        <v>4589</v>
      </c>
      <c r="E218" s="336">
        <f>估驗單!F211</f>
        <v>4589</v>
      </c>
      <c r="F218" s="390">
        <f t="shared" si="14"/>
        <v>0</v>
      </c>
      <c r="G218" s="336">
        <v>11.6</v>
      </c>
      <c r="H218" s="336"/>
      <c r="I218" s="336">
        <f t="shared" si="20"/>
        <v>53232.4</v>
      </c>
      <c r="J218" s="336">
        <f t="shared" si="21"/>
        <v>53232.4</v>
      </c>
      <c r="K218" s="546">
        <f t="shared" si="19"/>
        <v>0</v>
      </c>
      <c r="L218" s="502"/>
      <c r="M218" s="231" t="s">
        <v>242</v>
      </c>
      <c r="N218" s="11" t="s">
        <v>243</v>
      </c>
      <c r="O218" s="341"/>
      <c r="P218" s="339"/>
    </row>
    <row r="219" spans="1:18" s="325" customFormat="1" ht="33" hidden="1">
      <c r="A219" s="333" t="s">
        <v>2157</v>
      </c>
      <c r="B219" s="334" t="s">
        <v>652</v>
      </c>
      <c r="C219" s="335" t="s">
        <v>13</v>
      </c>
      <c r="D219" s="336">
        <v>4589</v>
      </c>
      <c r="E219" s="336">
        <f>估驗單!F212</f>
        <v>4589</v>
      </c>
      <c r="F219" s="390">
        <f t="shared" si="14"/>
        <v>0</v>
      </c>
      <c r="G219" s="336">
        <v>42.46</v>
      </c>
      <c r="H219" s="336"/>
      <c r="I219" s="336">
        <f t="shared" si="20"/>
        <v>194848.94</v>
      </c>
      <c r="J219" s="336">
        <f t="shared" si="21"/>
        <v>194848.94</v>
      </c>
      <c r="K219" s="546">
        <f t="shared" si="19"/>
        <v>0</v>
      </c>
      <c r="L219" s="502"/>
      <c r="M219" s="231" t="s">
        <v>242</v>
      </c>
      <c r="N219" s="11" t="s">
        <v>243</v>
      </c>
      <c r="O219" s="341"/>
      <c r="P219" s="339"/>
    </row>
    <row r="220" spans="1:18" s="325" customFormat="1" ht="33" hidden="1">
      <c r="A220" s="333" t="s">
        <v>2158</v>
      </c>
      <c r="B220" s="334" t="s">
        <v>204</v>
      </c>
      <c r="C220" s="335" t="s">
        <v>13</v>
      </c>
      <c r="D220" s="336">
        <v>13765</v>
      </c>
      <c r="E220" s="336">
        <f>估驗單!F213</f>
        <v>13765</v>
      </c>
      <c r="F220" s="390">
        <f t="shared" si="14"/>
        <v>0</v>
      </c>
      <c r="G220" s="336">
        <v>15.96</v>
      </c>
      <c r="H220" s="336"/>
      <c r="I220" s="336">
        <f t="shared" si="20"/>
        <v>219689.4</v>
      </c>
      <c r="J220" s="336">
        <f t="shared" si="21"/>
        <v>219689.4</v>
      </c>
      <c r="K220" s="546">
        <f t="shared" si="19"/>
        <v>0</v>
      </c>
      <c r="L220" s="502"/>
      <c r="M220" s="231" t="s">
        <v>242</v>
      </c>
      <c r="N220" s="11" t="s">
        <v>243</v>
      </c>
      <c r="O220" s="341"/>
      <c r="P220" s="339"/>
    </row>
    <row r="221" spans="1:18" s="325" customFormat="1" ht="33" hidden="1">
      <c r="A221" s="333" t="s">
        <v>2159</v>
      </c>
      <c r="B221" s="334" t="s">
        <v>315</v>
      </c>
      <c r="C221" s="335" t="s">
        <v>6</v>
      </c>
      <c r="D221" s="336">
        <v>49</v>
      </c>
      <c r="E221" s="336">
        <f>估驗單!F214</f>
        <v>49</v>
      </c>
      <c r="F221" s="390">
        <f t="shared" ref="F221:F284" si="22">E221-D221</f>
        <v>0</v>
      </c>
      <c r="G221" s="336">
        <v>3114.97</v>
      </c>
      <c r="H221" s="336"/>
      <c r="I221" s="336">
        <f t="shared" si="20"/>
        <v>152633.53</v>
      </c>
      <c r="J221" s="336">
        <f t="shared" si="21"/>
        <v>152633.53</v>
      </c>
      <c r="K221" s="546">
        <f t="shared" si="19"/>
        <v>0</v>
      </c>
      <c r="L221" s="453"/>
      <c r="M221" s="231" t="s">
        <v>242</v>
      </c>
      <c r="N221" s="11" t="s">
        <v>243</v>
      </c>
      <c r="O221" s="341"/>
      <c r="P221" s="339"/>
    </row>
    <row r="222" spans="1:18" s="325" customFormat="1" ht="33" hidden="1">
      <c r="A222" s="333" t="s">
        <v>2160</v>
      </c>
      <c r="B222" s="334" t="s">
        <v>24</v>
      </c>
      <c r="C222" s="335" t="s">
        <v>6</v>
      </c>
      <c r="D222" s="336">
        <v>328</v>
      </c>
      <c r="E222" s="336">
        <f>估驗單!F215</f>
        <v>328</v>
      </c>
      <c r="F222" s="390">
        <f t="shared" si="22"/>
        <v>0</v>
      </c>
      <c r="G222" s="336">
        <v>3320.96</v>
      </c>
      <c r="H222" s="336"/>
      <c r="I222" s="336">
        <f t="shared" si="20"/>
        <v>1089274.8799999999</v>
      </c>
      <c r="J222" s="336">
        <f t="shared" si="21"/>
        <v>1089274.8799999999</v>
      </c>
      <c r="K222" s="546">
        <f t="shared" si="19"/>
        <v>0</v>
      </c>
      <c r="L222" s="502"/>
      <c r="M222" s="231" t="s">
        <v>242</v>
      </c>
      <c r="N222" s="11" t="s">
        <v>243</v>
      </c>
      <c r="O222" s="341" t="s">
        <v>2991</v>
      </c>
      <c r="P222" s="433" t="s">
        <v>2993</v>
      </c>
    </row>
    <row r="223" spans="1:18" s="325" customFormat="1" ht="33" hidden="1">
      <c r="A223" s="333" t="s">
        <v>2161</v>
      </c>
      <c r="B223" s="334" t="s">
        <v>595</v>
      </c>
      <c r="C223" s="335" t="s">
        <v>6</v>
      </c>
      <c r="D223" s="336">
        <v>377</v>
      </c>
      <c r="E223" s="336">
        <f>估驗單!F216</f>
        <v>377</v>
      </c>
      <c r="F223" s="390">
        <f t="shared" si="22"/>
        <v>0</v>
      </c>
      <c r="G223" s="336">
        <v>199.99</v>
      </c>
      <c r="H223" s="336"/>
      <c r="I223" s="336">
        <f t="shared" si="20"/>
        <v>75396.23</v>
      </c>
      <c r="J223" s="336">
        <f t="shared" si="21"/>
        <v>75396.23</v>
      </c>
      <c r="K223" s="546">
        <f t="shared" si="19"/>
        <v>0</v>
      </c>
      <c r="L223" s="502"/>
      <c r="M223" s="231" t="s">
        <v>242</v>
      </c>
      <c r="N223" s="11" t="s">
        <v>243</v>
      </c>
      <c r="O223" s="341" t="s">
        <v>2991</v>
      </c>
      <c r="P223" s="433" t="s">
        <v>2993</v>
      </c>
    </row>
    <row r="224" spans="1:18" s="325" customFormat="1" ht="33" hidden="1">
      <c r="A224" s="333" t="s">
        <v>2162</v>
      </c>
      <c r="B224" s="334" t="s">
        <v>626</v>
      </c>
      <c r="C224" s="335" t="s">
        <v>13</v>
      </c>
      <c r="D224" s="336">
        <v>867</v>
      </c>
      <c r="E224" s="336">
        <f>估驗單!F217</f>
        <v>867</v>
      </c>
      <c r="F224" s="390">
        <f t="shared" si="22"/>
        <v>0</v>
      </c>
      <c r="G224" s="336">
        <v>698.28</v>
      </c>
      <c r="H224" s="336"/>
      <c r="I224" s="336">
        <f t="shared" si="20"/>
        <v>605408.76</v>
      </c>
      <c r="J224" s="336">
        <f t="shared" si="21"/>
        <v>605408.76</v>
      </c>
      <c r="K224" s="546">
        <f t="shared" si="19"/>
        <v>0</v>
      </c>
      <c r="L224" s="502"/>
      <c r="M224" s="231"/>
      <c r="N224" s="11" t="s">
        <v>243</v>
      </c>
      <c r="O224" s="341" t="s">
        <v>2991</v>
      </c>
      <c r="P224" s="433" t="s">
        <v>2993</v>
      </c>
    </row>
    <row r="225" spans="1:19" s="325" customFormat="1" ht="33" hidden="1">
      <c r="A225" s="333" t="s">
        <v>2163</v>
      </c>
      <c r="B225" s="334" t="s">
        <v>193</v>
      </c>
      <c r="C225" s="335" t="s">
        <v>13</v>
      </c>
      <c r="D225" s="336">
        <v>1257</v>
      </c>
      <c r="E225" s="336">
        <f>估驗單!F218</f>
        <v>1257</v>
      </c>
      <c r="F225" s="390">
        <f t="shared" si="22"/>
        <v>0</v>
      </c>
      <c r="G225" s="336">
        <v>533.61</v>
      </c>
      <c r="H225" s="336"/>
      <c r="I225" s="336">
        <f t="shared" si="20"/>
        <v>670747.77</v>
      </c>
      <c r="J225" s="336">
        <f t="shared" si="21"/>
        <v>670747.77</v>
      </c>
      <c r="K225" s="546">
        <f t="shared" si="19"/>
        <v>0</v>
      </c>
      <c r="L225" s="453"/>
      <c r="M225" s="231"/>
      <c r="N225" s="11" t="s">
        <v>243</v>
      </c>
      <c r="O225" s="341"/>
      <c r="P225" s="360"/>
    </row>
    <row r="226" spans="1:19" s="325" customFormat="1" ht="33" hidden="1">
      <c r="A226" s="333" t="s">
        <v>2164</v>
      </c>
      <c r="B226" s="334" t="s">
        <v>192</v>
      </c>
      <c r="C226" s="335" t="s">
        <v>17</v>
      </c>
      <c r="D226" s="336">
        <v>12810</v>
      </c>
      <c r="E226" s="336">
        <f>估驗單!F219</f>
        <v>12810</v>
      </c>
      <c r="F226" s="390">
        <f t="shared" si="22"/>
        <v>0</v>
      </c>
      <c r="G226" s="336">
        <v>36.4</v>
      </c>
      <c r="H226" s="336"/>
      <c r="I226" s="336">
        <f t="shared" si="20"/>
        <v>466284</v>
      </c>
      <c r="J226" s="336">
        <f t="shared" si="21"/>
        <v>466284</v>
      </c>
      <c r="K226" s="336">
        <f t="shared" si="19"/>
        <v>0</v>
      </c>
      <c r="L226" s="502"/>
      <c r="M226" s="231"/>
      <c r="N226" s="11" t="s">
        <v>243</v>
      </c>
      <c r="O226" s="341" t="s">
        <v>2991</v>
      </c>
      <c r="P226" s="433" t="s">
        <v>2993</v>
      </c>
    </row>
    <row r="227" spans="1:19" s="325" customFormat="1" ht="33" hidden="1">
      <c r="A227" s="333" t="s">
        <v>2165</v>
      </c>
      <c r="B227" s="334" t="s">
        <v>655</v>
      </c>
      <c r="C227" s="335" t="s">
        <v>15</v>
      </c>
      <c r="D227" s="336">
        <v>158</v>
      </c>
      <c r="E227" s="336">
        <f>估驗單!F220</f>
        <v>158</v>
      </c>
      <c r="F227" s="390">
        <f t="shared" si="22"/>
        <v>0</v>
      </c>
      <c r="G227" s="336">
        <v>3615.1</v>
      </c>
      <c r="H227" s="336"/>
      <c r="I227" s="336">
        <f t="shared" si="20"/>
        <v>571185.80000000005</v>
      </c>
      <c r="J227" s="336">
        <f t="shared" si="21"/>
        <v>571185.80000000005</v>
      </c>
      <c r="K227" s="546">
        <f t="shared" si="19"/>
        <v>0</v>
      </c>
      <c r="L227" s="502"/>
      <c r="M227" s="231"/>
      <c r="N227" s="11" t="s">
        <v>243</v>
      </c>
      <c r="O227" s="341"/>
      <c r="P227" s="339"/>
    </row>
    <row r="228" spans="1:19" s="325" customFormat="1" ht="33" hidden="1">
      <c r="A228" s="333" t="s">
        <v>2166</v>
      </c>
      <c r="B228" s="334" t="s">
        <v>657</v>
      </c>
      <c r="C228" s="335" t="s">
        <v>17</v>
      </c>
      <c r="D228" s="336">
        <v>3713</v>
      </c>
      <c r="E228" s="336">
        <f>估驗單!F221</f>
        <v>3713</v>
      </c>
      <c r="F228" s="390">
        <f t="shared" si="22"/>
        <v>0</v>
      </c>
      <c r="G228" s="336">
        <v>107.44</v>
      </c>
      <c r="H228" s="336"/>
      <c r="I228" s="336">
        <f t="shared" si="20"/>
        <v>398924.72</v>
      </c>
      <c r="J228" s="336">
        <f t="shared" si="21"/>
        <v>398924.72</v>
      </c>
      <c r="K228" s="546">
        <f t="shared" si="19"/>
        <v>0</v>
      </c>
      <c r="L228" s="502"/>
      <c r="M228" s="231"/>
      <c r="N228" s="11" t="s">
        <v>243</v>
      </c>
      <c r="O228" s="341"/>
      <c r="P228" s="339"/>
    </row>
    <row r="229" spans="1:19" s="325" customFormat="1" ht="33" hidden="1">
      <c r="A229" s="333" t="s">
        <v>2167</v>
      </c>
      <c r="B229" s="334" t="s">
        <v>357</v>
      </c>
      <c r="C229" s="335" t="s">
        <v>8</v>
      </c>
      <c r="D229" s="336">
        <v>155</v>
      </c>
      <c r="E229" s="336">
        <f>估驗單!F222</f>
        <v>155</v>
      </c>
      <c r="F229" s="390">
        <f t="shared" si="22"/>
        <v>0</v>
      </c>
      <c r="G229" s="336">
        <v>138.84</v>
      </c>
      <c r="H229" s="336"/>
      <c r="I229" s="336">
        <f t="shared" si="20"/>
        <v>21520.2</v>
      </c>
      <c r="J229" s="336">
        <f t="shared" si="21"/>
        <v>21520.2</v>
      </c>
      <c r="K229" s="546">
        <f t="shared" si="19"/>
        <v>0</v>
      </c>
      <c r="L229" s="502"/>
      <c r="M229" s="231" t="s">
        <v>242</v>
      </c>
      <c r="N229" s="11" t="s">
        <v>243</v>
      </c>
      <c r="O229" s="341"/>
      <c r="P229" s="339"/>
    </row>
    <row r="230" spans="1:19" s="356" customFormat="1" ht="28.5" hidden="1">
      <c r="A230" s="343">
        <v>15</v>
      </c>
      <c r="B230" s="344" t="s">
        <v>1497</v>
      </c>
      <c r="C230" s="345" t="s">
        <v>223</v>
      </c>
      <c r="D230" s="340">
        <v>1376.7</v>
      </c>
      <c r="E230" s="336">
        <f>估驗單!F223</f>
        <v>1376.7</v>
      </c>
      <c r="F230" s="390">
        <f t="shared" si="22"/>
        <v>0</v>
      </c>
      <c r="G230" s="340">
        <v>1288.28</v>
      </c>
      <c r="H230" s="340"/>
      <c r="I230" s="336">
        <f t="shared" si="20"/>
        <v>1773575.08</v>
      </c>
      <c r="J230" s="336">
        <f t="shared" si="21"/>
        <v>1773575.08</v>
      </c>
      <c r="K230" s="546">
        <f t="shared" si="19"/>
        <v>0</v>
      </c>
      <c r="L230" s="502"/>
      <c r="M230" s="346"/>
      <c r="N230" s="347"/>
      <c r="O230" s="355"/>
      <c r="P230" s="349"/>
      <c r="Q230" s="325"/>
    </row>
    <row r="231" spans="1:19" s="356" customFormat="1" ht="31.5" hidden="1">
      <c r="A231" s="343">
        <v>16</v>
      </c>
      <c r="B231" s="344" t="s">
        <v>2391</v>
      </c>
      <c r="C231" s="345" t="s">
        <v>2386</v>
      </c>
      <c r="D231" s="419">
        <v>512.1</v>
      </c>
      <c r="E231" s="336">
        <f>估驗單!F224</f>
        <v>512.1</v>
      </c>
      <c r="F231" s="390">
        <f t="shared" si="22"/>
        <v>0</v>
      </c>
      <c r="G231" s="340">
        <v>868.84</v>
      </c>
      <c r="H231" s="340"/>
      <c r="I231" s="336">
        <f t="shared" si="20"/>
        <v>444932.96</v>
      </c>
      <c r="J231" s="336">
        <f t="shared" si="21"/>
        <v>444932.96</v>
      </c>
      <c r="K231" s="546">
        <f t="shared" si="19"/>
        <v>0</v>
      </c>
      <c r="L231" s="453"/>
      <c r="M231" s="346"/>
      <c r="N231" s="347"/>
      <c r="O231" s="355"/>
      <c r="P231" s="360"/>
      <c r="Q231" s="362"/>
      <c r="S231" s="371" t="s">
        <v>2395</v>
      </c>
    </row>
    <row r="232" spans="1:19" s="325" customFormat="1" ht="33">
      <c r="A232" s="406" t="s">
        <v>2246</v>
      </c>
      <c r="B232" s="407" t="s">
        <v>660</v>
      </c>
      <c r="C232" s="408" t="s">
        <v>4</v>
      </c>
      <c r="D232" s="409"/>
      <c r="E232" s="409"/>
      <c r="F232" s="410">
        <f t="shared" si="22"/>
        <v>0</v>
      </c>
      <c r="G232" s="409">
        <v>901865.78</v>
      </c>
      <c r="H232" s="409"/>
      <c r="I232" s="411">
        <f>SUM(I233:I309)</f>
        <v>5797339.8100000005</v>
      </c>
      <c r="J232" s="411">
        <f>SUM(J233:J309)</f>
        <v>5864027.4800000004</v>
      </c>
      <c r="K232" s="541">
        <f>SUM(K233:K309)</f>
        <v>66687.67</v>
      </c>
      <c r="L232" s="452">
        <f>SUM(L233:L309)</f>
        <v>0</v>
      </c>
      <c r="M232" s="288" t="s">
        <v>242</v>
      </c>
      <c r="N232" s="11" t="s">
        <v>243</v>
      </c>
      <c r="O232" s="338"/>
      <c r="P232" s="339"/>
      <c r="R232" s="325">
        <v>1</v>
      </c>
      <c r="S232" s="325">
        <f>(26.4+21.4+6.8+29.6+4.8+58.5)+(52.7+6.8+48.3+5+21.2+10.7+23.9+49.8+2.3+1.4)+(43.6+11.2+9.1+20.6+77.7+67.4+13.8+49.3+17.5+24.2+1.8)+(10.9+43+11.1+9.4+10+42+1.2+20.1)</f>
        <v>853.5</v>
      </c>
    </row>
    <row r="233" spans="1:19" s="325" customFormat="1" ht="33" hidden="1">
      <c r="A233" s="333" t="s">
        <v>2154</v>
      </c>
      <c r="B233" s="334" t="s">
        <v>662</v>
      </c>
      <c r="C233" s="335" t="s">
        <v>223</v>
      </c>
      <c r="D233" s="336">
        <v>1</v>
      </c>
      <c r="E233" s="336">
        <f>估驗單!F226</f>
        <v>1</v>
      </c>
      <c r="F233" s="390">
        <f t="shared" si="22"/>
        <v>0</v>
      </c>
      <c r="G233" s="336">
        <v>704.48</v>
      </c>
      <c r="H233" s="336"/>
      <c r="I233" s="336">
        <f t="shared" ref="I233:I296" si="23">ROUND(D233*G233,2)</f>
        <v>704.48</v>
      </c>
      <c r="J233" s="336">
        <f t="shared" ref="J233:J296" si="24">ROUND(E233*G233,2)</f>
        <v>704.48</v>
      </c>
      <c r="K233" s="546">
        <f t="shared" si="19"/>
        <v>0</v>
      </c>
      <c r="L233" s="502"/>
      <c r="M233" s="231"/>
      <c r="N233" s="11" t="s">
        <v>243</v>
      </c>
      <c r="O233" s="341"/>
      <c r="P233" s="339"/>
    </row>
    <row r="234" spans="1:19" s="325" customFormat="1" ht="33" hidden="1">
      <c r="A234" s="333" t="s">
        <v>2155</v>
      </c>
      <c r="B234" s="334" t="s">
        <v>665</v>
      </c>
      <c r="C234" s="335" t="s">
        <v>5</v>
      </c>
      <c r="D234" s="336">
        <v>1</v>
      </c>
      <c r="E234" s="336">
        <f>估驗單!F227</f>
        <v>1</v>
      </c>
      <c r="F234" s="390">
        <f t="shared" si="22"/>
        <v>0</v>
      </c>
      <c r="G234" s="336">
        <v>399.98</v>
      </c>
      <c r="H234" s="336"/>
      <c r="I234" s="336">
        <f t="shared" si="23"/>
        <v>399.98</v>
      </c>
      <c r="J234" s="336">
        <f t="shared" si="24"/>
        <v>399.98</v>
      </c>
      <c r="K234" s="546">
        <f t="shared" si="19"/>
        <v>0</v>
      </c>
      <c r="L234" s="502"/>
      <c r="M234" s="231"/>
      <c r="N234" s="11" t="s">
        <v>243</v>
      </c>
      <c r="O234" s="341"/>
      <c r="P234" s="339"/>
    </row>
    <row r="235" spans="1:19" s="325" customFormat="1" ht="33">
      <c r="A235" s="503" t="s">
        <v>2156</v>
      </c>
      <c r="B235" s="504" t="s">
        <v>668</v>
      </c>
      <c r="C235" s="505" t="s">
        <v>669</v>
      </c>
      <c r="D235" s="506">
        <v>14</v>
      </c>
      <c r="E235" s="506">
        <f>估驗單!F228</f>
        <v>15</v>
      </c>
      <c r="F235" s="507">
        <f t="shared" si="22"/>
        <v>1</v>
      </c>
      <c r="G235" s="506">
        <v>3569.75</v>
      </c>
      <c r="H235" s="506"/>
      <c r="I235" s="506">
        <f t="shared" si="23"/>
        <v>49976.5</v>
      </c>
      <c r="J235" s="506">
        <f t="shared" si="24"/>
        <v>53546.25</v>
      </c>
      <c r="K235" s="547">
        <f t="shared" si="19"/>
        <v>3569.75</v>
      </c>
      <c r="L235" s="510"/>
      <c r="M235" s="508"/>
      <c r="N235" s="11" t="s">
        <v>243</v>
      </c>
      <c r="O235" s="341" t="s">
        <v>3062</v>
      </c>
      <c r="P235" s="339"/>
      <c r="Q235" s="771" t="s">
        <v>3063</v>
      </c>
      <c r="R235" s="325">
        <v>1</v>
      </c>
    </row>
    <row r="236" spans="1:19" s="325" customFormat="1" ht="33" hidden="1">
      <c r="A236" s="333" t="s">
        <v>2157</v>
      </c>
      <c r="B236" s="334" t="s">
        <v>672</v>
      </c>
      <c r="C236" s="335" t="s">
        <v>669</v>
      </c>
      <c r="D236" s="336">
        <v>2</v>
      </c>
      <c r="E236" s="336">
        <f>估驗單!F229</f>
        <v>2</v>
      </c>
      <c r="F236" s="390">
        <f t="shared" si="22"/>
        <v>0</v>
      </c>
      <c r="G236" s="336">
        <v>4082.87</v>
      </c>
      <c r="H236" s="336"/>
      <c r="I236" s="336">
        <f t="shared" si="23"/>
        <v>8165.74</v>
      </c>
      <c r="J236" s="336">
        <f t="shared" si="24"/>
        <v>8165.74</v>
      </c>
      <c r="K236" s="546">
        <f t="shared" si="19"/>
        <v>0</v>
      </c>
      <c r="L236" s="502"/>
      <c r="M236" s="231"/>
      <c r="N236" s="11" t="s">
        <v>243</v>
      </c>
      <c r="O236" s="341"/>
      <c r="P236" s="339"/>
    </row>
    <row r="237" spans="1:19" s="325" customFormat="1" ht="33">
      <c r="A237" s="503" t="s">
        <v>2158</v>
      </c>
      <c r="B237" s="504" t="s">
        <v>675</v>
      </c>
      <c r="C237" s="505" t="s">
        <v>669</v>
      </c>
      <c r="D237" s="506">
        <v>6</v>
      </c>
      <c r="E237" s="506">
        <f>估驗單!F230</f>
        <v>9</v>
      </c>
      <c r="F237" s="507">
        <f t="shared" si="22"/>
        <v>3</v>
      </c>
      <c r="G237" s="506">
        <v>7408.14</v>
      </c>
      <c r="H237" s="506"/>
      <c r="I237" s="506">
        <f t="shared" si="23"/>
        <v>44448.84</v>
      </c>
      <c r="J237" s="506">
        <f t="shared" si="24"/>
        <v>66673.259999999995</v>
      </c>
      <c r="K237" s="547">
        <f t="shared" si="19"/>
        <v>22224.42</v>
      </c>
      <c r="L237" s="510"/>
      <c r="M237" s="508"/>
      <c r="N237" s="11" t="s">
        <v>243</v>
      </c>
      <c r="O237" s="341" t="s">
        <v>3062</v>
      </c>
      <c r="P237" s="339"/>
      <c r="Q237" s="771" t="s">
        <v>3063</v>
      </c>
      <c r="R237" s="325">
        <v>1</v>
      </c>
    </row>
    <row r="238" spans="1:19" s="325" customFormat="1" ht="33" hidden="1">
      <c r="A238" s="333" t="s">
        <v>2159</v>
      </c>
      <c r="B238" s="334" t="s">
        <v>678</v>
      </c>
      <c r="C238" s="335" t="s">
        <v>669</v>
      </c>
      <c r="D238" s="336">
        <v>8</v>
      </c>
      <c r="E238" s="336">
        <f>估驗單!F231</f>
        <v>8</v>
      </c>
      <c r="F238" s="390">
        <f t="shared" si="22"/>
        <v>0</v>
      </c>
      <c r="G238" s="336">
        <v>10318.74</v>
      </c>
      <c r="H238" s="336"/>
      <c r="I238" s="336">
        <f t="shared" si="23"/>
        <v>82549.919999999998</v>
      </c>
      <c r="J238" s="336">
        <f t="shared" si="24"/>
        <v>82549.919999999998</v>
      </c>
      <c r="K238" s="546">
        <f t="shared" si="19"/>
        <v>0</v>
      </c>
      <c r="L238" s="502"/>
      <c r="M238" s="231"/>
      <c r="N238" s="11" t="s">
        <v>243</v>
      </c>
      <c r="O238" s="341"/>
      <c r="P238" s="339"/>
    </row>
    <row r="239" spans="1:19" s="325" customFormat="1" ht="33" hidden="1">
      <c r="A239" s="333" t="s">
        <v>2160</v>
      </c>
      <c r="B239" s="334" t="s">
        <v>681</v>
      </c>
      <c r="C239" s="335" t="s">
        <v>669</v>
      </c>
      <c r="D239" s="336">
        <v>5</v>
      </c>
      <c r="E239" s="336">
        <f>估驗單!F232</f>
        <v>5</v>
      </c>
      <c r="F239" s="390">
        <f t="shared" si="22"/>
        <v>0</v>
      </c>
      <c r="G239" s="336">
        <v>15163.34</v>
      </c>
      <c r="H239" s="336"/>
      <c r="I239" s="336">
        <f t="shared" si="23"/>
        <v>75816.7</v>
      </c>
      <c r="J239" s="336">
        <f t="shared" si="24"/>
        <v>75816.7</v>
      </c>
      <c r="K239" s="546">
        <f t="shared" si="19"/>
        <v>0</v>
      </c>
      <c r="L239" s="502"/>
      <c r="M239" s="231"/>
      <c r="N239" s="11" t="s">
        <v>243</v>
      </c>
      <c r="O239" s="341"/>
      <c r="P239" s="339"/>
    </row>
    <row r="240" spans="1:19" s="325" customFormat="1" ht="33" hidden="1">
      <c r="A240" s="333" t="s">
        <v>2161</v>
      </c>
      <c r="B240" s="334" t="s">
        <v>684</v>
      </c>
      <c r="C240" s="335" t="s">
        <v>669</v>
      </c>
      <c r="D240" s="336">
        <v>3</v>
      </c>
      <c r="E240" s="336">
        <f>估驗單!F233</f>
        <v>3</v>
      </c>
      <c r="F240" s="390">
        <f t="shared" si="22"/>
        <v>0</v>
      </c>
      <c r="G240" s="336">
        <v>21801.91</v>
      </c>
      <c r="H240" s="336"/>
      <c r="I240" s="336">
        <f t="shared" si="23"/>
        <v>65405.73</v>
      </c>
      <c r="J240" s="336">
        <f t="shared" si="24"/>
        <v>65405.73</v>
      </c>
      <c r="K240" s="546">
        <f t="shared" si="19"/>
        <v>0</v>
      </c>
      <c r="L240" s="502"/>
      <c r="M240" s="231"/>
      <c r="N240" s="11" t="s">
        <v>243</v>
      </c>
      <c r="O240" s="341"/>
      <c r="P240" s="339"/>
    </row>
    <row r="241" spans="1:18" s="325" customFormat="1" ht="33" hidden="1">
      <c r="A241" s="333" t="s">
        <v>2162</v>
      </c>
      <c r="B241" s="334" t="s">
        <v>687</v>
      </c>
      <c r="C241" s="335" t="s">
        <v>669</v>
      </c>
      <c r="D241" s="336">
        <v>2</v>
      </c>
      <c r="E241" s="336">
        <f>估驗單!F234</f>
        <v>2</v>
      </c>
      <c r="F241" s="390">
        <f t="shared" si="22"/>
        <v>0</v>
      </c>
      <c r="G241" s="336">
        <v>29983.23</v>
      </c>
      <c r="H241" s="336"/>
      <c r="I241" s="336">
        <f t="shared" si="23"/>
        <v>59966.46</v>
      </c>
      <c r="J241" s="336">
        <f t="shared" si="24"/>
        <v>59966.46</v>
      </c>
      <c r="K241" s="546">
        <f t="shared" si="19"/>
        <v>0</v>
      </c>
      <c r="L241" s="502"/>
      <c r="M241" s="231" t="s">
        <v>242</v>
      </c>
      <c r="N241" s="11" t="s">
        <v>243</v>
      </c>
      <c r="O241" s="341"/>
      <c r="P241" s="339"/>
    </row>
    <row r="242" spans="1:18" s="325" customFormat="1" ht="33" hidden="1">
      <c r="A242" s="333" t="s">
        <v>2163</v>
      </c>
      <c r="B242" s="334" t="s">
        <v>690</v>
      </c>
      <c r="C242" s="335" t="s">
        <v>669</v>
      </c>
      <c r="D242" s="336">
        <v>1</v>
      </c>
      <c r="E242" s="336">
        <f>估驗單!F235</f>
        <v>1</v>
      </c>
      <c r="F242" s="390">
        <f t="shared" si="22"/>
        <v>0</v>
      </c>
      <c r="G242" s="336">
        <v>28372.400000000001</v>
      </c>
      <c r="H242" s="336"/>
      <c r="I242" s="336">
        <f t="shared" si="23"/>
        <v>28372.400000000001</v>
      </c>
      <c r="J242" s="336">
        <f t="shared" si="24"/>
        <v>28372.400000000001</v>
      </c>
      <c r="K242" s="546">
        <f t="shared" si="19"/>
        <v>0</v>
      </c>
      <c r="L242" s="502"/>
      <c r="M242" s="231" t="s">
        <v>242</v>
      </c>
      <c r="N242" s="11" t="s">
        <v>243</v>
      </c>
      <c r="O242" s="341"/>
      <c r="P242" s="339"/>
    </row>
    <row r="243" spans="1:18" s="325" customFormat="1" ht="33" hidden="1">
      <c r="A243" s="333" t="s">
        <v>2164</v>
      </c>
      <c r="B243" s="334" t="s">
        <v>693</v>
      </c>
      <c r="C243" s="335" t="s">
        <v>669</v>
      </c>
      <c r="D243" s="336">
        <v>1</v>
      </c>
      <c r="E243" s="336">
        <f>估驗單!F236</f>
        <v>1</v>
      </c>
      <c r="F243" s="390">
        <f t="shared" si="22"/>
        <v>0</v>
      </c>
      <c r="G243" s="336">
        <v>73084.87</v>
      </c>
      <c r="H243" s="336"/>
      <c r="I243" s="336">
        <f t="shared" si="23"/>
        <v>73084.87</v>
      </c>
      <c r="J243" s="336">
        <f t="shared" si="24"/>
        <v>73084.87</v>
      </c>
      <c r="K243" s="546">
        <f t="shared" si="19"/>
        <v>0</v>
      </c>
      <c r="L243" s="502"/>
      <c r="M243" s="231" t="s">
        <v>242</v>
      </c>
      <c r="N243" s="11" t="s">
        <v>243</v>
      </c>
      <c r="O243" s="341"/>
      <c r="P243" s="339"/>
    </row>
    <row r="244" spans="1:18" s="325" customFormat="1" ht="33" hidden="1">
      <c r="A244" s="333" t="s">
        <v>2165</v>
      </c>
      <c r="B244" s="334" t="s">
        <v>696</v>
      </c>
      <c r="C244" s="335" t="s">
        <v>669</v>
      </c>
      <c r="D244" s="336">
        <v>4</v>
      </c>
      <c r="E244" s="336">
        <f>估驗單!F237</f>
        <v>4</v>
      </c>
      <c r="F244" s="390">
        <f t="shared" si="22"/>
        <v>0</v>
      </c>
      <c r="G244" s="336">
        <v>22813.26</v>
      </c>
      <c r="H244" s="336"/>
      <c r="I244" s="336">
        <f t="shared" si="23"/>
        <v>91253.04</v>
      </c>
      <c r="J244" s="336">
        <f t="shared" si="24"/>
        <v>91253.04</v>
      </c>
      <c r="K244" s="546">
        <f t="shared" si="19"/>
        <v>0</v>
      </c>
      <c r="L244" s="502"/>
      <c r="M244" s="231"/>
      <c r="N244" s="11" t="s">
        <v>243</v>
      </c>
      <c r="O244" s="341"/>
      <c r="P244" s="339"/>
    </row>
    <row r="245" spans="1:18" s="325" customFormat="1" ht="33.75">
      <c r="A245" s="503" t="s">
        <v>2166</v>
      </c>
      <c r="B245" s="504" t="s">
        <v>699</v>
      </c>
      <c r="C245" s="505" t="s">
        <v>669</v>
      </c>
      <c r="D245" s="506">
        <v>1</v>
      </c>
      <c r="E245" s="506">
        <f>估驗單!F238</f>
        <v>2</v>
      </c>
      <c r="F245" s="507">
        <f t="shared" si="22"/>
        <v>1</v>
      </c>
      <c r="G245" s="506">
        <v>1079.8499999999999</v>
      </c>
      <c r="H245" s="506"/>
      <c r="I245" s="506">
        <f t="shared" si="23"/>
        <v>1079.8499999999999</v>
      </c>
      <c r="J245" s="506">
        <f t="shared" si="24"/>
        <v>2159.6999999999998</v>
      </c>
      <c r="K245" s="547">
        <f t="shared" si="19"/>
        <v>1079.8499999999999</v>
      </c>
      <c r="L245" s="510"/>
      <c r="M245" s="508"/>
      <c r="N245" s="11" t="s">
        <v>243</v>
      </c>
      <c r="O245" s="341" t="s">
        <v>3045</v>
      </c>
      <c r="P245" s="339"/>
      <c r="Q245" s="325" t="s">
        <v>3046</v>
      </c>
      <c r="R245" s="325">
        <v>1</v>
      </c>
    </row>
    <row r="246" spans="1:18" s="325" customFormat="1" ht="33.75">
      <c r="A246" s="503" t="s">
        <v>2167</v>
      </c>
      <c r="B246" s="504" t="s">
        <v>702</v>
      </c>
      <c r="C246" s="505" t="s">
        <v>669</v>
      </c>
      <c r="D246" s="506">
        <v>1</v>
      </c>
      <c r="E246" s="506">
        <f>估驗單!F239</f>
        <v>7</v>
      </c>
      <c r="F246" s="507">
        <f t="shared" si="22"/>
        <v>6</v>
      </c>
      <c r="G246" s="506">
        <v>1963.19</v>
      </c>
      <c r="H246" s="506"/>
      <c r="I246" s="506">
        <f t="shared" si="23"/>
        <v>1963.19</v>
      </c>
      <c r="J246" s="506">
        <f t="shared" si="24"/>
        <v>13742.33</v>
      </c>
      <c r="K246" s="547">
        <f t="shared" si="19"/>
        <v>11779.14</v>
      </c>
      <c r="L246" s="510"/>
      <c r="M246" s="508"/>
      <c r="N246" s="11" t="s">
        <v>243</v>
      </c>
      <c r="O246" s="341" t="s">
        <v>2895</v>
      </c>
      <c r="P246" s="339"/>
      <c r="Q246" s="325" t="s">
        <v>3046</v>
      </c>
      <c r="R246" s="325">
        <v>1</v>
      </c>
    </row>
    <row r="247" spans="1:18" s="325" customFormat="1" ht="33.75">
      <c r="A247" s="503" t="s">
        <v>2168</v>
      </c>
      <c r="B247" s="504" t="s">
        <v>705</v>
      </c>
      <c r="C247" s="505" t="s">
        <v>669</v>
      </c>
      <c r="D247" s="506">
        <v>1</v>
      </c>
      <c r="E247" s="506">
        <f>估驗單!F240</f>
        <v>3</v>
      </c>
      <c r="F247" s="507">
        <f t="shared" si="22"/>
        <v>2</v>
      </c>
      <c r="G247" s="506">
        <v>2216.48</v>
      </c>
      <c r="H247" s="506"/>
      <c r="I247" s="506">
        <f t="shared" si="23"/>
        <v>2216.48</v>
      </c>
      <c r="J247" s="506">
        <f t="shared" si="24"/>
        <v>6649.44</v>
      </c>
      <c r="K247" s="547">
        <f t="shared" si="19"/>
        <v>4432.9599999999991</v>
      </c>
      <c r="L247" s="510"/>
      <c r="M247" s="508" t="s">
        <v>242</v>
      </c>
      <c r="N247" s="11" t="s">
        <v>243</v>
      </c>
      <c r="O247" s="341" t="s">
        <v>2895</v>
      </c>
      <c r="P247" s="339"/>
      <c r="Q247" s="325" t="s">
        <v>3046</v>
      </c>
      <c r="R247" s="325">
        <v>1</v>
      </c>
    </row>
    <row r="248" spans="1:18" s="325" customFormat="1" ht="33.75">
      <c r="A248" s="503" t="s">
        <v>2169</v>
      </c>
      <c r="B248" s="504" t="s">
        <v>708</v>
      </c>
      <c r="C248" s="505" t="s">
        <v>669</v>
      </c>
      <c r="D248" s="506">
        <v>1</v>
      </c>
      <c r="E248" s="506">
        <f>估驗單!F241</f>
        <v>6</v>
      </c>
      <c r="F248" s="507">
        <f t="shared" si="22"/>
        <v>5</v>
      </c>
      <c r="G248" s="506">
        <v>4720.3100000000004</v>
      </c>
      <c r="H248" s="506"/>
      <c r="I248" s="506">
        <f t="shared" si="23"/>
        <v>4720.3100000000004</v>
      </c>
      <c r="J248" s="506">
        <f t="shared" si="24"/>
        <v>28321.86</v>
      </c>
      <c r="K248" s="547">
        <f t="shared" si="19"/>
        <v>23601.55</v>
      </c>
      <c r="L248" s="510"/>
      <c r="M248" s="508" t="s">
        <v>242</v>
      </c>
      <c r="N248" s="11" t="s">
        <v>243</v>
      </c>
      <c r="O248" s="341" t="s">
        <v>2895</v>
      </c>
      <c r="P248" s="339"/>
      <c r="Q248" s="325" t="s">
        <v>3046</v>
      </c>
      <c r="R248" s="325">
        <v>1</v>
      </c>
    </row>
    <row r="249" spans="1:18" s="325" customFormat="1" ht="33" hidden="1">
      <c r="A249" s="333" t="s">
        <v>2170</v>
      </c>
      <c r="B249" s="334" t="s">
        <v>147</v>
      </c>
      <c r="C249" s="335" t="s">
        <v>8</v>
      </c>
      <c r="D249" s="336">
        <v>162</v>
      </c>
      <c r="E249" s="336">
        <f>估驗單!F242</f>
        <v>162</v>
      </c>
      <c r="F249" s="390">
        <f t="shared" si="22"/>
        <v>0</v>
      </c>
      <c r="G249" s="336">
        <v>1859.79</v>
      </c>
      <c r="H249" s="336"/>
      <c r="I249" s="336">
        <f t="shared" si="23"/>
        <v>301285.98</v>
      </c>
      <c r="J249" s="336">
        <f t="shared" si="24"/>
        <v>301285.98</v>
      </c>
      <c r="K249" s="546">
        <f t="shared" si="19"/>
        <v>0</v>
      </c>
      <c r="L249" s="502"/>
      <c r="M249" s="231"/>
      <c r="N249" s="11" t="s">
        <v>243</v>
      </c>
      <c r="O249" s="341"/>
      <c r="P249" s="339"/>
    </row>
    <row r="250" spans="1:18" s="325" customFormat="1" ht="33" hidden="1">
      <c r="A250" s="333" t="s">
        <v>2171</v>
      </c>
      <c r="B250" s="334" t="s">
        <v>713</v>
      </c>
      <c r="C250" s="335" t="s">
        <v>15</v>
      </c>
      <c r="D250" s="336">
        <v>1</v>
      </c>
      <c r="E250" s="336">
        <f>估驗單!F243</f>
        <v>1</v>
      </c>
      <c r="F250" s="390">
        <f t="shared" si="22"/>
        <v>0</v>
      </c>
      <c r="G250" s="336">
        <v>10254.44</v>
      </c>
      <c r="H250" s="336"/>
      <c r="I250" s="336">
        <f t="shared" si="23"/>
        <v>10254.44</v>
      </c>
      <c r="J250" s="336">
        <f t="shared" si="24"/>
        <v>10254.44</v>
      </c>
      <c r="K250" s="546">
        <f t="shared" si="19"/>
        <v>0</v>
      </c>
      <c r="L250" s="502"/>
      <c r="M250" s="231"/>
      <c r="N250" s="11" t="s">
        <v>243</v>
      </c>
      <c r="O250" s="341"/>
      <c r="P250" s="339"/>
    </row>
    <row r="251" spans="1:18" s="325" customFormat="1" ht="33" hidden="1">
      <c r="A251" s="333" t="s">
        <v>2172</v>
      </c>
      <c r="B251" s="334" t="s">
        <v>716</v>
      </c>
      <c r="C251" s="335" t="s">
        <v>15</v>
      </c>
      <c r="D251" s="336">
        <v>268</v>
      </c>
      <c r="E251" s="336">
        <f>估驗單!F244</f>
        <v>268</v>
      </c>
      <c r="F251" s="390">
        <f t="shared" si="22"/>
        <v>0</v>
      </c>
      <c r="G251" s="336">
        <v>40</v>
      </c>
      <c r="H251" s="336"/>
      <c r="I251" s="336">
        <f t="shared" si="23"/>
        <v>10720</v>
      </c>
      <c r="J251" s="336">
        <f t="shared" si="24"/>
        <v>10720</v>
      </c>
      <c r="K251" s="546">
        <f t="shared" si="19"/>
        <v>0</v>
      </c>
      <c r="L251" s="502"/>
      <c r="M251" s="231"/>
      <c r="N251" s="11" t="s">
        <v>243</v>
      </c>
      <c r="O251" s="341"/>
      <c r="P251" s="339"/>
    </row>
    <row r="252" spans="1:18" s="325" customFormat="1" ht="33" hidden="1">
      <c r="A252" s="333" t="s">
        <v>2173</v>
      </c>
      <c r="B252" s="334" t="s">
        <v>719</v>
      </c>
      <c r="C252" s="335" t="s">
        <v>7</v>
      </c>
      <c r="D252" s="336">
        <v>1340</v>
      </c>
      <c r="E252" s="336">
        <f>估驗單!F245</f>
        <v>1340</v>
      </c>
      <c r="F252" s="390">
        <f t="shared" si="22"/>
        <v>0</v>
      </c>
      <c r="G252" s="336">
        <v>35</v>
      </c>
      <c r="H252" s="336"/>
      <c r="I252" s="336">
        <f t="shared" si="23"/>
        <v>46900</v>
      </c>
      <c r="J252" s="336">
        <f t="shared" si="24"/>
        <v>46900</v>
      </c>
      <c r="K252" s="546">
        <f t="shared" si="19"/>
        <v>0</v>
      </c>
      <c r="L252" s="502"/>
      <c r="M252" s="231"/>
      <c r="N252" s="11" t="s">
        <v>243</v>
      </c>
      <c r="O252" s="341"/>
      <c r="P252" s="339"/>
    </row>
    <row r="253" spans="1:18" s="325" customFormat="1" ht="33" hidden="1">
      <c r="A253" s="333" t="s">
        <v>2174</v>
      </c>
      <c r="B253" s="334" t="s">
        <v>722</v>
      </c>
      <c r="C253" s="335" t="s">
        <v>8</v>
      </c>
      <c r="D253" s="336">
        <v>1</v>
      </c>
      <c r="E253" s="336">
        <f>估驗單!F246</f>
        <v>1</v>
      </c>
      <c r="F253" s="390">
        <f t="shared" si="22"/>
        <v>0</v>
      </c>
      <c r="G253" s="336">
        <v>10</v>
      </c>
      <c r="H253" s="336"/>
      <c r="I253" s="336">
        <f t="shared" si="23"/>
        <v>10</v>
      </c>
      <c r="J253" s="336">
        <f t="shared" si="24"/>
        <v>10</v>
      </c>
      <c r="K253" s="546">
        <f t="shared" si="19"/>
        <v>0</v>
      </c>
      <c r="L253" s="502"/>
      <c r="M253" s="231"/>
      <c r="N253" s="11" t="s">
        <v>243</v>
      </c>
      <c r="O253" s="341"/>
      <c r="P253" s="339"/>
    </row>
    <row r="254" spans="1:18" s="325" customFormat="1" ht="33" hidden="1">
      <c r="A254" s="333" t="s">
        <v>2175</v>
      </c>
      <c r="B254" s="334" t="s">
        <v>725</v>
      </c>
      <c r="C254" s="335" t="s">
        <v>13</v>
      </c>
      <c r="D254" s="336">
        <v>1</v>
      </c>
      <c r="E254" s="336">
        <f>估驗單!F247</f>
        <v>1</v>
      </c>
      <c r="F254" s="390">
        <f t="shared" si="22"/>
        <v>0</v>
      </c>
      <c r="G254" s="336">
        <v>530.97</v>
      </c>
      <c r="H254" s="336"/>
      <c r="I254" s="336">
        <f t="shared" si="23"/>
        <v>530.97</v>
      </c>
      <c r="J254" s="336">
        <f t="shared" si="24"/>
        <v>530.97</v>
      </c>
      <c r="K254" s="546">
        <f t="shared" si="19"/>
        <v>0</v>
      </c>
      <c r="L254" s="502"/>
      <c r="M254" s="231"/>
      <c r="N254" s="11" t="s">
        <v>243</v>
      </c>
      <c r="O254" s="341"/>
      <c r="P254" s="339"/>
    </row>
    <row r="255" spans="1:18" s="325" customFormat="1" ht="33" hidden="1">
      <c r="A255" s="333" t="s">
        <v>2177</v>
      </c>
      <c r="B255" s="334" t="s">
        <v>728</v>
      </c>
      <c r="C255" s="335" t="s">
        <v>6</v>
      </c>
      <c r="D255" s="336">
        <v>11.31</v>
      </c>
      <c r="E255" s="336">
        <f>估驗單!F248</f>
        <v>11.31</v>
      </c>
      <c r="F255" s="390">
        <f t="shared" si="22"/>
        <v>0</v>
      </c>
      <c r="G255" s="336">
        <v>3386.34</v>
      </c>
      <c r="H255" s="336"/>
      <c r="I255" s="336">
        <f t="shared" si="23"/>
        <v>38299.51</v>
      </c>
      <c r="J255" s="336">
        <f t="shared" si="24"/>
        <v>38299.51</v>
      </c>
      <c r="K255" s="546">
        <f t="shared" si="19"/>
        <v>0</v>
      </c>
      <c r="L255" s="502"/>
      <c r="M255" s="231"/>
      <c r="N255" s="11" t="s">
        <v>243</v>
      </c>
      <c r="O255" s="341"/>
      <c r="P255" s="339"/>
    </row>
    <row r="256" spans="1:18" s="325" customFormat="1" ht="33" hidden="1">
      <c r="A256" s="333" t="s">
        <v>2178</v>
      </c>
      <c r="B256" s="334" t="s">
        <v>731</v>
      </c>
      <c r="C256" s="335" t="s">
        <v>4</v>
      </c>
      <c r="D256" s="336">
        <v>1</v>
      </c>
      <c r="E256" s="336">
        <f>估驗單!F249</f>
        <v>1</v>
      </c>
      <c r="F256" s="390">
        <f t="shared" si="22"/>
        <v>0</v>
      </c>
      <c r="G256" s="336">
        <v>107994.11</v>
      </c>
      <c r="H256" s="336"/>
      <c r="I256" s="336">
        <f t="shared" si="23"/>
        <v>107994.11</v>
      </c>
      <c r="J256" s="336">
        <f t="shared" si="24"/>
        <v>107994.11</v>
      </c>
      <c r="K256" s="546">
        <f t="shared" si="19"/>
        <v>0</v>
      </c>
      <c r="L256" s="502"/>
      <c r="M256" s="231"/>
      <c r="N256" s="11" t="s">
        <v>243</v>
      </c>
      <c r="O256" s="341"/>
      <c r="P256" s="339"/>
    </row>
    <row r="257" spans="1:16" s="325" customFormat="1" ht="33" hidden="1">
      <c r="A257" s="333" t="s">
        <v>2179</v>
      </c>
      <c r="B257" s="334" t="s">
        <v>734</v>
      </c>
      <c r="C257" s="335" t="s">
        <v>13</v>
      </c>
      <c r="D257" s="336">
        <v>1</v>
      </c>
      <c r="E257" s="336">
        <f>估驗單!F250</f>
        <v>1</v>
      </c>
      <c r="F257" s="390">
        <f t="shared" si="22"/>
        <v>0</v>
      </c>
      <c r="G257" s="336">
        <v>499.97</v>
      </c>
      <c r="H257" s="336"/>
      <c r="I257" s="336">
        <f t="shared" si="23"/>
        <v>499.97</v>
      </c>
      <c r="J257" s="336">
        <f t="shared" si="24"/>
        <v>499.97</v>
      </c>
      <c r="K257" s="546">
        <f t="shared" si="19"/>
        <v>0</v>
      </c>
      <c r="L257" s="502"/>
      <c r="M257" s="231"/>
      <c r="N257" s="11" t="s">
        <v>243</v>
      </c>
      <c r="O257" s="341"/>
      <c r="P257" s="339"/>
    </row>
    <row r="258" spans="1:16" s="325" customFormat="1" ht="42.75" hidden="1">
      <c r="A258" s="333" t="s">
        <v>2181</v>
      </c>
      <c r="B258" s="334" t="s">
        <v>737</v>
      </c>
      <c r="C258" s="335" t="s">
        <v>669</v>
      </c>
      <c r="D258" s="336">
        <v>1</v>
      </c>
      <c r="E258" s="336">
        <f>估驗單!F251</f>
        <v>1</v>
      </c>
      <c r="F258" s="390">
        <f t="shared" si="22"/>
        <v>0</v>
      </c>
      <c r="G258" s="336">
        <v>10067.84</v>
      </c>
      <c r="H258" s="336"/>
      <c r="I258" s="336">
        <f t="shared" si="23"/>
        <v>10067.84</v>
      </c>
      <c r="J258" s="336">
        <f t="shared" si="24"/>
        <v>10067.84</v>
      </c>
      <c r="K258" s="546">
        <f t="shared" si="19"/>
        <v>0</v>
      </c>
      <c r="L258" s="502"/>
      <c r="M258" s="231"/>
      <c r="N258" s="11" t="s">
        <v>243</v>
      </c>
      <c r="O258" s="341"/>
      <c r="P258" s="339"/>
    </row>
    <row r="259" spans="1:16" s="325" customFormat="1" ht="33" hidden="1">
      <c r="A259" s="333" t="s">
        <v>2182</v>
      </c>
      <c r="B259" s="334" t="s">
        <v>740</v>
      </c>
      <c r="C259" s="335" t="s">
        <v>669</v>
      </c>
      <c r="D259" s="336">
        <v>1</v>
      </c>
      <c r="E259" s="336">
        <f>估驗單!F252</f>
        <v>1</v>
      </c>
      <c r="F259" s="390">
        <f t="shared" si="22"/>
        <v>0</v>
      </c>
      <c r="G259" s="336">
        <v>6487.57</v>
      </c>
      <c r="H259" s="336"/>
      <c r="I259" s="336">
        <f t="shared" si="23"/>
        <v>6487.57</v>
      </c>
      <c r="J259" s="336">
        <f t="shared" si="24"/>
        <v>6487.57</v>
      </c>
      <c r="K259" s="546">
        <f t="shared" si="19"/>
        <v>0</v>
      </c>
      <c r="L259" s="502"/>
      <c r="M259" s="231"/>
      <c r="N259" s="11" t="s">
        <v>243</v>
      </c>
      <c r="O259" s="341"/>
      <c r="P259" s="339"/>
    </row>
    <row r="260" spans="1:16" s="325" customFormat="1" ht="42.75" hidden="1">
      <c r="A260" s="333" t="s">
        <v>2183</v>
      </c>
      <c r="B260" s="334" t="s">
        <v>743</v>
      </c>
      <c r="C260" s="335" t="s">
        <v>669</v>
      </c>
      <c r="D260" s="336">
        <v>1</v>
      </c>
      <c r="E260" s="336">
        <f>估驗單!F253</f>
        <v>1</v>
      </c>
      <c r="F260" s="390">
        <f t="shared" si="22"/>
        <v>0</v>
      </c>
      <c r="G260" s="336">
        <v>8473.2999999999993</v>
      </c>
      <c r="H260" s="336"/>
      <c r="I260" s="336">
        <f t="shared" si="23"/>
        <v>8473.2999999999993</v>
      </c>
      <c r="J260" s="336">
        <f t="shared" si="24"/>
        <v>8473.2999999999993</v>
      </c>
      <c r="K260" s="546">
        <f t="shared" si="19"/>
        <v>0</v>
      </c>
      <c r="L260" s="502"/>
      <c r="M260" s="231"/>
      <c r="N260" s="11" t="s">
        <v>243</v>
      </c>
      <c r="O260" s="341"/>
      <c r="P260" s="339"/>
    </row>
    <row r="261" spans="1:16" s="325" customFormat="1" ht="42.75" hidden="1">
      <c r="A261" s="333" t="s">
        <v>2184</v>
      </c>
      <c r="B261" s="334" t="s">
        <v>746</v>
      </c>
      <c r="C261" s="335" t="s">
        <v>669</v>
      </c>
      <c r="D261" s="336">
        <v>1</v>
      </c>
      <c r="E261" s="336">
        <f>估驗單!F254</f>
        <v>1</v>
      </c>
      <c r="F261" s="390">
        <f t="shared" si="22"/>
        <v>0</v>
      </c>
      <c r="G261" s="336">
        <v>17742.79</v>
      </c>
      <c r="H261" s="336"/>
      <c r="I261" s="336">
        <f t="shared" si="23"/>
        <v>17742.79</v>
      </c>
      <c r="J261" s="336">
        <f t="shared" si="24"/>
        <v>17742.79</v>
      </c>
      <c r="K261" s="546">
        <f t="shared" si="19"/>
        <v>0</v>
      </c>
      <c r="L261" s="502"/>
      <c r="M261" s="231"/>
      <c r="N261" s="11" t="s">
        <v>243</v>
      </c>
      <c r="O261" s="341"/>
      <c r="P261" s="339"/>
    </row>
    <row r="262" spans="1:16" s="325" customFormat="1" ht="42.75" hidden="1">
      <c r="A262" s="333" t="s">
        <v>2185</v>
      </c>
      <c r="B262" s="334" t="s">
        <v>749</v>
      </c>
      <c r="C262" s="335" t="s">
        <v>669</v>
      </c>
      <c r="D262" s="336">
        <v>1</v>
      </c>
      <c r="E262" s="336">
        <f>估驗單!F255</f>
        <v>1</v>
      </c>
      <c r="F262" s="390">
        <f t="shared" si="22"/>
        <v>0</v>
      </c>
      <c r="G262" s="336">
        <v>5164.09</v>
      </c>
      <c r="H262" s="336"/>
      <c r="I262" s="336">
        <f t="shared" si="23"/>
        <v>5164.09</v>
      </c>
      <c r="J262" s="336">
        <f t="shared" si="24"/>
        <v>5164.09</v>
      </c>
      <c r="K262" s="546">
        <f t="shared" si="19"/>
        <v>0</v>
      </c>
      <c r="L262" s="502"/>
      <c r="M262" s="231"/>
      <c r="N262" s="11" t="s">
        <v>243</v>
      </c>
      <c r="O262" s="341"/>
      <c r="P262" s="339"/>
    </row>
    <row r="263" spans="1:16" s="325" customFormat="1" ht="42.75" hidden="1">
      <c r="A263" s="333" t="s">
        <v>2186</v>
      </c>
      <c r="B263" s="334" t="s">
        <v>752</v>
      </c>
      <c r="C263" s="335" t="s">
        <v>669</v>
      </c>
      <c r="D263" s="336">
        <v>1</v>
      </c>
      <c r="E263" s="336">
        <f>估驗單!F256</f>
        <v>1</v>
      </c>
      <c r="F263" s="390">
        <f t="shared" si="22"/>
        <v>0</v>
      </c>
      <c r="G263" s="336">
        <v>5164.09</v>
      </c>
      <c r="H263" s="336"/>
      <c r="I263" s="336">
        <f t="shared" si="23"/>
        <v>5164.09</v>
      </c>
      <c r="J263" s="336">
        <f t="shared" si="24"/>
        <v>5164.09</v>
      </c>
      <c r="K263" s="546">
        <f t="shared" si="19"/>
        <v>0</v>
      </c>
      <c r="L263" s="502"/>
      <c r="M263" s="231"/>
      <c r="N263" s="11" t="s">
        <v>243</v>
      </c>
      <c r="O263" s="341"/>
      <c r="P263" s="339"/>
    </row>
    <row r="264" spans="1:16" s="325" customFormat="1" ht="42.75" hidden="1">
      <c r="A264" s="333" t="s">
        <v>2187</v>
      </c>
      <c r="B264" s="334" t="s">
        <v>755</v>
      </c>
      <c r="C264" s="335" t="s">
        <v>669</v>
      </c>
      <c r="D264" s="336">
        <v>1</v>
      </c>
      <c r="E264" s="336">
        <f>估驗單!F257</f>
        <v>1</v>
      </c>
      <c r="F264" s="390">
        <f t="shared" si="22"/>
        <v>0</v>
      </c>
      <c r="G264" s="336">
        <v>5730.56</v>
      </c>
      <c r="H264" s="336"/>
      <c r="I264" s="336">
        <f t="shared" si="23"/>
        <v>5730.56</v>
      </c>
      <c r="J264" s="336">
        <f t="shared" si="24"/>
        <v>5730.56</v>
      </c>
      <c r="K264" s="546">
        <f t="shared" si="19"/>
        <v>0</v>
      </c>
      <c r="L264" s="502"/>
      <c r="M264" s="231"/>
      <c r="N264" s="11" t="s">
        <v>243</v>
      </c>
      <c r="O264" s="341"/>
      <c r="P264" s="339"/>
    </row>
    <row r="265" spans="1:16" s="325" customFormat="1" ht="42.75" hidden="1">
      <c r="A265" s="333" t="s">
        <v>2188</v>
      </c>
      <c r="B265" s="334" t="s">
        <v>758</v>
      </c>
      <c r="C265" s="335" t="s">
        <v>669</v>
      </c>
      <c r="D265" s="336">
        <v>1</v>
      </c>
      <c r="E265" s="336">
        <f>估驗單!F258</f>
        <v>1</v>
      </c>
      <c r="F265" s="390">
        <f t="shared" si="22"/>
        <v>0</v>
      </c>
      <c r="G265" s="336">
        <v>7081</v>
      </c>
      <c r="H265" s="336"/>
      <c r="I265" s="336">
        <f t="shared" si="23"/>
        <v>7081</v>
      </c>
      <c r="J265" s="336">
        <f t="shared" si="24"/>
        <v>7081</v>
      </c>
      <c r="K265" s="546">
        <f t="shared" si="19"/>
        <v>0</v>
      </c>
      <c r="L265" s="502"/>
      <c r="M265" s="231"/>
      <c r="N265" s="11" t="s">
        <v>243</v>
      </c>
      <c r="O265" s="341"/>
      <c r="P265" s="339"/>
    </row>
    <row r="266" spans="1:16" s="325" customFormat="1" ht="42.75" hidden="1">
      <c r="A266" s="333" t="s">
        <v>2189</v>
      </c>
      <c r="B266" s="334" t="s">
        <v>761</v>
      </c>
      <c r="C266" s="335" t="s">
        <v>669</v>
      </c>
      <c r="D266" s="336">
        <v>1</v>
      </c>
      <c r="E266" s="336">
        <f>估驗單!F259</f>
        <v>1</v>
      </c>
      <c r="F266" s="390">
        <f t="shared" si="22"/>
        <v>0</v>
      </c>
      <c r="G266" s="336">
        <v>4752.1099999999997</v>
      </c>
      <c r="H266" s="336"/>
      <c r="I266" s="336">
        <f t="shared" si="23"/>
        <v>4752.1099999999997</v>
      </c>
      <c r="J266" s="336">
        <f t="shared" si="24"/>
        <v>4752.1099999999997</v>
      </c>
      <c r="K266" s="546">
        <f t="shared" si="19"/>
        <v>0</v>
      </c>
      <c r="L266" s="502"/>
      <c r="M266" s="231"/>
      <c r="N266" s="11" t="s">
        <v>243</v>
      </c>
      <c r="O266" s="341"/>
      <c r="P266" s="339"/>
    </row>
    <row r="267" spans="1:16" s="325" customFormat="1" ht="42.75" hidden="1">
      <c r="A267" s="333" t="s">
        <v>2190</v>
      </c>
      <c r="B267" s="334" t="s">
        <v>764</v>
      </c>
      <c r="C267" s="335" t="s">
        <v>669</v>
      </c>
      <c r="D267" s="336">
        <v>1</v>
      </c>
      <c r="E267" s="336">
        <f>估驗單!F260</f>
        <v>1</v>
      </c>
      <c r="F267" s="390">
        <f t="shared" si="22"/>
        <v>0</v>
      </c>
      <c r="G267" s="336">
        <v>14691.08</v>
      </c>
      <c r="H267" s="336"/>
      <c r="I267" s="336">
        <f t="shared" si="23"/>
        <v>14691.08</v>
      </c>
      <c r="J267" s="336">
        <f t="shared" si="24"/>
        <v>14691.08</v>
      </c>
      <c r="K267" s="546">
        <f t="shared" si="19"/>
        <v>0</v>
      </c>
      <c r="L267" s="502"/>
      <c r="M267" s="231"/>
      <c r="N267" s="11" t="s">
        <v>243</v>
      </c>
      <c r="O267" s="341"/>
      <c r="P267" s="339"/>
    </row>
    <row r="268" spans="1:16" s="325" customFormat="1" ht="33" hidden="1">
      <c r="A268" s="333" t="s">
        <v>2191</v>
      </c>
      <c r="B268" s="334" t="s">
        <v>767</v>
      </c>
      <c r="C268" s="335" t="s">
        <v>669</v>
      </c>
      <c r="D268" s="336">
        <v>1</v>
      </c>
      <c r="E268" s="336">
        <f>估驗單!F261</f>
        <v>1</v>
      </c>
      <c r="F268" s="390">
        <f t="shared" si="22"/>
        <v>0</v>
      </c>
      <c r="G268" s="336">
        <v>224.3</v>
      </c>
      <c r="H268" s="336"/>
      <c r="I268" s="336">
        <f t="shared" si="23"/>
        <v>224.3</v>
      </c>
      <c r="J268" s="336">
        <f t="shared" si="24"/>
        <v>224.3</v>
      </c>
      <c r="K268" s="546">
        <f t="shared" si="19"/>
        <v>0</v>
      </c>
      <c r="L268" s="502"/>
      <c r="M268" s="231"/>
      <c r="N268" s="11" t="s">
        <v>243</v>
      </c>
      <c r="O268" s="341"/>
      <c r="P268" s="339"/>
    </row>
    <row r="269" spans="1:16" s="325" customFormat="1" ht="33" hidden="1">
      <c r="A269" s="333" t="s">
        <v>2192</v>
      </c>
      <c r="B269" s="334" t="s">
        <v>770</v>
      </c>
      <c r="C269" s="335" t="s">
        <v>669</v>
      </c>
      <c r="D269" s="336">
        <v>1</v>
      </c>
      <c r="E269" s="336">
        <f>估驗單!F262</f>
        <v>1</v>
      </c>
      <c r="F269" s="390">
        <f t="shared" si="22"/>
        <v>0</v>
      </c>
      <c r="G269" s="336">
        <v>275.64</v>
      </c>
      <c r="H269" s="336"/>
      <c r="I269" s="336">
        <f t="shared" si="23"/>
        <v>275.64</v>
      </c>
      <c r="J269" s="336">
        <f t="shared" si="24"/>
        <v>275.64</v>
      </c>
      <c r="K269" s="546">
        <f t="shared" ref="K269:K332" si="25">J269-I269</f>
        <v>0</v>
      </c>
      <c r="L269" s="502"/>
      <c r="M269" s="231"/>
      <c r="N269" s="11" t="s">
        <v>243</v>
      </c>
      <c r="O269" s="341"/>
      <c r="P269" s="339"/>
    </row>
    <row r="270" spans="1:16" s="325" customFormat="1" ht="33" hidden="1">
      <c r="A270" s="333" t="s">
        <v>2193</v>
      </c>
      <c r="B270" s="334" t="s">
        <v>773</v>
      </c>
      <c r="C270" s="335" t="s">
        <v>669</v>
      </c>
      <c r="D270" s="336">
        <v>1</v>
      </c>
      <c r="E270" s="336">
        <f>估驗單!F263</f>
        <v>1</v>
      </c>
      <c r="F270" s="390">
        <f t="shared" si="22"/>
        <v>0</v>
      </c>
      <c r="G270" s="336">
        <v>283.52999999999997</v>
      </c>
      <c r="H270" s="336"/>
      <c r="I270" s="336">
        <f t="shared" si="23"/>
        <v>283.52999999999997</v>
      </c>
      <c r="J270" s="336">
        <f t="shared" si="24"/>
        <v>283.52999999999997</v>
      </c>
      <c r="K270" s="546">
        <f t="shared" si="25"/>
        <v>0</v>
      </c>
      <c r="L270" s="502"/>
      <c r="M270" s="231"/>
      <c r="N270" s="11" t="s">
        <v>243</v>
      </c>
      <c r="O270" s="341"/>
      <c r="P270" s="339"/>
    </row>
    <row r="271" spans="1:16" s="325" customFormat="1" ht="33" hidden="1">
      <c r="A271" s="333" t="s">
        <v>2194</v>
      </c>
      <c r="B271" s="334" t="s">
        <v>776</v>
      </c>
      <c r="C271" s="335" t="s">
        <v>669</v>
      </c>
      <c r="D271" s="336">
        <v>1</v>
      </c>
      <c r="E271" s="336">
        <f>估驗單!F264</f>
        <v>1</v>
      </c>
      <c r="F271" s="390">
        <f t="shared" si="22"/>
        <v>0</v>
      </c>
      <c r="G271" s="336">
        <v>88.95</v>
      </c>
      <c r="H271" s="336"/>
      <c r="I271" s="336">
        <f t="shared" si="23"/>
        <v>88.95</v>
      </c>
      <c r="J271" s="336">
        <f t="shared" si="24"/>
        <v>88.95</v>
      </c>
      <c r="K271" s="546">
        <f t="shared" si="25"/>
        <v>0</v>
      </c>
      <c r="L271" s="502"/>
      <c r="M271" s="231"/>
      <c r="N271" s="11" t="s">
        <v>243</v>
      </c>
      <c r="O271" s="341"/>
      <c r="P271" s="339"/>
    </row>
    <row r="272" spans="1:16" s="325" customFormat="1" ht="33" hidden="1">
      <c r="A272" s="333" t="s">
        <v>2195</v>
      </c>
      <c r="B272" s="334" t="s">
        <v>779</v>
      </c>
      <c r="C272" s="335" t="s">
        <v>669</v>
      </c>
      <c r="D272" s="336">
        <v>1</v>
      </c>
      <c r="E272" s="336">
        <f>估驗單!F265</f>
        <v>1</v>
      </c>
      <c r="F272" s="390">
        <f t="shared" si="22"/>
        <v>0</v>
      </c>
      <c r="G272" s="336">
        <v>123.72</v>
      </c>
      <c r="H272" s="336"/>
      <c r="I272" s="336">
        <f t="shared" si="23"/>
        <v>123.72</v>
      </c>
      <c r="J272" s="336">
        <f t="shared" si="24"/>
        <v>123.72</v>
      </c>
      <c r="K272" s="546">
        <f t="shared" si="25"/>
        <v>0</v>
      </c>
      <c r="L272" s="502"/>
      <c r="M272" s="231"/>
      <c r="N272" s="11" t="s">
        <v>243</v>
      </c>
      <c r="O272" s="341"/>
      <c r="P272" s="339"/>
    </row>
    <row r="273" spans="1:16" s="325" customFormat="1" ht="33" hidden="1">
      <c r="A273" s="333" t="s">
        <v>2196</v>
      </c>
      <c r="B273" s="334" t="s">
        <v>782</v>
      </c>
      <c r="C273" s="335" t="s">
        <v>669</v>
      </c>
      <c r="D273" s="336">
        <v>1</v>
      </c>
      <c r="E273" s="336">
        <f>估驗單!F266</f>
        <v>1</v>
      </c>
      <c r="F273" s="390">
        <f t="shared" si="22"/>
        <v>0</v>
      </c>
      <c r="G273" s="336">
        <v>121.41</v>
      </c>
      <c r="H273" s="336"/>
      <c r="I273" s="336">
        <f t="shared" si="23"/>
        <v>121.41</v>
      </c>
      <c r="J273" s="336">
        <f t="shared" si="24"/>
        <v>121.41</v>
      </c>
      <c r="K273" s="546">
        <f t="shared" si="25"/>
        <v>0</v>
      </c>
      <c r="L273" s="502"/>
      <c r="M273" s="231"/>
      <c r="N273" s="11" t="s">
        <v>243</v>
      </c>
      <c r="O273" s="341"/>
      <c r="P273" s="339"/>
    </row>
    <row r="274" spans="1:16" s="325" customFormat="1" ht="33" hidden="1">
      <c r="A274" s="333" t="s">
        <v>2197</v>
      </c>
      <c r="B274" s="334" t="s">
        <v>785</v>
      </c>
      <c r="C274" s="335" t="s">
        <v>669</v>
      </c>
      <c r="D274" s="336">
        <v>1</v>
      </c>
      <c r="E274" s="336">
        <f>估驗單!F267</f>
        <v>1</v>
      </c>
      <c r="F274" s="390">
        <f t="shared" si="22"/>
        <v>0</v>
      </c>
      <c r="G274" s="336">
        <v>134.28</v>
      </c>
      <c r="H274" s="336"/>
      <c r="I274" s="336">
        <f t="shared" si="23"/>
        <v>134.28</v>
      </c>
      <c r="J274" s="336">
        <f t="shared" si="24"/>
        <v>134.28</v>
      </c>
      <c r="K274" s="546">
        <f t="shared" si="25"/>
        <v>0</v>
      </c>
      <c r="L274" s="502"/>
      <c r="M274" s="231"/>
      <c r="N274" s="11" t="s">
        <v>243</v>
      </c>
      <c r="O274" s="341"/>
      <c r="P274" s="339"/>
    </row>
    <row r="275" spans="1:16" s="325" customFormat="1" ht="33" hidden="1">
      <c r="A275" s="333" t="s">
        <v>2198</v>
      </c>
      <c r="B275" s="334" t="s">
        <v>788</v>
      </c>
      <c r="C275" s="335" t="s">
        <v>669</v>
      </c>
      <c r="D275" s="336">
        <v>1</v>
      </c>
      <c r="E275" s="336">
        <f>估驗單!F268</f>
        <v>1</v>
      </c>
      <c r="F275" s="390">
        <f t="shared" si="22"/>
        <v>0</v>
      </c>
      <c r="G275" s="336">
        <v>36.549999999999997</v>
      </c>
      <c r="H275" s="336"/>
      <c r="I275" s="336">
        <f t="shared" si="23"/>
        <v>36.549999999999997</v>
      </c>
      <c r="J275" s="336">
        <f t="shared" si="24"/>
        <v>36.549999999999997</v>
      </c>
      <c r="K275" s="546">
        <f t="shared" si="25"/>
        <v>0</v>
      </c>
      <c r="L275" s="502"/>
      <c r="M275" s="231"/>
      <c r="N275" s="11" t="s">
        <v>243</v>
      </c>
      <c r="O275" s="341"/>
      <c r="P275" s="339"/>
    </row>
    <row r="276" spans="1:16" s="325" customFormat="1" ht="33" hidden="1">
      <c r="A276" s="333" t="s">
        <v>2199</v>
      </c>
      <c r="B276" s="334" t="s">
        <v>791</v>
      </c>
      <c r="C276" s="335" t="s">
        <v>669</v>
      </c>
      <c r="D276" s="336">
        <v>1</v>
      </c>
      <c r="E276" s="336">
        <f>估驗單!F269</f>
        <v>1</v>
      </c>
      <c r="F276" s="390">
        <f t="shared" si="22"/>
        <v>0</v>
      </c>
      <c r="G276" s="336">
        <v>103.76</v>
      </c>
      <c r="H276" s="336"/>
      <c r="I276" s="336">
        <f t="shared" si="23"/>
        <v>103.76</v>
      </c>
      <c r="J276" s="336">
        <f t="shared" si="24"/>
        <v>103.76</v>
      </c>
      <c r="K276" s="546">
        <f t="shared" si="25"/>
        <v>0</v>
      </c>
      <c r="L276" s="502"/>
      <c r="M276" s="231"/>
      <c r="N276" s="11" t="s">
        <v>243</v>
      </c>
      <c r="O276" s="341"/>
      <c r="P276" s="339"/>
    </row>
    <row r="277" spans="1:16" s="325" customFormat="1" ht="33" hidden="1">
      <c r="A277" s="333" t="s">
        <v>2200</v>
      </c>
      <c r="B277" s="334" t="s">
        <v>794</v>
      </c>
      <c r="C277" s="335" t="s">
        <v>669</v>
      </c>
      <c r="D277" s="336">
        <v>1</v>
      </c>
      <c r="E277" s="336">
        <f>估驗單!F270</f>
        <v>1</v>
      </c>
      <c r="F277" s="390">
        <f t="shared" si="22"/>
        <v>0</v>
      </c>
      <c r="G277" s="336">
        <v>140.84</v>
      </c>
      <c r="H277" s="336"/>
      <c r="I277" s="336">
        <f t="shared" si="23"/>
        <v>140.84</v>
      </c>
      <c r="J277" s="336">
        <f t="shared" si="24"/>
        <v>140.84</v>
      </c>
      <c r="K277" s="546">
        <f t="shared" si="25"/>
        <v>0</v>
      </c>
      <c r="L277" s="502"/>
      <c r="M277" s="231"/>
      <c r="N277" s="11" t="s">
        <v>243</v>
      </c>
      <c r="O277" s="341"/>
      <c r="P277" s="339"/>
    </row>
    <row r="278" spans="1:16" s="325" customFormat="1" ht="33" hidden="1">
      <c r="A278" s="333" t="s">
        <v>2201</v>
      </c>
      <c r="B278" s="334" t="s">
        <v>797</v>
      </c>
      <c r="C278" s="335" t="s">
        <v>669</v>
      </c>
      <c r="D278" s="336">
        <v>1</v>
      </c>
      <c r="E278" s="336">
        <f>估驗單!F271</f>
        <v>1</v>
      </c>
      <c r="F278" s="390">
        <f t="shared" si="22"/>
        <v>0</v>
      </c>
      <c r="G278" s="336">
        <v>51.75</v>
      </c>
      <c r="H278" s="336"/>
      <c r="I278" s="336">
        <f t="shared" si="23"/>
        <v>51.75</v>
      </c>
      <c r="J278" s="336">
        <f t="shared" si="24"/>
        <v>51.75</v>
      </c>
      <c r="K278" s="546">
        <f t="shared" si="25"/>
        <v>0</v>
      </c>
      <c r="L278" s="502"/>
      <c r="M278" s="231"/>
      <c r="N278" s="11" t="s">
        <v>243</v>
      </c>
      <c r="O278" s="341"/>
      <c r="P278" s="339"/>
    </row>
    <row r="279" spans="1:16" s="325" customFormat="1" ht="33" hidden="1">
      <c r="A279" s="333" t="s">
        <v>2202</v>
      </c>
      <c r="B279" s="334" t="s">
        <v>800</v>
      </c>
      <c r="C279" s="335" t="s">
        <v>669</v>
      </c>
      <c r="D279" s="336">
        <v>1</v>
      </c>
      <c r="E279" s="336">
        <f>估驗單!F272</f>
        <v>1</v>
      </c>
      <c r="F279" s="390">
        <f t="shared" si="22"/>
        <v>0</v>
      </c>
      <c r="G279" s="336">
        <v>35.01</v>
      </c>
      <c r="H279" s="336"/>
      <c r="I279" s="336">
        <f t="shared" si="23"/>
        <v>35.01</v>
      </c>
      <c r="J279" s="336">
        <f t="shared" si="24"/>
        <v>35.01</v>
      </c>
      <c r="K279" s="546">
        <f t="shared" si="25"/>
        <v>0</v>
      </c>
      <c r="L279" s="502"/>
      <c r="M279" s="231"/>
      <c r="N279" s="11" t="s">
        <v>243</v>
      </c>
      <c r="O279" s="341"/>
      <c r="P279" s="339"/>
    </row>
    <row r="280" spans="1:16" s="325" customFormat="1" ht="33" hidden="1">
      <c r="A280" s="333" t="s">
        <v>2203</v>
      </c>
      <c r="B280" s="334" t="s">
        <v>803</v>
      </c>
      <c r="C280" s="335" t="s">
        <v>669</v>
      </c>
      <c r="D280" s="336">
        <v>1</v>
      </c>
      <c r="E280" s="336">
        <f>估驗單!F273</f>
        <v>1</v>
      </c>
      <c r="F280" s="390">
        <f t="shared" si="22"/>
        <v>0</v>
      </c>
      <c r="G280" s="336">
        <v>58.37</v>
      </c>
      <c r="H280" s="336"/>
      <c r="I280" s="336">
        <f t="shared" si="23"/>
        <v>58.37</v>
      </c>
      <c r="J280" s="336">
        <f t="shared" si="24"/>
        <v>58.37</v>
      </c>
      <c r="K280" s="546">
        <f t="shared" si="25"/>
        <v>0</v>
      </c>
      <c r="L280" s="502"/>
      <c r="M280" s="231"/>
      <c r="N280" s="11" t="s">
        <v>243</v>
      </c>
      <c r="O280" s="341"/>
      <c r="P280" s="339"/>
    </row>
    <row r="281" spans="1:16" s="325" customFormat="1" ht="33" hidden="1">
      <c r="A281" s="333" t="s">
        <v>2204</v>
      </c>
      <c r="B281" s="334" t="s">
        <v>806</v>
      </c>
      <c r="C281" s="335" t="s">
        <v>669</v>
      </c>
      <c r="D281" s="336">
        <v>1</v>
      </c>
      <c r="E281" s="336">
        <f>估驗單!F274</f>
        <v>1</v>
      </c>
      <c r="F281" s="390">
        <f t="shared" si="22"/>
        <v>0</v>
      </c>
      <c r="G281" s="336">
        <v>79.040000000000006</v>
      </c>
      <c r="H281" s="336"/>
      <c r="I281" s="336">
        <f t="shared" si="23"/>
        <v>79.040000000000006</v>
      </c>
      <c r="J281" s="336">
        <f t="shared" si="24"/>
        <v>79.040000000000006</v>
      </c>
      <c r="K281" s="546">
        <f t="shared" si="25"/>
        <v>0</v>
      </c>
      <c r="L281" s="502"/>
      <c r="M281" s="231"/>
      <c r="N281" s="11" t="s">
        <v>243</v>
      </c>
      <c r="O281" s="341"/>
      <c r="P281" s="339"/>
    </row>
    <row r="282" spans="1:16" s="325" customFormat="1" ht="33" hidden="1">
      <c r="A282" s="333" t="s">
        <v>2205</v>
      </c>
      <c r="B282" s="334" t="s">
        <v>809</v>
      </c>
      <c r="C282" s="335" t="s">
        <v>669</v>
      </c>
      <c r="D282" s="336">
        <v>1</v>
      </c>
      <c r="E282" s="336">
        <f>估驗單!F275</f>
        <v>1</v>
      </c>
      <c r="F282" s="390">
        <f t="shared" si="22"/>
        <v>0</v>
      </c>
      <c r="G282" s="336">
        <v>63.59</v>
      </c>
      <c r="H282" s="336"/>
      <c r="I282" s="336">
        <f t="shared" si="23"/>
        <v>63.59</v>
      </c>
      <c r="J282" s="336">
        <f t="shared" si="24"/>
        <v>63.59</v>
      </c>
      <c r="K282" s="546">
        <f t="shared" si="25"/>
        <v>0</v>
      </c>
      <c r="L282" s="502"/>
      <c r="M282" s="231"/>
      <c r="N282" s="11" t="s">
        <v>243</v>
      </c>
      <c r="O282" s="341"/>
      <c r="P282" s="339"/>
    </row>
    <row r="283" spans="1:16" s="325" customFormat="1" ht="33" hidden="1">
      <c r="A283" s="333" t="s">
        <v>2206</v>
      </c>
      <c r="B283" s="334" t="s">
        <v>812</v>
      </c>
      <c r="C283" s="335" t="s">
        <v>669</v>
      </c>
      <c r="D283" s="336">
        <v>1</v>
      </c>
      <c r="E283" s="336">
        <f>估驗單!F276</f>
        <v>1</v>
      </c>
      <c r="F283" s="390">
        <f t="shared" si="22"/>
        <v>0</v>
      </c>
      <c r="G283" s="336">
        <v>94.49</v>
      </c>
      <c r="H283" s="336"/>
      <c r="I283" s="336">
        <f t="shared" si="23"/>
        <v>94.49</v>
      </c>
      <c r="J283" s="336">
        <f t="shared" si="24"/>
        <v>94.49</v>
      </c>
      <c r="K283" s="546">
        <f t="shared" si="25"/>
        <v>0</v>
      </c>
      <c r="L283" s="502"/>
      <c r="M283" s="231"/>
      <c r="N283" s="11" t="s">
        <v>243</v>
      </c>
      <c r="O283" s="341"/>
      <c r="P283" s="339"/>
    </row>
    <row r="284" spans="1:16" s="325" customFormat="1" ht="33" hidden="1">
      <c r="A284" s="333" t="s">
        <v>2207</v>
      </c>
      <c r="B284" s="334" t="s">
        <v>815</v>
      </c>
      <c r="C284" s="335" t="s">
        <v>669</v>
      </c>
      <c r="D284" s="336">
        <v>1</v>
      </c>
      <c r="E284" s="336">
        <f>估驗單!F277</f>
        <v>1</v>
      </c>
      <c r="F284" s="390">
        <f t="shared" si="22"/>
        <v>0</v>
      </c>
      <c r="G284" s="336">
        <v>73.89</v>
      </c>
      <c r="H284" s="336"/>
      <c r="I284" s="336">
        <f t="shared" si="23"/>
        <v>73.89</v>
      </c>
      <c r="J284" s="336">
        <f t="shared" si="24"/>
        <v>73.89</v>
      </c>
      <c r="K284" s="546">
        <f t="shared" si="25"/>
        <v>0</v>
      </c>
      <c r="L284" s="502"/>
      <c r="M284" s="231"/>
      <c r="N284" s="11" t="s">
        <v>243</v>
      </c>
      <c r="O284" s="341"/>
      <c r="P284" s="339"/>
    </row>
    <row r="285" spans="1:16" s="325" customFormat="1" ht="33" hidden="1">
      <c r="A285" s="333" t="s">
        <v>2208</v>
      </c>
      <c r="B285" s="334" t="s">
        <v>818</v>
      </c>
      <c r="C285" s="335" t="s">
        <v>669</v>
      </c>
      <c r="D285" s="336">
        <v>1</v>
      </c>
      <c r="E285" s="336">
        <f>估驗單!F278</f>
        <v>1</v>
      </c>
      <c r="F285" s="390">
        <f t="shared" ref="F285:F348" si="26">E285-D285</f>
        <v>0</v>
      </c>
      <c r="G285" s="336">
        <v>92.43</v>
      </c>
      <c r="H285" s="336"/>
      <c r="I285" s="336">
        <f t="shared" si="23"/>
        <v>92.43</v>
      </c>
      <c r="J285" s="336">
        <f t="shared" si="24"/>
        <v>92.43</v>
      </c>
      <c r="K285" s="546">
        <f t="shared" si="25"/>
        <v>0</v>
      </c>
      <c r="L285" s="502"/>
      <c r="M285" s="231"/>
      <c r="N285" s="11" t="s">
        <v>243</v>
      </c>
      <c r="O285" s="341"/>
      <c r="P285" s="339"/>
    </row>
    <row r="286" spans="1:16" s="325" customFormat="1" ht="33" hidden="1">
      <c r="A286" s="333" t="s">
        <v>2209</v>
      </c>
      <c r="B286" s="334" t="s">
        <v>821</v>
      </c>
      <c r="C286" s="335" t="s">
        <v>669</v>
      </c>
      <c r="D286" s="336">
        <v>1</v>
      </c>
      <c r="E286" s="336">
        <f>估驗單!F279</f>
        <v>1</v>
      </c>
      <c r="F286" s="390">
        <f t="shared" si="26"/>
        <v>0</v>
      </c>
      <c r="G286" s="336">
        <v>61.98</v>
      </c>
      <c r="H286" s="336"/>
      <c r="I286" s="336">
        <f t="shared" si="23"/>
        <v>61.98</v>
      </c>
      <c r="J286" s="336">
        <f t="shared" si="24"/>
        <v>61.98</v>
      </c>
      <c r="K286" s="546">
        <f t="shared" si="25"/>
        <v>0</v>
      </c>
      <c r="L286" s="502"/>
      <c r="M286" s="231"/>
      <c r="N286" s="11" t="s">
        <v>243</v>
      </c>
      <c r="O286" s="341"/>
      <c r="P286" s="339"/>
    </row>
    <row r="287" spans="1:16" s="325" customFormat="1" ht="33" hidden="1">
      <c r="A287" s="333" t="s">
        <v>2210</v>
      </c>
      <c r="B287" s="334" t="s">
        <v>824</v>
      </c>
      <c r="C287" s="335" t="s">
        <v>669</v>
      </c>
      <c r="D287" s="336">
        <v>1</v>
      </c>
      <c r="E287" s="336">
        <f>估驗單!F280</f>
        <v>1</v>
      </c>
      <c r="F287" s="390">
        <f t="shared" si="26"/>
        <v>0</v>
      </c>
      <c r="G287" s="336">
        <v>154.66</v>
      </c>
      <c r="H287" s="336"/>
      <c r="I287" s="336">
        <f t="shared" si="23"/>
        <v>154.66</v>
      </c>
      <c r="J287" s="336">
        <f t="shared" si="24"/>
        <v>154.66</v>
      </c>
      <c r="K287" s="546">
        <f t="shared" si="25"/>
        <v>0</v>
      </c>
      <c r="L287" s="502"/>
      <c r="M287" s="231"/>
      <c r="N287" s="11" t="s">
        <v>243</v>
      </c>
      <c r="O287" s="341"/>
      <c r="P287" s="339"/>
    </row>
    <row r="288" spans="1:16" s="325" customFormat="1" ht="33" hidden="1">
      <c r="A288" s="333" t="s">
        <v>2211</v>
      </c>
      <c r="B288" s="334" t="s">
        <v>827</v>
      </c>
      <c r="C288" s="335" t="s">
        <v>669</v>
      </c>
      <c r="D288" s="336">
        <v>1</v>
      </c>
      <c r="E288" s="336">
        <f>估驗單!F281</f>
        <v>1</v>
      </c>
      <c r="F288" s="390">
        <f t="shared" si="26"/>
        <v>0</v>
      </c>
      <c r="G288" s="336">
        <v>67.709999999999994</v>
      </c>
      <c r="H288" s="336"/>
      <c r="I288" s="336">
        <f t="shared" si="23"/>
        <v>67.709999999999994</v>
      </c>
      <c r="J288" s="336">
        <f t="shared" si="24"/>
        <v>67.709999999999994</v>
      </c>
      <c r="K288" s="546">
        <f t="shared" si="25"/>
        <v>0</v>
      </c>
      <c r="L288" s="502"/>
      <c r="M288" s="231"/>
      <c r="N288" s="11" t="s">
        <v>243</v>
      </c>
      <c r="O288" s="341"/>
      <c r="P288" s="339"/>
    </row>
    <row r="289" spans="1:16" s="325" customFormat="1" ht="33" hidden="1">
      <c r="A289" s="333" t="s">
        <v>2212</v>
      </c>
      <c r="B289" s="334" t="s">
        <v>830</v>
      </c>
      <c r="C289" s="335" t="s">
        <v>669</v>
      </c>
      <c r="D289" s="336">
        <v>1</v>
      </c>
      <c r="E289" s="336">
        <f>估驗單!F282</f>
        <v>1</v>
      </c>
      <c r="F289" s="390">
        <f t="shared" si="26"/>
        <v>0</v>
      </c>
      <c r="G289" s="336">
        <v>54.25</v>
      </c>
      <c r="H289" s="336"/>
      <c r="I289" s="336">
        <f t="shared" si="23"/>
        <v>54.25</v>
      </c>
      <c r="J289" s="336">
        <f t="shared" si="24"/>
        <v>54.25</v>
      </c>
      <c r="K289" s="546">
        <f t="shared" si="25"/>
        <v>0</v>
      </c>
      <c r="L289" s="502"/>
      <c r="M289" s="231"/>
      <c r="N289" s="11" t="s">
        <v>243</v>
      </c>
      <c r="O289" s="341"/>
      <c r="P289" s="339"/>
    </row>
    <row r="290" spans="1:16" s="325" customFormat="1" ht="33" hidden="1">
      <c r="A290" s="333" t="s">
        <v>2213</v>
      </c>
      <c r="B290" s="334" t="s">
        <v>833</v>
      </c>
      <c r="C290" s="335" t="s">
        <v>669</v>
      </c>
      <c r="D290" s="336">
        <v>1</v>
      </c>
      <c r="E290" s="336">
        <f>估驗單!F283</f>
        <v>1</v>
      </c>
      <c r="F290" s="390">
        <f t="shared" si="26"/>
        <v>0</v>
      </c>
      <c r="G290" s="336">
        <v>90.3</v>
      </c>
      <c r="H290" s="336"/>
      <c r="I290" s="336">
        <f t="shared" si="23"/>
        <v>90.3</v>
      </c>
      <c r="J290" s="336">
        <f t="shared" si="24"/>
        <v>90.3</v>
      </c>
      <c r="K290" s="546">
        <f t="shared" si="25"/>
        <v>0</v>
      </c>
      <c r="L290" s="502"/>
      <c r="M290" s="231"/>
      <c r="N290" s="11" t="s">
        <v>243</v>
      </c>
      <c r="O290" s="341"/>
      <c r="P290" s="339"/>
    </row>
    <row r="291" spans="1:16" s="325" customFormat="1" ht="33" hidden="1">
      <c r="A291" s="333" t="s">
        <v>2214</v>
      </c>
      <c r="B291" s="334" t="s">
        <v>836</v>
      </c>
      <c r="C291" s="335" t="s">
        <v>669</v>
      </c>
      <c r="D291" s="336">
        <v>1</v>
      </c>
      <c r="E291" s="336">
        <f>估驗單!F284</f>
        <v>1</v>
      </c>
      <c r="F291" s="390">
        <f t="shared" si="26"/>
        <v>0</v>
      </c>
      <c r="G291" s="336">
        <v>67.13</v>
      </c>
      <c r="H291" s="336"/>
      <c r="I291" s="336">
        <f t="shared" si="23"/>
        <v>67.13</v>
      </c>
      <c r="J291" s="336">
        <f t="shared" si="24"/>
        <v>67.13</v>
      </c>
      <c r="K291" s="546">
        <f t="shared" si="25"/>
        <v>0</v>
      </c>
      <c r="L291" s="502"/>
      <c r="M291" s="231"/>
      <c r="N291" s="11" t="s">
        <v>243</v>
      </c>
      <c r="O291" s="341"/>
      <c r="P291" s="339"/>
    </row>
    <row r="292" spans="1:16" s="325" customFormat="1" ht="33" hidden="1">
      <c r="A292" s="333" t="s">
        <v>2215</v>
      </c>
      <c r="B292" s="334" t="s">
        <v>839</v>
      </c>
      <c r="C292" s="335" t="s">
        <v>669</v>
      </c>
      <c r="D292" s="336">
        <v>1</v>
      </c>
      <c r="E292" s="336">
        <f>估驗單!F285</f>
        <v>1</v>
      </c>
      <c r="F292" s="390">
        <f t="shared" si="26"/>
        <v>0</v>
      </c>
      <c r="G292" s="336">
        <v>56.83</v>
      </c>
      <c r="H292" s="336"/>
      <c r="I292" s="336">
        <f t="shared" si="23"/>
        <v>56.83</v>
      </c>
      <c r="J292" s="336">
        <f t="shared" si="24"/>
        <v>56.83</v>
      </c>
      <c r="K292" s="546">
        <f t="shared" si="25"/>
        <v>0</v>
      </c>
      <c r="L292" s="502"/>
      <c r="M292" s="231"/>
      <c r="N292" s="11" t="s">
        <v>243</v>
      </c>
      <c r="O292" s="341"/>
      <c r="P292" s="339"/>
    </row>
    <row r="293" spans="1:16" s="325" customFormat="1" ht="33" hidden="1">
      <c r="A293" s="333" t="s">
        <v>2216</v>
      </c>
      <c r="B293" s="334" t="s">
        <v>842</v>
      </c>
      <c r="C293" s="335" t="s">
        <v>669</v>
      </c>
      <c r="D293" s="336">
        <v>1</v>
      </c>
      <c r="E293" s="336">
        <f>估驗單!F286</f>
        <v>1</v>
      </c>
      <c r="F293" s="390">
        <f t="shared" si="26"/>
        <v>0</v>
      </c>
      <c r="G293" s="336">
        <v>68.67</v>
      </c>
      <c r="H293" s="336"/>
      <c r="I293" s="336">
        <f t="shared" si="23"/>
        <v>68.67</v>
      </c>
      <c r="J293" s="336">
        <f t="shared" si="24"/>
        <v>68.67</v>
      </c>
      <c r="K293" s="546">
        <f t="shared" si="25"/>
        <v>0</v>
      </c>
      <c r="L293" s="502"/>
      <c r="M293" s="231"/>
      <c r="N293" s="11" t="s">
        <v>243</v>
      </c>
      <c r="O293" s="341"/>
      <c r="P293" s="339"/>
    </row>
    <row r="294" spans="1:16" s="325" customFormat="1" ht="33" hidden="1">
      <c r="A294" s="333" t="s">
        <v>2217</v>
      </c>
      <c r="B294" s="334" t="s">
        <v>845</v>
      </c>
      <c r="C294" s="335" t="s">
        <v>669</v>
      </c>
      <c r="D294" s="336">
        <v>1</v>
      </c>
      <c r="E294" s="336">
        <f>估驗單!F287</f>
        <v>1</v>
      </c>
      <c r="F294" s="390">
        <f t="shared" si="26"/>
        <v>0</v>
      </c>
      <c r="G294" s="336">
        <v>59.92</v>
      </c>
      <c r="H294" s="336"/>
      <c r="I294" s="336">
        <f t="shared" si="23"/>
        <v>59.92</v>
      </c>
      <c r="J294" s="336">
        <f t="shared" si="24"/>
        <v>59.92</v>
      </c>
      <c r="K294" s="546">
        <f t="shared" si="25"/>
        <v>0</v>
      </c>
      <c r="L294" s="502"/>
      <c r="M294" s="231"/>
      <c r="N294" s="11" t="s">
        <v>243</v>
      </c>
      <c r="O294" s="341"/>
      <c r="P294" s="339"/>
    </row>
    <row r="295" spans="1:16" s="325" customFormat="1" ht="33" hidden="1">
      <c r="A295" s="333" t="s">
        <v>2218</v>
      </c>
      <c r="B295" s="334" t="s">
        <v>848</v>
      </c>
      <c r="C295" s="335" t="s">
        <v>669</v>
      </c>
      <c r="D295" s="336">
        <v>1</v>
      </c>
      <c r="E295" s="336">
        <f>估驗單!F288</f>
        <v>1</v>
      </c>
      <c r="F295" s="390">
        <f t="shared" si="26"/>
        <v>0</v>
      </c>
      <c r="G295" s="336">
        <v>58.37</v>
      </c>
      <c r="H295" s="336"/>
      <c r="I295" s="336">
        <f t="shared" si="23"/>
        <v>58.37</v>
      </c>
      <c r="J295" s="336">
        <f t="shared" si="24"/>
        <v>58.37</v>
      </c>
      <c r="K295" s="546">
        <f t="shared" si="25"/>
        <v>0</v>
      </c>
      <c r="L295" s="502"/>
      <c r="M295" s="231"/>
      <c r="N295" s="11" t="s">
        <v>243</v>
      </c>
      <c r="O295" s="341"/>
      <c r="P295" s="339"/>
    </row>
    <row r="296" spans="1:16" s="325" customFormat="1" ht="33" hidden="1">
      <c r="A296" s="333" t="s">
        <v>2219</v>
      </c>
      <c r="B296" s="334" t="s">
        <v>851</v>
      </c>
      <c r="C296" s="335" t="s">
        <v>669</v>
      </c>
      <c r="D296" s="336">
        <v>1</v>
      </c>
      <c r="E296" s="336">
        <f>估驗單!F289</f>
        <v>1</v>
      </c>
      <c r="F296" s="390">
        <f t="shared" si="26"/>
        <v>0</v>
      </c>
      <c r="G296" s="336">
        <v>68.209999999999994</v>
      </c>
      <c r="H296" s="336"/>
      <c r="I296" s="336">
        <f t="shared" si="23"/>
        <v>68.209999999999994</v>
      </c>
      <c r="J296" s="336">
        <f t="shared" si="24"/>
        <v>68.209999999999994</v>
      </c>
      <c r="K296" s="546">
        <f t="shared" si="25"/>
        <v>0</v>
      </c>
      <c r="L296" s="502"/>
      <c r="M296" s="231"/>
      <c r="N296" s="11" t="s">
        <v>243</v>
      </c>
      <c r="O296" s="341"/>
      <c r="P296" s="339"/>
    </row>
    <row r="297" spans="1:16" s="325" customFormat="1" ht="33" hidden="1">
      <c r="A297" s="333" t="s">
        <v>2220</v>
      </c>
      <c r="B297" s="334" t="s">
        <v>854</v>
      </c>
      <c r="C297" s="335" t="s">
        <v>669</v>
      </c>
      <c r="D297" s="336">
        <v>1</v>
      </c>
      <c r="E297" s="336">
        <f>估驗單!F290</f>
        <v>1</v>
      </c>
      <c r="F297" s="390">
        <f t="shared" si="26"/>
        <v>0</v>
      </c>
      <c r="G297" s="336">
        <v>72.33</v>
      </c>
      <c r="H297" s="336"/>
      <c r="I297" s="336">
        <f t="shared" ref="I297:I309" si="27">ROUND(D297*G297,2)</f>
        <v>72.33</v>
      </c>
      <c r="J297" s="336">
        <f t="shared" ref="J297:J309" si="28">ROUND(E297*G297,2)</f>
        <v>72.33</v>
      </c>
      <c r="K297" s="546">
        <f t="shared" si="25"/>
        <v>0</v>
      </c>
      <c r="L297" s="502"/>
      <c r="M297" s="231"/>
      <c r="N297" s="11" t="s">
        <v>243</v>
      </c>
      <c r="O297" s="341"/>
      <c r="P297" s="339"/>
    </row>
    <row r="298" spans="1:16" ht="33" hidden="1">
      <c r="A298" s="333" t="s">
        <v>2221</v>
      </c>
      <c r="B298" s="334" t="s">
        <v>857</v>
      </c>
      <c r="C298" s="335" t="s">
        <v>669</v>
      </c>
      <c r="D298" s="336">
        <v>1</v>
      </c>
      <c r="E298" s="336">
        <f>估驗單!F291</f>
        <v>1</v>
      </c>
      <c r="F298" s="390">
        <f t="shared" si="26"/>
        <v>0</v>
      </c>
      <c r="G298" s="336">
        <v>111.47</v>
      </c>
      <c r="H298" s="336"/>
      <c r="I298" s="336">
        <f t="shared" si="27"/>
        <v>111.47</v>
      </c>
      <c r="J298" s="336">
        <f t="shared" si="28"/>
        <v>111.47</v>
      </c>
      <c r="K298" s="546">
        <f t="shared" si="25"/>
        <v>0</v>
      </c>
      <c r="L298" s="502"/>
      <c r="M298" s="231"/>
      <c r="N298" s="11" t="s">
        <v>243</v>
      </c>
      <c r="O298" s="341"/>
      <c r="P298" s="339"/>
    </row>
    <row r="299" spans="1:16" ht="33" hidden="1">
      <c r="A299" s="333" t="s">
        <v>2222</v>
      </c>
      <c r="B299" s="334" t="s">
        <v>860</v>
      </c>
      <c r="C299" s="335" t="s">
        <v>669</v>
      </c>
      <c r="D299" s="336">
        <v>1</v>
      </c>
      <c r="E299" s="336">
        <f>估驗單!F292</f>
        <v>1</v>
      </c>
      <c r="F299" s="390">
        <f t="shared" si="26"/>
        <v>0</v>
      </c>
      <c r="G299" s="336">
        <v>101.17</v>
      </c>
      <c r="H299" s="336"/>
      <c r="I299" s="336">
        <f t="shared" si="27"/>
        <v>101.17</v>
      </c>
      <c r="J299" s="336">
        <f t="shared" si="28"/>
        <v>101.17</v>
      </c>
      <c r="K299" s="546">
        <f t="shared" si="25"/>
        <v>0</v>
      </c>
      <c r="L299" s="502"/>
      <c r="M299" s="231"/>
      <c r="N299" s="11" t="s">
        <v>243</v>
      </c>
      <c r="O299" s="341"/>
      <c r="P299" s="339"/>
    </row>
    <row r="300" spans="1:16" ht="33" hidden="1">
      <c r="A300" s="333" t="s">
        <v>2223</v>
      </c>
      <c r="B300" s="334" t="s">
        <v>863</v>
      </c>
      <c r="C300" s="335" t="s">
        <v>669</v>
      </c>
      <c r="D300" s="336">
        <v>1</v>
      </c>
      <c r="E300" s="336">
        <f>估驗單!F293</f>
        <v>1</v>
      </c>
      <c r="F300" s="390">
        <f t="shared" si="26"/>
        <v>0</v>
      </c>
      <c r="G300" s="336">
        <v>81.62</v>
      </c>
      <c r="H300" s="336"/>
      <c r="I300" s="336">
        <f t="shared" si="27"/>
        <v>81.62</v>
      </c>
      <c r="J300" s="336">
        <f t="shared" si="28"/>
        <v>81.62</v>
      </c>
      <c r="K300" s="546">
        <f t="shared" si="25"/>
        <v>0</v>
      </c>
      <c r="L300" s="502"/>
      <c r="M300" s="231"/>
      <c r="N300" s="11" t="s">
        <v>243</v>
      </c>
      <c r="O300" s="341"/>
      <c r="P300" s="339"/>
    </row>
    <row r="301" spans="1:16" ht="33" hidden="1">
      <c r="A301" s="333" t="s">
        <v>2224</v>
      </c>
      <c r="B301" s="334" t="s">
        <v>866</v>
      </c>
      <c r="C301" s="335" t="s">
        <v>669</v>
      </c>
      <c r="D301" s="336">
        <v>1</v>
      </c>
      <c r="E301" s="336">
        <f>估驗單!F294</f>
        <v>1</v>
      </c>
      <c r="F301" s="390">
        <f t="shared" si="26"/>
        <v>0</v>
      </c>
      <c r="G301" s="336">
        <v>79.040000000000006</v>
      </c>
      <c r="H301" s="336"/>
      <c r="I301" s="336">
        <f t="shared" si="27"/>
        <v>79.040000000000006</v>
      </c>
      <c r="J301" s="336">
        <f t="shared" si="28"/>
        <v>79.040000000000006</v>
      </c>
      <c r="K301" s="546">
        <f t="shared" si="25"/>
        <v>0</v>
      </c>
      <c r="L301" s="502"/>
      <c r="M301" s="231"/>
      <c r="N301" s="11" t="s">
        <v>243</v>
      </c>
      <c r="O301" s="341"/>
      <c r="P301" s="339"/>
    </row>
    <row r="302" spans="1:16" ht="33" hidden="1">
      <c r="A302" s="333" t="s">
        <v>2225</v>
      </c>
      <c r="B302" s="334" t="s">
        <v>869</v>
      </c>
      <c r="C302" s="335" t="s">
        <v>669</v>
      </c>
      <c r="D302" s="336">
        <v>1</v>
      </c>
      <c r="E302" s="336">
        <f>估驗單!F295</f>
        <v>1</v>
      </c>
      <c r="F302" s="390">
        <f t="shared" si="26"/>
        <v>0</v>
      </c>
      <c r="G302" s="336">
        <v>99.64</v>
      </c>
      <c r="H302" s="336"/>
      <c r="I302" s="336">
        <f t="shared" si="27"/>
        <v>99.64</v>
      </c>
      <c r="J302" s="336">
        <f t="shared" si="28"/>
        <v>99.64</v>
      </c>
      <c r="K302" s="546">
        <f t="shared" si="25"/>
        <v>0</v>
      </c>
      <c r="L302" s="502"/>
      <c r="M302" s="231"/>
      <c r="N302" s="11" t="s">
        <v>243</v>
      </c>
      <c r="O302" s="341"/>
      <c r="P302" s="339"/>
    </row>
    <row r="303" spans="1:16" ht="33" hidden="1">
      <c r="A303" s="333" t="s">
        <v>2226</v>
      </c>
      <c r="B303" s="334" t="s">
        <v>872</v>
      </c>
      <c r="C303" s="335" t="s">
        <v>669</v>
      </c>
      <c r="D303" s="336">
        <v>1</v>
      </c>
      <c r="E303" s="336">
        <f>估驗單!F296</f>
        <v>1</v>
      </c>
      <c r="F303" s="390">
        <f t="shared" si="26"/>
        <v>0</v>
      </c>
      <c r="G303" s="336">
        <v>74.92</v>
      </c>
      <c r="H303" s="336"/>
      <c r="I303" s="336">
        <f t="shared" si="27"/>
        <v>74.92</v>
      </c>
      <c r="J303" s="336">
        <f t="shared" si="28"/>
        <v>74.92</v>
      </c>
      <c r="K303" s="546">
        <f t="shared" si="25"/>
        <v>0</v>
      </c>
      <c r="L303" s="502"/>
      <c r="M303" s="231"/>
      <c r="N303" s="11" t="s">
        <v>243</v>
      </c>
      <c r="O303" s="341"/>
      <c r="P303" s="339"/>
    </row>
    <row r="304" spans="1:16" ht="33" hidden="1">
      <c r="A304" s="333" t="s">
        <v>2227</v>
      </c>
      <c r="B304" s="334" t="s">
        <v>875</v>
      </c>
      <c r="C304" s="335" t="s">
        <v>669</v>
      </c>
      <c r="D304" s="336">
        <v>1</v>
      </c>
      <c r="E304" s="336">
        <f>估驗單!F297</f>
        <v>1</v>
      </c>
      <c r="F304" s="390">
        <f t="shared" si="26"/>
        <v>0</v>
      </c>
      <c r="G304" s="336">
        <v>72.28</v>
      </c>
      <c r="H304" s="336"/>
      <c r="I304" s="336">
        <f t="shared" si="27"/>
        <v>72.28</v>
      </c>
      <c r="J304" s="336">
        <f t="shared" si="28"/>
        <v>72.28</v>
      </c>
      <c r="K304" s="546">
        <f t="shared" si="25"/>
        <v>0</v>
      </c>
      <c r="L304" s="502"/>
      <c r="M304" s="231"/>
      <c r="N304" s="11" t="s">
        <v>243</v>
      </c>
      <c r="O304" s="341"/>
      <c r="P304" s="339"/>
    </row>
    <row r="305" spans="1:19" ht="33" hidden="1">
      <c r="A305" s="333" t="s">
        <v>2228</v>
      </c>
      <c r="B305" s="334" t="s">
        <v>878</v>
      </c>
      <c r="C305" s="335" t="s">
        <v>13</v>
      </c>
      <c r="D305" s="336">
        <v>1</v>
      </c>
      <c r="E305" s="336">
        <f>估驗單!F298</f>
        <v>1</v>
      </c>
      <c r="F305" s="390">
        <f t="shared" si="26"/>
        <v>0</v>
      </c>
      <c r="G305" s="336">
        <v>43.77</v>
      </c>
      <c r="H305" s="336"/>
      <c r="I305" s="336">
        <f t="shared" si="27"/>
        <v>43.77</v>
      </c>
      <c r="J305" s="336">
        <f t="shared" si="28"/>
        <v>43.77</v>
      </c>
      <c r="K305" s="546">
        <f t="shared" si="25"/>
        <v>0</v>
      </c>
      <c r="L305" s="502"/>
      <c r="M305" s="231"/>
      <c r="N305" s="11" t="s">
        <v>243</v>
      </c>
      <c r="O305" s="341"/>
      <c r="P305" s="339"/>
    </row>
    <row r="306" spans="1:19" ht="33" hidden="1">
      <c r="A306" s="333" t="s">
        <v>2229</v>
      </c>
      <c r="B306" s="334" t="s">
        <v>881</v>
      </c>
      <c r="C306" s="335" t="s">
        <v>882</v>
      </c>
      <c r="D306" s="336">
        <v>1</v>
      </c>
      <c r="E306" s="336">
        <f>估驗單!F299</f>
        <v>1</v>
      </c>
      <c r="F306" s="390">
        <f t="shared" si="26"/>
        <v>0</v>
      </c>
      <c r="G306" s="336">
        <v>28.11</v>
      </c>
      <c r="H306" s="336"/>
      <c r="I306" s="336">
        <f t="shared" si="27"/>
        <v>28.11</v>
      </c>
      <c r="J306" s="336">
        <f t="shared" si="28"/>
        <v>28.11</v>
      </c>
      <c r="K306" s="546">
        <f t="shared" si="25"/>
        <v>0</v>
      </c>
      <c r="L306" s="502"/>
      <c r="M306" s="231"/>
      <c r="N306" s="11" t="s">
        <v>243</v>
      </c>
      <c r="O306" s="341"/>
      <c r="P306" s="339"/>
    </row>
    <row r="307" spans="1:19" ht="33" hidden="1">
      <c r="A307" s="333" t="s">
        <v>2230</v>
      </c>
      <c r="B307" s="334" t="s">
        <v>885</v>
      </c>
      <c r="C307" s="335" t="s">
        <v>13</v>
      </c>
      <c r="D307" s="336">
        <v>1</v>
      </c>
      <c r="E307" s="336">
        <f>估驗單!F300</f>
        <v>1</v>
      </c>
      <c r="F307" s="390">
        <f t="shared" si="26"/>
        <v>0</v>
      </c>
      <c r="G307" s="336">
        <v>239.86</v>
      </c>
      <c r="H307" s="336"/>
      <c r="I307" s="336">
        <f t="shared" si="27"/>
        <v>239.86</v>
      </c>
      <c r="J307" s="336">
        <f t="shared" si="28"/>
        <v>239.86</v>
      </c>
      <c r="K307" s="546">
        <f t="shared" si="25"/>
        <v>0</v>
      </c>
      <c r="L307" s="502"/>
      <c r="M307" s="231"/>
      <c r="N307" s="11" t="s">
        <v>243</v>
      </c>
      <c r="O307" s="341"/>
      <c r="P307" s="339"/>
    </row>
    <row r="308" spans="1:19" s="352" customFormat="1" ht="42.75" hidden="1">
      <c r="A308" s="343">
        <v>76</v>
      </c>
      <c r="B308" s="344" t="s">
        <v>2411</v>
      </c>
      <c r="C308" s="345" t="s">
        <v>2386</v>
      </c>
      <c r="D308" s="340">
        <v>1305</v>
      </c>
      <c r="E308" s="336">
        <f>估驗單!F301</f>
        <v>1305</v>
      </c>
      <c r="F308" s="390">
        <f t="shared" si="26"/>
        <v>0</v>
      </c>
      <c r="G308" s="340">
        <v>1765.46</v>
      </c>
      <c r="H308" s="340"/>
      <c r="I308" s="336">
        <f t="shared" si="27"/>
        <v>2303925.2999999998</v>
      </c>
      <c r="J308" s="336">
        <f t="shared" si="28"/>
        <v>2303925.2999999998</v>
      </c>
      <c r="K308" s="546">
        <f t="shared" si="25"/>
        <v>0</v>
      </c>
      <c r="L308" s="502"/>
      <c r="M308" s="350"/>
      <c r="N308" s="347"/>
      <c r="O308" s="348"/>
      <c r="P308" s="349"/>
      <c r="Q308" s="325"/>
      <c r="S308" s="372" t="s">
        <v>2416</v>
      </c>
    </row>
    <row r="309" spans="1:19" s="363" customFormat="1" ht="31.5" hidden="1" customHeight="1">
      <c r="A309" s="343">
        <v>77</v>
      </c>
      <c r="B309" s="344" t="s">
        <v>1508</v>
      </c>
      <c r="C309" s="345" t="s">
        <v>1509</v>
      </c>
      <c r="D309" s="340">
        <f>9*1702</f>
        <v>15318</v>
      </c>
      <c r="E309" s="336">
        <f>估驗單!F302</f>
        <v>15318</v>
      </c>
      <c r="F309" s="418">
        <f t="shared" si="26"/>
        <v>0</v>
      </c>
      <c r="G309" s="340">
        <v>149.99</v>
      </c>
      <c r="H309" s="340"/>
      <c r="I309" s="336">
        <f t="shared" si="27"/>
        <v>2297546.8199999998</v>
      </c>
      <c r="J309" s="336">
        <f t="shared" si="28"/>
        <v>2297546.8199999998</v>
      </c>
      <c r="K309" s="546">
        <f t="shared" si="25"/>
        <v>0</v>
      </c>
      <c r="L309" s="453"/>
      <c r="M309" s="346"/>
      <c r="N309" s="347"/>
      <c r="O309" s="354"/>
      <c r="P309" s="322"/>
      <c r="Q309" s="325"/>
    </row>
    <row r="310" spans="1:19" ht="33">
      <c r="A310" s="406" t="s">
        <v>2248</v>
      </c>
      <c r="B310" s="407" t="s">
        <v>888</v>
      </c>
      <c r="C310" s="408" t="s">
        <v>4</v>
      </c>
      <c r="D310" s="409">
        <v>1</v>
      </c>
      <c r="E310" s="409">
        <f>估驗單!F303</f>
        <v>1</v>
      </c>
      <c r="F310" s="410"/>
      <c r="G310" s="409">
        <f>I310</f>
        <v>5050770.370000001</v>
      </c>
      <c r="H310" s="409"/>
      <c r="I310" s="409">
        <f>SUM(I311:I343)</f>
        <v>5050770.370000001</v>
      </c>
      <c r="J310" s="409">
        <f>SUM(J311:J343)</f>
        <v>5050770.370000001</v>
      </c>
      <c r="K310" s="542">
        <f>SUM(K311:K343)</f>
        <v>0</v>
      </c>
      <c r="L310" s="534">
        <f>SUM(L311:L343)</f>
        <v>0</v>
      </c>
      <c r="M310" s="288"/>
      <c r="N310" s="11" t="s">
        <v>243</v>
      </c>
      <c r="O310" s="338"/>
      <c r="P310" s="339"/>
      <c r="R310" s="82">
        <v>1</v>
      </c>
    </row>
    <row r="311" spans="1:19" ht="33" hidden="1">
      <c r="A311" s="333" t="s">
        <v>2154</v>
      </c>
      <c r="B311" s="334" t="s">
        <v>890</v>
      </c>
      <c r="C311" s="335" t="s">
        <v>4</v>
      </c>
      <c r="D311" s="336">
        <v>1</v>
      </c>
      <c r="E311" s="336">
        <f>估驗單!F304</f>
        <v>1</v>
      </c>
      <c r="F311" s="390">
        <f t="shared" si="26"/>
        <v>0</v>
      </c>
      <c r="G311" s="336">
        <v>88179.19</v>
      </c>
      <c r="H311" s="336"/>
      <c r="I311" s="336">
        <f t="shared" ref="I311:I343" si="29">ROUND(D311*G311,2)</f>
        <v>88179.19</v>
      </c>
      <c r="J311" s="336">
        <f t="shared" ref="J311:J343" si="30">ROUND(E311*G311,2)</f>
        <v>88179.19</v>
      </c>
      <c r="K311" s="546">
        <f t="shared" si="25"/>
        <v>0</v>
      </c>
      <c r="L311" s="502"/>
      <c r="M311" s="231"/>
      <c r="N311" s="11" t="s">
        <v>243</v>
      </c>
      <c r="O311" s="341"/>
      <c r="P311" s="339"/>
    </row>
    <row r="312" spans="1:19" ht="33" hidden="1">
      <c r="A312" s="333" t="s">
        <v>2155</v>
      </c>
      <c r="B312" s="334" t="s">
        <v>893</v>
      </c>
      <c r="C312" s="335" t="s">
        <v>4</v>
      </c>
      <c r="D312" s="336">
        <v>1</v>
      </c>
      <c r="E312" s="336">
        <f>估驗單!F305</f>
        <v>1</v>
      </c>
      <c r="F312" s="390">
        <f t="shared" si="26"/>
        <v>0</v>
      </c>
      <c r="G312" s="336">
        <v>149702.84</v>
      </c>
      <c r="H312" s="336"/>
      <c r="I312" s="336">
        <f t="shared" si="29"/>
        <v>149702.84</v>
      </c>
      <c r="J312" s="336">
        <f t="shared" si="30"/>
        <v>149702.84</v>
      </c>
      <c r="K312" s="546">
        <f t="shared" si="25"/>
        <v>0</v>
      </c>
      <c r="L312" s="502"/>
      <c r="M312" s="231"/>
      <c r="N312" s="11" t="s">
        <v>243</v>
      </c>
      <c r="O312" s="341"/>
      <c r="P312" s="339"/>
    </row>
    <row r="313" spans="1:19" ht="33" hidden="1">
      <c r="A313" s="333" t="s">
        <v>2156</v>
      </c>
      <c r="B313" s="334" t="s">
        <v>896</v>
      </c>
      <c r="C313" s="335" t="s">
        <v>4</v>
      </c>
      <c r="D313" s="336">
        <v>1</v>
      </c>
      <c r="E313" s="336">
        <f>估驗單!F306</f>
        <v>1</v>
      </c>
      <c r="F313" s="390">
        <f t="shared" si="26"/>
        <v>0</v>
      </c>
      <c r="G313" s="336">
        <v>168290.82</v>
      </c>
      <c r="H313" s="336"/>
      <c r="I313" s="336">
        <f t="shared" si="29"/>
        <v>168290.82</v>
      </c>
      <c r="J313" s="336">
        <f t="shared" si="30"/>
        <v>168290.82</v>
      </c>
      <c r="K313" s="546">
        <f t="shared" si="25"/>
        <v>0</v>
      </c>
      <c r="L313" s="502"/>
      <c r="M313" s="231"/>
      <c r="N313" s="11" t="s">
        <v>243</v>
      </c>
      <c r="O313" s="341"/>
      <c r="P313" s="339"/>
    </row>
    <row r="314" spans="1:19" ht="33" hidden="1">
      <c r="A314" s="333" t="s">
        <v>2157</v>
      </c>
      <c r="B314" s="334" t="s">
        <v>899</v>
      </c>
      <c r="C314" s="335" t="s">
        <v>4</v>
      </c>
      <c r="D314" s="336">
        <v>1</v>
      </c>
      <c r="E314" s="336">
        <f>估驗單!F307</f>
        <v>1</v>
      </c>
      <c r="F314" s="390">
        <f t="shared" si="26"/>
        <v>0</v>
      </c>
      <c r="G314" s="336">
        <v>23946.69</v>
      </c>
      <c r="H314" s="336"/>
      <c r="I314" s="336">
        <f t="shared" si="29"/>
        <v>23946.69</v>
      </c>
      <c r="J314" s="336">
        <f t="shared" si="30"/>
        <v>23946.69</v>
      </c>
      <c r="K314" s="546">
        <f t="shared" si="25"/>
        <v>0</v>
      </c>
      <c r="L314" s="502"/>
      <c r="M314" s="231"/>
      <c r="N314" s="11" t="s">
        <v>243</v>
      </c>
      <c r="O314" s="341"/>
      <c r="P314" s="339"/>
    </row>
    <row r="315" spans="1:19" s="325" customFormat="1" ht="33" hidden="1">
      <c r="A315" s="333" t="s">
        <v>2158</v>
      </c>
      <c r="B315" s="334" t="s">
        <v>902</v>
      </c>
      <c r="C315" s="335" t="s">
        <v>0</v>
      </c>
      <c r="D315" s="336">
        <v>11</v>
      </c>
      <c r="E315" s="336">
        <f>估驗單!F308</f>
        <v>11</v>
      </c>
      <c r="F315" s="390">
        <f t="shared" si="26"/>
        <v>0</v>
      </c>
      <c r="G315" s="336">
        <v>42797.67</v>
      </c>
      <c r="H315" s="336"/>
      <c r="I315" s="336">
        <f t="shared" si="29"/>
        <v>470774.37</v>
      </c>
      <c r="J315" s="336">
        <f t="shared" si="30"/>
        <v>470774.37</v>
      </c>
      <c r="K315" s="546">
        <f t="shared" si="25"/>
        <v>0</v>
      </c>
      <c r="L315" s="502"/>
      <c r="M315" s="231"/>
      <c r="N315" s="11" t="s">
        <v>243</v>
      </c>
      <c r="O315" s="341"/>
      <c r="P315" s="339"/>
    </row>
    <row r="316" spans="1:19" s="325" customFormat="1" ht="33" hidden="1">
      <c r="A316" s="333" t="s">
        <v>2159</v>
      </c>
      <c r="B316" s="334" t="s">
        <v>905</v>
      </c>
      <c r="C316" s="335" t="s">
        <v>0</v>
      </c>
      <c r="D316" s="336">
        <v>9</v>
      </c>
      <c r="E316" s="336">
        <f>估驗單!F309</f>
        <v>9</v>
      </c>
      <c r="F316" s="390">
        <f t="shared" si="26"/>
        <v>0</v>
      </c>
      <c r="G316" s="336">
        <v>60396.71</v>
      </c>
      <c r="H316" s="336"/>
      <c r="I316" s="336">
        <f t="shared" si="29"/>
        <v>543570.39</v>
      </c>
      <c r="J316" s="336">
        <f t="shared" si="30"/>
        <v>543570.39</v>
      </c>
      <c r="K316" s="546">
        <f t="shared" si="25"/>
        <v>0</v>
      </c>
      <c r="L316" s="502"/>
      <c r="M316" s="231"/>
      <c r="N316" s="11" t="s">
        <v>243</v>
      </c>
      <c r="O316" s="341"/>
      <c r="P316" s="339"/>
    </row>
    <row r="317" spans="1:19" s="325" customFormat="1" ht="33" hidden="1">
      <c r="A317" s="333" t="s">
        <v>2160</v>
      </c>
      <c r="B317" s="334" t="s">
        <v>908</v>
      </c>
      <c r="C317" s="335" t="s">
        <v>0</v>
      </c>
      <c r="D317" s="336">
        <v>10</v>
      </c>
      <c r="E317" s="336">
        <f>估驗單!F310</f>
        <v>10</v>
      </c>
      <c r="F317" s="390">
        <f t="shared" si="26"/>
        <v>0</v>
      </c>
      <c r="G317" s="336">
        <v>34998.089999999997</v>
      </c>
      <c r="H317" s="336"/>
      <c r="I317" s="336">
        <f t="shared" si="29"/>
        <v>349980.9</v>
      </c>
      <c r="J317" s="336">
        <f t="shared" si="30"/>
        <v>349980.9</v>
      </c>
      <c r="K317" s="546">
        <f t="shared" si="25"/>
        <v>0</v>
      </c>
      <c r="L317" s="502"/>
      <c r="M317" s="231"/>
      <c r="N317" s="11" t="s">
        <v>243</v>
      </c>
      <c r="O317" s="341"/>
      <c r="P317" s="339"/>
    </row>
    <row r="318" spans="1:19" s="325" customFormat="1" ht="33" hidden="1">
      <c r="A318" s="333" t="s">
        <v>2161</v>
      </c>
      <c r="B318" s="334" t="s">
        <v>911</v>
      </c>
      <c r="C318" s="335" t="s">
        <v>0</v>
      </c>
      <c r="D318" s="336">
        <v>8</v>
      </c>
      <c r="E318" s="336">
        <f>估驗單!F311</f>
        <v>8</v>
      </c>
      <c r="F318" s="390">
        <f t="shared" si="26"/>
        <v>0</v>
      </c>
      <c r="G318" s="336">
        <v>9999.4500000000007</v>
      </c>
      <c r="H318" s="336"/>
      <c r="I318" s="336">
        <f t="shared" si="29"/>
        <v>79995.600000000006</v>
      </c>
      <c r="J318" s="336">
        <f t="shared" si="30"/>
        <v>79995.600000000006</v>
      </c>
      <c r="K318" s="546">
        <f t="shared" si="25"/>
        <v>0</v>
      </c>
      <c r="L318" s="502"/>
      <c r="M318" s="231"/>
      <c r="N318" s="11" t="s">
        <v>243</v>
      </c>
      <c r="O318" s="341"/>
      <c r="P318" s="339"/>
    </row>
    <row r="319" spans="1:19" s="325" customFormat="1" ht="33" hidden="1">
      <c r="A319" s="333" t="s">
        <v>2162</v>
      </c>
      <c r="B319" s="334" t="s">
        <v>914</v>
      </c>
      <c r="C319" s="335" t="s">
        <v>15</v>
      </c>
      <c r="D319" s="336">
        <v>2</v>
      </c>
      <c r="E319" s="336">
        <f>估驗單!F312</f>
        <v>2</v>
      </c>
      <c r="F319" s="390">
        <f t="shared" si="26"/>
        <v>0</v>
      </c>
      <c r="G319" s="336">
        <v>1499.92</v>
      </c>
      <c r="H319" s="336"/>
      <c r="I319" s="336">
        <f t="shared" si="29"/>
        <v>2999.84</v>
      </c>
      <c r="J319" s="336">
        <f t="shared" si="30"/>
        <v>2999.84</v>
      </c>
      <c r="K319" s="546">
        <f t="shared" si="25"/>
        <v>0</v>
      </c>
      <c r="L319" s="502"/>
      <c r="M319" s="231"/>
      <c r="N319" s="11" t="s">
        <v>243</v>
      </c>
      <c r="O319" s="341"/>
      <c r="P319" s="339"/>
    </row>
    <row r="320" spans="1:19" s="325" customFormat="1" ht="33" hidden="1">
      <c r="A320" s="333" t="s">
        <v>2163</v>
      </c>
      <c r="B320" s="334" t="s">
        <v>917</v>
      </c>
      <c r="C320" s="335" t="s">
        <v>15</v>
      </c>
      <c r="D320" s="336">
        <v>2</v>
      </c>
      <c r="E320" s="336">
        <f>估驗單!F313</f>
        <v>2</v>
      </c>
      <c r="F320" s="390">
        <f t="shared" si="26"/>
        <v>0</v>
      </c>
      <c r="G320" s="336">
        <v>3999.78</v>
      </c>
      <c r="H320" s="336"/>
      <c r="I320" s="336">
        <f t="shared" si="29"/>
        <v>7999.56</v>
      </c>
      <c r="J320" s="336">
        <f t="shared" si="30"/>
        <v>7999.56</v>
      </c>
      <c r="K320" s="546">
        <f t="shared" si="25"/>
        <v>0</v>
      </c>
      <c r="L320" s="502"/>
      <c r="M320" s="231"/>
      <c r="N320" s="11" t="s">
        <v>243</v>
      </c>
      <c r="O320" s="341"/>
      <c r="P320" s="339"/>
    </row>
    <row r="321" spans="1:16" s="325" customFormat="1" ht="33" hidden="1">
      <c r="A321" s="333" t="s">
        <v>2164</v>
      </c>
      <c r="B321" s="334" t="s">
        <v>920</v>
      </c>
      <c r="C321" s="335" t="s">
        <v>8</v>
      </c>
      <c r="D321" s="336">
        <v>44.6</v>
      </c>
      <c r="E321" s="336">
        <f>估驗單!F314</f>
        <v>44.6</v>
      </c>
      <c r="F321" s="390">
        <f t="shared" si="26"/>
        <v>0</v>
      </c>
      <c r="G321" s="336">
        <v>799.96</v>
      </c>
      <c r="H321" s="336"/>
      <c r="I321" s="336">
        <f t="shared" si="29"/>
        <v>35678.22</v>
      </c>
      <c r="J321" s="336">
        <f t="shared" si="30"/>
        <v>35678.22</v>
      </c>
      <c r="K321" s="546">
        <f t="shared" si="25"/>
        <v>0</v>
      </c>
      <c r="L321" s="502"/>
      <c r="M321" s="231"/>
      <c r="N321" s="11" t="s">
        <v>243</v>
      </c>
      <c r="O321" s="341"/>
      <c r="P321" s="339"/>
    </row>
    <row r="322" spans="1:16" s="325" customFormat="1" ht="33" hidden="1">
      <c r="A322" s="333" t="s">
        <v>2165</v>
      </c>
      <c r="B322" s="334" t="s">
        <v>923</v>
      </c>
      <c r="C322" s="335" t="s">
        <v>15</v>
      </c>
      <c r="D322" s="336">
        <v>10</v>
      </c>
      <c r="E322" s="336">
        <f>估驗單!F315</f>
        <v>10</v>
      </c>
      <c r="F322" s="390">
        <f t="shared" si="26"/>
        <v>0</v>
      </c>
      <c r="G322" s="336">
        <v>11299.38</v>
      </c>
      <c r="H322" s="336"/>
      <c r="I322" s="336">
        <f t="shared" si="29"/>
        <v>112993.8</v>
      </c>
      <c r="J322" s="336">
        <f t="shared" si="30"/>
        <v>112993.8</v>
      </c>
      <c r="K322" s="546">
        <f t="shared" si="25"/>
        <v>0</v>
      </c>
      <c r="L322" s="502"/>
      <c r="M322" s="231"/>
      <c r="N322" s="11" t="s">
        <v>243</v>
      </c>
      <c r="O322" s="341"/>
      <c r="P322" s="339"/>
    </row>
    <row r="323" spans="1:16" s="325" customFormat="1" ht="33" hidden="1">
      <c r="A323" s="333" t="s">
        <v>2166</v>
      </c>
      <c r="B323" s="334" t="s">
        <v>926</v>
      </c>
      <c r="C323" s="335" t="s">
        <v>15</v>
      </c>
      <c r="D323" s="336">
        <v>5</v>
      </c>
      <c r="E323" s="336">
        <f>估驗單!F316</f>
        <v>5</v>
      </c>
      <c r="F323" s="390">
        <f t="shared" si="26"/>
        <v>0</v>
      </c>
      <c r="G323" s="336">
        <v>17999.02</v>
      </c>
      <c r="H323" s="336"/>
      <c r="I323" s="336">
        <f t="shared" si="29"/>
        <v>89995.1</v>
      </c>
      <c r="J323" s="336">
        <f t="shared" si="30"/>
        <v>89995.1</v>
      </c>
      <c r="K323" s="546">
        <f t="shared" si="25"/>
        <v>0</v>
      </c>
      <c r="L323" s="502"/>
      <c r="M323" s="231"/>
      <c r="N323" s="11" t="s">
        <v>243</v>
      </c>
      <c r="O323" s="341"/>
      <c r="P323" s="339"/>
    </row>
    <row r="324" spans="1:16" s="325" customFormat="1" ht="33" hidden="1">
      <c r="A324" s="333" t="s">
        <v>2167</v>
      </c>
      <c r="B324" s="334" t="s">
        <v>929</v>
      </c>
      <c r="C324" s="335" t="s">
        <v>15</v>
      </c>
      <c r="D324" s="336">
        <v>17</v>
      </c>
      <c r="E324" s="336">
        <f>估驗單!F317</f>
        <v>17</v>
      </c>
      <c r="F324" s="390">
        <f t="shared" si="26"/>
        <v>0</v>
      </c>
      <c r="G324" s="336">
        <v>4199.7700000000004</v>
      </c>
      <c r="H324" s="336"/>
      <c r="I324" s="336">
        <f t="shared" si="29"/>
        <v>71396.09</v>
      </c>
      <c r="J324" s="336">
        <f t="shared" si="30"/>
        <v>71396.09</v>
      </c>
      <c r="K324" s="546">
        <f t="shared" si="25"/>
        <v>0</v>
      </c>
      <c r="L324" s="502"/>
      <c r="M324" s="231"/>
      <c r="N324" s="11" t="s">
        <v>243</v>
      </c>
      <c r="O324" s="341"/>
      <c r="P324" s="339"/>
    </row>
    <row r="325" spans="1:16" s="325" customFormat="1" ht="33" hidden="1">
      <c r="A325" s="333" t="s">
        <v>2168</v>
      </c>
      <c r="B325" s="334" t="s">
        <v>932</v>
      </c>
      <c r="C325" s="335" t="s">
        <v>290</v>
      </c>
      <c r="D325" s="336">
        <v>1</v>
      </c>
      <c r="E325" s="336">
        <f>估驗單!F318</f>
        <v>1</v>
      </c>
      <c r="F325" s="390">
        <f t="shared" si="26"/>
        <v>0</v>
      </c>
      <c r="G325" s="336">
        <v>112957.32</v>
      </c>
      <c r="H325" s="336"/>
      <c r="I325" s="336">
        <f t="shared" si="29"/>
        <v>112957.32</v>
      </c>
      <c r="J325" s="336">
        <f t="shared" si="30"/>
        <v>112957.32</v>
      </c>
      <c r="K325" s="546">
        <f t="shared" si="25"/>
        <v>0</v>
      </c>
      <c r="L325" s="502"/>
      <c r="M325" s="231"/>
      <c r="N325" s="11" t="s">
        <v>243</v>
      </c>
      <c r="O325" s="341"/>
      <c r="P325" s="339"/>
    </row>
    <row r="326" spans="1:16" s="325" customFormat="1" ht="33" hidden="1">
      <c r="A326" s="333" t="s">
        <v>2169</v>
      </c>
      <c r="B326" s="334" t="s">
        <v>935</v>
      </c>
      <c r="C326" s="335" t="s">
        <v>4</v>
      </c>
      <c r="D326" s="336">
        <v>1</v>
      </c>
      <c r="E326" s="336">
        <f>估驗單!F319</f>
        <v>1</v>
      </c>
      <c r="F326" s="390">
        <f t="shared" si="26"/>
        <v>0</v>
      </c>
      <c r="G326" s="336">
        <v>322482.40999999997</v>
      </c>
      <c r="H326" s="336"/>
      <c r="I326" s="336">
        <f t="shared" si="29"/>
        <v>322482.40999999997</v>
      </c>
      <c r="J326" s="336">
        <f t="shared" si="30"/>
        <v>322482.40999999997</v>
      </c>
      <c r="K326" s="546">
        <f t="shared" si="25"/>
        <v>0</v>
      </c>
      <c r="L326" s="502"/>
      <c r="M326" s="231"/>
      <c r="N326" s="11" t="s">
        <v>243</v>
      </c>
      <c r="O326" s="341"/>
      <c r="P326" s="339"/>
    </row>
    <row r="327" spans="1:16" s="325" customFormat="1" ht="33" hidden="1">
      <c r="A327" s="333" t="s">
        <v>2170</v>
      </c>
      <c r="B327" s="334" t="s">
        <v>938</v>
      </c>
      <c r="C327" s="335" t="s">
        <v>15</v>
      </c>
      <c r="D327" s="336">
        <v>17</v>
      </c>
      <c r="E327" s="336">
        <f>估驗單!F320</f>
        <v>17</v>
      </c>
      <c r="F327" s="390">
        <f t="shared" si="26"/>
        <v>0</v>
      </c>
      <c r="G327" s="336">
        <v>99994.55</v>
      </c>
      <c r="H327" s="336"/>
      <c r="I327" s="336">
        <f t="shared" si="29"/>
        <v>1699907.35</v>
      </c>
      <c r="J327" s="336">
        <f t="shared" si="30"/>
        <v>1699907.35</v>
      </c>
      <c r="K327" s="546">
        <f t="shared" si="25"/>
        <v>0</v>
      </c>
      <c r="L327" s="502"/>
      <c r="M327" s="231"/>
      <c r="N327" s="11" t="s">
        <v>243</v>
      </c>
      <c r="O327" s="341"/>
      <c r="P327" s="339"/>
    </row>
    <row r="328" spans="1:16" s="325" customFormat="1" ht="33" hidden="1">
      <c r="A328" s="333" t="s">
        <v>2171</v>
      </c>
      <c r="B328" s="334" t="s">
        <v>941</v>
      </c>
      <c r="C328" s="335" t="s">
        <v>583</v>
      </c>
      <c r="D328" s="336">
        <v>2</v>
      </c>
      <c r="E328" s="336">
        <f>估驗單!F321</f>
        <v>2</v>
      </c>
      <c r="F328" s="390">
        <f t="shared" si="26"/>
        <v>0</v>
      </c>
      <c r="G328" s="336">
        <v>14999.18</v>
      </c>
      <c r="H328" s="336"/>
      <c r="I328" s="336">
        <f t="shared" si="29"/>
        <v>29998.36</v>
      </c>
      <c r="J328" s="336">
        <f t="shared" si="30"/>
        <v>29998.36</v>
      </c>
      <c r="K328" s="546">
        <f t="shared" si="25"/>
        <v>0</v>
      </c>
      <c r="L328" s="502"/>
      <c r="M328" s="231"/>
      <c r="N328" s="11" t="s">
        <v>243</v>
      </c>
      <c r="O328" s="341"/>
      <c r="P328" s="339"/>
    </row>
    <row r="329" spans="1:16" s="325" customFormat="1" ht="33" hidden="1">
      <c r="A329" s="333" t="s">
        <v>2172</v>
      </c>
      <c r="B329" s="334" t="s">
        <v>944</v>
      </c>
      <c r="C329" s="335" t="s">
        <v>15</v>
      </c>
      <c r="D329" s="336">
        <v>1</v>
      </c>
      <c r="E329" s="336">
        <f>估驗單!F322</f>
        <v>1</v>
      </c>
      <c r="F329" s="390">
        <f t="shared" si="26"/>
        <v>0</v>
      </c>
      <c r="G329" s="336">
        <v>1499.92</v>
      </c>
      <c r="H329" s="336"/>
      <c r="I329" s="336">
        <f t="shared" si="29"/>
        <v>1499.92</v>
      </c>
      <c r="J329" s="336">
        <f t="shared" si="30"/>
        <v>1499.92</v>
      </c>
      <c r="K329" s="546">
        <f t="shared" si="25"/>
        <v>0</v>
      </c>
      <c r="L329" s="502"/>
      <c r="M329" s="231"/>
      <c r="N329" s="11" t="s">
        <v>243</v>
      </c>
      <c r="O329" s="341"/>
      <c r="P329" s="339"/>
    </row>
    <row r="330" spans="1:16" s="325" customFormat="1" ht="33" hidden="1">
      <c r="A330" s="333" t="s">
        <v>2173</v>
      </c>
      <c r="B330" s="334" t="s">
        <v>947</v>
      </c>
      <c r="C330" s="335" t="s">
        <v>19</v>
      </c>
      <c r="D330" s="336">
        <v>2</v>
      </c>
      <c r="E330" s="336">
        <f>估驗單!F323</f>
        <v>2</v>
      </c>
      <c r="F330" s="390">
        <f t="shared" si="26"/>
        <v>0</v>
      </c>
      <c r="G330" s="336">
        <v>2599.86</v>
      </c>
      <c r="H330" s="336"/>
      <c r="I330" s="336">
        <f t="shared" si="29"/>
        <v>5199.72</v>
      </c>
      <c r="J330" s="336">
        <f t="shared" si="30"/>
        <v>5199.72</v>
      </c>
      <c r="K330" s="546">
        <f t="shared" si="25"/>
        <v>0</v>
      </c>
      <c r="L330" s="502"/>
      <c r="M330" s="231" t="s">
        <v>242</v>
      </c>
      <c r="N330" s="11" t="s">
        <v>243</v>
      </c>
      <c r="O330" s="341"/>
      <c r="P330" s="339"/>
    </row>
    <row r="331" spans="1:16" ht="33" hidden="1">
      <c r="A331" s="333" t="s">
        <v>2174</v>
      </c>
      <c r="B331" s="334" t="s">
        <v>950</v>
      </c>
      <c r="C331" s="335" t="s">
        <v>19</v>
      </c>
      <c r="D331" s="336">
        <v>9</v>
      </c>
      <c r="E331" s="336">
        <f>估驗單!F324</f>
        <v>9</v>
      </c>
      <c r="F331" s="390">
        <f t="shared" si="26"/>
        <v>0</v>
      </c>
      <c r="G331" s="336">
        <v>4459.76</v>
      </c>
      <c r="H331" s="336"/>
      <c r="I331" s="336">
        <f t="shared" si="29"/>
        <v>40137.839999999997</v>
      </c>
      <c r="J331" s="336">
        <f t="shared" si="30"/>
        <v>40137.839999999997</v>
      </c>
      <c r="K331" s="546">
        <f t="shared" si="25"/>
        <v>0</v>
      </c>
      <c r="L331" s="502"/>
      <c r="M331" s="231" t="s">
        <v>242</v>
      </c>
      <c r="N331" s="11" t="s">
        <v>243</v>
      </c>
      <c r="O331" s="341"/>
      <c r="P331" s="339"/>
    </row>
    <row r="332" spans="1:16" ht="33" hidden="1">
      <c r="A332" s="333" t="s">
        <v>2175</v>
      </c>
      <c r="B332" s="334" t="s">
        <v>953</v>
      </c>
      <c r="C332" s="335" t="s">
        <v>8</v>
      </c>
      <c r="D332" s="336">
        <v>180</v>
      </c>
      <c r="E332" s="336">
        <f>估驗單!F325</f>
        <v>180</v>
      </c>
      <c r="F332" s="390">
        <f t="shared" si="26"/>
        <v>0</v>
      </c>
      <c r="G332" s="336">
        <v>596.98</v>
      </c>
      <c r="H332" s="336"/>
      <c r="I332" s="336">
        <f t="shared" si="29"/>
        <v>107456.4</v>
      </c>
      <c r="J332" s="336">
        <f t="shared" si="30"/>
        <v>107456.4</v>
      </c>
      <c r="K332" s="546">
        <f t="shared" si="25"/>
        <v>0</v>
      </c>
      <c r="L332" s="502"/>
      <c r="M332" s="231" t="s">
        <v>242</v>
      </c>
      <c r="N332" s="11" t="s">
        <v>243</v>
      </c>
      <c r="O332" s="341"/>
      <c r="P332" s="339"/>
    </row>
    <row r="333" spans="1:16" ht="33" hidden="1">
      <c r="A333" s="333" t="s">
        <v>2177</v>
      </c>
      <c r="B333" s="334" t="s">
        <v>956</v>
      </c>
      <c r="C333" s="335" t="s">
        <v>8</v>
      </c>
      <c r="D333" s="336">
        <v>60</v>
      </c>
      <c r="E333" s="336">
        <f>估驗單!F326</f>
        <v>60</v>
      </c>
      <c r="F333" s="390">
        <f t="shared" si="26"/>
        <v>0</v>
      </c>
      <c r="G333" s="336">
        <v>67.42</v>
      </c>
      <c r="H333" s="336"/>
      <c r="I333" s="336">
        <f t="shared" si="29"/>
        <v>4045.2</v>
      </c>
      <c r="J333" s="336">
        <f t="shared" si="30"/>
        <v>4045.2</v>
      </c>
      <c r="K333" s="546">
        <f t="shared" ref="K333:K396" si="31">J333-I333</f>
        <v>0</v>
      </c>
      <c r="L333" s="502"/>
      <c r="M333" s="231"/>
      <c r="N333" s="11" t="s">
        <v>243</v>
      </c>
      <c r="O333" s="341"/>
      <c r="P333" s="339"/>
    </row>
    <row r="334" spans="1:16" ht="33" hidden="1">
      <c r="A334" s="333" t="s">
        <v>2178</v>
      </c>
      <c r="B334" s="334" t="s">
        <v>959</v>
      </c>
      <c r="C334" s="335" t="s">
        <v>8</v>
      </c>
      <c r="D334" s="336">
        <v>1032</v>
      </c>
      <c r="E334" s="336">
        <f>估驗單!F327</f>
        <v>1032</v>
      </c>
      <c r="F334" s="390">
        <f t="shared" si="26"/>
        <v>0</v>
      </c>
      <c r="G334" s="336">
        <v>29.42</v>
      </c>
      <c r="H334" s="336"/>
      <c r="I334" s="336">
        <f t="shared" si="29"/>
        <v>30361.439999999999</v>
      </c>
      <c r="J334" s="336">
        <f t="shared" si="30"/>
        <v>30361.439999999999</v>
      </c>
      <c r="K334" s="546">
        <f t="shared" si="31"/>
        <v>0</v>
      </c>
      <c r="L334" s="502"/>
      <c r="M334" s="231" t="s">
        <v>242</v>
      </c>
      <c r="N334" s="11" t="s">
        <v>243</v>
      </c>
      <c r="O334" s="341"/>
      <c r="P334" s="339"/>
    </row>
    <row r="335" spans="1:16" ht="33" hidden="1">
      <c r="A335" s="333" t="s">
        <v>2179</v>
      </c>
      <c r="B335" s="334" t="s">
        <v>962</v>
      </c>
      <c r="C335" s="335" t="s">
        <v>8</v>
      </c>
      <c r="D335" s="336">
        <v>1103</v>
      </c>
      <c r="E335" s="336">
        <f>估驗單!F328</f>
        <v>1103</v>
      </c>
      <c r="F335" s="390">
        <f t="shared" si="26"/>
        <v>0</v>
      </c>
      <c r="G335" s="336">
        <v>147.1</v>
      </c>
      <c r="H335" s="336"/>
      <c r="I335" s="336">
        <f t="shared" si="29"/>
        <v>162251.29999999999</v>
      </c>
      <c r="J335" s="336">
        <f t="shared" si="30"/>
        <v>162251.29999999999</v>
      </c>
      <c r="K335" s="546">
        <f t="shared" si="31"/>
        <v>0</v>
      </c>
      <c r="L335" s="502"/>
      <c r="M335" s="231" t="s">
        <v>242</v>
      </c>
      <c r="N335" s="11" t="s">
        <v>243</v>
      </c>
      <c r="O335" s="341"/>
      <c r="P335" s="339"/>
    </row>
    <row r="336" spans="1:16" ht="42.75" hidden="1">
      <c r="A336" s="333" t="s">
        <v>2181</v>
      </c>
      <c r="B336" s="334" t="s">
        <v>219</v>
      </c>
      <c r="C336" s="335" t="s">
        <v>8</v>
      </c>
      <c r="D336" s="336">
        <v>2064</v>
      </c>
      <c r="E336" s="336">
        <f>估驗單!F329</f>
        <v>2064</v>
      </c>
      <c r="F336" s="390">
        <f t="shared" si="26"/>
        <v>0</v>
      </c>
      <c r="G336" s="336">
        <v>78.459999999999994</v>
      </c>
      <c r="H336" s="336"/>
      <c r="I336" s="336">
        <f t="shared" si="29"/>
        <v>161941.44</v>
      </c>
      <c r="J336" s="336">
        <f t="shared" si="30"/>
        <v>161941.44</v>
      </c>
      <c r="K336" s="546">
        <f t="shared" si="31"/>
        <v>0</v>
      </c>
      <c r="L336" s="502"/>
      <c r="M336" s="231" t="s">
        <v>242</v>
      </c>
      <c r="N336" s="11" t="s">
        <v>243</v>
      </c>
      <c r="O336" s="341"/>
      <c r="P336" s="339"/>
    </row>
    <row r="337" spans="1:18" ht="33" hidden="1">
      <c r="A337" s="333" t="s">
        <v>2182</v>
      </c>
      <c r="B337" s="334" t="s">
        <v>967</v>
      </c>
      <c r="C337" s="335" t="s">
        <v>4</v>
      </c>
      <c r="D337" s="336">
        <v>1</v>
      </c>
      <c r="E337" s="336">
        <f>估驗單!F330</f>
        <v>1</v>
      </c>
      <c r="F337" s="390">
        <f t="shared" si="26"/>
        <v>0</v>
      </c>
      <c r="G337" s="336">
        <v>24062.69</v>
      </c>
      <c r="H337" s="336"/>
      <c r="I337" s="336">
        <f t="shared" si="29"/>
        <v>24062.69</v>
      </c>
      <c r="J337" s="336">
        <f t="shared" si="30"/>
        <v>24062.69</v>
      </c>
      <c r="K337" s="546">
        <f t="shared" si="31"/>
        <v>0</v>
      </c>
      <c r="L337" s="502"/>
      <c r="M337" s="231"/>
      <c r="N337" s="11" t="s">
        <v>243</v>
      </c>
      <c r="O337" s="341"/>
      <c r="P337" s="339"/>
    </row>
    <row r="338" spans="1:18" ht="33" hidden="1">
      <c r="A338" s="333" t="s">
        <v>2183</v>
      </c>
      <c r="B338" s="334" t="s">
        <v>970</v>
      </c>
      <c r="C338" s="335" t="s">
        <v>8</v>
      </c>
      <c r="D338" s="336">
        <v>1011</v>
      </c>
      <c r="E338" s="336">
        <f>估驗單!F331</f>
        <v>1011</v>
      </c>
      <c r="F338" s="390">
        <f t="shared" si="26"/>
        <v>0</v>
      </c>
      <c r="G338" s="336">
        <v>35.549999999999997</v>
      </c>
      <c r="H338" s="336"/>
      <c r="I338" s="336">
        <f t="shared" si="29"/>
        <v>35941.050000000003</v>
      </c>
      <c r="J338" s="336">
        <f t="shared" si="30"/>
        <v>35941.050000000003</v>
      </c>
      <c r="K338" s="546">
        <f t="shared" si="31"/>
        <v>0</v>
      </c>
      <c r="L338" s="502"/>
      <c r="M338" s="231"/>
      <c r="N338" s="11" t="s">
        <v>243</v>
      </c>
      <c r="O338" s="341"/>
      <c r="P338" s="339"/>
    </row>
    <row r="339" spans="1:18" ht="33" hidden="1">
      <c r="A339" s="333" t="s">
        <v>2184</v>
      </c>
      <c r="B339" s="334" t="s">
        <v>220</v>
      </c>
      <c r="C339" s="335" t="s">
        <v>8</v>
      </c>
      <c r="D339" s="336">
        <v>946</v>
      </c>
      <c r="E339" s="336">
        <f>估驗單!F332</f>
        <v>946</v>
      </c>
      <c r="F339" s="390">
        <f t="shared" si="26"/>
        <v>0</v>
      </c>
      <c r="G339" s="336">
        <v>60.07</v>
      </c>
      <c r="H339" s="336"/>
      <c r="I339" s="336">
        <f t="shared" si="29"/>
        <v>56826.22</v>
      </c>
      <c r="J339" s="336">
        <f t="shared" si="30"/>
        <v>56826.22</v>
      </c>
      <c r="K339" s="546">
        <f t="shared" si="31"/>
        <v>0</v>
      </c>
      <c r="L339" s="502"/>
      <c r="M339" s="231"/>
      <c r="N339" s="11" t="s">
        <v>243</v>
      </c>
      <c r="O339" s="341"/>
      <c r="P339" s="339"/>
    </row>
    <row r="340" spans="1:18" ht="33" hidden="1">
      <c r="A340" s="333" t="s">
        <v>2185</v>
      </c>
      <c r="B340" s="334" t="s">
        <v>975</v>
      </c>
      <c r="C340" s="335" t="s">
        <v>8</v>
      </c>
      <c r="D340" s="336">
        <v>55</v>
      </c>
      <c r="E340" s="336">
        <f>估驗單!F333</f>
        <v>55</v>
      </c>
      <c r="F340" s="390">
        <f t="shared" si="26"/>
        <v>0</v>
      </c>
      <c r="G340" s="336">
        <v>125.03</v>
      </c>
      <c r="H340" s="336"/>
      <c r="I340" s="336">
        <f t="shared" si="29"/>
        <v>6876.65</v>
      </c>
      <c r="J340" s="336">
        <f t="shared" si="30"/>
        <v>6876.65</v>
      </c>
      <c r="K340" s="546">
        <f t="shared" si="31"/>
        <v>0</v>
      </c>
      <c r="L340" s="502"/>
      <c r="M340" s="231" t="s">
        <v>242</v>
      </c>
      <c r="N340" s="11" t="s">
        <v>243</v>
      </c>
      <c r="O340" s="341"/>
      <c r="P340" s="339"/>
    </row>
    <row r="341" spans="1:18" ht="33" hidden="1">
      <c r="A341" s="333" t="s">
        <v>2186</v>
      </c>
      <c r="B341" s="334" t="s">
        <v>978</v>
      </c>
      <c r="C341" s="335" t="s">
        <v>8</v>
      </c>
      <c r="D341" s="336">
        <v>22</v>
      </c>
      <c r="E341" s="336">
        <f>估驗單!F334</f>
        <v>22</v>
      </c>
      <c r="F341" s="390">
        <f t="shared" si="26"/>
        <v>0</v>
      </c>
      <c r="G341" s="336">
        <v>178.97</v>
      </c>
      <c r="H341" s="336"/>
      <c r="I341" s="336">
        <f t="shared" si="29"/>
        <v>3937.34</v>
      </c>
      <c r="J341" s="336">
        <f t="shared" si="30"/>
        <v>3937.34</v>
      </c>
      <c r="K341" s="546">
        <f t="shared" si="31"/>
        <v>0</v>
      </c>
      <c r="L341" s="502"/>
      <c r="M341" s="231" t="s">
        <v>242</v>
      </c>
      <c r="N341" s="11" t="s">
        <v>243</v>
      </c>
      <c r="O341" s="341"/>
      <c r="P341" s="339"/>
    </row>
    <row r="342" spans="1:18" ht="33" hidden="1">
      <c r="A342" s="333" t="s">
        <v>2187</v>
      </c>
      <c r="B342" s="334" t="s">
        <v>981</v>
      </c>
      <c r="C342" s="335" t="s">
        <v>4</v>
      </c>
      <c r="D342" s="336">
        <v>1</v>
      </c>
      <c r="E342" s="336">
        <f>估驗單!F335</f>
        <v>1</v>
      </c>
      <c r="F342" s="390">
        <f t="shared" si="26"/>
        <v>0</v>
      </c>
      <c r="G342" s="336">
        <v>19812.919999999998</v>
      </c>
      <c r="H342" s="336"/>
      <c r="I342" s="336">
        <f t="shared" si="29"/>
        <v>19812.919999999998</v>
      </c>
      <c r="J342" s="336">
        <f t="shared" si="30"/>
        <v>19812.919999999998</v>
      </c>
      <c r="K342" s="546">
        <f t="shared" si="31"/>
        <v>0</v>
      </c>
      <c r="L342" s="502"/>
      <c r="M342" s="231" t="s">
        <v>242</v>
      </c>
      <c r="N342" s="11" t="s">
        <v>243</v>
      </c>
      <c r="O342" s="341"/>
      <c r="P342" s="339"/>
    </row>
    <row r="343" spans="1:18" ht="33" hidden="1">
      <c r="A343" s="333" t="s">
        <v>2188</v>
      </c>
      <c r="B343" s="334" t="s">
        <v>984</v>
      </c>
      <c r="C343" s="335" t="s">
        <v>4</v>
      </c>
      <c r="D343" s="336">
        <v>1</v>
      </c>
      <c r="E343" s="336">
        <f>估驗單!F336</f>
        <v>1</v>
      </c>
      <c r="F343" s="390">
        <f t="shared" si="26"/>
        <v>0</v>
      </c>
      <c r="G343" s="336">
        <v>29571.39</v>
      </c>
      <c r="H343" s="336"/>
      <c r="I343" s="336">
        <f t="shared" si="29"/>
        <v>29571.39</v>
      </c>
      <c r="J343" s="336">
        <f t="shared" si="30"/>
        <v>29571.39</v>
      </c>
      <c r="K343" s="546">
        <f t="shared" si="31"/>
        <v>0</v>
      </c>
      <c r="L343" s="502"/>
      <c r="M343" s="231" t="s">
        <v>242</v>
      </c>
      <c r="N343" s="11" t="s">
        <v>243</v>
      </c>
      <c r="O343" s="341"/>
      <c r="P343" s="339"/>
    </row>
    <row r="344" spans="1:18" ht="33">
      <c r="A344" s="406" t="s">
        <v>2249</v>
      </c>
      <c r="B344" s="407" t="s">
        <v>987</v>
      </c>
      <c r="C344" s="408" t="s">
        <v>4</v>
      </c>
      <c r="D344" s="409"/>
      <c r="E344" s="409"/>
      <c r="F344" s="410">
        <f t="shared" si="26"/>
        <v>0</v>
      </c>
      <c r="G344" s="409">
        <f>I344</f>
        <v>11249747.310000001</v>
      </c>
      <c r="H344" s="409"/>
      <c r="I344" s="448">
        <f>SUM(I345:I353)</f>
        <v>11249747.310000001</v>
      </c>
      <c r="J344" s="448">
        <f>SUM(J345:J353)</f>
        <v>13193015.85</v>
      </c>
      <c r="K344" s="543">
        <f>SUM(K345:K353)</f>
        <v>1943268.5400000003</v>
      </c>
      <c r="L344" s="535">
        <f>SUM(L345:L353)</f>
        <v>0</v>
      </c>
      <c r="M344" s="288" t="s">
        <v>242</v>
      </c>
      <c r="N344" s="11" t="s">
        <v>243</v>
      </c>
      <c r="O344" s="341"/>
      <c r="P344" s="339"/>
      <c r="R344" s="82">
        <v>1</v>
      </c>
    </row>
    <row r="345" spans="1:18" ht="33" hidden="1">
      <c r="A345" s="333" t="s">
        <v>2154</v>
      </c>
      <c r="B345" s="334" t="s">
        <v>989</v>
      </c>
      <c r="C345" s="335" t="s">
        <v>8</v>
      </c>
      <c r="D345" s="340">
        <f>估驗單!E338</f>
        <v>2576.8000000000002</v>
      </c>
      <c r="E345" s="336">
        <f>估驗單!F338</f>
        <v>2576.8000000000002</v>
      </c>
      <c r="F345" s="390">
        <f t="shared" si="26"/>
        <v>0</v>
      </c>
      <c r="G345" s="340">
        <v>247.19</v>
      </c>
      <c r="H345" s="340"/>
      <c r="I345" s="336">
        <f t="shared" ref="I345:I353" si="32">ROUND(D345*G345,2)</f>
        <v>636959.18999999994</v>
      </c>
      <c r="J345" s="336">
        <f t="shared" ref="J345:J353" si="33">ROUND(E345*G345,2)</f>
        <v>636959.18999999994</v>
      </c>
      <c r="K345" s="546">
        <f t="shared" si="31"/>
        <v>0</v>
      </c>
      <c r="L345" s="502"/>
      <c r="M345" s="231"/>
      <c r="N345" s="11" t="s">
        <v>243</v>
      </c>
      <c r="O345" s="348"/>
      <c r="P345" s="339"/>
      <c r="Q345" s="342"/>
    </row>
    <row r="346" spans="1:18" ht="33" hidden="1">
      <c r="A346" s="333" t="s">
        <v>2155</v>
      </c>
      <c r="B346" s="334" t="s">
        <v>992</v>
      </c>
      <c r="C346" s="335" t="s">
        <v>8</v>
      </c>
      <c r="D346" s="340">
        <f>估驗單!E339</f>
        <v>2576.8000000000002</v>
      </c>
      <c r="E346" s="336">
        <f>估驗單!F339</f>
        <v>2576.8000000000002</v>
      </c>
      <c r="F346" s="390">
        <f t="shared" si="26"/>
        <v>0</v>
      </c>
      <c r="G346" s="340">
        <v>236.89</v>
      </c>
      <c r="H346" s="340"/>
      <c r="I346" s="336">
        <f t="shared" si="32"/>
        <v>610418.15</v>
      </c>
      <c r="J346" s="336">
        <f t="shared" si="33"/>
        <v>610418.15</v>
      </c>
      <c r="K346" s="546">
        <f t="shared" si="31"/>
        <v>0</v>
      </c>
      <c r="L346" s="502"/>
      <c r="M346" s="231" t="s">
        <v>242</v>
      </c>
      <c r="N346" s="11" t="s">
        <v>243</v>
      </c>
      <c r="O346" s="348"/>
      <c r="P346" s="339"/>
      <c r="Q346" s="342"/>
    </row>
    <row r="347" spans="1:18" s="325" customFormat="1" ht="33" hidden="1">
      <c r="A347" s="333" t="s">
        <v>2156</v>
      </c>
      <c r="B347" s="334" t="s">
        <v>995</v>
      </c>
      <c r="C347" s="335" t="s">
        <v>13</v>
      </c>
      <c r="D347" s="340">
        <f>估驗單!E340</f>
        <v>9215</v>
      </c>
      <c r="E347" s="336">
        <f>估驗單!F340</f>
        <v>9215</v>
      </c>
      <c r="F347" s="390">
        <f t="shared" si="26"/>
        <v>0</v>
      </c>
      <c r="G347" s="336">
        <v>252.34</v>
      </c>
      <c r="H347" s="336"/>
      <c r="I347" s="336">
        <f t="shared" si="32"/>
        <v>2325313.1</v>
      </c>
      <c r="J347" s="336">
        <f t="shared" si="33"/>
        <v>2325313.1</v>
      </c>
      <c r="K347" s="546">
        <f t="shared" si="31"/>
        <v>0</v>
      </c>
      <c r="L347" s="502"/>
      <c r="M347" s="231" t="s">
        <v>242</v>
      </c>
      <c r="N347" s="11" t="s">
        <v>243</v>
      </c>
      <c r="O347" s="341"/>
      <c r="P347" s="339"/>
    </row>
    <row r="348" spans="1:18" s="325" customFormat="1" ht="42.75" hidden="1">
      <c r="A348" s="333" t="s">
        <v>2157</v>
      </c>
      <c r="B348" s="334" t="s">
        <v>998</v>
      </c>
      <c r="C348" s="335" t="s">
        <v>4</v>
      </c>
      <c r="D348" s="340">
        <f>估驗單!E341</f>
        <v>1</v>
      </c>
      <c r="E348" s="336">
        <f>估驗單!F341</f>
        <v>1</v>
      </c>
      <c r="F348" s="390">
        <f t="shared" si="26"/>
        <v>0</v>
      </c>
      <c r="G348" s="336">
        <v>349980.91</v>
      </c>
      <c r="H348" s="336"/>
      <c r="I348" s="336">
        <f t="shared" si="32"/>
        <v>349980.91</v>
      </c>
      <c r="J348" s="336">
        <f t="shared" si="33"/>
        <v>349980.91</v>
      </c>
      <c r="K348" s="546">
        <f t="shared" si="31"/>
        <v>0</v>
      </c>
      <c r="L348" s="502"/>
      <c r="M348" s="231"/>
      <c r="N348" s="11" t="s">
        <v>243</v>
      </c>
      <c r="O348" s="341"/>
      <c r="P348" s="339"/>
    </row>
    <row r="349" spans="1:18" s="325" customFormat="1" ht="39" customHeight="1">
      <c r="A349" s="503" t="s">
        <v>2158</v>
      </c>
      <c r="B349" s="504" t="s">
        <v>1001</v>
      </c>
      <c r="C349" s="505" t="s">
        <v>16</v>
      </c>
      <c r="D349" s="515">
        <f>估驗單!E342</f>
        <v>2052</v>
      </c>
      <c r="E349" s="506">
        <f>估驗單!F342</f>
        <v>2928</v>
      </c>
      <c r="F349" s="507">
        <f t="shared" ref="F349:F427" si="34">E349-D349</f>
        <v>876</v>
      </c>
      <c r="G349" s="506">
        <v>931.07</v>
      </c>
      <c r="H349" s="506"/>
      <c r="I349" s="506">
        <f t="shared" si="32"/>
        <v>1910555.64</v>
      </c>
      <c r="J349" s="506">
        <f t="shared" si="33"/>
        <v>2726172.96</v>
      </c>
      <c r="K349" s="547">
        <f t="shared" si="31"/>
        <v>815617.32000000007</v>
      </c>
      <c r="L349" s="510"/>
      <c r="M349" s="508"/>
      <c r="N349" s="11" t="s">
        <v>243</v>
      </c>
      <c r="O349" s="341" t="s">
        <v>2965</v>
      </c>
      <c r="P349" s="339"/>
      <c r="Q349" s="325" t="s">
        <v>3047</v>
      </c>
      <c r="R349" s="325">
        <v>1</v>
      </c>
    </row>
    <row r="350" spans="1:18" s="325" customFormat="1" ht="45">
      <c r="A350" s="503" t="s">
        <v>2159</v>
      </c>
      <c r="B350" s="504" t="s">
        <v>728</v>
      </c>
      <c r="C350" s="505" t="s">
        <v>6</v>
      </c>
      <c r="D350" s="515">
        <f>估驗單!E343</f>
        <v>720</v>
      </c>
      <c r="E350" s="506">
        <f>估驗單!F343</f>
        <v>1053</v>
      </c>
      <c r="F350" s="507">
        <f t="shared" si="34"/>
        <v>333</v>
      </c>
      <c r="G350" s="506">
        <v>3386.34</v>
      </c>
      <c r="H350" s="506"/>
      <c r="I350" s="506">
        <f t="shared" si="32"/>
        <v>2438164.7999999998</v>
      </c>
      <c r="J350" s="506">
        <f t="shared" si="33"/>
        <v>3565816.02</v>
      </c>
      <c r="K350" s="547">
        <f t="shared" si="31"/>
        <v>1127651.2200000002</v>
      </c>
      <c r="L350" s="510"/>
      <c r="M350" s="508"/>
      <c r="N350" s="11" t="s">
        <v>243</v>
      </c>
      <c r="O350" s="341" t="s">
        <v>2965</v>
      </c>
      <c r="P350" s="339"/>
      <c r="Q350" s="325" t="s">
        <v>3048</v>
      </c>
      <c r="R350" s="325">
        <v>1</v>
      </c>
    </row>
    <row r="351" spans="1:18" s="325" customFormat="1" ht="42.75" hidden="1">
      <c r="A351" s="333" t="s">
        <v>2160</v>
      </c>
      <c r="B351" s="334" t="s">
        <v>1515</v>
      </c>
      <c r="C351" s="335" t="s">
        <v>8</v>
      </c>
      <c r="D351" s="336">
        <v>132</v>
      </c>
      <c r="E351" s="336">
        <f>估驗單!F344</f>
        <v>132</v>
      </c>
      <c r="F351" s="390">
        <f t="shared" si="34"/>
        <v>0</v>
      </c>
      <c r="G351" s="336">
        <v>5107.6000000000004</v>
      </c>
      <c r="H351" s="336"/>
      <c r="I351" s="336">
        <f t="shared" si="32"/>
        <v>674203.2</v>
      </c>
      <c r="J351" s="336">
        <f t="shared" si="33"/>
        <v>674203.2</v>
      </c>
      <c r="K351" s="546">
        <f t="shared" si="31"/>
        <v>0</v>
      </c>
      <c r="L351" s="502"/>
      <c r="M351" s="231"/>
      <c r="N351" s="11" t="s">
        <v>243</v>
      </c>
      <c r="O351" s="341"/>
      <c r="P351" s="339"/>
    </row>
    <row r="352" spans="1:18" s="325" customFormat="1" ht="42.75" hidden="1">
      <c r="A352" s="333" t="s">
        <v>2161</v>
      </c>
      <c r="B352" s="334" t="s">
        <v>1517</v>
      </c>
      <c r="C352" s="335" t="s">
        <v>8</v>
      </c>
      <c r="D352" s="336">
        <v>106</v>
      </c>
      <c r="E352" s="336">
        <f>估驗單!F345</f>
        <v>106</v>
      </c>
      <c r="F352" s="390">
        <f t="shared" si="34"/>
        <v>0</v>
      </c>
      <c r="G352" s="336">
        <v>7385.08</v>
      </c>
      <c r="H352" s="336"/>
      <c r="I352" s="336">
        <f t="shared" si="32"/>
        <v>782818.48</v>
      </c>
      <c r="J352" s="336">
        <f t="shared" si="33"/>
        <v>782818.48</v>
      </c>
      <c r="K352" s="546">
        <f t="shared" si="31"/>
        <v>0</v>
      </c>
      <c r="L352" s="502"/>
      <c r="M352" s="231"/>
      <c r="N352" s="11" t="s">
        <v>243</v>
      </c>
      <c r="O352" s="341"/>
      <c r="P352" s="339"/>
    </row>
    <row r="353" spans="1:19" s="325" customFormat="1" ht="42.75" hidden="1">
      <c r="A353" s="333" t="s">
        <v>2162</v>
      </c>
      <c r="B353" s="334" t="s">
        <v>1519</v>
      </c>
      <c r="C353" s="335" t="s">
        <v>8</v>
      </c>
      <c r="D353" s="336">
        <v>156</v>
      </c>
      <c r="E353" s="336">
        <f>估驗單!F346</f>
        <v>156</v>
      </c>
      <c r="F353" s="390">
        <f t="shared" si="34"/>
        <v>0</v>
      </c>
      <c r="G353" s="336">
        <v>9752.14</v>
      </c>
      <c r="H353" s="336"/>
      <c r="I353" s="336">
        <f t="shared" si="32"/>
        <v>1521333.84</v>
      </c>
      <c r="J353" s="336">
        <f t="shared" si="33"/>
        <v>1521333.84</v>
      </c>
      <c r="K353" s="546">
        <f t="shared" si="31"/>
        <v>0</v>
      </c>
      <c r="L353" s="502"/>
      <c r="M353" s="231"/>
      <c r="N353" s="11" t="s">
        <v>243</v>
      </c>
      <c r="O353" s="341"/>
      <c r="P353" s="339"/>
    </row>
    <row r="354" spans="1:19" s="325" customFormat="1" ht="33">
      <c r="A354" s="406" t="s">
        <v>2250</v>
      </c>
      <c r="B354" s="407" t="s">
        <v>11</v>
      </c>
      <c r="C354" s="408" t="s">
        <v>4</v>
      </c>
      <c r="D354" s="409"/>
      <c r="E354" s="409">
        <f>估驗單!F347</f>
        <v>0</v>
      </c>
      <c r="F354" s="410">
        <f t="shared" si="34"/>
        <v>0</v>
      </c>
      <c r="G354" s="409">
        <f>I354</f>
        <v>19449714.099999998</v>
      </c>
      <c r="H354" s="409"/>
      <c r="I354" s="409">
        <f>SUM(I355:I379)</f>
        <v>19449714.099999998</v>
      </c>
      <c r="J354" s="409">
        <f>SUM(J355:J379)</f>
        <v>19449714.099999998</v>
      </c>
      <c r="K354" s="542">
        <f>SUM(K355:K379)</f>
        <v>0</v>
      </c>
      <c r="L354" s="534">
        <f>SUM(L355:L364)</f>
        <v>0</v>
      </c>
      <c r="M354" s="288" t="s">
        <v>242</v>
      </c>
      <c r="N354" s="11" t="s">
        <v>243</v>
      </c>
      <c r="O354" s="341"/>
      <c r="P354" s="339"/>
      <c r="R354" s="325">
        <v>1</v>
      </c>
    </row>
    <row r="355" spans="1:19" s="325" customFormat="1" ht="33" hidden="1">
      <c r="A355" s="333" t="s">
        <v>2154</v>
      </c>
      <c r="B355" s="334" t="s">
        <v>1004</v>
      </c>
      <c r="C355" s="335" t="s">
        <v>4</v>
      </c>
      <c r="D355" s="336">
        <v>1</v>
      </c>
      <c r="E355" s="336">
        <f>估驗單!F348</f>
        <v>1</v>
      </c>
      <c r="F355" s="390">
        <f t="shared" si="34"/>
        <v>0</v>
      </c>
      <c r="G355" s="336">
        <v>716633.92</v>
      </c>
      <c r="H355" s="336"/>
      <c r="I355" s="336">
        <f t="shared" ref="I355:I379" si="35">ROUND(D355*G355,2)</f>
        <v>716633.92</v>
      </c>
      <c r="J355" s="336">
        <f t="shared" ref="J355:J379" si="36">ROUND(E355*G355,2)</f>
        <v>716633.92</v>
      </c>
      <c r="K355" s="546">
        <f t="shared" si="31"/>
        <v>0</v>
      </c>
      <c r="L355" s="502"/>
      <c r="M355" s="231"/>
      <c r="N355" s="11" t="s">
        <v>243</v>
      </c>
      <c r="O355" s="341"/>
      <c r="P355" s="339"/>
    </row>
    <row r="356" spans="1:19" s="325" customFormat="1" ht="33" hidden="1">
      <c r="A356" s="333" t="s">
        <v>2155</v>
      </c>
      <c r="B356" s="334" t="s">
        <v>1006</v>
      </c>
      <c r="C356" s="335" t="s">
        <v>1007</v>
      </c>
      <c r="D356" s="336">
        <v>7</v>
      </c>
      <c r="E356" s="336">
        <f>估驗單!F349</f>
        <v>7</v>
      </c>
      <c r="F356" s="390">
        <f t="shared" si="34"/>
        <v>0</v>
      </c>
      <c r="G356" s="336">
        <v>49997.27</v>
      </c>
      <c r="H356" s="336"/>
      <c r="I356" s="336">
        <f t="shared" si="35"/>
        <v>349980.89</v>
      </c>
      <c r="J356" s="336">
        <f t="shared" si="36"/>
        <v>349980.89</v>
      </c>
      <c r="K356" s="546">
        <f t="shared" si="31"/>
        <v>0</v>
      </c>
      <c r="L356" s="502"/>
      <c r="M356" s="231"/>
      <c r="N356" s="11" t="s">
        <v>243</v>
      </c>
      <c r="O356" s="341"/>
      <c r="P356" s="339"/>
    </row>
    <row r="357" spans="1:19" s="325" customFormat="1" ht="42.75" hidden="1">
      <c r="A357" s="333" t="s">
        <v>2156</v>
      </c>
      <c r="B357" s="334" t="s">
        <v>1009</v>
      </c>
      <c r="C357" s="335" t="s">
        <v>1010</v>
      </c>
      <c r="D357" s="336">
        <v>2230</v>
      </c>
      <c r="E357" s="336">
        <f>估驗單!F350</f>
        <v>2230</v>
      </c>
      <c r="F357" s="390">
        <f t="shared" si="34"/>
        <v>0</v>
      </c>
      <c r="G357" s="336">
        <v>805.95</v>
      </c>
      <c r="H357" s="336"/>
      <c r="I357" s="336">
        <f t="shared" si="35"/>
        <v>1797268.5</v>
      </c>
      <c r="J357" s="336">
        <f t="shared" si="36"/>
        <v>1797268.5</v>
      </c>
      <c r="K357" s="546">
        <f t="shared" si="31"/>
        <v>0</v>
      </c>
      <c r="L357" s="502"/>
      <c r="M357" s="231"/>
      <c r="N357" s="11" t="s">
        <v>243</v>
      </c>
      <c r="O357" s="364"/>
      <c r="P357" s="373"/>
      <c r="Q357" s="342"/>
      <c r="S357" s="374"/>
    </row>
    <row r="358" spans="1:19" s="325" customFormat="1" ht="33" hidden="1">
      <c r="A358" s="333" t="s">
        <v>2157</v>
      </c>
      <c r="B358" s="334" t="s">
        <v>1012</v>
      </c>
      <c r="C358" s="335" t="s">
        <v>1007</v>
      </c>
      <c r="D358" s="336">
        <v>4</v>
      </c>
      <c r="E358" s="336">
        <f>估驗單!F351</f>
        <v>4</v>
      </c>
      <c r="F358" s="390">
        <f t="shared" si="34"/>
        <v>0</v>
      </c>
      <c r="G358" s="336">
        <v>49997.27</v>
      </c>
      <c r="H358" s="336"/>
      <c r="I358" s="336">
        <f t="shared" si="35"/>
        <v>199989.08</v>
      </c>
      <c r="J358" s="336">
        <f t="shared" si="36"/>
        <v>199989.08</v>
      </c>
      <c r="K358" s="546">
        <f t="shared" si="31"/>
        <v>0</v>
      </c>
      <c r="L358" s="502"/>
      <c r="M358" s="231"/>
      <c r="N358" s="11" t="s">
        <v>243</v>
      </c>
      <c r="O358" s="341"/>
      <c r="P358" s="339"/>
    </row>
    <row r="359" spans="1:19" s="325" customFormat="1" ht="33" hidden="1">
      <c r="A359" s="333" t="s">
        <v>2158</v>
      </c>
      <c r="B359" s="334" t="s">
        <v>1014</v>
      </c>
      <c r="C359" s="335" t="s">
        <v>1015</v>
      </c>
      <c r="D359" s="336">
        <v>19</v>
      </c>
      <c r="E359" s="336">
        <f>估驗單!F352</f>
        <v>19</v>
      </c>
      <c r="F359" s="390">
        <f t="shared" si="34"/>
        <v>0</v>
      </c>
      <c r="G359" s="336">
        <v>179990.18</v>
      </c>
      <c r="H359" s="336"/>
      <c r="I359" s="336">
        <f t="shared" si="35"/>
        <v>3419813.42</v>
      </c>
      <c r="J359" s="336">
        <f t="shared" si="36"/>
        <v>3419813.42</v>
      </c>
      <c r="K359" s="546">
        <f t="shared" si="31"/>
        <v>0</v>
      </c>
      <c r="L359" s="502"/>
      <c r="M359" s="234"/>
      <c r="N359" s="11" t="s">
        <v>243</v>
      </c>
      <c r="O359" s="341" t="s">
        <v>2964</v>
      </c>
      <c r="P359" s="770" t="s">
        <v>3049</v>
      </c>
      <c r="Q359" s="325" t="s">
        <v>2949</v>
      </c>
    </row>
    <row r="360" spans="1:19" s="325" customFormat="1" ht="33" hidden="1">
      <c r="A360" s="333" t="s">
        <v>2159</v>
      </c>
      <c r="B360" s="334" t="s">
        <v>1017</v>
      </c>
      <c r="C360" s="335" t="s">
        <v>4</v>
      </c>
      <c r="D360" s="336">
        <v>1</v>
      </c>
      <c r="E360" s="336">
        <f>估驗單!F353</f>
        <v>1</v>
      </c>
      <c r="F360" s="390">
        <f t="shared" si="34"/>
        <v>0</v>
      </c>
      <c r="G360" s="336">
        <v>205971.45</v>
      </c>
      <c r="H360" s="336"/>
      <c r="I360" s="336">
        <f t="shared" si="35"/>
        <v>205971.45</v>
      </c>
      <c r="J360" s="336">
        <f t="shared" si="36"/>
        <v>205971.45</v>
      </c>
      <c r="K360" s="546">
        <f t="shared" si="31"/>
        <v>0</v>
      </c>
      <c r="L360" s="502"/>
      <c r="M360" s="231"/>
      <c r="N360" s="11" t="s">
        <v>243</v>
      </c>
      <c r="O360" s="341"/>
      <c r="P360" s="339"/>
    </row>
    <row r="361" spans="1:19" s="325" customFormat="1" ht="33" hidden="1">
      <c r="A361" s="333" t="s">
        <v>2160</v>
      </c>
      <c r="B361" s="334" t="s">
        <v>1019</v>
      </c>
      <c r="C361" s="335" t="s">
        <v>4</v>
      </c>
      <c r="D361" s="336">
        <v>1</v>
      </c>
      <c r="E361" s="336">
        <f>估驗單!F354</f>
        <v>1</v>
      </c>
      <c r="F361" s="390">
        <f t="shared" si="34"/>
        <v>0</v>
      </c>
      <c r="G361" s="336">
        <v>2424867.7599999998</v>
      </c>
      <c r="H361" s="336"/>
      <c r="I361" s="336">
        <f t="shared" si="35"/>
        <v>2424867.7599999998</v>
      </c>
      <c r="J361" s="336">
        <f t="shared" si="36"/>
        <v>2424867.7599999998</v>
      </c>
      <c r="K361" s="546">
        <f t="shared" si="31"/>
        <v>0</v>
      </c>
      <c r="L361" s="502"/>
      <c r="M361" s="231"/>
      <c r="N361" s="11" t="s">
        <v>243</v>
      </c>
      <c r="O361" s="341"/>
      <c r="P361" s="339"/>
    </row>
    <row r="362" spans="1:19" s="325" customFormat="1" ht="33" hidden="1">
      <c r="A362" s="333" t="s">
        <v>2161</v>
      </c>
      <c r="B362" s="334" t="s">
        <v>1021</v>
      </c>
      <c r="C362" s="335" t="s">
        <v>4</v>
      </c>
      <c r="D362" s="336">
        <v>1</v>
      </c>
      <c r="E362" s="336">
        <f>估驗單!F355</f>
        <v>1</v>
      </c>
      <c r="F362" s="390">
        <f t="shared" si="34"/>
        <v>0</v>
      </c>
      <c r="G362" s="336">
        <v>349980.91</v>
      </c>
      <c r="H362" s="336"/>
      <c r="I362" s="336">
        <f t="shared" si="35"/>
        <v>349980.91</v>
      </c>
      <c r="J362" s="336">
        <f t="shared" si="36"/>
        <v>349980.91</v>
      </c>
      <c r="K362" s="546">
        <f t="shared" si="31"/>
        <v>0</v>
      </c>
      <c r="L362" s="502"/>
      <c r="M362" s="231"/>
      <c r="N362" s="11" t="s">
        <v>243</v>
      </c>
      <c r="O362" s="341"/>
      <c r="P362" s="339"/>
    </row>
    <row r="363" spans="1:19" s="375" customFormat="1" ht="33" hidden="1">
      <c r="A363" s="343" t="s">
        <v>2162</v>
      </c>
      <c r="B363" s="344" t="s">
        <v>1534</v>
      </c>
      <c r="C363" s="345" t="s">
        <v>13</v>
      </c>
      <c r="D363" s="340">
        <v>464</v>
      </c>
      <c r="E363" s="336">
        <f>估驗單!F356</f>
        <v>464</v>
      </c>
      <c r="F363" s="390">
        <f t="shared" si="34"/>
        <v>0</v>
      </c>
      <c r="G363" s="340">
        <v>15384.09</v>
      </c>
      <c r="H363" s="340"/>
      <c r="I363" s="336">
        <f t="shared" si="35"/>
        <v>7138217.7599999998</v>
      </c>
      <c r="J363" s="336">
        <f t="shared" si="36"/>
        <v>7138217.7599999998</v>
      </c>
      <c r="K363" s="546">
        <f t="shared" si="31"/>
        <v>0</v>
      </c>
      <c r="L363" s="502"/>
      <c r="M363" s="346"/>
      <c r="N363" s="347" t="s">
        <v>243</v>
      </c>
      <c r="O363" s="354"/>
      <c r="P363" s="349"/>
    </row>
    <row r="364" spans="1:19" s="368" customFormat="1" ht="28.5" hidden="1" customHeight="1">
      <c r="A364" s="333">
        <v>10</v>
      </c>
      <c r="B364" s="334" t="s">
        <v>2437</v>
      </c>
      <c r="C364" s="335" t="s">
        <v>2353</v>
      </c>
      <c r="D364" s="336">
        <v>2</v>
      </c>
      <c r="E364" s="336">
        <f>估驗單!F357</f>
        <v>2</v>
      </c>
      <c r="F364" s="390">
        <f t="shared" si="34"/>
        <v>0</v>
      </c>
      <c r="G364" s="336">
        <v>60994.76</v>
      </c>
      <c r="H364" s="336"/>
      <c r="I364" s="336">
        <f t="shared" si="35"/>
        <v>121989.52</v>
      </c>
      <c r="J364" s="336">
        <f t="shared" si="36"/>
        <v>121989.52</v>
      </c>
      <c r="K364" s="546">
        <f t="shared" si="31"/>
        <v>0</v>
      </c>
      <c r="L364" s="502"/>
      <c r="M364" s="231"/>
      <c r="N364" s="11"/>
      <c r="O364" s="364"/>
      <c r="P364" s="373"/>
      <c r="Q364" s="342"/>
    </row>
    <row r="365" spans="1:19" s="368" customFormat="1" ht="28.5" hidden="1" customHeight="1">
      <c r="A365" s="333">
        <v>11</v>
      </c>
      <c r="B365" s="428" t="s">
        <v>2567</v>
      </c>
      <c r="C365" s="429" t="s">
        <v>16</v>
      </c>
      <c r="D365" s="430">
        <v>129</v>
      </c>
      <c r="E365" s="430">
        <v>129</v>
      </c>
      <c r="F365" s="431"/>
      <c r="G365" s="500">
        <v>1159.8599999999999</v>
      </c>
      <c r="H365" s="500"/>
      <c r="I365" s="336">
        <f t="shared" si="35"/>
        <v>149621.94</v>
      </c>
      <c r="J365" s="336">
        <f t="shared" si="36"/>
        <v>149621.94</v>
      </c>
      <c r="K365" s="546">
        <f t="shared" si="31"/>
        <v>0</v>
      </c>
      <c r="L365" s="536"/>
      <c r="M365" s="432"/>
      <c r="N365" s="11"/>
      <c r="O365" s="364"/>
      <c r="P365" s="373"/>
      <c r="Q365" s="342"/>
    </row>
    <row r="366" spans="1:19" s="368" customFormat="1" ht="28.5" hidden="1" customHeight="1">
      <c r="A366" s="333">
        <v>12</v>
      </c>
      <c r="B366" s="428" t="s">
        <v>2568</v>
      </c>
      <c r="C366" s="429" t="s">
        <v>16</v>
      </c>
      <c r="D366" s="430">
        <v>282</v>
      </c>
      <c r="E366" s="430">
        <v>282</v>
      </c>
      <c r="F366" s="431"/>
      <c r="G366" s="501">
        <v>689.92</v>
      </c>
      <c r="H366" s="501"/>
      <c r="I366" s="336">
        <f t="shared" si="35"/>
        <v>194557.44</v>
      </c>
      <c r="J366" s="336">
        <f t="shared" si="36"/>
        <v>194557.44</v>
      </c>
      <c r="K366" s="546">
        <f t="shared" si="31"/>
        <v>0</v>
      </c>
      <c r="L366" s="536"/>
      <c r="M366" s="432"/>
      <c r="N366" s="11"/>
      <c r="O366" s="364"/>
      <c r="P366" s="373"/>
      <c r="Q366" s="342"/>
    </row>
    <row r="367" spans="1:19" s="368" customFormat="1" ht="28.5" hidden="1" customHeight="1">
      <c r="A367" s="333">
        <v>13</v>
      </c>
      <c r="B367" s="428" t="s">
        <v>2569</v>
      </c>
      <c r="C367" s="429" t="s">
        <v>16</v>
      </c>
      <c r="D367" s="430">
        <v>214.5</v>
      </c>
      <c r="E367" s="430">
        <v>214.5</v>
      </c>
      <c r="F367" s="431"/>
      <c r="G367" s="501">
        <v>899.89</v>
      </c>
      <c r="H367" s="501"/>
      <c r="I367" s="336">
        <f t="shared" si="35"/>
        <v>193026.41</v>
      </c>
      <c r="J367" s="336">
        <f t="shared" si="36"/>
        <v>193026.41</v>
      </c>
      <c r="K367" s="546">
        <f t="shared" si="31"/>
        <v>0</v>
      </c>
      <c r="L367" s="536"/>
      <c r="M367" s="432"/>
      <c r="N367" s="11"/>
      <c r="O367" s="364"/>
      <c r="P367" s="373"/>
      <c r="Q367" s="342"/>
    </row>
    <row r="368" spans="1:19" s="368" customFormat="1" ht="28.5" hidden="1" customHeight="1">
      <c r="A368" s="333">
        <v>14</v>
      </c>
      <c r="B368" s="428" t="s">
        <v>2570</v>
      </c>
      <c r="C368" s="429" t="s">
        <v>16</v>
      </c>
      <c r="D368" s="430">
        <v>47</v>
      </c>
      <c r="E368" s="430">
        <v>47</v>
      </c>
      <c r="F368" s="431"/>
      <c r="G368" s="501">
        <v>1499.82</v>
      </c>
      <c r="H368" s="501"/>
      <c r="I368" s="336">
        <f t="shared" si="35"/>
        <v>70491.539999999994</v>
      </c>
      <c r="J368" s="336">
        <f t="shared" si="36"/>
        <v>70491.539999999994</v>
      </c>
      <c r="K368" s="546">
        <f t="shared" si="31"/>
        <v>0</v>
      </c>
      <c r="L368" s="536"/>
      <c r="M368" s="432"/>
      <c r="N368" s="11"/>
      <c r="O368" s="364"/>
      <c r="P368" s="373"/>
      <c r="Q368" s="342"/>
    </row>
    <row r="369" spans="1:18" s="368" customFormat="1" ht="28.5" hidden="1" customHeight="1">
      <c r="A369" s="333">
        <v>15</v>
      </c>
      <c r="B369" s="428" t="s">
        <v>2571</v>
      </c>
      <c r="C369" s="429" t="s">
        <v>16</v>
      </c>
      <c r="D369" s="430">
        <v>73</v>
      </c>
      <c r="E369" s="430">
        <v>73</v>
      </c>
      <c r="F369" s="431"/>
      <c r="G369" s="501">
        <v>1419.83</v>
      </c>
      <c r="H369" s="501"/>
      <c r="I369" s="336">
        <f t="shared" si="35"/>
        <v>103647.59</v>
      </c>
      <c r="J369" s="336">
        <f t="shared" si="36"/>
        <v>103647.59</v>
      </c>
      <c r="K369" s="546">
        <f t="shared" si="31"/>
        <v>0</v>
      </c>
      <c r="L369" s="536"/>
      <c r="M369" s="432"/>
      <c r="N369" s="11"/>
      <c r="O369" s="364"/>
      <c r="P369" s="373"/>
      <c r="Q369" s="342"/>
    </row>
    <row r="370" spans="1:18" s="368" customFormat="1" ht="28.5" hidden="1" customHeight="1">
      <c r="A370" s="333">
        <v>16</v>
      </c>
      <c r="B370" s="428" t="s">
        <v>2572</v>
      </c>
      <c r="C370" s="429" t="s">
        <v>16</v>
      </c>
      <c r="D370" s="430">
        <v>174</v>
      </c>
      <c r="E370" s="430">
        <v>174</v>
      </c>
      <c r="F370" s="431"/>
      <c r="G370" s="501">
        <v>771.9</v>
      </c>
      <c r="H370" s="501"/>
      <c r="I370" s="336">
        <f t="shared" si="35"/>
        <v>134310.6</v>
      </c>
      <c r="J370" s="336">
        <f t="shared" si="36"/>
        <v>134310.6</v>
      </c>
      <c r="K370" s="546">
        <f t="shared" si="31"/>
        <v>0</v>
      </c>
      <c r="L370" s="536"/>
      <c r="M370" s="432"/>
      <c r="N370" s="11"/>
      <c r="O370" s="364"/>
      <c r="P370" s="373"/>
      <c r="Q370" s="342"/>
    </row>
    <row r="371" spans="1:18" s="368" customFormat="1" ht="28.5" hidden="1" customHeight="1">
      <c r="A371" s="333">
        <v>17</v>
      </c>
      <c r="B371" s="428" t="s">
        <v>2573</v>
      </c>
      <c r="C371" s="429" t="s">
        <v>16</v>
      </c>
      <c r="D371" s="430">
        <v>1695</v>
      </c>
      <c r="E371" s="430">
        <v>1695</v>
      </c>
      <c r="F371" s="431"/>
      <c r="G371" s="501">
        <v>400.95</v>
      </c>
      <c r="H371" s="501"/>
      <c r="I371" s="336">
        <f t="shared" si="35"/>
        <v>679610.25</v>
      </c>
      <c r="J371" s="336">
        <f t="shared" si="36"/>
        <v>679610.25</v>
      </c>
      <c r="K371" s="546">
        <f t="shared" si="31"/>
        <v>0</v>
      </c>
      <c r="L371" s="536"/>
      <c r="M371" s="432"/>
      <c r="N371" s="11"/>
      <c r="O371" s="364"/>
      <c r="P371" s="373"/>
      <c r="Q371" s="342"/>
    </row>
    <row r="372" spans="1:18" s="368" customFormat="1" ht="28.5" hidden="1" customHeight="1">
      <c r="A372" s="333">
        <v>18</v>
      </c>
      <c r="B372" s="428" t="s">
        <v>2574</v>
      </c>
      <c r="C372" s="429" t="s">
        <v>16</v>
      </c>
      <c r="D372" s="430">
        <v>310</v>
      </c>
      <c r="E372" s="430">
        <v>310</v>
      </c>
      <c r="F372" s="431"/>
      <c r="G372" s="501">
        <v>280.97000000000003</v>
      </c>
      <c r="H372" s="501"/>
      <c r="I372" s="336">
        <f t="shared" si="35"/>
        <v>87100.7</v>
      </c>
      <c r="J372" s="336">
        <f t="shared" si="36"/>
        <v>87100.7</v>
      </c>
      <c r="K372" s="546">
        <f t="shared" si="31"/>
        <v>0</v>
      </c>
      <c r="L372" s="536"/>
      <c r="M372" s="432"/>
      <c r="N372" s="11"/>
      <c r="O372" s="364"/>
      <c r="P372" s="373"/>
      <c r="Q372" s="342"/>
    </row>
    <row r="373" spans="1:18" s="368" customFormat="1" ht="28.5" hidden="1" customHeight="1">
      <c r="A373" s="333">
        <v>19</v>
      </c>
      <c r="B373" s="428" t="s">
        <v>2575</v>
      </c>
      <c r="C373" s="429" t="s">
        <v>16</v>
      </c>
      <c r="D373" s="430">
        <v>723.5</v>
      </c>
      <c r="E373" s="430">
        <v>723.5</v>
      </c>
      <c r="F373" s="431"/>
      <c r="G373" s="501">
        <v>800.9</v>
      </c>
      <c r="H373" s="501"/>
      <c r="I373" s="336">
        <f t="shared" si="35"/>
        <v>579451.15</v>
      </c>
      <c r="J373" s="336">
        <f t="shared" si="36"/>
        <v>579451.15</v>
      </c>
      <c r="K373" s="546">
        <f t="shared" si="31"/>
        <v>0</v>
      </c>
      <c r="L373" s="536"/>
      <c r="M373" s="432"/>
      <c r="N373" s="11"/>
      <c r="O373" s="364"/>
      <c r="P373" s="373"/>
      <c r="Q373" s="342"/>
    </row>
    <row r="374" spans="1:18" s="368" customFormat="1" ht="28.5" hidden="1" customHeight="1">
      <c r="A374" s="333">
        <v>20</v>
      </c>
      <c r="B374" s="428" t="s">
        <v>2576</v>
      </c>
      <c r="C374" s="429" t="s">
        <v>16</v>
      </c>
      <c r="D374" s="430">
        <v>122</v>
      </c>
      <c r="E374" s="430">
        <v>122</v>
      </c>
      <c r="F374" s="431"/>
      <c r="G374" s="501">
        <v>561.92999999999995</v>
      </c>
      <c r="H374" s="501"/>
      <c r="I374" s="336">
        <f t="shared" si="35"/>
        <v>68555.460000000006</v>
      </c>
      <c r="J374" s="336">
        <f t="shared" si="36"/>
        <v>68555.460000000006</v>
      </c>
      <c r="K374" s="546">
        <f t="shared" si="31"/>
        <v>0</v>
      </c>
      <c r="L374" s="536"/>
      <c r="M374" s="432"/>
      <c r="N374" s="11"/>
      <c r="O374" s="364"/>
      <c r="P374" s="373"/>
      <c r="Q374" s="342"/>
    </row>
    <row r="375" spans="1:18" s="368" customFormat="1" ht="28.5" hidden="1" customHeight="1">
      <c r="A375" s="333">
        <v>21</v>
      </c>
      <c r="B375" s="428" t="s">
        <v>2577</v>
      </c>
      <c r="C375" s="429" t="s">
        <v>16</v>
      </c>
      <c r="D375" s="430">
        <v>421</v>
      </c>
      <c r="E375" s="430">
        <v>421</v>
      </c>
      <c r="F375" s="431"/>
      <c r="G375" s="501">
        <v>519.94000000000005</v>
      </c>
      <c r="H375" s="501"/>
      <c r="I375" s="336">
        <f t="shared" si="35"/>
        <v>218894.74</v>
      </c>
      <c r="J375" s="336">
        <f t="shared" si="36"/>
        <v>218894.74</v>
      </c>
      <c r="K375" s="546">
        <f t="shared" si="31"/>
        <v>0</v>
      </c>
      <c r="L375" s="536"/>
      <c r="M375" s="432"/>
      <c r="N375" s="11"/>
      <c r="O375" s="364"/>
      <c r="P375" s="373"/>
      <c r="Q375" s="342"/>
    </row>
    <row r="376" spans="1:18" s="368" customFormat="1" ht="28.5" hidden="1" customHeight="1">
      <c r="A376" s="333">
        <v>22</v>
      </c>
      <c r="B376" s="428" t="s">
        <v>2578</v>
      </c>
      <c r="C376" s="429" t="s">
        <v>16</v>
      </c>
      <c r="D376" s="430">
        <v>28</v>
      </c>
      <c r="E376" s="430">
        <v>28</v>
      </c>
      <c r="F376" s="431"/>
      <c r="G376" s="501">
        <v>1579.81</v>
      </c>
      <c r="H376" s="501"/>
      <c r="I376" s="336">
        <f t="shared" si="35"/>
        <v>44234.68</v>
      </c>
      <c r="J376" s="336">
        <f t="shared" si="36"/>
        <v>44234.68</v>
      </c>
      <c r="K376" s="546">
        <f t="shared" si="31"/>
        <v>0</v>
      </c>
      <c r="L376" s="536"/>
      <c r="M376" s="432"/>
      <c r="N376" s="11"/>
      <c r="O376" s="364"/>
      <c r="P376" s="373"/>
      <c r="Q376" s="342"/>
    </row>
    <row r="377" spans="1:18" s="368" customFormat="1" ht="28.5" hidden="1" customHeight="1">
      <c r="A377" s="333">
        <v>23</v>
      </c>
      <c r="B377" s="428" t="s">
        <v>2579</v>
      </c>
      <c r="C377" s="429" t="s">
        <v>16</v>
      </c>
      <c r="D377" s="430">
        <v>442.5</v>
      </c>
      <c r="E377" s="430">
        <v>442.5</v>
      </c>
      <c r="F377" s="431"/>
      <c r="G377" s="501">
        <v>209.97</v>
      </c>
      <c r="H377" s="501"/>
      <c r="I377" s="336">
        <f t="shared" si="35"/>
        <v>92911.73</v>
      </c>
      <c r="J377" s="336">
        <f t="shared" si="36"/>
        <v>92911.73</v>
      </c>
      <c r="K377" s="546">
        <f t="shared" si="31"/>
        <v>0</v>
      </c>
      <c r="L377" s="536"/>
      <c r="M377" s="432"/>
      <c r="N377" s="11"/>
      <c r="O377" s="364"/>
      <c r="P377" s="373"/>
      <c r="Q377" s="342"/>
    </row>
    <row r="378" spans="1:18" s="368" customFormat="1" ht="28.5" hidden="1" customHeight="1">
      <c r="A378" s="333">
        <v>24</v>
      </c>
      <c r="B378" s="428" t="s">
        <v>2580</v>
      </c>
      <c r="C378" s="429" t="s">
        <v>14</v>
      </c>
      <c r="D378" s="430">
        <v>2</v>
      </c>
      <c r="E378" s="430">
        <v>2</v>
      </c>
      <c r="F378" s="431"/>
      <c r="G378" s="501">
        <v>10798.67</v>
      </c>
      <c r="H378" s="501"/>
      <c r="I378" s="336">
        <f t="shared" si="35"/>
        <v>21597.34</v>
      </c>
      <c r="J378" s="336">
        <f t="shared" si="36"/>
        <v>21597.34</v>
      </c>
      <c r="K378" s="546">
        <f t="shared" si="31"/>
        <v>0</v>
      </c>
      <c r="L378" s="536"/>
      <c r="M378" s="432"/>
      <c r="N378" s="11"/>
      <c r="O378" s="364"/>
      <c r="P378" s="373"/>
      <c r="Q378" s="342"/>
    </row>
    <row r="379" spans="1:18" s="368" customFormat="1" ht="28.5" hidden="1" customHeight="1">
      <c r="A379" s="333">
        <v>25</v>
      </c>
      <c r="B379" s="428" t="s">
        <v>2581</v>
      </c>
      <c r="C379" s="429" t="s">
        <v>14</v>
      </c>
      <c r="D379" s="430">
        <v>12</v>
      </c>
      <c r="E379" s="430">
        <v>12</v>
      </c>
      <c r="F379" s="431"/>
      <c r="G379" s="501">
        <v>7249.11</v>
      </c>
      <c r="H379" s="501"/>
      <c r="I379" s="336">
        <f t="shared" si="35"/>
        <v>86989.32</v>
      </c>
      <c r="J379" s="336">
        <f t="shared" si="36"/>
        <v>86989.32</v>
      </c>
      <c r="K379" s="546">
        <f t="shared" si="31"/>
        <v>0</v>
      </c>
      <c r="L379" s="536"/>
      <c r="M379" s="432"/>
      <c r="N379" s="11"/>
      <c r="O379" s="364"/>
      <c r="P379" s="373"/>
      <c r="Q379" s="342"/>
    </row>
    <row r="380" spans="1:18" s="325" customFormat="1" ht="33">
      <c r="A380" s="406" t="s">
        <v>2252</v>
      </c>
      <c r="B380" s="407" t="s">
        <v>25</v>
      </c>
      <c r="C380" s="408" t="s">
        <v>4</v>
      </c>
      <c r="D380" s="409"/>
      <c r="E380" s="409">
        <f>估驗單!F373</f>
        <v>0</v>
      </c>
      <c r="F380" s="410">
        <f t="shared" si="34"/>
        <v>0</v>
      </c>
      <c r="G380" s="409">
        <f>I380</f>
        <v>3537274.3800000008</v>
      </c>
      <c r="H380" s="409"/>
      <c r="I380" s="411">
        <f>SUM(I381:I419)</f>
        <v>3537274.3800000008</v>
      </c>
      <c r="J380" s="411">
        <f>SUM(J381:J419)</f>
        <v>3537274.3800000008</v>
      </c>
      <c r="K380" s="541">
        <f>SUM(K381:K419)</f>
        <v>0</v>
      </c>
      <c r="L380" s="454">
        <f>SUM(L381:L419)</f>
        <v>0</v>
      </c>
      <c r="M380" s="288" t="s">
        <v>242</v>
      </c>
      <c r="N380" s="11" t="s">
        <v>243</v>
      </c>
      <c r="O380" s="341"/>
      <c r="P380" s="339"/>
      <c r="R380" s="325">
        <v>1</v>
      </c>
    </row>
    <row r="381" spans="1:18" s="325" customFormat="1" ht="42.75" hidden="1">
      <c r="A381" s="333" t="s">
        <v>2154</v>
      </c>
      <c r="B381" s="334" t="s">
        <v>1023</v>
      </c>
      <c r="C381" s="335" t="s">
        <v>7</v>
      </c>
      <c r="D381" s="336">
        <v>295</v>
      </c>
      <c r="E381" s="336">
        <f>估驗單!F374</f>
        <v>295</v>
      </c>
      <c r="F381" s="390">
        <f t="shared" si="34"/>
        <v>0</v>
      </c>
      <c r="G381" s="336">
        <v>299.98</v>
      </c>
      <c r="H381" s="336"/>
      <c r="I381" s="336">
        <f t="shared" ref="I381:I419" si="37">ROUND(D381*G381,2)</f>
        <v>88494.1</v>
      </c>
      <c r="J381" s="336">
        <f t="shared" ref="J381:J419" si="38">ROUND(E381*G381,2)</f>
        <v>88494.1</v>
      </c>
      <c r="K381" s="546">
        <f t="shared" si="31"/>
        <v>0</v>
      </c>
      <c r="L381" s="502"/>
      <c r="M381" s="231" t="s">
        <v>242</v>
      </c>
      <c r="N381" s="11" t="s">
        <v>243</v>
      </c>
      <c r="O381" s="341"/>
      <c r="P381" s="339"/>
    </row>
    <row r="382" spans="1:18" s="325" customFormat="1" ht="42.75" hidden="1">
      <c r="A382" s="333" t="s">
        <v>2155</v>
      </c>
      <c r="B382" s="334" t="s">
        <v>1025</v>
      </c>
      <c r="C382" s="335" t="s">
        <v>15</v>
      </c>
      <c r="D382" s="336">
        <v>59</v>
      </c>
      <c r="E382" s="336">
        <f>估驗單!F375</f>
        <v>59</v>
      </c>
      <c r="F382" s="390">
        <f t="shared" si="34"/>
        <v>0</v>
      </c>
      <c r="G382" s="336">
        <v>2999.84</v>
      </c>
      <c r="H382" s="336"/>
      <c r="I382" s="336">
        <f t="shared" si="37"/>
        <v>176990.56</v>
      </c>
      <c r="J382" s="336">
        <f t="shared" si="38"/>
        <v>176990.56</v>
      </c>
      <c r="K382" s="546">
        <f t="shared" si="31"/>
        <v>0</v>
      </c>
      <c r="L382" s="502"/>
      <c r="M382" s="231"/>
      <c r="N382" s="11" t="s">
        <v>243</v>
      </c>
      <c r="O382" s="341"/>
      <c r="P382" s="339"/>
    </row>
    <row r="383" spans="1:18" s="325" customFormat="1" ht="33" hidden="1">
      <c r="A383" s="333" t="s">
        <v>2156</v>
      </c>
      <c r="B383" s="334" t="s">
        <v>1027</v>
      </c>
      <c r="C383" s="335" t="s">
        <v>15</v>
      </c>
      <c r="D383" s="336">
        <v>59</v>
      </c>
      <c r="E383" s="336">
        <f>估驗單!F376</f>
        <v>59</v>
      </c>
      <c r="F383" s="390">
        <f t="shared" si="34"/>
        <v>0</v>
      </c>
      <c r="G383" s="336">
        <v>149.99</v>
      </c>
      <c r="H383" s="336"/>
      <c r="I383" s="336">
        <f t="shared" si="37"/>
        <v>8849.41</v>
      </c>
      <c r="J383" s="336">
        <f t="shared" si="38"/>
        <v>8849.41</v>
      </c>
      <c r="K383" s="546">
        <f t="shared" si="31"/>
        <v>0</v>
      </c>
      <c r="L383" s="502"/>
      <c r="M383" s="231"/>
      <c r="N383" s="11" t="s">
        <v>243</v>
      </c>
      <c r="O383" s="341"/>
      <c r="P383" s="339"/>
    </row>
    <row r="384" spans="1:18" s="325" customFormat="1" ht="42.75" hidden="1">
      <c r="A384" s="333" t="s">
        <v>2157</v>
      </c>
      <c r="B384" s="334" t="s">
        <v>1029</v>
      </c>
      <c r="C384" s="335" t="s">
        <v>1030</v>
      </c>
      <c r="D384" s="336">
        <v>9</v>
      </c>
      <c r="E384" s="336">
        <f>估驗單!F377</f>
        <v>9</v>
      </c>
      <c r="F384" s="390">
        <f t="shared" si="34"/>
        <v>0</v>
      </c>
      <c r="G384" s="336">
        <v>1199.93</v>
      </c>
      <c r="H384" s="336"/>
      <c r="I384" s="336">
        <f t="shared" si="37"/>
        <v>10799.37</v>
      </c>
      <c r="J384" s="336">
        <f t="shared" si="38"/>
        <v>10799.37</v>
      </c>
      <c r="K384" s="546">
        <f t="shared" si="31"/>
        <v>0</v>
      </c>
      <c r="L384" s="502"/>
      <c r="M384" s="231"/>
      <c r="N384" s="11" t="s">
        <v>243</v>
      </c>
      <c r="O384" s="341"/>
      <c r="P384" s="339"/>
    </row>
    <row r="385" spans="1:16" s="325" customFormat="1" ht="42.75" hidden="1">
      <c r="A385" s="333" t="s">
        <v>2158</v>
      </c>
      <c r="B385" s="334" t="s">
        <v>1032</v>
      </c>
      <c r="C385" s="335" t="s">
        <v>15</v>
      </c>
      <c r="D385" s="336">
        <v>22</v>
      </c>
      <c r="E385" s="336">
        <f>估驗單!F378</f>
        <v>22</v>
      </c>
      <c r="F385" s="390">
        <f t="shared" si="34"/>
        <v>0</v>
      </c>
      <c r="G385" s="336">
        <v>649.96</v>
      </c>
      <c r="H385" s="336"/>
      <c r="I385" s="336">
        <f t="shared" si="37"/>
        <v>14299.12</v>
      </c>
      <c r="J385" s="336">
        <f t="shared" si="38"/>
        <v>14299.12</v>
      </c>
      <c r="K385" s="546">
        <f t="shared" si="31"/>
        <v>0</v>
      </c>
      <c r="L385" s="502"/>
      <c r="M385" s="231"/>
      <c r="N385" s="11" t="s">
        <v>243</v>
      </c>
      <c r="O385" s="341"/>
      <c r="P385" s="339"/>
    </row>
    <row r="386" spans="1:16" s="325" customFormat="1" ht="42.75" hidden="1">
      <c r="A386" s="333" t="s">
        <v>2159</v>
      </c>
      <c r="B386" s="334" t="s">
        <v>1034</v>
      </c>
      <c r="C386" s="335" t="s">
        <v>15</v>
      </c>
      <c r="D386" s="336">
        <v>22</v>
      </c>
      <c r="E386" s="336">
        <f>估驗單!F379</f>
        <v>22</v>
      </c>
      <c r="F386" s="390">
        <f t="shared" si="34"/>
        <v>0</v>
      </c>
      <c r="G386" s="336">
        <v>1299.93</v>
      </c>
      <c r="H386" s="336"/>
      <c r="I386" s="336">
        <f t="shared" si="37"/>
        <v>28598.46</v>
      </c>
      <c r="J386" s="336">
        <f t="shared" si="38"/>
        <v>28598.46</v>
      </c>
      <c r="K386" s="546">
        <f t="shared" si="31"/>
        <v>0</v>
      </c>
      <c r="L386" s="502"/>
      <c r="M386" s="231"/>
      <c r="N386" s="11" t="s">
        <v>243</v>
      </c>
      <c r="O386" s="341"/>
      <c r="P386" s="339"/>
    </row>
    <row r="387" spans="1:16" s="325" customFormat="1" ht="42.75" hidden="1">
      <c r="A387" s="333" t="s">
        <v>2160</v>
      </c>
      <c r="B387" s="334" t="s">
        <v>1036</v>
      </c>
      <c r="C387" s="335" t="s">
        <v>15</v>
      </c>
      <c r="D387" s="336">
        <v>5</v>
      </c>
      <c r="E387" s="336">
        <f>估驗單!F380</f>
        <v>5</v>
      </c>
      <c r="F387" s="390">
        <f t="shared" si="34"/>
        <v>0</v>
      </c>
      <c r="G387" s="336">
        <v>3499.81</v>
      </c>
      <c r="H387" s="336"/>
      <c r="I387" s="336">
        <f t="shared" si="37"/>
        <v>17499.05</v>
      </c>
      <c r="J387" s="336">
        <f t="shared" si="38"/>
        <v>17499.05</v>
      </c>
      <c r="K387" s="546">
        <f t="shared" si="31"/>
        <v>0</v>
      </c>
      <c r="L387" s="502"/>
      <c r="M387" s="231" t="s">
        <v>242</v>
      </c>
      <c r="N387" s="11" t="s">
        <v>243</v>
      </c>
      <c r="O387" s="341"/>
      <c r="P387" s="339"/>
    </row>
    <row r="388" spans="1:16" s="325" customFormat="1" ht="42.75" hidden="1">
      <c r="A388" s="333" t="s">
        <v>2161</v>
      </c>
      <c r="B388" s="334" t="s">
        <v>1038</v>
      </c>
      <c r="C388" s="335" t="s">
        <v>15</v>
      </c>
      <c r="D388" s="336">
        <v>5</v>
      </c>
      <c r="E388" s="336">
        <f>估驗單!F381</f>
        <v>5</v>
      </c>
      <c r="F388" s="390">
        <f t="shared" si="34"/>
        <v>0</v>
      </c>
      <c r="G388" s="336">
        <v>699.96</v>
      </c>
      <c r="H388" s="336"/>
      <c r="I388" s="336">
        <f t="shared" si="37"/>
        <v>3499.8</v>
      </c>
      <c r="J388" s="336">
        <f t="shared" si="38"/>
        <v>3499.8</v>
      </c>
      <c r="K388" s="546">
        <f t="shared" si="31"/>
        <v>0</v>
      </c>
      <c r="L388" s="502"/>
      <c r="M388" s="231" t="s">
        <v>242</v>
      </c>
      <c r="N388" s="11" t="s">
        <v>243</v>
      </c>
      <c r="O388" s="341"/>
      <c r="P388" s="339"/>
    </row>
    <row r="389" spans="1:16" s="325" customFormat="1" ht="42.75" hidden="1">
      <c r="A389" s="333" t="s">
        <v>2162</v>
      </c>
      <c r="B389" s="334" t="s">
        <v>1040</v>
      </c>
      <c r="C389" s="335" t="s">
        <v>14</v>
      </c>
      <c r="D389" s="336">
        <v>1</v>
      </c>
      <c r="E389" s="336">
        <f>估驗單!F382</f>
        <v>1</v>
      </c>
      <c r="F389" s="390">
        <f t="shared" si="34"/>
        <v>0</v>
      </c>
      <c r="G389" s="336">
        <v>14999.18</v>
      </c>
      <c r="H389" s="336"/>
      <c r="I389" s="336">
        <f t="shared" si="37"/>
        <v>14999.18</v>
      </c>
      <c r="J389" s="336">
        <f t="shared" si="38"/>
        <v>14999.18</v>
      </c>
      <c r="K389" s="546">
        <f t="shared" si="31"/>
        <v>0</v>
      </c>
      <c r="L389" s="502"/>
      <c r="M389" s="231" t="s">
        <v>242</v>
      </c>
      <c r="N389" s="11" t="s">
        <v>243</v>
      </c>
      <c r="O389" s="341"/>
      <c r="P389" s="339"/>
    </row>
    <row r="390" spans="1:16" s="325" customFormat="1" ht="42.75" hidden="1">
      <c r="A390" s="333" t="s">
        <v>2163</v>
      </c>
      <c r="B390" s="334" t="s">
        <v>1043</v>
      </c>
      <c r="C390" s="335" t="s">
        <v>15</v>
      </c>
      <c r="D390" s="336">
        <v>1</v>
      </c>
      <c r="E390" s="336">
        <f>估驗單!F383</f>
        <v>1</v>
      </c>
      <c r="F390" s="390">
        <f t="shared" si="34"/>
        <v>0</v>
      </c>
      <c r="G390" s="336">
        <v>5999.67</v>
      </c>
      <c r="H390" s="336"/>
      <c r="I390" s="336">
        <f t="shared" si="37"/>
        <v>5999.67</v>
      </c>
      <c r="J390" s="336">
        <f t="shared" si="38"/>
        <v>5999.67</v>
      </c>
      <c r="K390" s="546">
        <f t="shared" si="31"/>
        <v>0</v>
      </c>
      <c r="L390" s="502"/>
      <c r="M390" s="231"/>
      <c r="N390" s="11" t="s">
        <v>243</v>
      </c>
      <c r="O390" s="341"/>
      <c r="P390" s="339"/>
    </row>
    <row r="391" spans="1:16" s="325" customFormat="1" ht="71.25" hidden="1">
      <c r="A391" s="333" t="s">
        <v>2164</v>
      </c>
      <c r="B391" s="334" t="s">
        <v>1046</v>
      </c>
      <c r="C391" s="335" t="s">
        <v>15</v>
      </c>
      <c r="D391" s="336">
        <v>1</v>
      </c>
      <c r="E391" s="336">
        <f>估驗單!F384</f>
        <v>1</v>
      </c>
      <c r="F391" s="390">
        <f t="shared" si="34"/>
        <v>0</v>
      </c>
      <c r="G391" s="336">
        <v>49497.3</v>
      </c>
      <c r="H391" s="336"/>
      <c r="I391" s="336">
        <f t="shared" si="37"/>
        <v>49497.3</v>
      </c>
      <c r="J391" s="336">
        <f t="shared" si="38"/>
        <v>49497.3</v>
      </c>
      <c r="K391" s="546">
        <f t="shared" si="31"/>
        <v>0</v>
      </c>
      <c r="L391" s="502"/>
      <c r="M391" s="231" t="s">
        <v>242</v>
      </c>
      <c r="N391" s="11" t="s">
        <v>243</v>
      </c>
      <c r="O391" s="341"/>
      <c r="P391" s="339"/>
    </row>
    <row r="392" spans="1:16" s="325" customFormat="1" ht="42.75" hidden="1">
      <c r="A392" s="333" t="s">
        <v>2165</v>
      </c>
      <c r="B392" s="334" t="s">
        <v>1049</v>
      </c>
      <c r="C392" s="335" t="s">
        <v>15</v>
      </c>
      <c r="D392" s="336">
        <v>6</v>
      </c>
      <c r="E392" s="336">
        <f>估驗單!F385</f>
        <v>6</v>
      </c>
      <c r="F392" s="390">
        <f t="shared" si="34"/>
        <v>0</v>
      </c>
      <c r="G392" s="336">
        <v>2999.84</v>
      </c>
      <c r="H392" s="336"/>
      <c r="I392" s="336">
        <f t="shared" si="37"/>
        <v>17999.04</v>
      </c>
      <c r="J392" s="336">
        <f t="shared" si="38"/>
        <v>17999.04</v>
      </c>
      <c r="K392" s="546">
        <f t="shared" si="31"/>
        <v>0</v>
      </c>
      <c r="L392" s="502"/>
      <c r="M392" s="231" t="s">
        <v>242</v>
      </c>
      <c r="N392" s="11" t="s">
        <v>243</v>
      </c>
      <c r="O392" s="341"/>
      <c r="P392" s="339"/>
    </row>
    <row r="393" spans="1:16" s="325" customFormat="1" ht="33" hidden="1">
      <c r="A393" s="333" t="s">
        <v>2166</v>
      </c>
      <c r="B393" s="334" t="s">
        <v>1052</v>
      </c>
      <c r="C393" s="335" t="s">
        <v>14</v>
      </c>
      <c r="D393" s="336">
        <v>75</v>
      </c>
      <c r="E393" s="336">
        <f>估驗單!F386</f>
        <v>75</v>
      </c>
      <c r="F393" s="390">
        <f t="shared" si="34"/>
        <v>0</v>
      </c>
      <c r="G393" s="336">
        <v>11999.35</v>
      </c>
      <c r="H393" s="336"/>
      <c r="I393" s="336">
        <f t="shared" si="37"/>
        <v>899951.25</v>
      </c>
      <c r="J393" s="336">
        <f t="shared" si="38"/>
        <v>899951.25</v>
      </c>
      <c r="K393" s="546">
        <f t="shared" si="31"/>
        <v>0</v>
      </c>
      <c r="L393" s="502"/>
      <c r="M393" s="231" t="s">
        <v>242</v>
      </c>
      <c r="N393" s="11" t="s">
        <v>243</v>
      </c>
      <c r="O393" s="341"/>
      <c r="P393" s="339"/>
    </row>
    <row r="394" spans="1:16" s="325" customFormat="1" ht="33" hidden="1">
      <c r="A394" s="333" t="s">
        <v>2167</v>
      </c>
      <c r="B394" s="334" t="s">
        <v>1055</v>
      </c>
      <c r="C394" s="335" t="s">
        <v>1007</v>
      </c>
      <c r="D394" s="336">
        <v>75</v>
      </c>
      <c r="E394" s="336">
        <f>估驗單!F387</f>
        <v>75</v>
      </c>
      <c r="F394" s="390">
        <f t="shared" si="34"/>
        <v>0</v>
      </c>
      <c r="G394" s="336">
        <v>1499.92</v>
      </c>
      <c r="H394" s="336"/>
      <c r="I394" s="336">
        <f t="shared" si="37"/>
        <v>112494</v>
      </c>
      <c r="J394" s="336">
        <f t="shared" si="38"/>
        <v>112494</v>
      </c>
      <c r="K394" s="546">
        <f t="shared" si="31"/>
        <v>0</v>
      </c>
      <c r="L394" s="502"/>
      <c r="M394" s="231" t="s">
        <v>242</v>
      </c>
      <c r="N394" s="11" t="s">
        <v>243</v>
      </c>
      <c r="O394" s="341"/>
      <c r="P394" s="339"/>
    </row>
    <row r="395" spans="1:16" s="325" customFormat="1" ht="42.75" hidden="1">
      <c r="A395" s="333" t="s">
        <v>2168</v>
      </c>
      <c r="B395" s="334" t="s">
        <v>1058</v>
      </c>
      <c r="C395" s="335" t="s">
        <v>15</v>
      </c>
      <c r="D395" s="336">
        <v>1</v>
      </c>
      <c r="E395" s="336">
        <f>估驗單!F388</f>
        <v>1</v>
      </c>
      <c r="F395" s="390">
        <f t="shared" si="34"/>
        <v>0</v>
      </c>
      <c r="G395" s="336">
        <v>11999.35</v>
      </c>
      <c r="H395" s="336"/>
      <c r="I395" s="336">
        <f t="shared" si="37"/>
        <v>11999.35</v>
      </c>
      <c r="J395" s="336">
        <f t="shared" si="38"/>
        <v>11999.35</v>
      </c>
      <c r="K395" s="546">
        <f t="shared" si="31"/>
        <v>0</v>
      </c>
      <c r="L395" s="502"/>
      <c r="M395" s="231"/>
      <c r="N395" s="11" t="s">
        <v>243</v>
      </c>
      <c r="O395" s="341"/>
      <c r="P395" s="339"/>
    </row>
    <row r="396" spans="1:16" s="325" customFormat="1" ht="33" hidden="1">
      <c r="A396" s="333" t="s">
        <v>2169</v>
      </c>
      <c r="B396" s="334" t="s">
        <v>1061</v>
      </c>
      <c r="C396" s="335" t="s">
        <v>15</v>
      </c>
      <c r="D396" s="336">
        <v>1</v>
      </c>
      <c r="E396" s="336">
        <f>估驗單!F389</f>
        <v>1</v>
      </c>
      <c r="F396" s="390">
        <f t="shared" si="34"/>
        <v>0</v>
      </c>
      <c r="G396" s="336">
        <v>1999.89</v>
      </c>
      <c r="H396" s="336"/>
      <c r="I396" s="336">
        <f t="shared" si="37"/>
        <v>1999.89</v>
      </c>
      <c r="J396" s="336">
        <f t="shared" si="38"/>
        <v>1999.89</v>
      </c>
      <c r="K396" s="546">
        <f t="shared" si="31"/>
        <v>0</v>
      </c>
      <c r="L396" s="502"/>
      <c r="M396" s="231"/>
      <c r="N396" s="11" t="s">
        <v>243</v>
      </c>
      <c r="O396" s="341"/>
      <c r="P396" s="339"/>
    </row>
    <row r="397" spans="1:16" s="325" customFormat="1" ht="42.75" hidden="1">
      <c r="A397" s="333" t="s">
        <v>2170</v>
      </c>
      <c r="B397" s="334" t="s">
        <v>1064</v>
      </c>
      <c r="C397" s="335" t="s">
        <v>15</v>
      </c>
      <c r="D397" s="336">
        <v>11</v>
      </c>
      <c r="E397" s="336">
        <f>估驗單!F390</f>
        <v>11</v>
      </c>
      <c r="F397" s="390">
        <f t="shared" si="34"/>
        <v>0</v>
      </c>
      <c r="G397" s="336">
        <v>2999.84</v>
      </c>
      <c r="H397" s="336"/>
      <c r="I397" s="336">
        <f t="shared" si="37"/>
        <v>32998.239999999998</v>
      </c>
      <c r="J397" s="336">
        <f t="shared" si="38"/>
        <v>32998.239999999998</v>
      </c>
      <c r="K397" s="546">
        <f t="shared" ref="K397:K460" si="39">J397-I397</f>
        <v>0</v>
      </c>
      <c r="L397" s="502"/>
      <c r="M397" s="231"/>
      <c r="N397" s="11" t="s">
        <v>243</v>
      </c>
      <c r="O397" s="341"/>
      <c r="P397" s="339"/>
    </row>
    <row r="398" spans="1:16" s="325" customFormat="1" ht="42.75" hidden="1">
      <c r="A398" s="333" t="s">
        <v>2171</v>
      </c>
      <c r="B398" s="334" t="s">
        <v>1067</v>
      </c>
      <c r="C398" s="335" t="s">
        <v>15</v>
      </c>
      <c r="D398" s="336">
        <v>3</v>
      </c>
      <c r="E398" s="336">
        <f>估驗單!F391</f>
        <v>3</v>
      </c>
      <c r="F398" s="390">
        <f t="shared" si="34"/>
        <v>0</v>
      </c>
      <c r="G398" s="336">
        <v>1399.92</v>
      </c>
      <c r="H398" s="336"/>
      <c r="I398" s="336">
        <f t="shared" si="37"/>
        <v>4199.76</v>
      </c>
      <c r="J398" s="336">
        <f t="shared" si="38"/>
        <v>4199.76</v>
      </c>
      <c r="K398" s="546">
        <f t="shared" si="39"/>
        <v>0</v>
      </c>
      <c r="L398" s="502"/>
      <c r="M398" s="231"/>
      <c r="N398" s="11" t="s">
        <v>243</v>
      </c>
      <c r="O398" s="341"/>
      <c r="P398" s="339"/>
    </row>
    <row r="399" spans="1:16" s="325" customFormat="1" ht="42.75" hidden="1">
      <c r="A399" s="333" t="s">
        <v>2172</v>
      </c>
      <c r="B399" s="334" t="s">
        <v>1070</v>
      </c>
      <c r="C399" s="335" t="s">
        <v>14</v>
      </c>
      <c r="D399" s="336">
        <v>5</v>
      </c>
      <c r="E399" s="336">
        <f>估驗單!F392</f>
        <v>5</v>
      </c>
      <c r="F399" s="390">
        <f t="shared" si="34"/>
        <v>0</v>
      </c>
      <c r="G399" s="336">
        <v>17999.02</v>
      </c>
      <c r="H399" s="336"/>
      <c r="I399" s="336">
        <f t="shared" si="37"/>
        <v>89995.1</v>
      </c>
      <c r="J399" s="336">
        <f t="shared" si="38"/>
        <v>89995.1</v>
      </c>
      <c r="K399" s="546">
        <f t="shared" si="39"/>
        <v>0</v>
      </c>
      <c r="L399" s="502"/>
      <c r="M399" s="231"/>
      <c r="N399" s="11" t="s">
        <v>243</v>
      </c>
      <c r="O399" s="341"/>
      <c r="P399" s="339"/>
    </row>
    <row r="400" spans="1:16" s="325" customFormat="1" ht="33" hidden="1">
      <c r="A400" s="333" t="s">
        <v>2173</v>
      </c>
      <c r="B400" s="334" t="s">
        <v>1073</v>
      </c>
      <c r="C400" s="335" t="s">
        <v>14</v>
      </c>
      <c r="D400" s="336">
        <v>1</v>
      </c>
      <c r="E400" s="336">
        <f>估驗單!F393</f>
        <v>1</v>
      </c>
      <c r="F400" s="390">
        <f t="shared" si="34"/>
        <v>0</v>
      </c>
      <c r="G400" s="336">
        <v>8999.51</v>
      </c>
      <c r="H400" s="336"/>
      <c r="I400" s="336">
        <f t="shared" si="37"/>
        <v>8999.51</v>
      </c>
      <c r="J400" s="336">
        <f t="shared" si="38"/>
        <v>8999.51</v>
      </c>
      <c r="K400" s="546">
        <f t="shared" si="39"/>
        <v>0</v>
      </c>
      <c r="L400" s="502"/>
      <c r="M400" s="231"/>
      <c r="N400" s="11" t="s">
        <v>243</v>
      </c>
      <c r="O400" s="341"/>
      <c r="P400" s="339"/>
    </row>
    <row r="401" spans="1:17" s="325" customFormat="1" ht="33" hidden="1">
      <c r="A401" s="333" t="s">
        <v>2174</v>
      </c>
      <c r="B401" s="334" t="s">
        <v>1076</v>
      </c>
      <c r="C401" s="335" t="s">
        <v>15</v>
      </c>
      <c r="D401" s="336">
        <v>2</v>
      </c>
      <c r="E401" s="336">
        <f>估驗單!F394</f>
        <v>2</v>
      </c>
      <c r="F401" s="390">
        <f t="shared" si="34"/>
        <v>0</v>
      </c>
      <c r="G401" s="336">
        <v>5999.67</v>
      </c>
      <c r="H401" s="336"/>
      <c r="I401" s="336">
        <f t="shared" si="37"/>
        <v>11999.34</v>
      </c>
      <c r="J401" s="336">
        <f t="shared" si="38"/>
        <v>11999.34</v>
      </c>
      <c r="K401" s="546">
        <f t="shared" si="39"/>
        <v>0</v>
      </c>
      <c r="L401" s="502"/>
      <c r="M401" s="231"/>
      <c r="N401" s="11" t="s">
        <v>243</v>
      </c>
      <c r="O401" s="341"/>
      <c r="P401" s="339"/>
    </row>
    <row r="402" spans="1:17" s="325" customFormat="1" ht="33" hidden="1">
      <c r="A402" s="333" t="s">
        <v>2175</v>
      </c>
      <c r="B402" s="334" t="s">
        <v>1079</v>
      </c>
      <c r="C402" s="335" t="s">
        <v>14</v>
      </c>
      <c r="D402" s="336">
        <v>1</v>
      </c>
      <c r="E402" s="336">
        <f>估驗單!F395</f>
        <v>1</v>
      </c>
      <c r="F402" s="390">
        <f t="shared" si="34"/>
        <v>0</v>
      </c>
      <c r="G402" s="336">
        <v>2499.86</v>
      </c>
      <c r="H402" s="336"/>
      <c r="I402" s="336">
        <f t="shared" si="37"/>
        <v>2499.86</v>
      </c>
      <c r="J402" s="336">
        <f t="shared" si="38"/>
        <v>2499.86</v>
      </c>
      <c r="K402" s="546">
        <f t="shared" si="39"/>
        <v>0</v>
      </c>
      <c r="L402" s="502"/>
      <c r="M402" s="231"/>
      <c r="N402" s="11" t="s">
        <v>243</v>
      </c>
      <c r="O402" s="341"/>
      <c r="P402" s="339"/>
    </row>
    <row r="403" spans="1:17" s="325" customFormat="1" ht="33" hidden="1">
      <c r="A403" s="333" t="s">
        <v>2177</v>
      </c>
      <c r="B403" s="334" t="s">
        <v>1082</v>
      </c>
      <c r="C403" s="335" t="s">
        <v>14</v>
      </c>
      <c r="D403" s="336">
        <v>1</v>
      </c>
      <c r="E403" s="336">
        <f>估驗單!F396</f>
        <v>1</v>
      </c>
      <c r="F403" s="390">
        <f t="shared" si="34"/>
        <v>0</v>
      </c>
      <c r="G403" s="336">
        <v>2499.86</v>
      </c>
      <c r="H403" s="336"/>
      <c r="I403" s="336">
        <f t="shared" si="37"/>
        <v>2499.86</v>
      </c>
      <c r="J403" s="336">
        <f t="shared" si="38"/>
        <v>2499.86</v>
      </c>
      <c r="K403" s="546">
        <f t="shared" si="39"/>
        <v>0</v>
      </c>
      <c r="L403" s="502"/>
      <c r="M403" s="231"/>
      <c r="N403" s="11" t="s">
        <v>243</v>
      </c>
      <c r="O403" s="341"/>
      <c r="P403" s="339"/>
    </row>
    <row r="404" spans="1:17" s="325" customFormat="1" ht="42.75" hidden="1">
      <c r="A404" s="333" t="s">
        <v>2178</v>
      </c>
      <c r="B404" s="334" t="s">
        <v>1085</v>
      </c>
      <c r="C404" s="335" t="s">
        <v>15</v>
      </c>
      <c r="D404" s="336">
        <v>4</v>
      </c>
      <c r="E404" s="336">
        <f>估驗單!F397</f>
        <v>4</v>
      </c>
      <c r="F404" s="390">
        <f t="shared" si="34"/>
        <v>0</v>
      </c>
      <c r="G404" s="336">
        <v>2999.84</v>
      </c>
      <c r="H404" s="336"/>
      <c r="I404" s="336">
        <f t="shared" si="37"/>
        <v>11999.36</v>
      </c>
      <c r="J404" s="336">
        <f t="shared" si="38"/>
        <v>11999.36</v>
      </c>
      <c r="K404" s="546">
        <f t="shared" si="39"/>
        <v>0</v>
      </c>
      <c r="L404" s="502"/>
      <c r="M404" s="231"/>
      <c r="N404" s="11" t="s">
        <v>243</v>
      </c>
      <c r="O404" s="341"/>
      <c r="P404" s="339"/>
    </row>
    <row r="405" spans="1:17" s="325" customFormat="1" ht="57" hidden="1">
      <c r="A405" s="333" t="s">
        <v>2179</v>
      </c>
      <c r="B405" s="334" t="s">
        <v>1088</v>
      </c>
      <c r="C405" s="335" t="s">
        <v>15</v>
      </c>
      <c r="D405" s="336">
        <v>2</v>
      </c>
      <c r="E405" s="336">
        <f>估驗單!F398</f>
        <v>2</v>
      </c>
      <c r="F405" s="390">
        <f t="shared" si="34"/>
        <v>0</v>
      </c>
      <c r="G405" s="336">
        <v>19998.91</v>
      </c>
      <c r="H405" s="336"/>
      <c r="I405" s="336">
        <f t="shared" si="37"/>
        <v>39997.82</v>
      </c>
      <c r="J405" s="336">
        <f t="shared" si="38"/>
        <v>39997.82</v>
      </c>
      <c r="K405" s="546">
        <f t="shared" si="39"/>
        <v>0</v>
      </c>
      <c r="L405" s="502"/>
      <c r="M405" s="231"/>
      <c r="N405" s="11" t="s">
        <v>243</v>
      </c>
      <c r="O405" s="341"/>
      <c r="P405" s="339"/>
    </row>
    <row r="406" spans="1:17" s="325" customFormat="1" ht="42.75" hidden="1">
      <c r="A406" s="333" t="s">
        <v>2181</v>
      </c>
      <c r="B406" s="334" t="s">
        <v>1091</v>
      </c>
      <c r="C406" s="335" t="s">
        <v>14</v>
      </c>
      <c r="D406" s="336">
        <v>1</v>
      </c>
      <c r="E406" s="336">
        <f>估驗單!F399</f>
        <v>1</v>
      </c>
      <c r="F406" s="390">
        <f t="shared" si="34"/>
        <v>0</v>
      </c>
      <c r="G406" s="336">
        <v>14999.18</v>
      </c>
      <c r="H406" s="336"/>
      <c r="I406" s="336">
        <f t="shared" si="37"/>
        <v>14999.18</v>
      </c>
      <c r="J406" s="336">
        <f t="shared" si="38"/>
        <v>14999.18</v>
      </c>
      <c r="K406" s="546">
        <f t="shared" si="39"/>
        <v>0</v>
      </c>
      <c r="L406" s="502"/>
      <c r="M406" s="231"/>
      <c r="N406" s="11" t="s">
        <v>243</v>
      </c>
      <c r="O406" s="341"/>
      <c r="P406" s="339"/>
    </row>
    <row r="407" spans="1:17" s="325" customFormat="1" ht="42.75" hidden="1">
      <c r="A407" s="333" t="s">
        <v>2182</v>
      </c>
      <c r="B407" s="334" t="s">
        <v>1094</v>
      </c>
      <c r="C407" s="335" t="s">
        <v>1095</v>
      </c>
      <c r="D407" s="336">
        <v>3</v>
      </c>
      <c r="E407" s="336">
        <f>估驗單!F400</f>
        <v>3</v>
      </c>
      <c r="F407" s="390">
        <f t="shared" si="34"/>
        <v>0</v>
      </c>
      <c r="G407" s="336">
        <v>1299.93</v>
      </c>
      <c r="H407" s="336"/>
      <c r="I407" s="336">
        <f t="shared" si="37"/>
        <v>3899.79</v>
      </c>
      <c r="J407" s="336">
        <f t="shared" si="38"/>
        <v>3899.79</v>
      </c>
      <c r="K407" s="546">
        <f t="shared" si="39"/>
        <v>0</v>
      </c>
      <c r="L407" s="502"/>
      <c r="M407" s="231"/>
      <c r="N407" s="11" t="s">
        <v>243</v>
      </c>
      <c r="O407" s="341"/>
      <c r="P407" s="339"/>
    </row>
    <row r="408" spans="1:17" s="325" customFormat="1" ht="33" hidden="1">
      <c r="A408" s="333" t="s">
        <v>2183</v>
      </c>
      <c r="B408" s="334" t="s">
        <v>1098</v>
      </c>
      <c r="C408" s="335" t="s">
        <v>1095</v>
      </c>
      <c r="D408" s="336">
        <v>4</v>
      </c>
      <c r="E408" s="336">
        <f>估驗單!F401</f>
        <v>4</v>
      </c>
      <c r="F408" s="390">
        <f t="shared" si="34"/>
        <v>0</v>
      </c>
      <c r="G408" s="336">
        <v>999.95</v>
      </c>
      <c r="H408" s="336"/>
      <c r="I408" s="336">
        <f t="shared" si="37"/>
        <v>3999.8</v>
      </c>
      <c r="J408" s="336">
        <f t="shared" si="38"/>
        <v>3999.8</v>
      </c>
      <c r="K408" s="546">
        <f t="shared" si="39"/>
        <v>0</v>
      </c>
      <c r="L408" s="502"/>
      <c r="M408" s="231"/>
      <c r="N408" s="11" t="s">
        <v>243</v>
      </c>
      <c r="O408" s="341"/>
      <c r="P408" s="339"/>
    </row>
    <row r="409" spans="1:17" s="325" customFormat="1" ht="33" hidden="1">
      <c r="A409" s="333" t="s">
        <v>2184</v>
      </c>
      <c r="B409" s="334" t="s">
        <v>1101</v>
      </c>
      <c r="C409" s="335" t="s">
        <v>15</v>
      </c>
      <c r="D409" s="336">
        <v>2</v>
      </c>
      <c r="E409" s="336">
        <f>估驗單!F402</f>
        <v>2</v>
      </c>
      <c r="F409" s="390">
        <f t="shared" si="34"/>
        <v>0</v>
      </c>
      <c r="G409" s="336">
        <v>8999.51</v>
      </c>
      <c r="H409" s="336"/>
      <c r="I409" s="336">
        <f t="shared" si="37"/>
        <v>17999.02</v>
      </c>
      <c r="J409" s="336">
        <f t="shared" si="38"/>
        <v>17999.02</v>
      </c>
      <c r="K409" s="546">
        <f t="shared" si="39"/>
        <v>0</v>
      </c>
      <c r="L409" s="502"/>
      <c r="M409" s="231"/>
      <c r="N409" s="11" t="s">
        <v>243</v>
      </c>
      <c r="O409" s="341"/>
      <c r="P409" s="339"/>
    </row>
    <row r="410" spans="1:17" s="325" customFormat="1" ht="42.75" hidden="1">
      <c r="A410" s="333" t="s">
        <v>2185</v>
      </c>
      <c r="B410" s="334" t="s">
        <v>1104</v>
      </c>
      <c r="C410" s="335" t="s">
        <v>15</v>
      </c>
      <c r="D410" s="336">
        <v>4</v>
      </c>
      <c r="E410" s="336">
        <f>估驗單!F403</f>
        <v>4</v>
      </c>
      <c r="F410" s="390">
        <f t="shared" si="34"/>
        <v>0</v>
      </c>
      <c r="G410" s="336">
        <v>4199.7700000000004</v>
      </c>
      <c r="H410" s="336"/>
      <c r="I410" s="336">
        <f t="shared" si="37"/>
        <v>16799.080000000002</v>
      </c>
      <c r="J410" s="336">
        <f t="shared" si="38"/>
        <v>16799.080000000002</v>
      </c>
      <c r="K410" s="546">
        <f t="shared" si="39"/>
        <v>0</v>
      </c>
      <c r="L410" s="502"/>
      <c r="M410" s="231"/>
      <c r="N410" s="11" t="s">
        <v>243</v>
      </c>
      <c r="O410" s="341"/>
      <c r="P410" s="339"/>
    </row>
    <row r="411" spans="1:17" ht="33" hidden="1">
      <c r="A411" s="333" t="s">
        <v>2186</v>
      </c>
      <c r="B411" s="334" t="s">
        <v>1107</v>
      </c>
      <c r="C411" s="335" t="s">
        <v>14</v>
      </c>
      <c r="D411" s="336">
        <v>2</v>
      </c>
      <c r="E411" s="336">
        <f>估驗單!F404</f>
        <v>2</v>
      </c>
      <c r="F411" s="390">
        <f t="shared" si="34"/>
        <v>0</v>
      </c>
      <c r="G411" s="336">
        <v>999.95</v>
      </c>
      <c r="H411" s="336"/>
      <c r="I411" s="336">
        <f t="shared" si="37"/>
        <v>1999.9</v>
      </c>
      <c r="J411" s="336">
        <f t="shared" si="38"/>
        <v>1999.9</v>
      </c>
      <c r="K411" s="546">
        <f t="shared" si="39"/>
        <v>0</v>
      </c>
      <c r="L411" s="502"/>
      <c r="M411" s="231"/>
      <c r="N411" s="11" t="s">
        <v>243</v>
      </c>
      <c r="O411" s="341"/>
      <c r="P411" s="339"/>
    </row>
    <row r="412" spans="1:17" ht="33" hidden="1">
      <c r="A412" s="333" t="s">
        <v>2187</v>
      </c>
      <c r="B412" s="334" t="s">
        <v>224</v>
      </c>
      <c r="C412" s="335" t="s">
        <v>15</v>
      </c>
      <c r="D412" s="336">
        <v>12</v>
      </c>
      <c r="E412" s="336">
        <f>估驗單!F405</f>
        <v>12</v>
      </c>
      <c r="F412" s="390">
        <f t="shared" si="34"/>
        <v>0</v>
      </c>
      <c r="G412" s="336">
        <v>4499.75</v>
      </c>
      <c r="H412" s="336"/>
      <c r="I412" s="336">
        <f t="shared" si="37"/>
        <v>53997</v>
      </c>
      <c r="J412" s="336">
        <f t="shared" si="38"/>
        <v>53997</v>
      </c>
      <c r="K412" s="546">
        <f t="shared" si="39"/>
        <v>0</v>
      </c>
      <c r="L412" s="502"/>
      <c r="M412" s="231"/>
      <c r="N412" s="11" t="s">
        <v>243</v>
      </c>
      <c r="O412" s="341"/>
      <c r="P412" s="339"/>
    </row>
    <row r="413" spans="1:17" ht="33" hidden="1">
      <c r="A413" s="333" t="s">
        <v>2188</v>
      </c>
      <c r="B413" s="334" t="s">
        <v>1112</v>
      </c>
      <c r="C413" s="335" t="s">
        <v>15</v>
      </c>
      <c r="D413" s="336">
        <v>2</v>
      </c>
      <c r="E413" s="336">
        <f>估驗單!F406</f>
        <v>2</v>
      </c>
      <c r="F413" s="390">
        <f t="shared" si="34"/>
        <v>0</v>
      </c>
      <c r="G413" s="336">
        <v>636265.30000000005</v>
      </c>
      <c r="H413" s="336"/>
      <c r="I413" s="336">
        <f t="shared" si="37"/>
        <v>1272530.6000000001</v>
      </c>
      <c r="J413" s="336">
        <f t="shared" si="38"/>
        <v>1272530.6000000001</v>
      </c>
      <c r="K413" s="546">
        <f t="shared" si="39"/>
        <v>0</v>
      </c>
      <c r="L413" s="502"/>
      <c r="M413" s="231"/>
      <c r="N413" s="11" t="s">
        <v>243</v>
      </c>
      <c r="O413" s="341"/>
      <c r="P413" s="339"/>
    </row>
    <row r="414" spans="1:17" ht="42.75" hidden="1">
      <c r="A414" s="333" t="s">
        <v>2189</v>
      </c>
      <c r="B414" s="334" t="s">
        <v>1115</v>
      </c>
      <c r="C414" s="335" t="s">
        <v>1116</v>
      </c>
      <c r="D414" s="336">
        <v>4</v>
      </c>
      <c r="E414" s="336">
        <f>估驗單!F407</f>
        <v>4</v>
      </c>
      <c r="F414" s="390">
        <f t="shared" si="34"/>
        <v>0</v>
      </c>
      <c r="G414" s="336">
        <v>1999.89</v>
      </c>
      <c r="H414" s="336"/>
      <c r="I414" s="336">
        <f t="shared" si="37"/>
        <v>7999.56</v>
      </c>
      <c r="J414" s="336">
        <f t="shared" si="38"/>
        <v>7999.56</v>
      </c>
      <c r="K414" s="546">
        <f t="shared" si="39"/>
        <v>0</v>
      </c>
      <c r="L414" s="502"/>
      <c r="M414" s="231"/>
      <c r="N414" s="11" t="s">
        <v>243</v>
      </c>
      <c r="O414" s="341"/>
      <c r="P414" s="339"/>
    </row>
    <row r="415" spans="1:17" ht="33" hidden="1">
      <c r="A415" s="333" t="s">
        <v>2190</v>
      </c>
      <c r="B415" s="334" t="s">
        <v>1542</v>
      </c>
      <c r="C415" s="335" t="s">
        <v>15</v>
      </c>
      <c r="D415" s="336">
        <v>1</v>
      </c>
      <c r="E415" s="336">
        <f>估驗單!F408</f>
        <v>1</v>
      </c>
      <c r="F415" s="390">
        <f t="shared" si="34"/>
        <v>0</v>
      </c>
      <c r="G415" s="336">
        <v>119722.49</v>
      </c>
      <c r="H415" s="336"/>
      <c r="I415" s="336">
        <f t="shared" si="37"/>
        <v>119722.49</v>
      </c>
      <c r="J415" s="336">
        <f t="shared" si="38"/>
        <v>119722.49</v>
      </c>
      <c r="K415" s="546">
        <f t="shared" si="39"/>
        <v>0</v>
      </c>
      <c r="L415" s="502"/>
      <c r="M415" s="231"/>
      <c r="N415" s="11" t="s">
        <v>243</v>
      </c>
      <c r="O415" s="341"/>
      <c r="P415" s="339"/>
    </row>
    <row r="416" spans="1:17" s="352" customFormat="1" ht="33" hidden="1">
      <c r="A416" s="343">
        <v>36</v>
      </c>
      <c r="B416" s="344" t="s">
        <v>2441</v>
      </c>
      <c r="C416" s="345" t="s">
        <v>2353</v>
      </c>
      <c r="D416" s="340">
        <v>1</v>
      </c>
      <c r="E416" s="336">
        <f>估驗單!F409</f>
        <v>1</v>
      </c>
      <c r="F416" s="390">
        <f t="shared" si="34"/>
        <v>0</v>
      </c>
      <c r="G416" s="340">
        <v>74993.56</v>
      </c>
      <c r="H416" s="340"/>
      <c r="I416" s="336">
        <f t="shared" si="37"/>
        <v>74993.56</v>
      </c>
      <c r="J416" s="336">
        <f t="shared" si="38"/>
        <v>74993.56</v>
      </c>
      <c r="K416" s="546">
        <f t="shared" si="39"/>
        <v>0</v>
      </c>
      <c r="L416" s="502"/>
      <c r="M416" s="350"/>
      <c r="N416" s="347" t="s">
        <v>243</v>
      </c>
      <c r="O416" s="348"/>
      <c r="P416" s="349"/>
      <c r="Q416" s="362"/>
    </row>
    <row r="417" spans="1:21" s="352" customFormat="1" ht="42.75" hidden="1">
      <c r="A417" s="423">
        <v>37</v>
      </c>
      <c r="B417" s="424" t="s">
        <v>1546</v>
      </c>
      <c r="C417" s="425" t="s">
        <v>15</v>
      </c>
      <c r="D417" s="419">
        <v>2</v>
      </c>
      <c r="E417" s="419">
        <f>估驗單!F410</f>
        <v>2</v>
      </c>
      <c r="F417" s="426">
        <f t="shared" si="34"/>
        <v>0</v>
      </c>
      <c r="G417" s="419">
        <v>83492.83</v>
      </c>
      <c r="H417" s="419"/>
      <c r="I417" s="336">
        <f t="shared" si="37"/>
        <v>166985.66</v>
      </c>
      <c r="J417" s="336">
        <f t="shared" si="38"/>
        <v>166985.66</v>
      </c>
      <c r="K417" s="546">
        <f t="shared" si="39"/>
        <v>0</v>
      </c>
      <c r="L417" s="502"/>
      <c r="M417" s="376"/>
      <c r="N417" s="357"/>
      <c r="O417" s="377"/>
      <c r="P417" s="360"/>
      <c r="Q417" s="353"/>
    </row>
    <row r="418" spans="1:21" s="352" customFormat="1" ht="42.75" hidden="1">
      <c r="A418" s="423">
        <v>38</v>
      </c>
      <c r="B418" s="424" t="s">
        <v>1548</v>
      </c>
      <c r="C418" s="425" t="s">
        <v>15</v>
      </c>
      <c r="D418" s="419">
        <v>1</v>
      </c>
      <c r="E418" s="419">
        <f>估驗單!F411</f>
        <v>1</v>
      </c>
      <c r="F418" s="426">
        <f t="shared" si="34"/>
        <v>0</v>
      </c>
      <c r="G418" s="419">
        <v>76193.42</v>
      </c>
      <c r="H418" s="419"/>
      <c r="I418" s="336">
        <f t="shared" si="37"/>
        <v>76193.42</v>
      </c>
      <c r="J418" s="336">
        <f t="shared" si="38"/>
        <v>76193.42</v>
      </c>
      <c r="K418" s="546">
        <f t="shared" si="39"/>
        <v>0</v>
      </c>
      <c r="L418" s="502"/>
      <c r="M418" s="376"/>
      <c r="N418" s="357"/>
      <c r="O418" s="377"/>
      <c r="P418" s="360"/>
      <c r="Q418" s="353"/>
    </row>
    <row r="419" spans="1:21" s="352" customFormat="1" ht="28.5" hidden="1">
      <c r="A419" s="423">
        <v>39</v>
      </c>
      <c r="B419" s="424" t="s">
        <v>1550</v>
      </c>
      <c r="C419" s="425" t="s">
        <v>15</v>
      </c>
      <c r="D419" s="419">
        <v>2</v>
      </c>
      <c r="E419" s="419">
        <f>估驗單!F412</f>
        <v>2</v>
      </c>
      <c r="F419" s="426">
        <f t="shared" si="34"/>
        <v>0</v>
      </c>
      <c r="G419" s="419">
        <v>17998.46</v>
      </c>
      <c r="H419" s="419"/>
      <c r="I419" s="336">
        <f t="shared" si="37"/>
        <v>35996.92</v>
      </c>
      <c r="J419" s="336">
        <f t="shared" si="38"/>
        <v>35996.92</v>
      </c>
      <c r="K419" s="546">
        <f t="shared" si="39"/>
        <v>0</v>
      </c>
      <c r="L419" s="502"/>
      <c r="M419" s="376"/>
      <c r="N419" s="357"/>
      <c r="O419" s="377"/>
      <c r="P419" s="360"/>
      <c r="Q419" s="353"/>
    </row>
    <row r="420" spans="1:21" ht="33">
      <c r="A420" s="406" t="s">
        <v>2253</v>
      </c>
      <c r="B420" s="407" t="s">
        <v>1118</v>
      </c>
      <c r="C420" s="408" t="s">
        <v>4</v>
      </c>
      <c r="D420" s="409"/>
      <c r="E420" s="409"/>
      <c r="F420" s="410">
        <f t="shared" si="34"/>
        <v>0</v>
      </c>
      <c r="G420" s="409">
        <f>I420</f>
        <v>3983954.6799999997</v>
      </c>
      <c r="H420" s="409"/>
      <c r="I420" s="409">
        <f>SUM(I421:I423)</f>
        <v>3983954.6799999997</v>
      </c>
      <c r="J420" s="409">
        <f>SUM(J421:J423)</f>
        <v>3983954.6799999997</v>
      </c>
      <c r="K420" s="542">
        <f>SUM(K421:K423)</f>
        <v>0</v>
      </c>
      <c r="L420" s="534"/>
      <c r="M420" s="288"/>
      <c r="N420" s="11" t="s">
        <v>243</v>
      </c>
      <c r="O420" s="341"/>
      <c r="P420" s="339"/>
      <c r="R420" s="82">
        <v>1</v>
      </c>
    </row>
    <row r="421" spans="1:21" ht="33" hidden="1">
      <c r="A421" s="333" t="s">
        <v>2154</v>
      </c>
      <c r="B421" s="334" t="s">
        <v>26</v>
      </c>
      <c r="C421" s="335" t="s">
        <v>20</v>
      </c>
      <c r="D421" s="336">
        <v>48</v>
      </c>
      <c r="E421" s="336">
        <f>估驗單!F414</f>
        <v>48</v>
      </c>
      <c r="F421" s="390">
        <f t="shared" si="34"/>
        <v>0</v>
      </c>
      <c r="G421" s="336">
        <v>13067.55</v>
      </c>
      <c r="H421" s="336"/>
      <c r="I421" s="336">
        <f>ROUND(D421*G421,2)</f>
        <v>627242.4</v>
      </c>
      <c r="J421" s="336">
        <f>ROUND(E421*G421,2)</f>
        <v>627242.4</v>
      </c>
      <c r="K421" s="546">
        <f t="shared" si="39"/>
        <v>0</v>
      </c>
      <c r="L421" s="502"/>
      <c r="M421" s="231"/>
      <c r="N421" s="11" t="s">
        <v>243</v>
      </c>
      <c r="O421" s="341"/>
      <c r="P421" s="339"/>
    </row>
    <row r="422" spans="1:21" ht="33" hidden="1">
      <c r="A422" s="333" t="s">
        <v>2155</v>
      </c>
      <c r="B422" s="334" t="s">
        <v>27</v>
      </c>
      <c r="C422" s="335" t="s">
        <v>21</v>
      </c>
      <c r="D422" s="336">
        <v>28448</v>
      </c>
      <c r="E422" s="336">
        <f>估驗單!F415</f>
        <v>28448</v>
      </c>
      <c r="F422" s="390">
        <f t="shared" si="34"/>
        <v>0</v>
      </c>
      <c r="G422" s="336">
        <v>54.56</v>
      </c>
      <c r="H422" s="336"/>
      <c r="I422" s="336">
        <f>ROUND(D422*G422,2)</f>
        <v>1552122.8799999999</v>
      </c>
      <c r="J422" s="336">
        <f>ROUND(E422*G422,2)</f>
        <v>1552122.8799999999</v>
      </c>
      <c r="K422" s="546">
        <f t="shared" si="39"/>
        <v>0</v>
      </c>
      <c r="L422" s="502"/>
      <c r="M422" s="231"/>
      <c r="N422" s="11" t="s">
        <v>243</v>
      </c>
      <c r="O422" s="341"/>
      <c r="P422" s="339"/>
      <c r="Q422" s="362"/>
      <c r="S422" s="378" t="s">
        <v>2447</v>
      </c>
      <c r="U422" s="379"/>
    </row>
    <row r="423" spans="1:21" s="363" customFormat="1" ht="33" hidden="1">
      <c r="A423" s="343" t="s">
        <v>2156</v>
      </c>
      <c r="B423" s="344" t="s">
        <v>1553</v>
      </c>
      <c r="C423" s="345" t="s">
        <v>2448</v>
      </c>
      <c r="D423" s="340">
        <v>1570</v>
      </c>
      <c r="E423" s="336">
        <f>估驗單!F416</f>
        <v>1570</v>
      </c>
      <c r="F423" s="390">
        <f t="shared" si="34"/>
        <v>0</v>
      </c>
      <c r="G423" s="340">
        <v>1149.42</v>
      </c>
      <c r="H423" s="340"/>
      <c r="I423" s="336">
        <f>ROUND(D423*G423,2)</f>
        <v>1804589.4</v>
      </c>
      <c r="J423" s="336">
        <f>ROUND(E423*G423,2)</f>
        <v>1804589.4</v>
      </c>
      <c r="K423" s="546">
        <f t="shared" si="39"/>
        <v>0</v>
      </c>
      <c r="L423" s="502"/>
      <c r="M423" s="346"/>
      <c r="N423" s="347" t="s">
        <v>243</v>
      </c>
      <c r="O423" s="354"/>
      <c r="P423" s="349"/>
      <c r="Q423" s="358"/>
    </row>
    <row r="424" spans="1:21" ht="33">
      <c r="A424" s="406" t="s">
        <v>2254</v>
      </c>
      <c r="B424" s="407" t="s">
        <v>1121</v>
      </c>
      <c r="C424" s="408" t="s">
        <v>4</v>
      </c>
      <c r="D424" s="409"/>
      <c r="E424" s="409"/>
      <c r="F424" s="410">
        <f t="shared" si="34"/>
        <v>0</v>
      </c>
      <c r="G424" s="409">
        <f>I424</f>
        <v>10146417.939999999</v>
      </c>
      <c r="H424" s="409"/>
      <c r="I424" s="411">
        <f>SUM(I425:I443)</f>
        <v>10146417.939999999</v>
      </c>
      <c r="J424" s="411">
        <f>SUM(J425:J443)</f>
        <v>10761887.789999999</v>
      </c>
      <c r="K424" s="541">
        <f>SUM(K425:K443)</f>
        <v>615469.85</v>
      </c>
      <c r="L424" s="454">
        <f>SUM(L425:L442)</f>
        <v>0</v>
      </c>
      <c r="M424" s="288"/>
      <c r="N424" s="11" t="s">
        <v>243</v>
      </c>
      <c r="O424" s="341"/>
      <c r="P424" s="339"/>
      <c r="R424" s="82">
        <v>1</v>
      </c>
    </row>
    <row r="425" spans="1:21" ht="33" hidden="1">
      <c r="A425" s="333" t="s">
        <v>2154</v>
      </c>
      <c r="B425" s="334" t="s">
        <v>1122</v>
      </c>
      <c r="C425" s="335" t="s">
        <v>8</v>
      </c>
      <c r="D425" s="336">
        <v>1294.97</v>
      </c>
      <c r="E425" s="336">
        <f>估驗單!F418</f>
        <v>1294.97</v>
      </c>
      <c r="F425" s="390">
        <f t="shared" si="34"/>
        <v>0</v>
      </c>
      <c r="G425" s="336">
        <v>3662.03</v>
      </c>
      <c r="H425" s="336"/>
      <c r="I425" s="336">
        <f t="shared" ref="I425:I443" si="40">ROUND(D425*G425,2)</f>
        <v>4742218.99</v>
      </c>
      <c r="J425" s="336">
        <f t="shared" ref="J425:J443" si="41">ROUND(E425*G425,2)</f>
        <v>4742218.99</v>
      </c>
      <c r="K425" s="546">
        <f t="shared" si="39"/>
        <v>0</v>
      </c>
      <c r="L425" s="502"/>
      <c r="M425" s="231"/>
      <c r="N425" s="11" t="s">
        <v>243</v>
      </c>
      <c r="O425" s="341"/>
      <c r="P425" s="339"/>
    </row>
    <row r="426" spans="1:21" ht="33" hidden="1">
      <c r="A426" s="333" t="s">
        <v>2155</v>
      </c>
      <c r="B426" s="334" t="s">
        <v>1124</v>
      </c>
      <c r="C426" s="335" t="s">
        <v>13</v>
      </c>
      <c r="D426" s="336">
        <v>1840.93</v>
      </c>
      <c r="E426" s="336">
        <f>估驗單!F419</f>
        <v>1840.93</v>
      </c>
      <c r="F426" s="390">
        <f t="shared" si="34"/>
        <v>0</v>
      </c>
      <c r="G426" s="336">
        <v>352.98</v>
      </c>
      <c r="H426" s="336"/>
      <c r="I426" s="336">
        <f t="shared" si="40"/>
        <v>649811.47</v>
      </c>
      <c r="J426" s="336">
        <f t="shared" si="41"/>
        <v>649811.47</v>
      </c>
      <c r="K426" s="546">
        <f t="shared" si="39"/>
        <v>0</v>
      </c>
      <c r="L426" s="502"/>
      <c r="M426" s="231"/>
      <c r="N426" s="11" t="s">
        <v>243</v>
      </c>
      <c r="O426" s="341"/>
      <c r="P426" s="339"/>
    </row>
    <row r="427" spans="1:21" ht="33" hidden="1">
      <c r="A427" s="333" t="s">
        <v>2156</v>
      </c>
      <c r="B427" s="334" t="s">
        <v>32</v>
      </c>
      <c r="C427" s="335" t="s">
        <v>7</v>
      </c>
      <c r="D427" s="336">
        <v>59</v>
      </c>
      <c r="E427" s="336">
        <f>估驗單!F420</f>
        <v>59</v>
      </c>
      <c r="F427" s="390">
        <f t="shared" si="34"/>
        <v>0</v>
      </c>
      <c r="G427" s="336">
        <v>217.01</v>
      </c>
      <c r="H427" s="336"/>
      <c r="I427" s="336">
        <f t="shared" si="40"/>
        <v>12803.59</v>
      </c>
      <c r="J427" s="336">
        <f t="shared" si="41"/>
        <v>12803.59</v>
      </c>
      <c r="K427" s="546">
        <f t="shared" si="39"/>
        <v>0</v>
      </c>
      <c r="L427" s="502"/>
      <c r="M427" s="231"/>
      <c r="N427" s="11" t="s">
        <v>243</v>
      </c>
      <c r="O427" s="341"/>
      <c r="P427" s="339"/>
    </row>
    <row r="428" spans="1:21" ht="33" hidden="1">
      <c r="A428" s="333" t="s">
        <v>2157</v>
      </c>
      <c r="B428" s="334" t="s">
        <v>33</v>
      </c>
      <c r="C428" s="335" t="s">
        <v>5</v>
      </c>
      <c r="D428" s="336">
        <v>30</v>
      </c>
      <c r="E428" s="336">
        <f>估驗單!F421</f>
        <v>30</v>
      </c>
      <c r="F428" s="390">
        <f t="shared" ref="F428:F471" si="42">E428-D428</f>
        <v>0</v>
      </c>
      <c r="G428" s="336">
        <v>50</v>
      </c>
      <c r="H428" s="336"/>
      <c r="I428" s="336">
        <f t="shared" si="40"/>
        <v>1500</v>
      </c>
      <c r="J428" s="336">
        <f t="shared" si="41"/>
        <v>1500</v>
      </c>
      <c r="K428" s="546">
        <f t="shared" si="39"/>
        <v>0</v>
      </c>
      <c r="L428" s="502"/>
      <c r="M428" s="231"/>
      <c r="N428" s="11" t="s">
        <v>243</v>
      </c>
      <c r="O428" s="341"/>
      <c r="P428" s="339"/>
    </row>
    <row r="429" spans="1:21" ht="33" hidden="1">
      <c r="A429" s="333" t="s">
        <v>2158</v>
      </c>
      <c r="B429" s="334" t="s">
        <v>1128</v>
      </c>
      <c r="C429" s="335" t="s">
        <v>0</v>
      </c>
      <c r="D429" s="336">
        <v>19</v>
      </c>
      <c r="E429" s="336">
        <f>估驗單!F422</f>
        <v>19</v>
      </c>
      <c r="F429" s="390">
        <f t="shared" si="42"/>
        <v>0</v>
      </c>
      <c r="G429" s="336">
        <v>1900.88</v>
      </c>
      <c r="H429" s="336"/>
      <c r="I429" s="336">
        <f t="shared" si="40"/>
        <v>36116.720000000001</v>
      </c>
      <c r="J429" s="336">
        <f t="shared" si="41"/>
        <v>36116.720000000001</v>
      </c>
      <c r="K429" s="546">
        <f t="shared" si="39"/>
        <v>0</v>
      </c>
      <c r="L429" s="502"/>
      <c r="M429" s="231"/>
      <c r="N429" s="11" t="s">
        <v>243</v>
      </c>
      <c r="O429" s="341"/>
      <c r="P429" s="339"/>
    </row>
    <row r="430" spans="1:21" ht="33" hidden="1">
      <c r="A430" s="333" t="s">
        <v>2159</v>
      </c>
      <c r="B430" s="334" t="s">
        <v>1130</v>
      </c>
      <c r="C430" s="335" t="s">
        <v>0</v>
      </c>
      <c r="D430" s="336">
        <v>10</v>
      </c>
      <c r="E430" s="336">
        <f>估驗單!F423</f>
        <v>10</v>
      </c>
      <c r="F430" s="390">
        <f t="shared" si="42"/>
        <v>0</v>
      </c>
      <c r="G430" s="336">
        <v>1230.67</v>
      </c>
      <c r="H430" s="336"/>
      <c r="I430" s="336">
        <f t="shared" si="40"/>
        <v>12306.7</v>
      </c>
      <c r="J430" s="336">
        <f t="shared" si="41"/>
        <v>12306.7</v>
      </c>
      <c r="K430" s="546">
        <f t="shared" si="39"/>
        <v>0</v>
      </c>
      <c r="L430" s="502"/>
      <c r="M430" s="231"/>
      <c r="N430" s="11" t="s">
        <v>243</v>
      </c>
      <c r="O430" s="341"/>
      <c r="P430" s="339"/>
    </row>
    <row r="431" spans="1:21" ht="33" hidden="1">
      <c r="A431" s="333" t="s">
        <v>2160</v>
      </c>
      <c r="B431" s="334" t="s">
        <v>30</v>
      </c>
      <c r="C431" s="335" t="s">
        <v>0</v>
      </c>
      <c r="D431" s="336">
        <v>577</v>
      </c>
      <c r="E431" s="336">
        <f>估驗單!F424</f>
        <v>577</v>
      </c>
      <c r="F431" s="390">
        <f t="shared" si="42"/>
        <v>0</v>
      </c>
      <c r="G431" s="336">
        <v>1666.03</v>
      </c>
      <c r="H431" s="336"/>
      <c r="I431" s="336">
        <f t="shared" si="40"/>
        <v>961299.31</v>
      </c>
      <c r="J431" s="336">
        <f t="shared" si="41"/>
        <v>961299.31</v>
      </c>
      <c r="K431" s="546">
        <f t="shared" si="39"/>
        <v>0</v>
      </c>
      <c r="L431" s="502"/>
      <c r="M431" s="231" t="s">
        <v>242</v>
      </c>
      <c r="N431" s="11" t="s">
        <v>243</v>
      </c>
      <c r="O431" s="341"/>
      <c r="P431" s="339"/>
    </row>
    <row r="432" spans="1:21" ht="33">
      <c r="A432" s="503" t="s">
        <v>2161</v>
      </c>
      <c r="B432" s="504" t="s">
        <v>1133</v>
      </c>
      <c r="C432" s="505" t="s">
        <v>0</v>
      </c>
      <c r="D432" s="506">
        <v>2</v>
      </c>
      <c r="E432" s="506">
        <f>估驗單!F425</f>
        <v>3</v>
      </c>
      <c r="F432" s="507">
        <f t="shared" si="42"/>
        <v>1</v>
      </c>
      <c r="G432" s="506">
        <v>48510.35</v>
      </c>
      <c r="H432" s="506"/>
      <c r="I432" s="506">
        <f t="shared" si="40"/>
        <v>97020.7</v>
      </c>
      <c r="J432" s="506">
        <f t="shared" si="41"/>
        <v>145531.04999999999</v>
      </c>
      <c r="K432" s="547">
        <f t="shared" si="39"/>
        <v>48510.349999999991</v>
      </c>
      <c r="L432" s="510"/>
      <c r="M432" s="508" t="s">
        <v>242</v>
      </c>
      <c r="N432" s="11" t="s">
        <v>243</v>
      </c>
      <c r="O432" s="341" t="s">
        <v>3031</v>
      </c>
      <c r="P432" s="339"/>
      <c r="Q432" s="293" t="s">
        <v>2948</v>
      </c>
      <c r="R432" s="82">
        <v>1</v>
      </c>
    </row>
    <row r="433" spans="1:18" ht="33" hidden="1">
      <c r="A433" s="333" t="s">
        <v>2162</v>
      </c>
      <c r="B433" s="334" t="s">
        <v>28</v>
      </c>
      <c r="C433" s="335" t="s">
        <v>22</v>
      </c>
      <c r="D433" s="336">
        <v>19</v>
      </c>
      <c r="E433" s="336">
        <f>估驗單!F426</f>
        <v>19</v>
      </c>
      <c r="F433" s="390">
        <f t="shared" si="42"/>
        <v>0</v>
      </c>
      <c r="G433" s="336">
        <v>587.07000000000005</v>
      </c>
      <c r="H433" s="336"/>
      <c r="I433" s="336">
        <f t="shared" si="40"/>
        <v>11154.33</v>
      </c>
      <c r="J433" s="336">
        <f t="shared" si="41"/>
        <v>11154.33</v>
      </c>
      <c r="K433" s="546">
        <f t="shared" si="39"/>
        <v>0</v>
      </c>
      <c r="L433" s="502"/>
      <c r="M433" s="231"/>
      <c r="N433" s="11" t="s">
        <v>243</v>
      </c>
      <c r="O433" s="341"/>
      <c r="P433" s="339"/>
    </row>
    <row r="434" spans="1:18" ht="33" hidden="1">
      <c r="A434" s="333" t="s">
        <v>2163</v>
      </c>
      <c r="B434" s="334" t="s">
        <v>1136</v>
      </c>
      <c r="C434" s="335" t="s">
        <v>7</v>
      </c>
      <c r="D434" s="336">
        <v>19</v>
      </c>
      <c r="E434" s="336">
        <f>估驗單!F427</f>
        <v>19</v>
      </c>
      <c r="F434" s="390">
        <f t="shared" si="42"/>
        <v>0</v>
      </c>
      <c r="G434" s="336">
        <v>664.14</v>
      </c>
      <c r="H434" s="336"/>
      <c r="I434" s="336">
        <f t="shared" si="40"/>
        <v>12618.66</v>
      </c>
      <c r="J434" s="336">
        <f t="shared" si="41"/>
        <v>12618.66</v>
      </c>
      <c r="K434" s="546">
        <f t="shared" si="39"/>
        <v>0</v>
      </c>
      <c r="L434" s="502"/>
      <c r="M434" s="231" t="s">
        <v>242</v>
      </c>
      <c r="N434" s="11" t="s">
        <v>243</v>
      </c>
      <c r="O434" s="341"/>
      <c r="P434" s="339"/>
    </row>
    <row r="435" spans="1:18" ht="33" hidden="1">
      <c r="A435" s="333" t="s">
        <v>2164</v>
      </c>
      <c r="B435" s="334" t="s">
        <v>1138</v>
      </c>
      <c r="C435" s="335" t="s">
        <v>1139</v>
      </c>
      <c r="D435" s="336">
        <v>2</v>
      </c>
      <c r="E435" s="336">
        <f>估驗單!F428</f>
        <v>2</v>
      </c>
      <c r="F435" s="390">
        <f t="shared" si="42"/>
        <v>0</v>
      </c>
      <c r="G435" s="336">
        <v>9999.4500000000007</v>
      </c>
      <c r="H435" s="336"/>
      <c r="I435" s="336">
        <f t="shared" si="40"/>
        <v>19998.900000000001</v>
      </c>
      <c r="J435" s="336">
        <f t="shared" si="41"/>
        <v>19998.900000000001</v>
      </c>
      <c r="K435" s="546">
        <f t="shared" si="39"/>
        <v>0</v>
      </c>
      <c r="L435" s="502"/>
      <c r="M435" s="231" t="s">
        <v>242</v>
      </c>
      <c r="N435" s="11" t="s">
        <v>243</v>
      </c>
      <c r="O435" s="341"/>
      <c r="P435" s="339"/>
    </row>
    <row r="436" spans="1:18" ht="33" hidden="1">
      <c r="A436" s="333" t="s">
        <v>2165</v>
      </c>
      <c r="B436" s="334" t="s">
        <v>1142</v>
      </c>
      <c r="C436" s="335" t="s">
        <v>8</v>
      </c>
      <c r="D436" s="336">
        <v>698.15</v>
      </c>
      <c r="E436" s="336">
        <f>估驗單!F429</f>
        <v>698.15</v>
      </c>
      <c r="F436" s="390">
        <f t="shared" si="42"/>
        <v>0</v>
      </c>
      <c r="G436" s="336">
        <v>209.99</v>
      </c>
      <c r="H436" s="336"/>
      <c r="I436" s="336">
        <f t="shared" si="40"/>
        <v>146604.51999999999</v>
      </c>
      <c r="J436" s="336">
        <f t="shared" si="41"/>
        <v>146604.51999999999</v>
      </c>
      <c r="K436" s="546">
        <f t="shared" si="39"/>
        <v>0</v>
      </c>
      <c r="L436" s="502"/>
      <c r="M436" s="231"/>
      <c r="N436" s="11" t="s">
        <v>243</v>
      </c>
      <c r="O436" s="341"/>
      <c r="P436" s="339"/>
    </row>
    <row r="437" spans="1:18" ht="33" hidden="1">
      <c r="A437" s="333" t="s">
        <v>2166</v>
      </c>
      <c r="B437" s="334" t="s">
        <v>1145</v>
      </c>
      <c r="C437" s="335" t="s">
        <v>8</v>
      </c>
      <c r="D437" s="336">
        <v>2498.77</v>
      </c>
      <c r="E437" s="336">
        <f>估驗單!F430</f>
        <v>2498.77</v>
      </c>
      <c r="F437" s="390">
        <f t="shared" si="42"/>
        <v>0</v>
      </c>
      <c r="G437" s="336">
        <v>299.98</v>
      </c>
      <c r="H437" s="336"/>
      <c r="I437" s="336">
        <f t="shared" si="40"/>
        <v>749581.02</v>
      </c>
      <c r="J437" s="336">
        <f t="shared" si="41"/>
        <v>749581.02</v>
      </c>
      <c r="K437" s="546">
        <f t="shared" si="39"/>
        <v>0</v>
      </c>
      <c r="L437" s="502"/>
      <c r="M437" s="231" t="s">
        <v>242</v>
      </c>
      <c r="N437" s="11" t="s">
        <v>243</v>
      </c>
      <c r="O437" s="341"/>
      <c r="P437" s="339"/>
    </row>
    <row r="438" spans="1:18" ht="33" hidden="1">
      <c r="A438" s="333" t="s">
        <v>2167</v>
      </c>
      <c r="B438" s="334" t="s">
        <v>1148</v>
      </c>
      <c r="C438" s="335" t="s">
        <v>8</v>
      </c>
      <c r="D438" s="336">
        <v>1396.3</v>
      </c>
      <c r="E438" s="336">
        <f>估驗單!F431</f>
        <v>1396.3</v>
      </c>
      <c r="F438" s="390">
        <f t="shared" si="42"/>
        <v>0</v>
      </c>
      <c r="G438" s="336">
        <v>199.99</v>
      </c>
      <c r="H438" s="336"/>
      <c r="I438" s="336">
        <f t="shared" si="40"/>
        <v>279246.03999999998</v>
      </c>
      <c r="J438" s="336">
        <f t="shared" si="41"/>
        <v>279246.03999999998</v>
      </c>
      <c r="K438" s="546">
        <f t="shared" si="39"/>
        <v>0</v>
      </c>
      <c r="L438" s="502"/>
      <c r="M438" s="231" t="s">
        <v>242</v>
      </c>
      <c r="N438" s="11" t="s">
        <v>243</v>
      </c>
      <c r="O438" s="341"/>
      <c r="P438" s="339"/>
    </row>
    <row r="439" spans="1:18" ht="33" hidden="1">
      <c r="A439" s="333" t="s">
        <v>2168</v>
      </c>
      <c r="B439" s="334" t="s">
        <v>1151</v>
      </c>
      <c r="C439" s="335" t="s">
        <v>4</v>
      </c>
      <c r="D439" s="336">
        <v>1</v>
      </c>
      <c r="E439" s="336">
        <f>估驗單!F432</f>
        <v>1</v>
      </c>
      <c r="F439" s="390">
        <f t="shared" si="42"/>
        <v>0</v>
      </c>
      <c r="G439" s="336">
        <v>21835.68</v>
      </c>
      <c r="H439" s="336"/>
      <c r="I439" s="336">
        <f t="shared" si="40"/>
        <v>21835.68</v>
      </c>
      <c r="J439" s="336">
        <f t="shared" si="41"/>
        <v>21835.68</v>
      </c>
      <c r="K439" s="546">
        <f t="shared" si="39"/>
        <v>0</v>
      </c>
      <c r="L439" s="502"/>
      <c r="M439" s="231" t="s">
        <v>242</v>
      </c>
      <c r="N439" s="11" t="s">
        <v>243</v>
      </c>
      <c r="O439" s="341"/>
      <c r="P439" s="339"/>
    </row>
    <row r="440" spans="1:18" ht="33" hidden="1">
      <c r="A440" s="333" t="s">
        <v>2169</v>
      </c>
      <c r="B440" s="334" t="s">
        <v>1556</v>
      </c>
      <c r="C440" s="335" t="s">
        <v>8</v>
      </c>
      <c r="D440" s="336">
        <v>355</v>
      </c>
      <c r="E440" s="336">
        <f>估驗單!F433</f>
        <v>355</v>
      </c>
      <c r="F440" s="390">
        <f t="shared" si="42"/>
        <v>0</v>
      </c>
      <c r="G440" s="336">
        <v>1859.79</v>
      </c>
      <c r="H440" s="336"/>
      <c r="I440" s="336">
        <f t="shared" si="40"/>
        <v>660225.44999999995</v>
      </c>
      <c r="J440" s="336">
        <f t="shared" si="41"/>
        <v>660225.44999999995</v>
      </c>
      <c r="K440" s="546">
        <f t="shared" si="39"/>
        <v>0</v>
      </c>
      <c r="L440" s="502"/>
      <c r="M440" s="231"/>
      <c r="N440" s="11" t="s">
        <v>243</v>
      </c>
      <c r="O440" s="341"/>
      <c r="P440" s="339"/>
    </row>
    <row r="441" spans="1:18" s="352" customFormat="1" ht="33" hidden="1">
      <c r="A441" s="343">
        <v>17</v>
      </c>
      <c r="B441" s="344" t="s">
        <v>29</v>
      </c>
      <c r="C441" s="345" t="s">
        <v>8</v>
      </c>
      <c r="D441" s="340">
        <v>465</v>
      </c>
      <c r="E441" s="336">
        <f>估驗單!F434</f>
        <v>465</v>
      </c>
      <c r="F441" s="390">
        <f t="shared" si="42"/>
        <v>0</v>
      </c>
      <c r="G441" s="340">
        <v>293.70999999999998</v>
      </c>
      <c r="H441" s="340"/>
      <c r="I441" s="336">
        <f t="shared" si="40"/>
        <v>136575.15</v>
      </c>
      <c r="J441" s="336">
        <f t="shared" si="41"/>
        <v>136575.15</v>
      </c>
      <c r="K441" s="546">
        <f t="shared" si="39"/>
        <v>0</v>
      </c>
      <c r="L441" s="502"/>
      <c r="M441" s="346"/>
      <c r="N441" s="347" t="s">
        <v>243</v>
      </c>
      <c r="O441" s="348"/>
      <c r="P441" s="349"/>
      <c r="Q441" s="342"/>
    </row>
    <row r="442" spans="1:18" s="352" customFormat="1" ht="67.5">
      <c r="A442" s="512" t="s">
        <v>2171</v>
      </c>
      <c r="B442" s="513" t="s">
        <v>2459</v>
      </c>
      <c r="C442" s="514" t="s">
        <v>16</v>
      </c>
      <c r="D442" s="515">
        <v>4920</v>
      </c>
      <c r="E442" s="506">
        <f>估驗單!F435</f>
        <v>6945</v>
      </c>
      <c r="F442" s="507">
        <f t="shared" si="42"/>
        <v>2025</v>
      </c>
      <c r="G442" s="515">
        <v>279.98</v>
      </c>
      <c r="H442" s="515"/>
      <c r="I442" s="506">
        <f t="shared" si="40"/>
        <v>1377501.6</v>
      </c>
      <c r="J442" s="506">
        <f t="shared" si="41"/>
        <v>1944461.1</v>
      </c>
      <c r="K442" s="547">
        <f t="shared" si="39"/>
        <v>566959.5</v>
      </c>
      <c r="L442" s="510"/>
      <c r="M442" s="528"/>
      <c r="N442" s="347" t="s">
        <v>243</v>
      </c>
      <c r="O442" s="348" t="s">
        <v>3051</v>
      </c>
      <c r="P442" s="349" t="s">
        <v>3054</v>
      </c>
      <c r="Q442" s="325" t="s">
        <v>3050</v>
      </c>
      <c r="R442" s="352">
        <v>1</v>
      </c>
    </row>
    <row r="443" spans="1:18" s="352" customFormat="1" ht="28.5" hidden="1" customHeight="1">
      <c r="A443" s="495">
        <v>19</v>
      </c>
      <c r="B443" s="496" t="s">
        <v>2585</v>
      </c>
      <c r="C443" s="497" t="s">
        <v>4</v>
      </c>
      <c r="D443" s="498">
        <v>1</v>
      </c>
      <c r="E443" s="430">
        <v>1</v>
      </c>
      <c r="F443" s="431"/>
      <c r="G443" s="498">
        <v>217999.11</v>
      </c>
      <c r="H443" s="498"/>
      <c r="I443" s="336">
        <f t="shared" si="40"/>
        <v>217999.11</v>
      </c>
      <c r="J443" s="336">
        <f t="shared" si="41"/>
        <v>217999.11</v>
      </c>
      <c r="K443" s="546">
        <f t="shared" si="39"/>
        <v>0</v>
      </c>
      <c r="L443" s="536"/>
      <c r="M443" s="499"/>
      <c r="N443" s="347"/>
      <c r="O443" s="348"/>
      <c r="P443" s="349"/>
      <c r="Q443" s="342"/>
    </row>
    <row r="444" spans="1:18" ht="33">
      <c r="A444" s="406" t="s">
        <v>2255</v>
      </c>
      <c r="B444" s="407" t="s">
        <v>34</v>
      </c>
      <c r="C444" s="408" t="s">
        <v>4</v>
      </c>
      <c r="D444" s="409"/>
      <c r="E444" s="409"/>
      <c r="F444" s="410">
        <f t="shared" si="42"/>
        <v>0</v>
      </c>
      <c r="G444" s="409">
        <f>I444</f>
        <v>3112577.47</v>
      </c>
      <c r="H444" s="409"/>
      <c r="I444" s="409">
        <f>SUM(I445:I463)</f>
        <v>3112577.47</v>
      </c>
      <c r="J444" s="409">
        <f>SUM(J445:J463)</f>
        <v>3112577.47</v>
      </c>
      <c r="K444" s="542">
        <f>SUM(K445:K463)</f>
        <v>0</v>
      </c>
      <c r="L444" s="452">
        <f>SUM(L445:L463)</f>
        <v>0</v>
      </c>
      <c r="M444" s="288"/>
      <c r="N444" s="11" t="s">
        <v>243</v>
      </c>
      <c r="O444" s="341"/>
      <c r="P444" s="339"/>
      <c r="R444" s="82">
        <v>1</v>
      </c>
    </row>
    <row r="445" spans="1:18" ht="33" hidden="1">
      <c r="A445" s="333" t="s">
        <v>2154</v>
      </c>
      <c r="B445" s="334" t="s">
        <v>146</v>
      </c>
      <c r="C445" s="335" t="s">
        <v>1007</v>
      </c>
      <c r="D445" s="336">
        <v>10</v>
      </c>
      <c r="E445" s="336">
        <f>估驗單!F438</f>
        <v>10</v>
      </c>
      <c r="F445" s="390">
        <f t="shared" si="42"/>
        <v>0</v>
      </c>
      <c r="G445" s="336">
        <v>770</v>
      </c>
      <c r="H445" s="336"/>
      <c r="I445" s="336">
        <f t="shared" ref="I445:I463" si="43">ROUND(D445*G445,2)</f>
        <v>7700</v>
      </c>
      <c r="J445" s="336">
        <f t="shared" ref="J445:J463" si="44">ROUND(E445*G445,2)</f>
        <v>7700</v>
      </c>
      <c r="K445" s="546">
        <f t="shared" si="39"/>
        <v>0</v>
      </c>
      <c r="L445" s="502"/>
      <c r="M445" s="231" t="s">
        <v>242</v>
      </c>
      <c r="N445" s="11" t="s">
        <v>243</v>
      </c>
      <c r="O445" s="341"/>
      <c r="P445" s="339"/>
    </row>
    <row r="446" spans="1:18" ht="33" hidden="1">
      <c r="A446" s="333" t="s">
        <v>2155</v>
      </c>
      <c r="B446" s="334" t="s">
        <v>145</v>
      </c>
      <c r="C446" s="335" t="s">
        <v>1</v>
      </c>
      <c r="D446" s="336">
        <v>100</v>
      </c>
      <c r="E446" s="336">
        <f>估驗單!F439</f>
        <v>100</v>
      </c>
      <c r="F446" s="390">
        <f t="shared" si="42"/>
        <v>0</v>
      </c>
      <c r="G446" s="336">
        <v>201</v>
      </c>
      <c r="H446" s="336"/>
      <c r="I446" s="336">
        <f t="shared" si="43"/>
        <v>20100</v>
      </c>
      <c r="J446" s="336">
        <f t="shared" si="44"/>
        <v>20100</v>
      </c>
      <c r="K446" s="546">
        <f t="shared" si="39"/>
        <v>0</v>
      </c>
      <c r="L446" s="502"/>
      <c r="M446" s="231" t="s">
        <v>242</v>
      </c>
      <c r="N446" s="11" t="s">
        <v>243</v>
      </c>
      <c r="O446" s="341"/>
      <c r="P446" s="339"/>
    </row>
    <row r="447" spans="1:18" ht="33" hidden="1">
      <c r="A447" s="333" t="s">
        <v>2156</v>
      </c>
      <c r="B447" s="334" t="s">
        <v>144</v>
      </c>
      <c r="C447" s="335" t="s">
        <v>9</v>
      </c>
      <c r="D447" s="336">
        <v>50</v>
      </c>
      <c r="E447" s="336">
        <f>估驗單!F440</f>
        <v>50</v>
      </c>
      <c r="F447" s="390">
        <f t="shared" si="42"/>
        <v>0</v>
      </c>
      <c r="G447" s="336">
        <v>300</v>
      </c>
      <c r="H447" s="336"/>
      <c r="I447" s="336">
        <f t="shared" si="43"/>
        <v>15000</v>
      </c>
      <c r="J447" s="336">
        <f t="shared" si="44"/>
        <v>15000</v>
      </c>
      <c r="K447" s="546">
        <f t="shared" si="39"/>
        <v>0</v>
      </c>
      <c r="L447" s="502"/>
      <c r="M447" s="231" t="s">
        <v>242</v>
      </c>
      <c r="N447" s="11" t="s">
        <v>243</v>
      </c>
      <c r="O447" s="341"/>
      <c r="P447" s="339"/>
    </row>
    <row r="448" spans="1:18" s="325" customFormat="1" ht="33" hidden="1">
      <c r="A448" s="333" t="s">
        <v>2157</v>
      </c>
      <c r="B448" s="334" t="s">
        <v>35</v>
      </c>
      <c r="C448" s="335" t="s">
        <v>15</v>
      </c>
      <c r="D448" s="336">
        <v>75</v>
      </c>
      <c r="E448" s="336">
        <f>估驗單!F441</f>
        <v>75</v>
      </c>
      <c r="F448" s="390">
        <f t="shared" si="42"/>
        <v>0</v>
      </c>
      <c r="G448" s="336">
        <v>650</v>
      </c>
      <c r="H448" s="336"/>
      <c r="I448" s="336">
        <f t="shared" si="43"/>
        <v>48750</v>
      </c>
      <c r="J448" s="336">
        <f t="shared" si="44"/>
        <v>48750</v>
      </c>
      <c r="K448" s="546">
        <f t="shared" si="39"/>
        <v>0</v>
      </c>
      <c r="L448" s="502"/>
      <c r="M448" s="231" t="s">
        <v>242</v>
      </c>
      <c r="N448" s="11" t="s">
        <v>243</v>
      </c>
      <c r="O448" s="341"/>
      <c r="P448" s="339"/>
    </row>
    <row r="449" spans="1:18" s="325" customFormat="1" ht="33" hidden="1">
      <c r="A449" s="333" t="s">
        <v>2158</v>
      </c>
      <c r="B449" s="334" t="s">
        <v>2479</v>
      </c>
      <c r="C449" s="335" t="s">
        <v>3</v>
      </c>
      <c r="D449" s="336">
        <v>200</v>
      </c>
      <c r="E449" s="336">
        <f>估驗單!F442</f>
        <v>200</v>
      </c>
      <c r="F449" s="390">
        <f t="shared" si="42"/>
        <v>0</v>
      </c>
      <c r="G449" s="336">
        <v>28</v>
      </c>
      <c r="H449" s="336"/>
      <c r="I449" s="336">
        <f t="shared" si="43"/>
        <v>5600</v>
      </c>
      <c r="J449" s="336">
        <f t="shared" si="44"/>
        <v>5600</v>
      </c>
      <c r="K449" s="546">
        <f t="shared" si="39"/>
        <v>0</v>
      </c>
      <c r="L449" s="502"/>
      <c r="M449" s="231"/>
      <c r="N449" s="11" t="s">
        <v>243</v>
      </c>
      <c r="O449" s="341"/>
      <c r="P449" s="339"/>
    </row>
    <row r="450" spans="1:18" s="325" customFormat="1" ht="33" hidden="1">
      <c r="A450" s="333" t="s">
        <v>2159</v>
      </c>
      <c r="B450" s="334" t="s">
        <v>36</v>
      </c>
      <c r="C450" s="335" t="s">
        <v>3</v>
      </c>
      <c r="D450" s="336">
        <v>100</v>
      </c>
      <c r="E450" s="336">
        <f>估驗單!F443</f>
        <v>100</v>
      </c>
      <c r="F450" s="390">
        <f t="shared" si="42"/>
        <v>0</v>
      </c>
      <c r="G450" s="336">
        <v>500</v>
      </c>
      <c r="H450" s="336"/>
      <c r="I450" s="336">
        <f t="shared" si="43"/>
        <v>50000</v>
      </c>
      <c r="J450" s="336">
        <f t="shared" si="44"/>
        <v>50000</v>
      </c>
      <c r="K450" s="546">
        <f t="shared" si="39"/>
        <v>0</v>
      </c>
      <c r="L450" s="502"/>
      <c r="M450" s="231" t="s">
        <v>242</v>
      </c>
      <c r="N450" s="11" t="s">
        <v>243</v>
      </c>
      <c r="O450" s="341"/>
      <c r="P450" s="339"/>
    </row>
    <row r="451" spans="1:18" s="325" customFormat="1" ht="33" hidden="1">
      <c r="A451" s="333" t="s">
        <v>2160</v>
      </c>
      <c r="B451" s="334" t="s">
        <v>2478</v>
      </c>
      <c r="C451" s="335" t="s">
        <v>18</v>
      </c>
      <c r="D451" s="336">
        <v>75</v>
      </c>
      <c r="E451" s="336">
        <f>估驗單!F444</f>
        <v>75</v>
      </c>
      <c r="F451" s="418">
        <f t="shared" si="42"/>
        <v>0</v>
      </c>
      <c r="G451" s="336">
        <v>280</v>
      </c>
      <c r="H451" s="336"/>
      <c r="I451" s="336">
        <f t="shared" si="43"/>
        <v>21000</v>
      </c>
      <c r="J451" s="336">
        <f t="shared" si="44"/>
        <v>21000</v>
      </c>
      <c r="K451" s="546">
        <f t="shared" si="39"/>
        <v>0</v>
      </c>
      <c r="L451" s="453"/>
      <c r="M451" s="231" t="s">
        <v>242</v>
      </c>
      <c r="N451" s="11" t="s">
        <v>243</v>
      </c>
      <c r="O451" s="341"/>
      <c r="P451" s="339"/>
    </row>
    <row r="452" spans="1:18" s="325" customFormat="1" ht="42.75" hidden="1">
      <c r="A452" s="333" t="s">
        <v>2161</v>
      </c>
      <c r="B452" s="334" t="s">
        <v>37</v>
      </c>
      <c r="C452" s="335" t="s">
        <v>18</v>
      </c>
      <c r="D452" s="336">
        <v>50</v>
      </c>
      <c r="E452" s="336">
        <f>估驗單!F445</f>
        <v>50</v>
      </c>
      <c r="F452" s="390">
        <f t="shared" si="42"/>
        <v>0</v>
      </c>
      <c r="G452" s="336">
        <v>350</v>
      </c>
      <c r="H452" s="336"/>
      <c r="I452" s="336">
        <f t="shared" si="43"/>
        <v>17500</v>
      </c>
      <c r="J452" s="336">
        <f t="shared" si="44"/>
        <v>17500</v>
      </c>
      <c r="K452" s="546">
        <f t="shared" si="39"/>
        <v>0</v>
      </c>
      <c r="L452" s="502"/>
      <c r="M452" s="231" t="s">
        <v>242</v>
      </c>
      <c r="N452" s="11" t="s">
        <v>243</v>
      </c>
      <c r="O452" s="341"/>
      <c r="P452" s="339"/>
    </row>
    <row r="453" spans="1:18" s="325" customFormat="1" ht="33" hidden="1">
      <c r="A453" s="333" t="s">
        <v>2162</v>
      </c>
      <c r="B453" s="334" t="s">
        <v>1162</v>
      </c>
      <c r="C453" s="335" t="s">
        <v>15</v>
      </c>
      <c r="D453" s="336">
        <v>10</v>
      </c>
      <c r="E453" s="336">
        <f>估驗單!F446</f>
        <v>10</v>
      </c>
      <c r="F453" s="390">
        <f t="shared" si="42"/>
        <v>0</v>
      </c>
      <c r="G453" s="336">
        <v>560</v>
      </c>
      <c r="H453" s="336"/>
      <c r="I453" s="336">
        <f t="shared" si="43"/>
        <v>5600</v>
      </c>
      <c r="J453" s="336">
        <f t="shared" si="44"/>
        <v>5600</v>
      </c>
      <c r="K453" s="546">
        <f t="shared" si="39"/>
        <v>0</v>
      </c>
      <c r="L453" s="502"/>
      <c r="M453" s="231" t="s">
        <v>242</v>
      </c>
      <c r="N453" s="11" t="s">
        <v>243</v>
      </c>
      <c r="O453" s="341"/>
      <c r="P453" s="339"/>
    </row>
    <row r="454" spans="1:18" s="325" customFormat="1" ht="33" hidden="1">
      <c r="A454" s="333" t="s">
        <v>2163</v>
      </c>
      <c r="B454" s="334" t="s">
        <v>38</v>
      </c>
      <c r="C454" s="335" t="s">
        <v>7</v>
      </c>
      <c r="D454" s="336">
        <v>4</v>
      </c>
      <c r="E454" s="336">
        <f>估驗單!F447</f>
        <v>4</v>
      </c>
      <c r="F454" s="390">
        <f t="shared" si="42"/>
        <v>0</v>
      </c>
      <c r="G454" s="336">
        <v>250</v>
      </c>
      <c r="H454" s="336"/>
      <c r="I454" s="336">
        <f t="shared" si="43"/>
        <v>1000</v>
      </c>
      <c r="J454" s="336">
        <f t="shared" si="44"/>
        <v>1000</v>
      </c>
      <c r="K454" s="546">
        <f t="shared" si="39"/>
        <v>0</v>
      </c>
      <c r="L454" s="502"/>
      <c r="M454" s="231" t="s">
        <v>242</v>
      </c>
      <c r="N454" s="11" t="s">
        <v>243</v>
      </c>
      <c r="O454" s="341"/>
      <c r="P454" s="339"/>
    </row>
    <row r="455" spans="1:18" s="325" customFormat="1" ht="33" hidden="1">
      <c r="A455" s="333" t="s">
        <v>2164</v>
      </c>
      <c r="B455" s="334" t="s">
        <v>1165</v>
      </c>
      <c r="C455" s="335" t="s">
        <v>15</v>
      </c>
      <c r="D455" s="336">
        <v>5</v>
      </c>
      <c r="E455" s="336">
        <f>估驗單!F448</f>
        <v>5</v>
      </c>
      <c r="F455" s="390">
        <f t="shared" si="42"/>
        <v>0</v>
      </c>
      <c r="G455" s="336">
        <v>8300</v>
      </c>
      <c r="H455" s="336"/>
      <c r="I455" s="336">
        <f t="shared" si="43"/>
        <v>41500</v>
      </c>
      <c r="J455" s="336">
        <f t="shared" si="44"/>
        <v>41500</v>
      </c>
      <c r="K455" s="546">
        <f t="shared" si="39"/>
        <v>0</v>
      </c>
      <c r="L455" s="502"/>
      <c r="M455" s="231" t="s">
        <v>242</v>
      </c>
      <c r="N455" s="11" t="s">
        <v>243</v>
      </c>
      <c r="O455" s="341"/>
      <c r="P455" s="339"/>
    </row>
    <row r="456" spans="1:18" s="325" customFormat="1" ht="33" hidden="1">
      <c r="A456" s="333" t="s">
        <v>2165</v>
      </c>
      <c r="B456" s="334" t="s">
        <v>1168</v>
      </c>
      <c r="C456" s="335" t="s">
        <v>15</v>
      </c>
      <c r="D456" s="336">
        <v>5</v>
      </c>
      <c r="E456" s="336">
        <f>估驗單!F449</f>
        <v>5</v>
      </c>
      <c r="F456" s="390">
        <f t="shared" si="42"/>
        <v>0</v>
      </c>
      <c r="G456" s="336">
        <v>1160</v>
      </c>
      <c r="H456" s="336"/>
      <c r="I456" s="336">
        <f t="shared" si="43"/>
        <v>5800</v>
      </c>
      <c r="J456" s="336">
        <f t="shared" si="44"/>
        <v>5800</v>
      </c>
      <c r="K456" s="546">
        <f t="shared" si="39"/>
        <v>0</v>
      </c>
      <c r="L456" s="502"/>
      <c r="M456" s="231" t="s">
        <v>242</v>
      </c>
      <c r="N456" s="11" t="s">
        <v>243</v>
      </c>
      <c r="O456" s="341"/>
      <c r="P456" s="339"/>
    </row>
    <row r="457" spans="1:18" s="325" customFormat="1" ht="33" hidden="1">
      <c r="A457" s="333" t="s">
        <v>2166</v>
      </c>
      <c r="B457" s="334" t="s">
        <v>1171</v>
      </c>
      <c r="C457" s="335" t="s">
        <v>15</v>
      </c>
      <c r="D457" s="336">
        <v>5</v>
      </c>
      <c r="E457" s="336">
        <f>估驗單!F450</f>
        <v>5</v>
      </c>
      <c r="F457" s="390">
        <f t="shared" si="42"/>
        <v>0</v>
      </c>
      <c r="G457" s="336">
        <v>600</v>
      </c>
      <c r="H457" s="336"/>
      <c r="I457" s="336">
        <f t="shared" si="43"/>
        <v>3000</v>
      </c>
      <c r="J457" s="336">
        <f t="shared" si="44"/>
        <v>3000</v>
      </c>
      <c r="K457" s="546">
        <f t="shared" si="39"/>
        <v>0</v>
      </c>
      <c r="L457" s="502"/>
      <c r="M457" s="231" t="s">
        <v>242</v>
      </c>
      <c r="N457" s="11" t="s">
        <v>243</v>
      </c>
      <c r="O457" s="341"/>
      <c r="P457" s="339"/>
    </row>
    <row r="458" spans="1:18" s="325" customFormat="1" ht="33" hidden="1">
      <c r="A458" s="333" t="s">
        <v>2167</v>
      </c>
      <c r="B458" s="334" t="s">
        <v>1174</v>
      </c>
      <c r="C458" s="335" t="s">
        <v>15</v>
      </c>
      <c r="D458" s="336">
        <v>5</v>
      </c>
      <c r="E458" s="336">
        <f>估驗單!F451</f>
        <v>5</v>
      </c>
      <c r="F458" s="390">
        <f t="shared" si="42"/>
        <v>0</v>
      </c>
      <c r="G458" s="336">
        <v>1800</v>
      </c>
      <c r="H458" s="336"/>
      <c r="I458" s="336">
        <f t="shared" si="43"/>
        <v>9000</v>
      </c>
      <c r="J458" s="336">
        <f t="shared" si="44"/>
        <v>9000</v>
      </c>
      <c r="K458" s="546">
        <f t="shared" si="39"/>
        <v>0</v>
      </c>
      <c r="L458" s="502"/>
      <c r="M458" s="231" t="s">
        <v>242</v>
      </c>
      <c r="N458" s="11" t="s">
        <v>243</v>
      </c>
      <c r="O458" s="341"/>
      <c r="P458" s="339"/>
    </row>
    <row r="459" spans="1:18" s="325" customFormat="1" ht="33" hidden="1">
      <c r="A459" s="333" t="s">
        <v>2168</v>
      </c>
      <c r="B459" s="334" t="s">
        <v>1177</v>
      </c>
      <c r="C459" s="335" t="s">
        <v>15</v>
      </c>
      <c r="D459" s="336">
        <v>80</v>
      </c>
      <c r="E459" s="336">
        <f>估驗單!F452</f>
        <v>80</v>
      </c>
      <c r="F459" s="390">
        <f t="shared" si="42"/>
        <v>0</v>
      </c>
      <c r="G459" s="336">
        <v>2200</v>
      </c>
      <c r="H459" s="336"/>
      <c r="I459" s="336">
        <f t="shared" si="43"/>
        <v>176000</v>
      </c>
      <c r="J459" s="336">
        <f t="shared" si="44"/>
        <v>176000</v>
      </c>
      <c r="K459" s="546">
        <f t="shared" si="39"/>
        <v>0</v>
      </c>
      <c r="L459" s="502"/>
      <c r="M459" s="231" t="s">
        <v>242</v>
      </c>
      <c r="N459" s="11" t="s">
        <v>243</v>
      </c>
      <c r="O459" s="341"/>
      <c r="P459" s="339"/>
    </row>
    <row r="460" spans="1:18" s="325" customFormat="1" ht="33" hidden="1">
      <c r="A460" s="333" t="s">
        <v>2169</v>
      </c>
      <c r="B460" s="334" t="s">
        <v>39</v>
      </c>
      <c r="C460" s="335" t="s">
        <v>4</v>
      </c>
      <c r="D460" s="336">
        <v>1</v>
      </c>
      <c r="E460" s="336">
        <f>估驗單!F453</f>
        <v>1</v>
      </c>
      <c r="F460" s="390">
        <f t="shared" si="42"/>
        <v>0</v>
      </c>
      <c r="G460" s="336">
        <v>232697.98</v>
      </c>
      <c r="H460" s="336"/>
      <c r="I460" s="336">
        <f t="shared" si="43"/>
        <v>232697.98</v>
      </c>
      <c r="J460" s="336">
        <f t="shared" si="44"/>
        <v>232697.98</v>
      </c>
      <c r="K460" s="546">
        <f t="shared" si="39"/>
        <v>0</v>
      </c>
      <c r="L460" s="502"/>
      <c r="M460" s="231" t="s">
        <v>242</v>
      </c>
      <c r="N460" s="11" t="s">
        <v>243</v>
      </c>
      <c r="O460" s="341"/>
      <c r="P460" s="339"/>
    </row>
    <row r="461" spans="1:18" s="325" customFormat="1" ht="33" hidden="1">
      <c r="A461" s="333" t="s">
        <v>2170</v>
      </c>
      <c r="B461" s="334" t="s">
        <v>1182</v>
      </c>
      <c r="C461" s="335" t="s">
        <v>8</v>
      </c>
      <c r="D461" s="336">
        <v>5000</v>
      </c>
      <c r="E461" s="336">
        <f>估驗單!F454</f>
        <v>5000</v>
      </c>
      <c r="F461" s="390">
        <f t="shared" si="42"/>
        <v>0</v>
      </c>
      <c r="G461" s="336">
        <v>13</v>
      </c>
      <c r="H461" s="336"/>
      <c r="I461" s="336">
        <f t="shared" si="43"/>
        <v>65000</v>
      </c>
      <c r="J461" s="336">
        <f t="shared" si="44"/>
        <v>65000</v>
      </c>
      <c r="K461" s="546">
        <f t="shared" ref="K461:K467" si="45">J461-I461</f>
        <v>0</v>
      </c>
      <c r="L461" s="502"/>
      <c r="M461" s="231" t="s">
        <v>242</v>
      </c>
      <c r="N461" s="11" t="s">
        <v>243</v>
      </c>
      <c r="O461" s="341"/>
      <c r="P461" s="339"/>
    </row>
    <row r="462" spans="1:18" s="325" customFormat="1" ht="33" hidden="1">
      <c r="A462" s="333" t="s">
        <v>2171</v>
      </c>
      <c r="B462" s="334" t="s">
        <v>225</v>
      </c>
      <c r="C462" s="335" t="s">
        <v>226</v>
      </c>
      <c r="D462" s="336">
        <v>48</v>
      </c>
      <c r="E462" s="336">
        <f>估驗單!F455</f>
        <v>48</v>
      </c>
      <c r="F462" s="390">
        <f t="shared" si="42"/>
        <v>0</v>
      </c>
      <c r="G462" s="336">
        <v>47468</v>
      </c>
      <c r="H462" s="336"/>
      <c r="I462" s="336">
        <f t="shared" si="43"/>
        <v>2278464</v>
      </c>
      <c r="J462" s="336">
        <f t="shared" si="44"/>
        <v>2278464</v>
      </c>
      <c r="K462" s="546">
        <f t="shared" si="45"/>
        <v>0</v>
      </c>
      <c r="L462" s="502"/>
      <c r="M462" s="231"/>
      <c r="N462" s="11" t="s">
        <v>243</v>
      </c>
      <c r="O462" s="341"/>
      <c r="P462" s="339"/>
    </row>
    <row r="463" spans="1:18" s="325" customFormat="1" ht="33" hidden="1">
      <c r="A463" s="333" t="s">
        <v>2172</v>
      </c>
      <c r="B463" s="334" t="s">
        <v>1187</v>
      </c>
      <c r="C463" s="335" t="s">
        <v>4</v>
      </c>
      <c r="D463" s="336">
        <v>1</v>
      </c>
      <c r="E463" s="336">
        <f>估驗單!F456</f>
        <v>1</v>
      </c>
      <c r="F463" s="390">
        <f t="shared" si="42"/>
        <v>0</v>
      </c>
      <c r="G463" s="336">
        <v>108865.49</v>
      </c>
      <c r="H463" s="336"/>
      <c r="I463" s="336">
        <f t="shared" si="43"/>
        <v>108865.49</v>
      </c>
      <c r="J463" s="336">
        <f t="shared" si="44"/>
        <v>108865.49</v>
      </c>
      <c r="K463" s="546">
        <f t="shared" si="45"/>
        <v>0</v>
      </c>
      <c r="L463" s="502"/>
      <c r="M463" s="231"/>
      <c r="N463" s="11" t="s">
        <v>243</v>
      </c>
      <c r="O463" s="341"/>
      <c r="P463" s="339"/>
    </row>
    <row r="464" spans="1:18" s="325" customFormat="1" ht="33">
      <c r="A464" s="406" t="s">
        <v>2256</v>
      </c>
      <c r="B464" s="407" t="s">
        <v>227</v>
      </c>
      <c r="C464" s="408" t="s">
        <v>4</v>
      </c>
      <c r="D464" s="409"/>
      <c r="E464" s="409"/>
      <c r="F464" s="410">
        <f t="shared" si="42"/>
        <v>0</v>
      </c>
      <c r="G464" s="409">
        <f>I464</f>
        <v>2769229.16</v>
      </c>
      <c r="H464" s="409"/>
      <c r="I464" s="409">
        <f>SUM(I465:I466)</f>
        <v>2769229.16</v>
      </c>
      <c r="J464" s="409">
        <f>SUM(J465:J466)</f>
        <v>2769229.16</v>
      </c>
      <c r="K464" s="542">
        <f>SUM(K465:K466)</f>
        <v>0</v>
      </c>
      <c r="L464" s="534">
        <f>SUM(L465:L466)</f>
        <v>0</v>
      </c>
      <c r="M464" s="288"/>
      <c r="N464" s="11" t="s">
        <v>243</v>
      </c>
      <c r="O464" s="341"/>
      <c r="P464" s="339"/>
      <c r="R464" s="325">
        <v>1</v>
      </c>
    </row>
    <row r="465" spans="1:18" s="325" customFormat="1" ht="33" hidden="1">
      <c r="A465" s="333" t="s">
        <v>2154</v>
      </c>
      <c r="B465" s="334" t="s">
        <v>228</v>
      </c>
      <c r="C465" s="335" t="s">
        <v>226</v>
      </c>
      <c r="D465" s="336">
        <v>48</v>
      </c>
      <c r="E465" s="336">
        <f>估驗單!F458</f>
        <v>48</v>
      </c>
      <c r="F465" s="390">
        <f t="shared" si="42"/>
        <v>0</v>
      </c>
      <c r="G465" s="336">
        <v>47468</v>
      </c>
      <c r="H465" s="336"/>
      <c r="I465" s="336">
        <f>ROUND(D465*G465,2)</f>
        <v>2278464</v>
      </c>
      <c r="J465" s="336">
        <f>ROUND(E465*G465,2)</f>
        <v>2278464</v>
      </c>
      <c r="K465" s="546">
        <f t="shared" si="45"/>
        <v>0</v>
      </c>
      <c r="L465" s="502"/>
      <c r="M465" s="231"/>
      <c r="N465" s="11" t="s">
        <v>243</v>
      </c>
      <c r="O465" s="341"/>
      <c r="P465" s="339"/>
    </row>
    <row r="466" spans="1:18" s="325" customFormat="1" ht="33" hidden="1">
      <c r="A466" s="333" t="s">
        <v>2155</v>
      </c>
      <c r="B466" s="334" t="s">
        <v>1193</v>
      </c>
      <c r="C466" s="335" t="s">
        <v>4</v>
      </c>
      <c r="D466" s="336">
        <v>1</v>
      </c>
      <c r="E466" s="336">
        <f>估驗單!F459</f>
        <v>1</v>
      </c>
      <c r="F466" s="390">
        <f t="shared" si="42"/>
        <v>0</v>
      </c>
      <c r="G466" s="336">
        <v>490765.16</v>
      </c>
      <c r="H466" s="336"/>
      <c r="I466" s="336">
        <f>ROUND(D466*G466,2)</f>
        <v>490765.16</v>
      </c>
      <c r="J466" s="336">
        <f>ROUND(E466*G466,2)</f>
        <v>490765.16</v>
      </c>
      <c r="K466" s="546">
        <f t="shared" si="45"/>
        <v>0</v>
      </c>
      <c r="L466" s="502"/>
      <c r="M466" s="231"/>
      <c r="N466" s="11" t="s">
        <v>243</v>
      </c>
      <c r="O466" s="341"/>
      <c r="P466" s="339"/>
    </row>
    <row r="467" spans="1:18" s="325" customFormat="1" ht="33">
      <c r="A467" s="503" t="s">
        <v>2257</v>
      </c>
      <c r="B467" s="504" t="s">
        <v>1196</v>
      </c>
      <c r="C467" s="505" t="s">
        <v>4</v>
      </c>
      <c r="D467" s="506">
        <v>1</v>
      </c>
      <c r="E467" s="506">
        <f>估驗單!F460</f>
        <v>1</v>
      </c>
      <c r="F467" s="507">
        <f t="shared" si="42"/>
        <v>0</v>
      </c>
      <c r="G467" s="506">
        <f>I467</f>
        <v>30205923.059999999</v>
      </c>
      <c r="H467" s="506"/>
      <c r="I467" s="530">
        <v>30205923.059999999</v>
      </c>
      <c r="J467" s="506">
        <f>ROUND((J10+J354+J380+J420+J424+J444+J464)*10.94944113%,2)</f>
        <v>31652494.359999999</v>
      </c>
      <c r="K467" s="547">
        <f t="shared" si="45"/>
        <v>1446571.3000000007</v>
      </c>
      <c r="L467" s="510"/>
      <c r="M467" s="508" t="s">
        <v>2258</v>
      </c>
      <c r="N467" s="11" t="s">
        <v>243</v>
      </c>
      <c r="O467" s="338"/>
      <c r="P467" s="339"/>
      <c r="Q467" s="325" t="s">
        <v>3055</v>
      </c>
      <c r="R467" s="325">
        <v>1</v>
      </c>
    </row>
    <row r="468" spans="1:18" s="325" customFormat="1" ht="99.75">
      <c r="A468" s="406" t="s">
        <v>2259</v>
      </c>
      <c r="B468" s="407" t="s">
        <v>1199</v>
      </c>
      <c r="C468" s="408" t="s">
        <v>4</v>
      </c>
      <c r="D468" s="409">
        <v>1</v>
      </c>
      <c r="E468" s="409">
        <f>估驗單!F461</f>
        <v>1</v>
      </c>
      <c r="F468" s="410">
        <f t="shared" si="42"/>
        <v>0</v>
      </c>
      <c r="G468" s="409">
        <v>1987650</v>
      </c>
      <c r="H468" s="409"/>
      <c r="I468" s="409">
        <f>I469</f>
        <v>1987650</v>
      </c>
      <c r="J468" s="409">
        <f>J469</f>
        <v>2736750</v>
      </c>
      <c r="K468" s="542">
        <f>K469</f>
        <v>749100</v>
      </c>
      <c r="L468" s="534"/>
      <c r="M468" s="288" t="s">
        <v>1200</v>
      </c>
      <c r="N468" s="11" t="s">
        <v>243</v>
      </c>
      <c r="O468" s="341"/>
      <c r="P468" s="339"/>
      <c r="R468" s="325">
        <v>1</v>
      </c>
    </row>
    <row r="469" spans="1:18" s="325" customFormat="1" ht="33">
      <c r="A469" s="503" t="s">
        <v>2154</v>
      </c>
      <c r="B469" s="504" t="s">
        <v>1199</v>
      </c>
      <c r="C469" s="505" t="s">
        <v>6</v>
      </c>
      <c r="D469" s="506">
        <v>13251</v>
      </c>
      <c r="E469" s="506">
        <f>估驗單!F462</f>
        <v>18245</v>
      </c>
      <c r="F469" s="507">
        <f t="shared" si="42"/>
        <v>4994</v>
      </c>
      <c r="G469" s="506">
        <v>150</v>
      </c>
      <c r="H469" s="506"/>
      <c r="I469" s="506">
        <v>1987650</v>
      </c>
      <c r="J469" s="506">
        <f>ROUND(E469*G469,2)</f>
        <v>2736750</v>
      </c>
      <c r="K469" s="760">
        <f>J469-I469</f>
        <v>749100</v>
      </c>
      <c r="L469" s="510"/>
      <c r="M469" s="508" t="s">
        <v>242</v>
      </c>
      <c r="N469" s="11" t="s">
        <v>243</v>
      </c>
      <c r="O469" s="341" t="s">
        <v>3056</v>
      </c>
      <c r="P469" s="339"/>
      <c r="Q469" s="325" t="s">
        <v>3057</v>
      </c>
      <c r="R469" s="325">
        <v>1</v>
      </c>
    </row>
    <row r="470" spans="1:18" s="325" customFormat="1" ht="114">
      <c r="A470" s="406" t="s">
        <v>2260</v>
      </c>
      <c r="B470" s="407" t="s">
        <v>1204</v>
      </c>
      <c r="C470" s="408" t="s">
        <v>4</v>
      </c>
      <c r="D470" s="409">
        <v>1</v>
      </c>
      <c r="E470" s="409">
        <v>1</v>
      </c>
      <c r="F470" s="410">
        <f t="shared" si="42"/>
        <v>0</v>
      </c>
      <c r="G470" s="409">
        <v>179691.68</v>
      </c>
      <c r="H470" s="409"/>
      <c r="I470" s="409">
        <v>179691.68</v>
      </c>
      <c r="J470" s="409">
        <f>ROUND(E470*G470,2)</f>
        <v>179691.68</v>
      </c>
      <c r="K470" s="542"/>
      <c r="L470" s="534"/>
      <c r="M470" s="288" t="s">
        <v>1205</v>
      </c>
      <c r="N470" s="11" t="s">
        <v>243</v>
      </c>
      <c r="O470" s="341"/>
      <c r="P470" s="339"/>
      <c r="R470" s="325">
        <v>1</v>
      </c>
    </row>
    <row r="471" spans="1:18" s="325" customFormat="1" ht="33" hidden="1">
      <c r="A471" s="427" t="s">
        <v>2154</v>
      </c>
      <c r="B471" s="428" t="s">
        <v>1207</v>
      </c>
      <c r="C471" s="429" t="s">
        <v>13</v>
      </c>
      <c r="D471" s="430">
        <v>3208.78</v>
      </c>
      <c r="E471" s="430">
        <f>估驗單!F464</f>
        <v>3208.78</v>
      </c>
      <c r="F471" s="390">
        <f t="shared" si="42"/>
        <v>0</v>
      </c>
      <c r="G471" s="430">
        <v>56</v>
      </c>
      <c r="H471" s="430"/>
      <c r="I471" s="430">
        <v>179691.68</v>
      </c>
      <c r="J471" s="336">
        <f>ROUND(E471*G471,2)</f>
        <v>179691.68</v>
      </c>
      <c r="K471" s="544"/>
      <c r="L471" s="502"/>
      <c r="M471" s="432" t="s">
        <v>242</v>
      </c>
      <c r="N471" s="11" t="s">
        <v>243</v>
      </c>
      <c r="O471" s="380"/>
      <c r="P471" s="381"/>
    </row>
  </sheetData>
  <autoFilter ref="A1:S471" xr:uid="{9A9F9973-76FE-4F3C-8EFC-18B8819F056A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7">
      <customFilters>
        <customFilter operator="notEqual" val=" "/>
      </customFilters>
    </filterColumn>
  </autoFilter>
  <mergeCells count="28">
    <mergeCell ref="L4:M4"/>
    <mergeCell ref="C1:K1"/>
    <mergeCell ref="A2:B2"/>
    <mergeCell ref="C2:K2"/>
    <mergeCell ref="A3:J3"/>
    <mergeCell ref="L3:M3"/>
    <mergeCell ref="L7:L8"/>
    <mergeCell ref="A5:I5"/>
    <mergeCell ref="L5:M5"/>
    <mergeCell ref="A6:I6"/>
    <mergeCell ref="L6:M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M7:M8"/>
    <mergeCell ref="O7:O8"/>
    <mergeCell ref="P7:P8"/>
    <mergeCell ref="Q7:Q8"/>
    <mergeCell ref="O122:O125"/>
    <mergeCell ref="Q122:Q125"/>
  </mergeCells>
  <phoneticPr fontId="1" type="noConversion"/>
  <printOptions horizontalCentered="1"/>
  <pageMargins left="0.11811023622047245" right="0.11811023622047245" top="0.15748031496062992" bottom="0.35433070866141736" header="0.31496062992125984" footer="0.31496062992125984"/>
  <pageSetup paperSize="8" scale="8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590A5-EAF2-4232-9163-FCD42A28AF33}">
  <sheetPr filterMode="1"/>
  <dimension ref="A1:U471"/>
  <sheetViews>
    <sheetView view="pageBreakPreview" zoomScale="130" zoomScaleNormal="100" zoomScaleSheetLayoutView="130" workbookViewId="0">
      <pane ySplit="8" topLeftCell="A9" activePane="bottomLeft" state="frozen"/>
      <selection activeCell="P201" sqref="P201"/>
      <selection pane="bottomLeft" activeCell="P201" sqref="P201"/>
    </sheetView>
  </sheetViews>
  <sheetFormatPr defaultColWidth="9.140625" defaultRowHeight="12.75"/>
  <cols>
    <col min="1" max="1" width="3.28515625" style="82" customWidth="1"/>
    <col min="2" max="2" width="31.140625" style="82" customWidth="1"/>
    <col min="3" max="3" width="4.140625" style="82" customWidth="1"/>
    <col min="4" max="6" width="9.28515625" style="82" customWidth="1"/>
    <col min="7" max="7" width="11.7109375" style="82" customWidth="1"/>
    <col min="8" max="8" width="10.7109375" style="82" customWidth="1"/>
    <col min="9" max="10" width="14.7109375" style="82" customWidth="1"/>
    <col min="11" max="11" width="14.7109375" style="545" customWidth="1"/>
    <col min="12" max="12" width="14.7109375" style="94" customWidth="1"/>
    <col min="13" max="13" width="14.28515625" style="82" customWidth="1"/>
    <col min="14" max="14" width="2.28515625" style="82" customWidth="1"/>
    <col min="15" max="15" width="24.140625" style="325" customWidth="1"/>
    <col min="16" max="16" width="26.42578125" style="325" customWidth="1"/>
    <col min="17" max="17" width="38.140625" style="82" customWidth="1"/>
    <col min="18" max="18" width="28.5703125" style="82" customWidth="1"/>
    <col min="19" max="19" width="25" style="82" customWidth="1"/>
    <col min="20" max="20" width="16.140625" style="82" customWidth="1"/>
    <col min="21" max="16384" width="9.140625" style="82"/>
  </cols>
  <sheetData>
    <row r="1" spans="1:17" ht="25.5">
      <c r="A1" s="323"/>
      <c r="B1" s="323"/>
      <c r="C1" s="980" t="s">
        <v>230</v>
      </c>
      <c r="D1" s="980"/>
      <c r="E1" s="980"/>
      <c r="F1" s="980"/>
      <c r="G1" s="980"/>
      <c r="H1" s="980"/>
      <c r="I1" s="980"/>
      <c r="J1" s="980"/>
      <c r="K1" s="980"/>
      <c r="L1" s="531"/>
      <c r="M1" s="324"/>
      <c r="N1" s="1"/>
    </row>
    <row r="2" spans="1:17" ht="19.5" hidden="1">
      <c r="A2" s="981" t="s">
        <v>242</v>
      </c>
      <c r="B2" s="981"/>
      <c r="C2" s="982" t="s">
        <v>2603</v>
      </c>
      <c r="D2" s="982"/>
      <c r="E2" s="982"/>
      <c r="F2" s="982"/>
      <c r="G2" s="982"/>
      <c r="H2" s="982"/>
      <c r="I2" s="982"/>
      <c r="J2" s="982"/>
      <c r="K2" s="982"/>
      <c r="L2" s="532"/>
      <c r="M2" s="29"/>
      <c r="N2" s="1"/>
    </row>
    <row r="3" spans="1:17" ht="16.5" hidden="1">
      <c r="A3" s="983" t="s">
        <v>2140</v>
      </c>
      <c r="B3" s="983"/>
      <c r="C3" s="983"/>
      <c r="D3" s="983"/>
      <c r="E3" s="983"/>
      <c r="F3" s="983"/>
      <c r="G3" s="983"/>
      <c r="H3" s="983"/>
      <c r="I3" s="983"/>
      <c r="J3" s="983"/>
      <c r="K3" s="537" t="s">
        <v>2299</v>
      </c>
      <c r="L3" s="984">
        <v>45672</v>
      </c>
      <c r="M3" s="984"/>
      <c r="N3" s="327"/>
      <c r="P3" s="328"/>
    </row>
    <row r="4" spans="1:17" ht="16.5" hidden="1">
      <c r="A4" s="566" t="s">
        <v>2970</v>
      </c>
      <c r="B4" s="567"/>
      <c r="C4" s="567"/>
      <c r="D4" s="567"/>
      <c r="E4" s="567"/>
      <c r="F4" s="567"/>
      <c r="G4" s="567"/>
      <c r="H4" s="567"/>
      <c r="I4" s="568"/>
      <c r="J4" s="329" t="s">
        <v>2300</v>
      </c>
      <c r="K4" s="538"/>
      <c r="L4" s="973">
        <v>257600000</v>
      </c>
      <c r="M4" s="974"/>
      <c r="N4" s="327"/>
      <c r="O4" s="328"/>
    </row>
    <row r="5" spans="1:17" ht="16.5" hidden="1">
      <c r="A5" s="970" t="s">
        <v>2604</v>
      </c>
      <c r="B5" s="971"/>
      <c r="C5" s="971"/>
      <c r="D5" s="971"/>
      <c r="E5" s="971"/>
      <c r="F5" s="971"/>
      <c r="G5" s="971"/>
      <c r="H5" s="971"/>
      <c r="I5" s="972"/>
      <c r="J5" s="387" t="s">
        <v>2301</v>
      </c>
      <c r="K5" s="539"/>
      <c r="L5" s="973">
        <v>308240521</v>
      </c>
      <c r="M5" s="974"/>
      <c r="N5" s="327"/>
    </row>
    <row r="6" spans="1:17" ht="16.5" hidden="1">
      <c r="A6" s="975" t="s">
        <v>2637</v>
      </c>
      <c r="B6" s="976"/>
      <c r="C6" s="976"/>
      <c r="D6" s="976"/>
      <c r="E6" s="976"/>
      <c r="F6" s="976"/>
      <c r="G6" s="976"/>
      <c r="H6" s="976"/>
      <c r="I6" s="977"/>
      <c r="J6" s="329" t="s">
        <v>2302</v>
      </c>
      <c r="K6" s="538"/>
      <c r="L6" s="978">
        <f>J9</f>
        <v>323647565.53000009</v>
      </c>
      <c r="M6" s="979"/>
      <c r="N6" s="327"/>
      <c r="O6" s="331"/>
      <c r="P6" s="331"/>
    </row>
    <row r="7" spans="1:17" ht="14.25" customHeight="1">
      <c r="A7" s="957" t="s">
        <v>235</v>
      </c>
      <c r="B7" s="964" t="s">
        <v>2303</v>
      </c>
      <c r="C7" s="964" t="s">
        <v>237</v>
      </c>
      <c r="D7" s="957" t="s">
        <v>2605</v>
      </c>
      <c r="E7" s="957" t="s">
        <v>2602</v>
      </c>
      <c r="F7" s="968" t="s">
        <v>2305</v>
      </c>
      <c r="G7" s="957" t="s">
        <v>2306</v>
      </c>
      <c r="H7" s="957" t="s">
        <v>2307</v>
      </c>
      <c r="I7" s="957" t="s">
        <v>2308</v>
      </c>
      <c r="J7" s="957" t="s">
        <v>2612</v>
      </c>
      <c r="K7" s="959" t="s">
        <v>2309</v>
      </c>
      <c r="L7" s="961" t="s">
        <v>2310</v>
      </c>
      <c r="M7" s="964" t="s">
        <v>2311</v>
      </c>
      <c r="N7" s="332"/>
      <c r="O7" s="1005" t="s">
        <v>2312</v>
      </c>
      <c r="P7" s="967" t="s">
        <v>2313</v>
      </c>
      <c r="Q7" s="963" t="s">
        <v>2314</v>
      </c>
    </row>
    <row r="8" spans="1:17" ht="14.25" hidden="1">
      <c r="A8" s="958"/>
      <c r="B8" s="965"/>
      <c r="C8" s="965"/>
      <c r="D8" s="958"/>
      <c r="E8" s="958"/>
      <c r="F8" s="969"/>
      <c r="G8" s="958"/>
      <c r="H8" s="958"/>
      <c r="I8" s="958"/>
      <c r="J8" s="958"/>
      <c r="K8" s="960"/>
      <c r="L8" s="962"/>
      <c r="M8" s="965"/>
      <c r="N8" s="332"/>
      <c r="O8" s="1006"/>
      <c r="P8" s="967"/>
      <c r="Q8" s="963"/>
    </row>
    <row r="9" spans="1:17" ht="33">
      <c r="A9" s="333" t="s">
        <v>10</v>
      </c>
      <c r="B9" s="334" t="s">
        <v>12</v>
      </c>
      <c r="C9" s="335" t="s">
        <v>4</v>
      </c>
      <c r="D9" s="336"/>
      <c r="E9" s="336"/>
      <c r="F9" s="336"/>
      <c r="G9" s="336">
        <f>I9</f>
        <v>308240521.00000006</v>
      </c>
      <c r="H9" s="336"/>
      <c r="I9" s="419">
        <f>I10+I354+I380+I420+I424+I444+I464+I467+I468+I470</f>
        <v>308240521.00000006</v>
      </c>
      <c r="J9" s="419">
        <f>J10+J354+J380+J420+J424+J444+J464+J467+J468+J470</f>
        <v>323647565.53000009</v>
      </c>
      <c r="K9" s="540">
        <f>K10+K354+K380+K420+K424+K444+K464+K467+K468+K470</f>
        <v>23104847.27</v>
      </c>
      <c r="L9" s="453">
        <f>L10+L354+L380+L420+L424+L444+L464+L467+L468+L470</f>
        <v>-7697802.7400000002</v>
      </c>
      <c r="M9" s="419"/>
      <c r="N9" s="11" t="s">
        <v>243</v>
      </c>
      <c r="O9" s="785">
        <f>K9+L9</f>
        <v>15407044.529999999</v>
      </c>
      <c r="P9" s="759">
        <f>J9-I9</f>
        <v>15407044.530000031</v>
      </c>
    </row>
    <row r="10" spans="1:17" ht="33">
      <c r="A10" s="333" t="s">
        <v>2152</v>
      </c>
      <c r="B10" s="334" t="s">
        <v>2</v>
      </c>
      <c r="C10" s="335" t="s">
        <v>4</v>
      </c>
      <c r="D10" s="336"/>
      <c r="E10" s="336"/>
      <c r="F10" s="336"/>
      <c r="G10" s="336">
        <f>I10</f>
        <v>232868088.52999997</v>
      </c>
      <c r="H10" s="336"/>
      <c r="I10" s="419">
        <f>I11+I37+I126+I166+I195+I215+I232+I310+I344</f>
        <v>232868088.52999997</v>
      </c>
      <c r="J10" s="419">
        <f>J11+J37+J126+J166+J195+J215+J232+J310+J344</f>
        <v>245463991.91</v>
      </c>
      <c r="K10" s="540">
        <f>K11+K37+K126+K166+K195+K215+K232+K310+K344</f>
        <v>20293706.119999997</v>
      </c>
      <c r="L10" s="453">
        <f>L11+L37+L126+L166+L195+L215+L232+L310+L344</f>
        <v>-7697802.7400000002</v>
      </c>
      <c r="M10" s="231" t="s">
        <v>242</v>
      </c>
      <c r="N10" s="11" t="s">
        <v>243</v>
      </c>
      <c r="O10" s="786"/>
      <c r="P10" s="339"/>
    </row>
    <row r="11" spans="1:17" ht="33">
      <c r="A11" s="406" t="s">
        <v>2153</v>
      </c>
      <c r="B11" s="407" t="s">
        <v>244</v>
      </c>
      <c r="C11" s="408" t="s">
        <v>4</v>
      </c>
      <c r="D11" s="409"/>
      <c r="E11" s="409"/>
      <c r="F11" s="409"/>
      <c r="G11" s="409">
        <v>61233815.539999999</v>
      </c>
      <c r="H11" s="409"/>
      <c r="I11" s="411">
        <f>SUM(I12:I36)</f>
        <v>61233815.539999984</v>
      </c>
      <c r="J11" s="411">
        <f>SUM(J12:J36)</f>
        <v>61418256.479999982</v>
      </c>
      <c r="K11" s="541">
        <f>SUM(K12:K36)</f>
        <v>5176911.3099999996</v>
      </c>
      <c r="L11" s="454">
        <f>SUM(L12:L36)</f>
        <v>-4992470.37</v>
      </c>
      <c r="M11" s="288" t="s">
        <v>242</v>
      </c>
      <c r="N11" s="11" t="s">
        <v>243</v>
      </c>
      <c r="O11" s="785">
        <f>K11+L11</f>
        <v>184440.93999999948</v>
      </c>
      <c r="P11" s="339"/>
    </row>
    <row r="12" spans="1:17" ht="33" hidden="1">
      <c r="A12" s="333" t="s">
        <v>2154</v>
      </c>
      <c r="B12" s="334" t="s">
        <v>245</v>
      </c>
      <c r="C12" s="335" t="s">
        <v>6</v>
      </c>
      <c r="D12" s="336">
        <v>720.24</v>
      </c>
      <c r="E12" s="336">
        <f>估驗單!F8</f>
        <v>720.24</v>
      </c>
      <c r="F12" s="390"/>
      <c r="G12" s="336">
        <v>193.11</v>
      </c>
      <c r="H12" s="336"/>
      <c r="I12" s="336">
        <f t="shared" ref="I12:I36" si="0">ROUND(D12*G12,2)</f>
        <v>139085.54999999999</v>
      </c>
      <c r="J12" s="336">
        <f t="shared" ref="J12:J36" si="1">ROUND(E12*G12,2)</f>
        <v>139085.54999999999</v>
      </c>
      <c r="K12" s="546">
        <f>J12-I12</f>
        <v>0</v>
      </c>
      <c r="L12" s="546">
        <f>I12-J12</f>
        <v>0</v>
      </c>
      <c r="M12" s="231" t="s">
        <v>242</v>
      </c>
      <c r="N12" s="11" t="s">
        <v>243</v>
      </c>
      <c r="O12" s="341"/>
      <c r="P12" s="339"/>
    </row>
    <row r="13" spans="1:17" ht="33" hidden="1">
      <c r="A13" s="333" t="s">
        <v>2155</v>
      </c>
      <c r="B13" s="334" t="s">
        <v>247</v>
      </c>
      <c r="C13" s="335" t="s">
        <v>6</v>
      </c>
      <c r="D13" s="336">
        <v>4813.4399999999996</v>
      </c>
      <c r="E13" s="336">
        <f>估驗單!F9</f>
        <v>4813.4399999999996</v>
      </c>
      <c r="F13" s="390"/>
      <c r="G13" s="336">
        <v>1046.1600000000001</v>
      </c>
      <c r="H13" s="336"/>
      <c r="I13" s="336">
        <f t="shared" si="0"/>
        <v>5035628.3899999997</v>
      </c>
      <c r="J13" s="336">
        <f t="shared" si="1"/>
        <v>5035628.3899999997</v>
      </c>
      <c r="K13" s="546">
        <f t="shared" ref="K13:K76" si="2">J13-I13</f>
        <v>0</v>
      </c>
      <c r="L13" s="546">
        <f t="shared" ref="L13:L36" si="3">I13-J13</f>
        <v>0</v>
      </c>
      <c r="M13" s="231" t="s">
        <v>242</v>
      </c>
      <c r="N13" s="11" t="s">
        <v>243</v>
      </c>
      <c r="O13" s="341"/>
      <c r="P13" s="339"/>
    </row>
    <row r="14" spans="1:17" ht="33" hidden="1">
      <c r="A14" s="333" t="s">
        <v>2156</v>
      </c>
      <c r="B14" s="334" t="s">
        <v>249</v>
      </c>
      <c r="C14" s="335" t="s">
        <v>8</v>
      </c>
      <c r="D14" s="336">
        <v>1743</v>
      </c>
      <c r="E14" s="336">
        <f>估驗單!F10</f>
        <v>1743</v>
      </c>
      <c r="F14" s="390"/>
      <c r="G14" s="336">
        <v>6199.66</v>
      </c>
      <c r="H14" s="336"/>
      <c r="I14" s="336">
        <f t="shared" si="0"/>
        <v>10806007.380000001</v>
      </c>
      <c r="J14" s="336">
        <f t="shared" si="1"/>
        <v>10806007.380000001</v>
      </c>
      <c r="K14" s="546">
        <f t="shared" si="2"/>
        <v>0</v>
      </c>
      <c r="L14" s="546">
        <f t="shared" si="3"/>
        <v>0</v>
      </c>
      <c r="M14" s="231"/>
      <c r="N14" s="11" t="s">
        <v>243</v>
      </c>
      <c r="O14" s="341"/>
      <c r="P14" s="339"/>
    </row>
    <row r="15" spans="1:17" ht="45" hidden="1">
      <c r="A15" s="333" t="s">
        <v>2157</v>
      </c>
      <c r="B15" s="632" t="s">
        <v>194</v>
      </c>
      <c r="C15" s="335" t="s">
        <v>23</v>
      </c>
      <c r="D15" s="336">
        <v>28009.56</v>
      </c>
      <c r="E15" s="336">
        <f>估驗單!F11</f>
        <v>28009.56</v>
      </c>
      <c r="F15" s="453"/>
      <c r="G15" s="336">
        <v>48.28</v>
      </c>
      <c r="H15" s="336"/>
      <c r="I15" s="336">
        <f t="shared" si="0"/>
        <v>1352301.56</v>
      </c>
      <c r="J15" s="336">
        <f t="shared" si="1"/>
        <v>1352301.56</v>
      </c>
      <c r="K15" s="546"/>
      <c r="L15" s="453"/>
      <c r="M15" s="231"/>
      <c r="N15" s="11" t="s">
        <v>243</v>
      </c>
      <c r="O15" s="341" t="s">
        <v>2966</v>
      </c>
      <c r="P15" s="339"/>
      <c r="Q15" s="325" t="s">
        <v>2957</v>
      </c>
    </row>
    <row r="16" spans="1:17" ht="33" hidden="1">
      <c r="A16" s="333" t="s">
        <v>2158</v>
      </c>
      <c r="B16" s="334" t="s">
        <v>252</v>
      </c>
      <c r="C16" s="335" t="s">
        <v>6</v>
      </c>
      <c r="D16" s="336">
        <v>4726.67</v>
      </c>
      <c r="E16" s="336">
        <f>估驗單!F12</f>
        <v>4726.67</v>
      </c>
      <c r="F16" s="390"/>
      <c r="G16" s="336">
        <v>599.71</v>
      </c>
      <c r="H16" s="336"/>
      <c r="I16" s="336">
        <f t="shared" si="0"/>
        <v>2834631.27</v>
      </c>
      <c r="J16" s="336">
        <f t="shared" si="1"/>
        <v>2834631.27</v>
      </c>
      <c r="K16" s="546">
        <f t="shared" si="2"/>
        <v>0</v>
      </c>
      <c r="L16" s="546">
        <f t="shared" si="3"/>
        <v>0</v>
      </c>
      <c r="M16" s="231"/>
      <c r="N16" s="11" t="s">
        <v>243</v>
      </c>
      <c r="O16" s="341"/>
      <c r="P16" s="339"/>
    </row>
    <row r="17" spans="1:18" ht="45" hidden="1">
      <c r="A17" s="333" t="s">
        <v>2159</v>
      </c>
      <c r="B17" s="632" t="s">
        <v>255</v>
      </c>
      <c r="C17" s="335" t="s">
        <v>6</v>
      </c>
      <c r="D17" s="336">
        <v>13120</v>
      </c>
      <c r="E17" s="336">
        <f>估驗單!F13</f>
        <v>13120</v>
      </c>
      <c r="F17" s="390"/>
      <c r="G17" s="336">
        <v>104.64</v>
      </c>
      <c r="H17" s="336"/>
      <c r="I17" s="336">
        <f t="shared" si="0"/>
        <v>1372876.8</v>
      </c>
      <c r="J17" s="336">
        <f t="shared" si="1"/>
        <v>1372876.8</v>
      </c>
      <c r="K17" s="546">
        <f t="shared" si="2"/>
        <v>0</v>
      </c>
      <c r="L17" s="546"/>
      <c r="M17" s="231"/>
      <c r="N17" s="11" t="s">
        <v>243</v>
      </c>
      <c r="O17" s="341" t="s">
        <v>2958</v>
      </c>
      <c r="P17" s="339" t="s">
        <v>2914</v>
      </c>
      <c r="Q17" s="293" t="s">
        <v>2959</v>
      </c>
    </row>
    <row r="18" spans="1:18" ht="57" hidden="1">
      <c r="A18" s="503" t="s">
        <v>2160</v>
      </c>
      <c r="B18" s="504" t="s">
        <v>258</v>
      </c>
      <c r="C18" s="505" t="s">
        <v>23</v>
      </c>
      <c r="D18" s="506">
        <v>13251</v>
      </c>
      <c r="E18" s="506">
        <f>'數量計算(FOR4變)'!I54</f>
        <v>18245</v>
      </c>
      <c r="F18" s="507">
        <f>E18-D18</f>
        <v>4994</v>
      </c>
      <c r="G18" s="506">
        <v>1027.3699999999999</v>
      </c>
      <c r="H18" s="506"/>
      <c r="I18" s="506">
        <f t="shared" si="0"/>
        <v>13613679.869999999</v>
      </c>
      <c r="J18" s="506">
        <f t="shared" si="1"/>
        <v>18744365.649999999</v>
      </c>
      <c r="K18" s="547">
        <f t="shared" si="2"/>
        <v>5130685.7799999993</v>
      </c>
      <c r="L18" s="547"/>
      <c r="M18" s="520" t="s">
        <v>3024</v>
      </c>
      <c r="N18" s="11" t="s">
        <v>243</v>
      </c>
      <c r="O18" s="474" t="s">
        <v>3010</v>
      </c>
      <c r="P18" s="339"/>
      <c r="Q18" s="293" t="s">
        <v>3008</v>
      </c>
    </row>
    <row r="19" spans="1:18" ht="33" hidden="1">
      <c r="A19" s="503" t="s">
        <v>2161</v>
      </c>
      <c r="B19" s="504" t="s">
        <v>261</v>
      </c>
      <c r="C19" s="505" t="s">
        <v>6</v>
      </c>
      <c r="D19" s="506">
        <v>4601.4399999999996</v>
      </c>
      <c r="E19" s="751" t="str">
        <f>估驗單!F15</f>
        <v>0_x000D_</v>
      </c>
      <c r="F19" s="519">
        <f>0-D19</f>
        <v>-4601.4399999999996</v>
      </c>
      <c r="G19" s="506">
        <v>1084.98</v>
      </c>
      <c r="H19" s="506"/>
      <c r="I19" s="506">
        <f t="shared" si="0"/>
        <v>4992470.37</v>
      </c>
      <c r="J19" s="506">
        <v>0</v>
      </c>
      <c r="K19" s="547"/>
      <c r="L19" s="519">
        <f>J19-I19</f>
        <v>-4992470.37</v>
      </c>
      <c r="M19" s="508" t="s">
        <v>242</v>
      </c>
      <c r="N19" s="11" t="s">
        <v>243</v>
      </c>
      <c r="O19" s="474" t="s">
        <v>3010</v>
      </c>
      <c r="P19" s="339"/>
      <c r="Q19" s="147" t="s">
        <v>3028</v>
      </c>
    </row>
    <row r="20" spans="1:18" ht="42.75" hidden="1">
      <c r="A20" s="333" t="s">
        <v>2162</v>
      </c>
      <c r="B20" s="334" t="s">
        <v>264</v>
      </c>
      <c r="C20" s="335" t="s">
        <v>13</v>
      </c>
      <c r="D20" s="336">
        <v>2588.5</v>
      </c>
      <c r="E20" s="336">
        <f>估驗單!F16</f>
        <v>2588.5</v>
      </c>
      <c r="F20" s="390"/>
      <c r="G20" s="336">
        <v>30.45</v>
      </c>
      <c r="H20" s="336"/>
      <c r="I20" s="336">
        <f t="shared" si="0"/>
        <v>78819.83</v>
      </c>
      <c r="J20" s="336">
        <f t="shared" si="1"/>
        <v>78819.83</v>
      </c>
      <c r="K20" s="546">
        <f t="shared" si="2"/>
        <v>0</v>
      </c>
      <c r="L20" s="546">
        <f t="shared" si="3"/>
        <v>0</v>
      </c>
      <c r="M20" s="231"/>
      <c r="N20" s="11" t="s">
        <v>243</v>
      </c>
      <c r="O20" s="341"/>
      <c r="P20" s="339"/>
    </row>
    <row r="21" spans="1:18" ht="33" hidden="1">
      <c r="A21" s="333" t="s">
        <v>2163</v>
      </c>
      <c r="B21" s="334" t="s">
        <v>267</v>
      </c>
      <c r="C21" s="335" t="s">
        <v>13</v>
      </c>
      <c r="D21" s="336">
        <v>9177</v>
      </c>
      <c r="E21" s="336">
        <f>估驗單!F17</f>
        <v>9177</v>
      </c>
      <c r="F21" s="390"/>
      <c r="G21" s="336">
        <v>28.48</v>
      </c>
      <c r="H21" s="336"/>
      <c r="I21" s="336">
        <f t="shared" si="0"/>
        <v>261360.96</v>
      </c>
      <c r="J21" s="336">
        <f t="shared" si="1"/>
        <v>261360.96</v>
      </c>
      <c r="K21" s="546">
        <f t="shared" si="2"/>
        <v>0</v>
      </c>
      <c r="L21" s="546">
        <f t="shared" si="3"/>
        <v>0</v>
      </c>
      <c r="M21" s="231" t="s">
        <v>242</v>
      </c>
      <c r="N21" s="11" t="s">
        <v>243</v>
      </c>
      <c r="O21" s="341"/>
      <c r="P21" s="339"/>
    </row>
    <row r="22" spans="1:18" ht="33" hidden="1">
      <c r="A22" s="333" t="s">
        <v>2164</v>
      </c>
      <c r="B22" s="334" t="s">
        <v>270</v>
      </c>
      <c r="C22" s="335" t="s">
        <v>8</v>
      </c>
      <c r="D22" s="336">
        <v>162.5</v>
      </c>
      <c r="E22" s="336">
        <f>估驗單!F18</f>
        <v>162.5</v>
      </c>
      <c r="F22" s="390"/>
      <c r="G22" s="336">
        <v>65.400000000000006</v>
      </c>
      <c r="H22" s="336"/>
      <c r="I22" s="336">
        <f t="shared" si="0"/>
        <v>10627.5</v>
      </c>
      <c r="J22" s="336">
        <f t="shared" si="1"/>
        <v>10627.5</v>
      </c>
      <c r="K22" s="546">
        <f t="shared" si="2"/>
        <v>0</v>
      </c>
      <c r="L22" s="546">
        <f t="shared" si="3"/>
        <v>0</v>
      </c>
      <c r="M22" s="231" t="s">
        <v>242</v>
      </c>
      <c r="N22" s="11" t="s">
        <v>243</v>
      </c>
      <c r="O22" s="341"/>
      <c r="P22" s="339"/>
    </row>
    <row r="23" spans="1:18" ht="33" hidden="1">
      <c r="A23" s="333" t="s">
        <v>2165</v>
      </c>
      <c r="B23" s="334" t="s">
        <v>273</v>
      </c>
      <c r="C23" s="335" t="s">
        <v>13</v>
      </c>
      <c r="D23" s="336">
        <v>5217.7</v>
      </c>
      <c r="E23" s="336">
        <f>估驗單!F19</f>
        <v>5217.7</v>
      </c>
      <c r="F23" s="390"/>
      <c r="G23" s="336">
        <v>20.190000000000001</v>
      </c>
      <c r="H23" s="336"/>
      <c r="I23" s="336">
        <f t="shared" si="0"/>
        <v>105345.36</v>
      </c>
      <c r="J23" s="336">
        <f t="shared" si="1"/>
        <v>105345.36</v>
      </c>
      <c r="K23" s="546">
        <f t="shared" si="2"/>
        <v>0</v>
      </c>
      <c r="L23" s="546">
        <f t="shared" si="3"/>
        <v>0</v>
      </c>
      <c r="M23" s="231" t="s">
        <v>242</v>
      </c>
      <c r="N23" s="11" t="s">
        <v>243</v>
      </c>
      <c r="O23" s="341"/>
      <c r="P23" s="339"/>
    </row>
    <row r="24" spans="1:18" ht="33" hidden="1">
      <c r="A24" s="343" t="s">
        <v>2166</v>
      </c>
      <c r="B24" s="344" t="s">
        <v>276</v>
      </c>
      <c r="C24" s="345" t="s">
        <v>6</v>
      </c>
      <c r="D24" s="340">
        <v>782.66</v>
      </c>
      <c r="E24" s="336">
        <f>估驗單!F20</f>
        <v>782.66</v>
      </c>
      <c r="F24" s="390"/>
      <c r="G24" s="340">
        <v>2286.6799999999998</v>
      </c>
      <c r="H24" s="340"/>
      <c r="I24" s="336">
        <f t="shared" si="0"/>
        <v>1789692.97</v>
      </c>
      <c r="J24" s="336">
        <f t="shared" si="1"/>
        <v>1789692.97</v>
      </c>
      <c r="K24" s="546">
        <f t="shared" si="2"/>
        <v>0</v>
      </c>
      <c r="L24" s="546">
        <f t="shared" si="3"/>
        <v>0</v>
      </c>
      <c r="M24" s="346"/>
      <c r="N24" s="347" t="s">
        <v>243</v>
      </c>
      <c r="O24" s="348"/>
      <c r="P24" s="349"/>
    </row>
    <row r="25" spans="1:18" ht="33" hidden="1">
      <c r="A25" s="333" t="s">
        <v>2167</v>
      </c>
      <c r="B25" s="334" t="s">
        <v>279</v>
      </c>
      <c r="C25" s="335" t="s">
        <v>14</v>
      </c>
      <c r="D25" s="336">
        <v>425</v>
      </c>
      <c r="E25" s="336">
        <f>估驗單!F21</f>
        <v>425</v>
      </c>
      <c r="F25" s="390"/>
      <c r="G25" s="336">
        <v>521.15</v>
      </c>
      <c r="H25" s="336"/>
      <c r="I25" s="336">
        <f t="shared" si="0"/>
        <v>221488.75</v>
      </c>
      <c r="J25" s="336">
        <f t="shared" si="1"/>
        <v>221488.75</v>
      </c>
      <c r="K25" s="546">
        <f t="shared" si="2"/>
        <v>0</v>
      </c>
      <c r="L25" s="546">
        <f t="shared" si="3"/>
        <v>0</v>
      </c>
      <c r="M25" s="231"/>
      <c r="N25" s="11" t="s">
        <v>243</v>
      </c>
      <c r="O25" s="341"/>
      <c r="P25" s="339"/>
    </row>
    <row r="26" spans="1:18" ht="33" hidden="1">
      <c r="A26" s="503" t="s">
        <v>2168</v>
      </c>
      <c r="B26" s="504" t="s">
        <v>282</v>
      </c>
      <c r="C26" s="505" t="s">
        <v>8</v>
      </c>
      <c r="D26" s="506">
        <v>255.5</v>
      </c>
      <c r="E26" s="506">
        <f>估驗單!F22</f>
        <v>415.08000000000004</v>
      </c>
      <c r="F26" s="507">
        <f t="shared" ref="F26:F89" si="4">E26-D26</f>
        <v>159.58000000000004</v>
      </c>
      <c r="G26" s="506">
        <v>289.67</v>
      </c>
      <c r="H26" s="506"/>
      <c r="I26" s="506">
        <f t="shared" si="0"/>
        <v>74010.69</v>
      </c>
      <c r="J26" s="506">
        <f t="shared" si="1"/>
        <v>120236.22</v>
      </c>
      <c r="K26" s="547">
        <f t="shared" si="2"/>
        <v>46225.53</v>
      </c>
      <c r="L26" s="547"/>
      <c r="M26" s="508" t="s">
        <v>242</v>
      </c>
      <c r="N26" s="11" t="s">
        <v>243</v>
      </c>
      <c r="O26" s="341" t="s">
        <v>2877</v>
      </c>
      <c r="P26" s="339" t="s">
        <v>2890</v>
      </c>
      <c r="Q26" s="586" t="s">
        <v>2891</v>
      </c>
      <c r="R26" s="82">
        <f>34.27+66.51+58.8</f>
        <v>159.57999999999998</v>
      </c>
    </row>
    <row r="27" spans="1:18" ht="33" hidden="1">
      <c r="A27" s="333" t="s">
        <v>2169</v>
      </c>
      <c r="B27" s="334" t="s">
        <v>285</v>
      </c>
      <c r="C27" s="335" t="s">
        <v>286</v>
      </c>
      <c r="D27" s="336">
        <v>2204</v>
      </c>
      <c r="E27" s="336">
        <f>估驗單!F23</f>
        <v>2204</v>
      </c>
      <c r="F27" s="390"/>
      <c r="G27" s="336">
        <v>3082.11</v>
      </c>
      <c r="H27" s="336"/>
      <c r="I27" s="336">
        <f t="shared" si="0"/>
        <v>6792970.4400000004</v>
      </c>
      <c r="J27" s="336">
        <f t="shared" si="1"/>
        <v>6792970.4400000004</v>
      </c>
      <c r="K27" s="546">
        <f t="shared" si="2"/>
        <v>0</v>
      </c>
      <c r="L27" s="546">
        <f t="shared" si="3"/>
        <v>0</v>
      </c>
      <c r="M27" s="231" t="s">
        <v>242</v>
      </c>
      <c r="N27" s="11" t="s">
        <v>243</v>
      </c>
      <c r="O27" s="341"/>
      <c r="P27" s="339"/>
    </row>
    <row r="28" spans="1:18" ht="33" hidden="1">
      <c r="A28" s="333" t="s">
        <v>2170</v>
      </c>
      <c r="B28" s="334" t="s">
        <v>289</v>
      </c>
      <c r="C28" s="335" t="s">
        <v>290</v>
      </c>
      <c r="D28" s="336">
        <v>66</v>
      </c>
      <c r="E28" s="336">
        <f>估驗單!F24</f>
        <v>66</v>
      </c>
      <c r="F28" s="390"/>
      <c r="G28" s="336">
        <v>3311.26</v>
      </c>
      <c r="H28" s="336"/>
      <c r="I28" s="336">
        <f t="shared" si="0"/>
        <v>218543.16</v>
      </c>
      <c r="J28" s="336">
        <f t="shared" si="1"/>
        <v>218543.16</v>
      </c>
      <c r="K28" s="546">
        <f t="shared" si="2"/>
        <v>0</v>
      </c>
      <c r="L28" s="546">
        <f t="shared" si="3"/>
        <v>0</v>
      </c>
      <c r="M28" s="231"/>
      <c r="N28" s="11" t="s">
        <v>243</v>
      </c>
      <c r="O28" s="341"/>
      <c r="P28" s="339"/>
    </row>
    <row r="29" spans="1:18" ht="33" hidden="1">
      <c r="A29" s="333" t="s">
        <v>2171</v>
      </c>
      <c r="B29" s="334" t="s">
        <v>293</v>
      </c>
      <c r="C29" s="335" t="s">
        <v>0</v>
      </c>
      <c r="D29" s="336">
        <v>18</v>
      </c>
      <c r="E29" s="336">
        <f>估驗單!F25</f>
        <v>18</v>
      </c>
      <c r="F29" s="390"/>
      <c r="G29" s="336">
        <v>1199.93</v>
      </c>
      <c r="H29" s="336"/>
      <c r="I29" s="336">
        <f t="shared" si="0"/>
        <v>21598.74</v>
      </c>
      <c r="J29" s="336">
        <f t="shared" si="1"/>
        <v>21598.74</v>
      </c>
      <c r="K29" s="546">
        <f t="shared" si="2"/>
        <v>0</v>
      </c>
      <c r="L29" s="546">
        <f t="shared" si="3"/>
        <v>0</v>
      </c>
      <c r="M29" s="231"/>
      <c r="N29" s="11" t="s">
        <v>243</v>
      </c>
      <c r="O29" s="341"/>
      <c r="P29" s="339"/>
    </row>
    <row r="30" spans="1:18" ht="33" hidden="1">
      <c r="A30" s="333" t="s">
        <v>2172</v>
      </c>
      <c r="B30" s="334" t="s">
        <v>296</v>
      </c>
      <c r="C30" s="335" t="s">
        <v>0</v>
      </c>
      <c r="D30" s="336">
        <v>4</v>
      </c>
      <c r="E30" s="336">
        <f>估驗單!F26</f>
        <v>4</v>
      </c>
      <c r="F30" s="390"/>
      <c r="G30" s="336">
        <v>2999.84</v>
      </c>
      <c r="H30" s="336"/>
      <c r="I30" s="336">
        <f t="shared" si="0"/>
        <v>11999.36</v>
      </c>
      <c r="J30" s="336">
        <f t="shared" si="1"/>
        <v>11999.36</v>
      </c>
      <c r="K30" s="546">
        <f t="shared" si="2"/>
        <v>0</v>
      </c>
      <c r="L30" s="546">
        <f t="shared" si="3"/>
        <v>0</v>
      </c>
      <c r="M30" s="231"/>
      <c r="N30" s="11" t="s">
        <v>243</v>
      </c>
      <c r="O30" s="341"/>
      <c r="P30" s="339"/>
    </row>
    <row r="31" spans="1:18" ht="33" hidden="1">
      <c r="A31" s="333" t="s">
        <v>2173</v>
      </c>
      <c r="B31" s="334" t="s">
        <v>299</v>
      </c>
      <c r="C31" s="335" t="s">
        <v>0</v>
      </c>
      <c r="D31" s="336">
        <v>20</v>
      </c>
      <c r="E31" s="336">
        <f>估驗單!F27</f>
        <v>20</v>
      </c>
      <c r="F31" s="390"/>
      <c r="G31" s="336">
        <v>2999.84</v>
      </c>
      <c r="H31" s="336"/>
      <c r="I31" s="336">
        <f t="shared" si="0"/>
        <v>59996.800000000003</v>
      </c>
      <c r="J31" s="336">
        <f t="shared" si="1"/>
        <v>59996.800000000003</v>
      </c>
      <c r="K31" s="546">
        <f t="shared" si="2"/>
        <v>0</v>
      </c>
      <c r="L31" s="546">
        <f t="shared" si="3"/>
        <v>0</v>
      </c>
      <c r="M31" s="231"/>
      <c r="N31" s="11" t="s">
        <v>243</v>
      </c>
      <c r="O31" s="341"/>
      <c r="P31" s="339"/>
    </row>
    <row r="32" spans="1:18" ht="33" hidden="1">
      <c r="A32" s="333" t="s">
        <v>2174</v>
      </c>
      <c r="B32" s="334" t="s">
        <v>302</v>
      </c>
      <c r="C32" s="335" t="s">
        <v>0</v>
      </c>
      <c r="D32" s="336">
        <v>15</v>
      </c>
      <c r="E32" s="336">
        <f>估驗單!F28</f>
        <v>15</v>
      </c>
      <c r="F32" s="390"/>
      <c r="G32" s="336">
        <v>2999.84</v>
      </c>
      <c r="H32" s="336"/>
      <c r="I32" s="336">
        <f t="shared" si="0"/>
        <v>44997.599999999999</v>
      </c>
      <c r="J32" s="336">
        <f t="shared" si="1"/>
        <v>44997.599999999999</v>
      </c>
      <c r="K32" s="546">
        <f t="shared" si="2"/>
        <v>0</v>
      </c>
      <c r="L32" s="546">
        <f t="shared" si="3"/>
        <v>0</v>
      </c>
      <c r="M32" s="231"/>
      <c r="N32" s="11" t="s">
        <v>243</v>
      </c>
      <c r="O32" s="341"/>
      <c r="P32" s="339"/>
    </row>
    <row r="33" spans="1:19" ht="33" hidden="1">
      <c r="A33" s="333" t="s">
        <v>2175</v>
      </c>
      <c r="B33" s="334" t="s">
        <v>305</v>
      </c>
      <c r="C33" s="335" t="s">
        <v>4</v>
      </c>
      <c r="D33" s="336">
        <v>1</v>
      </c>
      <c r="E33" s="336">
        <f>估驗單!F29</f>
        <v>1</v>
      </c>
      <c r="F33" s="390"/>
      <c r="G33" s="336">
        <v>399978.19</v>
      </c>
      <c r="H33" s="336"/>
      <c r="I33" s="336">
        <f t="shared" si="0"/>
        <v>399978.19</v>
      </c>
      <c r="J33" s="336">
        <f t="shared" si="1"/>
        <v>399978.19</v>
      </c>
      <c r="K33" s="546">
        <f t="shared" si="2"/>
        <v>0</v>
      </c>
      <c r="L33" s="546">
        <f t="shared" si="3"/>
        <v>0</v>
      </c>
      <c r="M33" s="231"/>
      <c r="N33" s="11" t="s">
        <v>243</v>
      </c>
      <c r="O33" s="341"/>
      <c r="P33" s="339"/>
    </row>
    <row r="34" spans="1:19" ht="33" hidden="1">
      <c r="A34" s="333" t="s">
        <v>2177</v>
      </c>
      <c r="B34" s="334" t="s">
        <v>31</v>
      </c>
      <c r="C34" s="335" t="s">
        <v>16</v>
      </c>
      <c r="D34" s="336">
        <v>30800</v>
      </c>
      <c r="E34" s="336">
        <f>估驗單!F30</f>
        <v>30800</v>
      </c>
      <c r="F34" s="390">
        <f t="shared" si="4"/>
        <v>0</v>
      </c>
      <c r="G34" s="336">
        <v>280</v>
      </c>
      <c r="H34" s="336"/>
      <c r="I34" s="336">
        <f t="shared" si="0"/>
        <v>8624000</v>
      </c>
      <c r="J34" s="336">
        <f t="shared" si="1"/>
        <v>8624000</v>
      </c>
      <c r="K34" s="546">
        <f t="shared" si="2"/>
        <v>0</v>
      </c>
      <c r="L34" s="546">
        <f t="shared" si="3"/>
        <v>0</v>
      </c>
      <c r="M34" s="231"/>
      <c r="N34" s="11" t="s">
        <v>243</v>
      </c>
      <c r="O34" s="341"/>
      <c r="P34" s="339"/>
    </row>
    <row r="35" spans="1:19" ht="33" hidden="1">
      <c r="A35" s="333" t="s">
        <v>2178</v>
      </c>
      <c r="B35" s="334" t="s">
        <v>1312</v>
      </c>
      <c r="C35" s="335" t="s">
        <v>13</v>
      </c>
      <c r="D35" s="336">
        <v>2150</v>
      </c>
      <c r="E35" s="336">
        <f>估驗單!F31</f>
        <v>2150</v>
      </c>
      <c r="F35" s="390">
        <f t="shared" si="4"/>
        <v>0</v>
      </c>
      <c r="G35" s="336">
        <v>70.56</v>
      </c>
      <c r="H35" s="336"/>
      <c r="I35" s="336">
        <f t="shared" si="0"/>
        <v>151704</v>
      </c>
      <c r="J35" s="336">
        <f t="shared" si="1"/>
        <v>151704</v>
      </c>
      <c r="K35" s="546">
        <f t="shared" si="2"/>
        <v>0</v>
      </c>
      <c r="L35" s="546">
        <f t="shared" si="3"/>
        <v>0</v>
      </c>
      <c r="M35" s="231"/>
      <c r="N35" s="11" t="s">
        <v>243</v>
      </c>
      <c r="O35" s="341"/>
      <c r="P35" s="339"/>
    </row>
    <row r="36" spans="1:19" s="352" customFormat="1" ht="33" hidden="1">
      <c r="A36" s="343">
        <v>25</v>
      </c>
      <c r="B36" s="344" t="s">
        <v>2327</v>
      </c>
      <c r="C36" s="335" t="s">
        <v>2328</v>
      </c>
      <c r="D36" s="340">
        <v>111</v>
      </c>
      <c r="E36" s="336">
        <f>估驗單!F32</f>
        <v>111</v>
      </c>
      <c r="F36" s="390">
        <f t="shared" si="4"/>
        <v>0</v>
      </c>
      <c r="G36" s="340">
        <v>20000</v>
      </c>
      <c r="H36" s="340"/>
      <c r="I36" s="336">
        <f t="shared" si="0"/>
        <v>2220000</v>
      </c>
      <c r="J36" s="336">
        <f t="shared" si="1"/>
        <v>2220000</v>
      </c>
      <c r="K36" s="546">
        <f t="shared" si="2"/>
        <v>0</v>
      </c>
      <c r="L36" s="546">
        <f t="shared" si="3"/>
        <v>0</v>
      </c>
      <c r="M36" s="350"/>
      <c r="N36" s="347" t="s">
        <v>243</v>
      </c>
      <c r="O36" s="348"/>
      <c r="P36" s="351"/>
      <c r="Q36" s="325"/>
      <c r="S36" s="353" t="s">
        <v>2333</v>
      </c>
    </row>
    <row r="37" spans="1:19" ht="33">
      <c r="A37" s="406" t="s">
        <v>2180</v>
      </c>
      <c r="B37" s="407" t="s">
        <v>309</v>
      </c>
      <c r="C37" s="408" t="s">
        <v>4</v>
      </c>
      <c r="D37" s="409"/>
      <c r="E37" s="409">
        <f>估驗單!F33</f>
        <v>0</v>
      </c>
      <c r="F37" s="410">
        <f t="shared" si="4"/>
        <v>0</v>
      </c>
      <c r="G37" s="409">
        <v>30807124.300000001</v>
      </c>
      <c r="H37" s="409"/>
      <c r="I37" s="409">
        <f>SUM(I38:I125)</f>
        <v>30807124.299999997</v>
      </c>
      <c r="J37" s="409">
        <f>SUM(J38:J125)</f>
        <v>32286202.670000002</v>
      </c>
      <c r="K37" s="542">
        <f>SUM(K38:K125)</f>
        <v>3305690.73</v>
      </c>
      <c r="L37" s="452">
        <f>SUM(L38:L125)</f>
        <v>-1826612.36</v>
      </c>
      <c r="M37" s="288" t="s">
        <v>242</v>
      </c>
      <c r="N37" s="11" t="s">
        <v>243</v>
      </c>
      <c r="O37" s="785">
        <f>K37+L37</f>
        <v>1479078.3699999999</v>
      </c>
      <c r="P37" s="339"/>
    </row>
    <row r="38" spans="1:19" ht="33" hidden="1">
      <c r="A38" s="333" t="s">
        <v>2154</v>
      </c>
      <c r="B38" s="334" t="s">
        <v>310</v>
      </c>
      <c r="C38" s="335" t="s">
        <v>223</v>
      </c>
      <c r="D38" s="336">
        <v>1887.64</v>
      </c>
      <c r="E38" s="336">
        <f>估驗單!F34</f>
        <v>1887.64</v>
      </c>
      <c r="F38" s="390">
        <f t="shared" si="4"/>
        <v>0</v>
      </c>
      <c r="G38" s="336">
        <v>320.72000000000003</v>
      </c>
      <c r="H38" s="336"/>
      <c r="I38" s="336">
        <f t="shared" ref="I38:I101" si="5">ROUND(D38*G38,2)</f>
        <v>605403.9</v>
      </c>
      <c r="J38" s="336">
        <f t="shared" ref="J38:J101" si="6">ROUND(E38*G38,2)</f>
        <v>605403.9</v>
      </c>
      <c r="K38" s="546">
        <f t="shared" si="2"/>
        <v>0</v>
      </c>
      <c r="L38" s="502"/>
      <c r="M38" s="231" t="s">
        <v>242</v>
      </c>
      <c r="N38" s="11" t="s">
        <v>243</v>
      </c>
      <c r="O38" s="341"/>
      <c r="P38" s="339"/>
    </row>
    <row r="39" spans="1:19" ht="33" hidden="1">
      <c r="A39" s="333" t="s">
        <v>2155</v>
      </c>
      <c r="B39" s="334" t="s">
        <v>312</v>
      </c>
      <c r="C39" s="335" t="s">
        <v>223</v>
      </c>
      <c r="D39" s="336">
        <v>402.21</v>
      </c>
      <c r="E39" s="336">
        <f>估驗單!F35</f>
        <v>402.21</v>
      </c>
      <c r="F39" s="390">
        <f t="shared" si="4"/>
        <v>0</v>
      </c>
      <c r="G39" s="336">
        <v>346.06</v>
      </c>
      <c r="H39" s="336"/>
      <c r="I39" s="336">
        <f t="shared" si="5"/>
        <v>139188.79</v>
      </c>
      <c r="J39" s="336">
        <f t="shared" si="6"/>
        <v>139188.79</v>
      </c>
      <c r="K39" s="546">
        <f t="shared" si="2"/>
        <v>0</v>
      </c>
      <c r="L39" s="502"/>
      <c r="M39" s="231" t="s">
        <v>242</v>
      </c>
      <c r="N39" s="11" t="s">
        <v>243</v>
      </c>
      <c r="O39" s="341"/>
      <c r="P39" s="339"/>
    </row>
    <row r="40" spans="1:19" ht="33" hidden="1">
      <c r="A40" s="333" t="s">
        <v>2156</v>
      </c>
      <c r="B40" s="334" t="s">
        <v>2730</v>
      </c>
      <c r="C40" s="335" t="s">
        <v>17</v>
      </c>
      <c r="D40" s="336">
        <v>18865.759999999998</v>
      </c>
      <c r="E40" s="336">
        <f>估驗單!F36</f>
        <v>18865.759999999998</v>
      </c>
      <c r="F40" s="390">
        <f t="shared" si="4"/>
        <v>0</v>
      </c>
      <c r="G40" s="336">
        <v>36.4</v>
      </c>
      <c r="H40" s="336"/>
      <c r="I40" s="336">
        <f t="shared" si="5"/>
        <v>686713.66</v>
      </c>
      <c r="J40" s="336">
        <f t="shared" si="6"/>
        <v>686713.66</v>
      </c>
      <c r="K40" s="546">
        <f t="shared" si="2"/>
        <v>0</v>
      </c>
      <c r="L40" s="502"/>
      <c r="M40" s="231"/>
      <c r="N40" s="11" t="s">
        <v>243</v>
      </c>
      <c r="O40" s="341"/>
      <c r="P40" s="339"/>
    </row>
    <row r="41" spans="1:19" ht="33" hidden="1">
      <c r="A41" s="333" t="s">
        <v>2157</v>
      </c>
      <c r="B41" s="334" t="s">
        <v>315</v>
      </c>
      <c r="C41" s="335" t="s">
        <v>6</v>
      </c>
      <c r="D41" s="336">
        <v>107.91</v>
      </c>
      <c r="E41" s="336">
        <f>估驗單!F37</f>
        <v>107.91</v>
      </c>
      <c r="F41" s="390">
        <f t="shared" si="4"/>
        <v>0</v>
      </c>
      <c r="G41" s="336">
        <v>3114.97</v>
      </c>
      <c r="H41" s="336"/>
      <c r="I41" s="336">
        <f t="shared" si="5"/>
        <v>336136.41</v>
      </c>
      <c r="J41" s="336">
        <f t="shared" si="6"/>
        <v>336136.41</v>
      </c>
      <c r="K41" s="546">
        <f t="shared" si="2"/>
        <v>0</v>
      </c>
      <c r="L41" s="502"/>
      <c r="M41" s="231" t="s">
        <v>242</v>
      </c>
      <c r="N41" s="11" t="s">
        <v>243</v>
      </c>
      <c r="O41" s="341"/>
      <c r="P41" s="339"/>
    </row>
    <row r="42" spans="1:19" ht="33" hidden="1">
      <c r="A42" s="333" t="s">
        <v>2158</v>
      </c>
      <c r="B42" s="334" t="s">
        <v>24</v>
      </c>
      <c r="C42" s="335" t="s">
        <v>6</v>
      </c>
      <c r="D42" s="336">
        <v>564.01</v>
      </c>
      <c r="E42" s="336">
        <f>估驗單!F38</f>
        <v>564.01</v>
      </c>
      <c r="F42" s="390">
        <f t="shared" si="4"/>
        <v>0</v>
      </c>
      <c r="G42" s="336">
        <v>3320.96</v>
      </c>
      <c r="H42" s="336"/>
      <c r="I42" s="336">
        <f t="shared" si="5"/>
        <v>1873054.65</v>
      </c>
      <c r="J42" s="336">
        <f t="shared" si="6"/>
        <v>1873054.65</v>
      </c>
      <c r="K42" s="546">
        <f t="shared" si="2"/>
        <v>0</v>
      </c>
      <c r="L42" s="502"/>
      <c r="M42" s="231" t="s">
        <v>242</v>
      </c>
      <c r="N42" s="11" t="s">
        <v>243</v>
      </c>
      <c r="O42" s="341"/>
      <c r="P42" s="339"/>
    </row>
    <row r="43" spans="1:19" ht="33" hidden="1">
      <c r="A43" s="333" t="s">
        <v>2159</v>
      </c>
      <c r="B43" s="334" t="s">
        <v>193</v>
      </c>
      <c r="C43" s="335" t="s">
        <v>13</v>
      </c>
      <c r="D43" s="336">
        <v>1926.87</v>
      </c>
      <c r="E43" s="336">
        <f>估驗單!F39</f>
        <v>1926.87</v>
      </c>
      <c r="F43" s="390">
        <f t="shared" si="4"/>
        <v>0</v>
      </c>
      <c r="G43" s="336">
        <v>533.61</v>
      </c>
      <c r="H43" s="336"/>
      <c r="I43" s="336">
        <f t="shared" si="5"/>
        <v>1028197.1</v>
      </c>
      <c r="J43" s="336">
        <f t="shared" si="6"/>
        <v>1028197.1</v>
      </c>
      <c r="K43" s="546">
        <f t="shared" si="2"/>
        <v>0</v>
      </c>
      <c r="L43" s="502"/>
      <c r="M43" s="231"/>
      <c r="N43" s="11" t="s">
        <v>243</v>
      </c>
      <c r="O43" s="341"/>
      <c r="P43" s="339"/>
    </row>
    <row r="44" spans="1:19" ht="33" hidden="1">
      <c r="A44" s="333" t="s">
        <v>2160</v>
      </c>
      <c r="B44" s="334" t="s">
        <v>319</v>
      </c>
      <c r="C44" s="335" t="s">
        <v>13</v>
      </c>
      <c r="D44" s="336">
        <v>301.33</v>
      </c>
      <c r="E44" s="336">
        <f>估驗單!F40</f>
        <v>301.33</v>
      </c>
      <c r="F44" s="390">
        <f t="shared" si="4"/>
        <v>0</v>
      </c>
      <c r="G44" s="336">
        <v>1299.82</v>
      </c>
      <c r="H44" s="336"/>
      <c r="I44" s="336">
        <f t="shared" si="5"/>
        <v>391674.76</v>
      </c>
      <c r="J44" s="336">
        <f t="shared" si="6"/>
        <v>391674.76</v>
      </c>
      <c r="K44" s="546">
        <f t="shared" si="2"/>
        <v>0</v>
      </c>
      <c r="L44" s="502"/>
      <c r="M44" s="231"/>
      <c r="N44" s="11" t="s">
        <v>243</v>
      </c>
      <c r="O44" s="341"/>
      <c r="P44" s="339"/>
    </row>
    <row r="45" spans="1:19" ht="67.5" hidden="1">
      <c r="A45" s="333" t="s">
        <v>2161</v>
      </c>
      <c r="B45" s="632" t="s">
        <v>321</v>
      </c>
      <c r="C45" s="335" t="s">
        <v>17</v>
      </c>
      <c r="D45" s="336">
        <v>5991.34</v>
      </c>
      <c r="E45" s="336">
        <f>估驗單!F41</f>
        <v>5991.34</v>
      </c>
      <c r="F45" s="390">
        <f t="shared" si="4"/>
        <v>0</v>
      </c>
      <c r="G45" s="336">
        <v>60</v>
      </c>
      <c r="H45" s="336"/>
      <c r="I45" s="336">
        <f t="shared" si="5"/>
        <v>359480.4</v>
      </c>
      <c r="J45" s="336">
        <f t="shared" si="6"/>
        <v>359480.4</v>
      </c>
      <c r="K45" s="546">
        <f t="shared" si="2"/>
        <v>0</v>
      </c>
      <c r="L45" s="502"/>
      <c r="M45" s="231"/>
      <c r="N45" s="11" t="s">
        <v>243</v>
      </c>
      <c r="O45" s="341" t="s">
        <v>2995</v>
      </c>
      <c r="P45" s="339" t="s">
        <v>2881</v>
      </c>
      <c r="Q45" s="746" t="s">
        <v>2876</v>
      </c>
    </row>
    <row r="46" spans="1:19" ht="67.5" hidden="1">
      <c r="A46" s="333" t="s">
        <v>2162</v>
      </c>
      <c r="B46" s="632" t="s">
        <v>323</v>
      </c>
      <c r="C46" s="335" t="s">
        <v>17</v>
      </c>
      <c r="D46" s="336">
        <v>5991.34</v>
      </c>
      <c r="E46" s="336">
        <f>估驗單!F42</f>
        <v>5991.34</v>
      </c>
      <c r="F46" s="390">
        <f t="shared" si="4"/>
        <v>0</v>
      </c>
      <c r="G46" s="336">
        <v>31.9</v>
      </c>
      <c r="H46" s="336"/>
      <c r="I46" s="336">
        <f t="shared" si="5"/>
        <v>191123.75</v>
      </c>
      <c r="J46" s="336">
        <f t="shared" si="6"/>
        <v>191123.75</v>
      </c>
      <c r="K46" s="546">
        <f t="shared" si="2"/>
        <v>0</v>
      </c>
      <c r="L46" s="502"/>
      <c r="M46" s="231" t="s">
        <v>242</v>
      </c>
      <c r="N46" s="11" t="s">
        <v>243</v>
      </c>
      <c r="O46" s="341" t="s">
        <v>2995</v>
      </c>
      <c r="P46" s="339" t="s">
        <v>2881</v>
      </c>
      <c r="Q46" s="147" t="s">
        <v>2878</v>
      </c>
    </row>
    <row r="47" spans="1:19" ht="57" hidden="1">
      <c r="A47" s="333" t="s">
        <v>2163</v>
      </c>
      <c r="B47" s="334" t="s">
        <v>325</v>
      </c>
      <c r="C47" s="335" t="s">
        <v>17</v>
      </c>
      <c r="D47" s="336">
        <v>1180.03</v>
      </c>
      <c r="E47" s="336">
        <f>估驗單!F43</f>
        <v>1180.03</v>
      </c>
      <c r="F47" s="390">
        <f t="shared" si="4"/>
        <v>0</v>
      </c>
      <c r="G47" s="336">
        <v>107.3</v>
      </c>
      <c r="H47" s="336"/>
      <c r="I47" s="336">
        <f t="shared" si="5"/>
        <v>126617.22</v>
      </c>
      <c r="J47" s="336">
        <f t="shared" si="6"/>
        <v>126617.22</v>
      </c>
      <c r="K47" s="546">
        <f t="shared" si="2"/>
        <v>0</v>
      </c>
      <c r="L47" s="502"/>
      <c r="M47" s="231"/>
      <c r="N47" s="11" t="s">
        <v>243</v>
      </c>
      <c r="O47" s="341"/>
      <c r="P47" s="339"/>
    </row>
    <row r="48" spans="1:19" ht="33" hidden="1">
      <c r="A48" s="333" t="s">
        <v>2164</v>
      </c>
      <c r="B48" s="334" t="s">
        <v>327</v>
      </c>
      <c r="C48" s="335" t="s">
        <v>13</v>
      </c>
      <c r="D48" s="336">
        <v>3879.21</v>
      </c>
      <c r="E48" s="336">
        <f>估驗單!F44</f>
        <v>3879.21</v>
      </c>
      <c r="F48" s="390">
        <f t="shared" si="4"/>
        <v>0</v>
      </c>
      <c r="G48" s="336">
        <v>3092.69</v>
      </c>
      <c r="H48" s="336"/>
      <c r="I48" s="336">
        <f t="shared" si="5"/>
        <v>11997193.970000001</v>
      </c>
      <c r="J48" s="336">
        <f t="shared" si="6"/>
        <v>11997193.970000001</v>
      </c>
      <c r="K48" s="546">
        <f t="shared" si="2"/>
        <v>0</v>
      </c>
      <c r="L48" s="502"/>
      <c r="M48" s="231" t="s">
        <v>242</v>
      </c>
      <c r="N48" s="11" t="s">
        <v>243</v>
      </c>
      <c r="O48" s="341"/>
      <c r="P48" s="339"/>
    </row>
    <row r="49" spans="1:17" ht="33" hidden="1">
      <c r="A49" s="333" t="s">
        <v>2165</v>
      </c>
      <c r="B49" s="334" t="s">
        <v>329</v>
      </c>
      <c r="C49" s="335" t="s">
        <v>13</v>
      </c>
      <c r="D49" s="336">
        <v>462.9</v>
      </c>
      <c r="E49" s="336">
        <f>估驗單!F45</f>
        <v>462.9</v>
      </c>
      <c r="F49" s="390">
        <f t="shared" si="4"/>
        <v>0</v>
      </c>
      <c r="G49" s="336">
        <v>3961.37</v>
      </c>
      <c r="H49" s="336"/>
      <c r="I49" s="336">
        <f t="shared" si="5"/>
        <v>1833718.17</v>
      </c>
      <c r="J49" s="336">
        <f t="shared" si="6"/>
        <v>1833718.17</v>
      </c>
      <c r="K49" s="546">
        <f t="shared" si="2"/>
        <v>0</v>
      </c>
      <c r="L49" s="502"/>
      <c r="M49" s="231" t="s">
        <v>242</v>
      </c>
      <c r="N49" s="11" t="s">
        <v>243</v>
      </c>
      <c r="O49" s="341"/>
      <c r="P49" s="339"/>
    </row>
    <row r="50" spans="1:17" ht="33" hidden="1">
      <c r="A50" s="333" t="s">
        <v>2166</v>
      </c>
      <c r="B50" s="407" t="s">
        <v>331</v>
      </c>
      <c r="C50" s="335" t="s">
        <v>13</v>
      </c>
      <c r="D50" s="336">
        <v>5.09</v>
      </c>
      <c r="E50" s="336">
        <f>估驗單!F46</f>
        <v>5.09</v>
      </c>
      <c r="F50" s="390">
        <f t="shared" si="4"/>
        <v>0</v>
      </c>
      <c r="G50" s="336">
        <v>3965.59</v>
      </c>
      <c r="H50" s="336"/>
      <c r="I50" s="336">
        <f t="shared" si="5"/>
        <v>20184.849999999999</v>
      </c>
      <c r="J50" s="336">
        <f t="shared" si="6"/>
        <v>20184.849999999999</v>
      </c>
      <c r="K50" s="546">
        <f t="shared" si="2"/>
        <v>0</v>
      </c>
      <c r="L50" s="502"/>
      <c r="M50" s="231" t="s">
        <v>242</v>
      </c>
      <c r="N50" s="11" t="s">
        <v>243</v>
      </c>
      <c r="O50" s="474" t="s">
        <v>2892</v>
      </c>
      <c r="P50" s="339" t="s">
        <v>2880</v>
      </c>
      <c r="Q50" s="147" t="s">
        <v>2879</v>
      </c>
    </row>
    <row r="51" spans="1:17" ht="33" hidden="1">
      <c r="A51" s="333" t="s">
        <v>2167</v>
      </c>
      <c r="B51" s="334" t="s">
        <v>333</v>
      </c>
      <c r="C51" s="335" t="s">
        <v>13</v>
      </c>
      <c r="D51" s="336">
        <v>18.760000000000002</v>
      </c>
      <c r="E51" s="336">
        <f>估驗單!F47</f>
        <v>18.760000000000002</v>
      </c>
      <c r="F51" s="390">
        <f t="shared" si="4"/>
        <v>0</v>
      </c>
      <c r="G51" s="336">
        <v>3391.22</v>
      </c>
      <c r="H51" s="336"/>
      <c r="I51" s="336">
        <f t="shared" si="5"/>
        <v>63619.29</v>
      </c>
      <c r="J51" s="336">
        <f t="shared" si="6"/>
        <v>63619.29</v>
      </c>
      <c r="K51" s="546">
        <f t="shared" si="2"/>
        <v>0</v>
      </c>
      <c r="L51" s="502"/>
      <c r="M51" s="231" t="s">
        <v>242</v>
      </c>
      <c r="N51" s="11" t="s">
        <v>243</v>
      </c>
      <c r="O51" s="341"/>
      <c r="P51" s="339"/>
    </row>
    <row r="52" spans="1:17" ht="33" hidden="1">
      <c r="A52" s="333" t="s">
        <v>2168</v>
      </c>
      <c r="B52" s="334" t="s">
        <v>335</v>
      </c>
      <c r="C52" s="335" t="s">
        <v>13</v>
      </c>
      <c r="D52" s="336">
        <v>118.92</v>
      </c>
      <c r="E52" s="336">
        <f>估驗單!F48</f>
        <v>118.92</v>
      </c>
      <c r="F52" s="390">
        <f t="shared" si="4"/>
        <v>0</v>
      </c>
      <c r="G52" s="336">
        <v>773.85</v>
      </c>
      <c r="H52" s="336"/>
      <c r="I52" s="336">
        <f t="shared" si="5"/>
        <v>92026.240000000005</v>
      </c>
      <c r="J52" s="336">
        <f t="shared" si="6"/>
        <v>92026.240000000005</v>
      </c>
      <c r="K52" s="546">
        <f t="shared" si="2"/>
        <v>0</v>
      </c>
      <c r="L52" s="502"/>
      <c r="M52" s="231" t="s">
        <v>242</v>
      </c>
      <c r="N52" s="11" t="s">
        <v>243</v>
      </c>
      <c r="O52" s="341"/>
      <c r="P52" s="339"/>
    </row>
    <row r="53" spans="1:17" ht="33" hidden="1">
      <c r="A53" s="333" t="s">
        <v>2169</v>
      </c>
      <c r="B53" s="334" t="s">
        <v>337</v>
      </c>
      <c r="C53" s="335" t="s">
        <v>13</v>
      </c>
      <c r="D53" s="336">
        <v>173.3</v>
      </c>
      <c r="E53" s="336">
        <f>估驗單!F49</f>
        <v>173.3</v>
      </c>
      <c r="F53" s="390">
        <f t="shared" si="4"/>
        <v>0</v>
      </c>
      <c r="G53" s="336">
        <v>948.34</v>
      </c>
      <c r="H53" s="336"/>
      <c r="I53" s="336">
        <f t="shared" si="5"/>
        <v>164347.32</v>
      </c>
      <c r="J53" s="336">
        <f t="shared" si="6"/>
        <v>164347.32</v>
      </c>
      <c r="K53" s="546">
        <f t="shared" si="2"/>
        <v>0</v>
      </c>
      <c r="L53" s="502"/>
      <c r="M53" s="231" t="s">
        <v>242</v>
      </c>
      <c r="N53" s="11" t="s">
        <v>243</v>
      </c>
      <c r="O53" s="341"/>
      <c r="P53" s="339"/>
    </row>
    <row r="54" spans="1:17" ht="33" hidden="1">
      <c r="A54" s="333" t="s">
        <v>2170</v>
      </c>
      <c r="B54" s="334" t="s">
        <v>339</v>
      </c>
      <c r="C54" s="335" t="s">
        <v>0</v>
      </c>
      <c r="D54" s="336">
        <v>1</v>
      </c>
      <c r="E54" s="336">
        <f>估驗單!F50</f>
        <v>1</v>
      </c>
      <c r="F54" s="390">
        <f t="shared" si="4"/>
        <v>0</v>
      </c>
      <c r="G54" s="336">
        <v>144378.63</v>
      </c>
      <c r="H54" s="336"/>
      <c r="I54" s="336">
        <f t="shared" si="5"/>
        <v>144378.63</v>
      </c>
      <c r="J54" s="336">
        <f t="shared" si="6"/>
        <v>144378.63</v>
      </c>
      <c r="K54" s="546">
        <f t="shared" si="2"/>
        <v>0</v>
      </c>
      <c r="L54" s="502"/>
      <c r="M54" s="231" t="s">
        <v>242</v>
      </c>
      <c r="N54" s="11" t="s">
        <v>243</v>
      </c>
      <c r="O54" s="341"/>
      <c r="P54" s="339"/>
    </row>
    <row r="55" spans="1:17" ht="33" hidden="1">
      <c r="A55" s="333" t="s">
        <v>2171</v>
      </c>
      <c r="B55" s="334" t="s">
        <v>341</v>
      </c>
      <c r="C55" s="335" t="s">
        <v>223</v>
      </c>
      <c r="D55" s="336">
        <v>156.68</v>
      </c>
      <c r="E55" s="336">
        <f>估驗單!F51</f>
        <v>156.68</v>
      </c>
      <c r="F55" s="390">
        <f t="shared" si="4"/>
        <v>0</v>
      </c>
      <c r="G55" s="336">
        <v>145.21</v>
      </c>
      <c r="H55" s="336"/>
      <c r="I55" s="336">
        <f t="shared" si="5"/>
        <v>22751.5</v>
      </c>
      <c r="J55" s="336">
        <f t="shared" si="6"/>
        <v>22751.5</v>
      </c>
      <c r="K55" s="546">
        <f t="shared" si="2"/>
        <v>0</v>
      </c>
      <c r="L55" s="502"/>
      <c r="M55" s="231" t="s">
        <v>242</v>
      </c>
      <c r="N55" s="11" t="s">
        <v>243</v>
      </c>
      <c r="O55" s="341"/>
      <c r="P55" s="339"/>
    </row>
    <row r="56" spans="1:17" ht="33" hidden="1">
      <c r="A56" s="333" t="s">
        <v>2172</v>
      </c>
      <c r="B56" s="334" t="s">
        <v>343</v>
      </c>
      <c r="C56" s="335" t="s">
        <v>8</v>
      </c>
      <c r="D56" s="336">
        <v>689.86</v>
      </c>
      <c r="E56" s="336">
        <f>估驗單!F52</f>
        <v>689.86</v>
      </c>
      <c r="F56" s="390">
        <f t="shared" si="4"/>
        <v>0</v>
      </c>
      <c r="G56" s="336">
        <v>2755.78</v>
      </c>
      <c r="H56" s="336"/>
      <c r="I56" s="336">
        <f t="shared" si="5"/>
        <v>1901102.39</v>
      </c>
      <c r="J56" s="336">
        <f t="shared" si="6"/>
        <v>1901102.39</v>
      </c>
      <c r="K56" s="546">
        <f t="shared" si="2"/>
        <v>0</v>
      </c>
      <c r="L56" s="502"/>
      <c r="M56" s="231"/>
      <c r="N56" s="11" t="s">
        <v>243</v>
      </c>
      <c r="O56" s="341"/>
      <c r="P56" s="339"/>
    </row>
    <row r="57" spans="1:17" ht="33" hidden="1">
      <c r="A57" s="333" t="s">
        <v>2173</v>
      </c>
      <c r="B57" s="334" t="s">
        <v>345</v>
      </c>
      <c r="C57" s="335" t="s">
        <v>8</v>
      </c>
      <c r="D57" s="336">
        <v>12.91</v>
      </c>
      <c r="E57" s="336">
        <f>估驗單!F53</f>
        <v>12.91</v>
      </c>
      <c r="F57" s="390">
        <f t="shared" si="4"/>
        <v>0</v>
      </c>
      <c r="G57" s="336">
        <v>576.77</v>
      </c>
      <c r="H57" s="336"/>
      <c r="I57" s="336">
        <f t="shared" si="5"/>
        <v>7446.1</v>
      </c>
      <c r="J57" s="336">
        <f t="shared" si="6"/>
        <v>7446.1</v>
      </c>
      <c r="K57" s="546">
        <f t="shared" si="2"/>
        <v>0</v>
      </c>
      <c r="L57" s="502"/>
      <c r="M57" s="231"/>
      <c r="N57" s="11" t="s">
        <v>243</v>
      </c>
      <c r="O57" s="341"/>
      <c r="P57" s="339"/>
    </row>
    <row r="58" spans="1:17" ht="33" hidden="1">
      <c r="A58" s="333" t="s">
        <v>2174</v>
      </c>
      <c r="B58" s="334" t="s">
        <v>347</v>
      </c>
      <c r="C58" s="335" t="s">
        <v>8</v>
      </c>
      <c r="D58" s="336">
        <v>56.09</v>
      </c>
      <c r="E58" s="336">
        <f>估驗單!F54</f>
        <v>56.09</v>
      </c>
      <c r="F58" s="390">
        <f t="shared" si="4"/>
        <v>0</v>
      </c>
      <c r="G58" s="336">
        <v>615.30999999999995</v>
      </c>
      <c r="H58" s="336"/>
      <c r="I58" s="336">
        <f t="shared" si="5"/>
        <v>34512.74</v>
      </c>
      <c r="J58" s="336">
        <f t="shared" si="6"/>
        <v>34512.74</v>
      </c>
      <c r="K58" s="546">
        <f t="shared" si="2"/>
        <v>0</v>
      </c>
      <c r="L58" s="502"/>
      <c r="M58" s="231"/>
      <c r="N58" s="11" t="s">
        <v>243</v>
      </c>
      <c r="O58" s="341"/>
      <c r="P58" s="339"/>
    </row>
    <row r="59" spans="1:17" ht="33" hidden="1">
      <c r="A59" s="333" t="s">
        <v>2175</v>
      </c>
      <c r="B59" s="334" t="s">
        <v>349</v>
      </c>
      <c r="C59" s="335" t="s">
        <v>8</v>
      </c>
      <c r="D59" s="336">
        <v>656.91</v>
      </c>
      <c r="E59" s="336">
        <f>估驗單!F55</f>
        <v>656.91</v>
      </c>
      <c r="F59" s="390">
        <f t="shared" si="4"/>
        <v>0</v>
      </c>
      <c r="G59" s="336">
        <v>685.27</v>
      </c>
      <c r="H59" s="336"/>
      <c r="I59" s="336">
        <f t="shared" si="5"/>
        <v>450160.72</v>
      </c>
      <c r="J59" s="336">
        <f t="shared" si="6"/>
        <v>450160.72</v>
      </c>
      <c r="K59" s="546">
        <f t="shared" si="2"/>
        <v>0</v>
      </c>
      <c r="L59" s="502"/>
      <c r="M59" s="231"/>
      <c r="N59" s="11" t="s">
        <v>243</v>
      </c>
      <c r="O59" s="341"/>
      <c r="P59" s="339"/>
    </row>
    <row r="60" spans="1:17" ht="33" hidden="1">
      <c r="A60" s="333" t="s">
        <v>2177</v>
      </c>
      <c r="B60" s="334" t="s">
        <v>351</v>
      </c>
      <c r="C60" s="335" t="s">
        <v>8</v>
      </c>
      <c r="D60" s="336">
        <v>1254.1300000000001</v>
      </c>
      <c r="E60" s="336">
        <f>估驗單!F56</f>
        <v>1254.1300000000001</v>
      </c>
      <c r="F60" s="390">
        <f t="shared" si="4"/>
        <v>0</v>
      </c>
      <c r="G60" s="336">
        <v>699.69</v>
      </c>
      <c r="H60" s="336"/>
      <c r="I60" s="336">
        <f t="shared" si="5"/>
        <v>877502.22</v>
      </c>
      <c r="J60" s="336">
        <f t="shared" si="6"/>
        <v>877502.22</v>
      </c>
      <c r="K60" s="546">
        <f t="shared" si="2"/>
        <v>0</v>
      </c>
      <c r="L60" s="502"/>
      <c r="M60" s="231"/>
      <c r="N60" s="11" t="s">
        <v>243</v>
      </c>
      <c r="O60" s="341"/>
      <c r="P60" s="339"/>
    </row>
    <row r="61" spans="1:17" ht="33" hidden="1">
      <c r="A61" s="333" t="s">
        <v>2178</v>
      </c>
      <c r="B61" s="334" t="s">
        <v>353</v>
      </c>
      <c r="C61" s="335" t="s">
        <v>8</v>
      </c>
      <c r="D61" s="336">
        <v>44.64</v>
      </c>
      <c r="E61" s="336">
        <f>估驗單!F57</f>
        <v>44.64</v>
      </c>
      <c r="F61" s="390">
        <f t="shared" si="4"/>
        <v>0</v>
      </c>
      <c r="G61" s="336">
        <v>1199.27</v>
      </c>
      <c r="H61" s="336"/>
      <c r="I61" s="336">
        <f t="shared" si="5"/>
        <v>53535.41</v>
      </c>
      <c r="J61" s="336">
        <f t="shared" si="6"/>
        <v>53535.41</v>
      </c>
      <c r="K61" s="546">
        <f t="shared" si="2"/>
        <v>0</v>
      </c>
      <c r="L61" s="502"/>
      <c r="M61" s="231"/>
      <c r="N61" s="11" t="s">
        <v>243</v>
      </c>
      <c r="O61" s="341"/>
      <c r="P61" s="339"/>
    </row>
    <row r="62" spans="1:17" ht="33" hidden="1">
      <c r="A62" s="333" t="s">
        <v>2179</v>
      </c>
      <c r="B62" s="334" t="s">
        <v>355</v>
      </c>
      <c r="C62" s="335" t="s">
        <v>8</v>
      </c>
      <c r="D62" s="336">
        <v>142.26</v>
      </c>
      <c r="E62" s="336">
        <f>估驗單!F58</f>
        <v>142.26</v>
      </c>
      <c r="F62" s="390">
        <f t="shared" si="4"/>
        <v>0</v>
      </c>
      <c r="G62" s="336">
        <v>57.68</v>
      </c>
      <c r="H62" s="336"/>
      <c r="I62" s="336">
        <f t="shared" si="5"/>
        <v>8205.56</v>
      </c>
      <c r="J62" s="336">
        <f t="shared" si="6"/>
        <v>8205.56</v>
      </c>
      <c r="K62" s="546">
        <f t="shared" si="2"/>
        <v>0</v>
      </c>
      <c r="L62" s="502"/>
      <c r="M62" s="231"/>
      <c r="N62" s="11" t="s">
        <v>243</v>
      </c>
      <c r="O62" s="341"/>
      <c r="P62" s="339"/>
    </row>
    <row r="63" spans="1:17" ht="33" hidden="1">
      <c r="A63" s="333" t="s">
        <v>2181</v>
      </c>
      <c r="B63" s="334" t="s">
        <v>357</v>
      </c>
      <c r="C63" s="335" t="s">
        <v>8</v>
      </c>
      <c r="D63" s="336">
        <v>8.5</v>
      </c>
      <c r="E63" s="336">
        <f>估驗單!F59</f>
        <v>8.5</v>
      </c>
      <c r="F63" s="390">
        <f t="shared" si="4"/>
        <v>0</v>
      </c>
      <c r="G63" s="336">
        <v>138.84</v>
      </c>
      <c r="H63" s="336"/>
      <c r="I63" s="336">
        <f t="shared" si="5"/>
        <v>1180.1400000000001</v>
      </c>
      <c r="J63" s="336">
        <f t="shared" si="6"/>
        <v>1180.1400000000001</v>
      </c>
      <c r="K63" s="546">
        <f t="shared" si="2"/>
        <v>0</v>
      </c>
      <c r="L63" s="502"/>
      <c r="M63" s="231" t="s">
        <v>242</v>
      </c>
      <c r="N63" s="11" t="s">
        <v>243</v>
      </c>
      <c r="O63" s="341"/>
      <c r="P63" s="339"/>
    </row>
    <row r="64" spans="1:17" ht="33" hidden="1">
      <c r="A64" s="333" t="s">
        <v>2182</v>
      </c>
      <c r="B64" s="334" t="s">
        <v>359</v>
      </c>
      <c r="C64" s="335" t="s">
        <v>13</v>
      </c>
      <c r="D64" s="336">
        <v>20.48</v>
      </c>
      <c r="E64" s="336">
        <f>估驗單!F60</f>
        <v>20.48</v>
      </c>
      <c r="F64" s="390">
        <f t="shared" si="4"/>
        <v>0</v>
      </c>
      <c r="G64" s="336">
        <v>2145.31</v>
      </c>
      <c r="H64" s="336"/>
      <c r="I64" s="336">
        <f t="shared" si="5"/>
        <v>43935.95</v>
      </c>
      <c r="J64" s="336">
        <f t="shared" si="6"/>
        <v>43935.95</v>
      </c>
      <c r="K64" s="546">
        <f t="shared" si="2"/>
        <v>0</v>
      </c>
      <c r="L64" s="502"/>
      <c r="M64" s="231"/>
      <c r="N64" s="11" t="s">
        <v>243</v>
      </c>
      <c r="O64" s="341"/>
      <c r="P64" s="339"/>
    </row>
    <row r="65" spans="1:17" ht="33" hidden="1">
      <c r="A65" s="333" t="s">
        <v>2183</v>
      </c>
      <c r="B65" s="334" t="s">
        <v>361</v>
      </c>
      <c r="C65" s="335" t="s">
        <v>8</v>
      </c>
      <c r="D65" s="336">
        <v>56.1</v>
      </c>
      <c r="E65" s="336">
        <f>估驗單!F61</f>
        <v>56.1</v>
      </c>
      <c r="F65" s="390">
        <f t="shared" si="4"/>
        <v>0</v>
      </c>
      <c r="G65" s="336">
        <v>511.36</v>
      </c>
      <c r="H65" s="336"/>
      <c r="I65" s="336">
        <f t="shared" si="5"/>
        <v>28687.3</v>
      </c>
      <c r="J65" s="336">
        <f t="shared" si="6"/>
        <v>28687.3</v>
      </c>
      <c r="K65" s="546">
        <f t="shared" si="2"/>
        <v>0</v>
      </c>
      <c r="L65" s="502"/>
      <c r="M65" s="231" t="s">
        <v>242</v>
      </c>
      <c r="N65" s="11" t="s">
        <v>243</v>
      </c>
      <c r="O65" s="341"/>
      <c r="P65" s="339"/>
    </row>
    <row r="66" spans="1:17" ht="33" hidden="1">
      <c r="A66" s="333" t="s">
        <v>2184</v>
      </c>
      <c r="B66" s="334" t="s">
        <v>363</v>
      </c>
      <c r="C66" s="335" t="s">
        <v>8</v>
      </c>
      <c r="D66" s="336">
        <v>16.600000000000001</v>
      </c>
      <c r="E66" s="336">
        <f>估驗單!F62</f>
        <v>16.600000000000001</v>
      </c>
      <c r="F66" s="390">
        <f t="shared" si="4"/>
        <v>0</v>
      </c>
      <c r="G66" s="336">
        <v>829.1</v>
      </c>
      <c r="H66" s="336"/>
      <c r="I66" s="336">
        <f t="shared" si="5"/>
        <v>13763.06</v>
      </c>
      <c r="J66" s="336">
        <f t="shared" si="6"/>
        <v>13763.06</v>
      </c>
      <c r="K66" s="546">
        <f t="shared" si="2"/>
        <v>0</v>
      </c>
      <c r="L66" s="502"/>
      <c r="M66" s="231" t="s">
        <v>242</v>
      </c>
      <c r="N66" s="11" t="s">
        <v>243</v>
      </c>
      <c r="O66" s="341"/>
      <c r="P66" s="339"/>
    </row>
    <row r="67" spans="1:17" ht="33" hidden="1">
      <c r="A67" s="333" t="s">
        <v>2185</v>
      </c>
      <c r="B67" s="334" t="s">
        <v>365</v>
      </c>
      <c r="C67" s="335" t="s">
        <v>8</v>
      </c>
      <c r="D67" s="336">
        <v>2</v>
      </c>
      <c r="E67" s="336">
        <f>估驗單!F63</f>
        <v>2</v>
      </c>
      <c r="F67" s="390">
        <f t="shared" si="4"/>
        <v>0</v>
      </c>
      <c r="G67" s="336">
        <v>443.91</v>
      </c>
      <c r="H67" s="336"/>
      <c r="I67" s="336">
        <f t="shared" si="5"/>
        <v>887.82</v>
      </c>
      <c r="J67" s="336">
        <f t="shared" si="6"/>
        <v>887.82</v>
      </c>
      <c r="K67" s="546">
        <f t="shared" si="2"/>
        <v>0</v>
      </c>
      <c r="L67" s="502"/>
      <c r="M67" s="231" t="s">
        <v>242</v>
      </c>
      <c r="N67" s="11" t="s">
        <v>243</v>
      </c>
      <c r="O67" s="341"/>
      <c r="P67" s="339"/>
    </row>
    <row r="68" spans="1:17" ht="33" hidden="1">
      <c r="A68" s="333" t="s">
        <v>2186</v>
      </c>
      <c r="B68" s="334" t="s">
        <v>367</v>
      </c>
      <c r="C68" s="335" t="s">
        <v>0</v>
      </c>
      <c r="D68" s="336">
        <v>7</v>
      </c>
      <c r="E68" s="336">
        <f>估驗單!F64</f>
        <v>7</v>
      </c>
      <c r="F68" s="390">
        <f t="shared" si="4"/>
        <v>0</v>
      </c>
      <c r="G68" s="336">
        <v>26450.3</v>
      </c>
      <c r="H68" s="336"/>
      <c r="I68" s="336">
        <f t="shared" si="5"/>
        <v>185152.1</v>
      </c>
      <c r="J68" s="336">
        <f t="shared" si="6"/>
        <v>185152.1</v>
      </c>
      <c r="K68" s="546">
        <f t="shared" si="2"/>
        <v>0</v>
      </c>
      <c r="L68" s="502"/>
      <c r="M68" s="231" t="s">
        <v>242</v>
      </c>
      <c r="N68" s="11" t="s">
        <v>243</v>
      </c>
      <c r="O68" s="341"/>
      <c r="P68" s="339"/>
    </row>
    <row r="69" spans="1:17" ht="33" hidden="1">
      <c r="A69" s="333" t="s">
        <v>2187</v>
      </c>
      <c r="B69" s="334" t="s">
        <v>369</v>
      </c>
      <c r="C69" s="335" t="s">
        <v>8</v>
      </c>
      <c r="D69" s="336">
        <v>19.2</v>
      </c>
      <c r="E69" s="336">
        <f>估驗單!F65</f>
        <v>19.2</v>
      </c>
      <c r="F69" s="390">
        <f t="shared" si="4"/>
        <v>0</v>
      </c>
      <c r="G69" s="336">
        <v>443.91</v>
      </c>
      <c r="H69" s="336"/>
      <c r="I69" s="336">
        <f t="shared" si="5"/>
        <v>8523.07</v>
      </c>
      <c r="J69" s="336">
        <f t="shared" si="6"/>
        <v>8523.07</v>
      </c>
      <c r="K69" s="546">
        <f t="shared" si="2"/>
        <v>0</v>
      </c>
      <c r="L69" s="502"/>
      <c r="M69" s="231"/>
      <c r="N69" s="11" t="s">
        <v>243</v>
      </c>
      <c r="O69" s="341"/>
      <c r="P69" s="339"/>
    </row>
    <row r="70" spans="1:17" ht="33" hidden="1">
      <c r="A70" s="333" t="s">
        <v>2188</v>
      </c>
      <c r="B70" s="334" t="s">
        <v>372</v>
      </c>
      <c r="C70" s="335" t="s">
        <v>0</v>
      </c>
      <c r="D70" s="336">
        <v>2</v>
      </c>
      <c r="E70" s="336">
        <f>估驗單!F66</f>
        <v>2</v>
      </c>
      <c r="F70" s="390">
        <f t="shared" si="4"/>
        <v>0</v>
      </c>
      <c r="G70" s="336">
        <v>23899.56</v>
      </c>
      <c r="H70" s="336"/>
      <c r="I70" s="336">
        <f t="shared" si="5"/>
        <v>47799.12</v>
      </c>
      <c r="J70" s="336">
        <f t="shared" si="6"/>
        <v>47799.12</v>
      </c>
      <c r="K70" s="546">
        <f t="shared" si="2"/>
        <v>0</v>
      </c>
      <c r="L70" s="502"/>
      <c r="M70" s="231" t="s">
        <v>242</v>
      </c>
      <c r="N70" s="11" t="s">
        <v>243</v>
      </c>
      <c r="O70" s="341"/>
      <c r="P70" s="339"/>
    </row>
    <row r="71" spans="1:17" ht="33" hidden="1">
      <c r="A71" s="333" t="s">
        <v>2189</v>
      </c>
      <c r="B71" s="334" t="s">
        <v>374</v>
      </c>
      <c r="C71" s="335" t="s">
        <v>0</v>
      </c>
      <c r="D71" s="336">
        <v>8</v>
      </c>
      <c r="E71" s="336">
        <f>估驗單!F67</f>
        <v>8</v>
      </c>
      <c r="F71" s="390">
        <f t="shared" si="4"/>
        <v>0</v>
      </c>
      <c r="G71" s="336">
        <v>25125.57</v>
      </c>
      <c r="H71" s="336"/>
      <c r="I71" s="336">
        <f t="shared" si="5"/>
        <v>201004.56</v>
      </c>
      <c r="J71" s="336">
        <f t="shared" si="6"/>
        <v>201004.56</v>
      </c>
      <c r="K71" s="546">
        <f t="shared" si="2"/>
        <v>0</v>
      </c>
      <c r="L71" s="502"/>
      <c r="M71" s="231"/>
      <c r="N71" s="11" t="s">
        <v>243</v>
      </c>
      <c r="O71" s="341"/>
      <c r="P71" s="339"/>
    </row>
    <row r="72" spans="1:17" ht="33" hidden="1">
      <c r="A72" s="333" t="s">
        <v>2190</v>
      </c>
      <c r="B72" s="334" t="s">
        <v>376</v>
      </c>
      <c r="C72" s="335" t="s">
        <v>0</v>
      </c>
      <c r="D72" s="336">
        <v>3</v>
      </c>
      <c r="E72" s="336">
        <f>估驗單!F68</f>
        <v>3</v>
      </c>
      <c r="F72" s="390">
        <f t="shared" si="4"/>
        <v>0</v>
      </c>
      <c r="G72" s="336">
        <v>24022.04</v>
      </c>
      <c r="H72" s="336"/>
      <c r="I72" s="336">
        <f t="shared" si="5"/>
        <v>72066.12</v>
      </c>
      <c r="J72" s="336">
        <f t="shared" si="6"/>
        <v>72066.12</v>
      </c>
      <c r="K72" s="546">
        <f t="shared" si="2"/>
        <v>0</v>
      </c>
      <c r="L72" s="502"/>
      <c r="M72" s="231"/>
      <c r="N72" s="11" t="s">
        <v>243</v>
      </c>
      <c r="O72" s="341"/>
      <c r="P72" s="339"/>
    </row>
    <row r="73" spans="1:17" ht="33" hidden="1">
      <c r="A73" s="333" t="s">
        <v>2191</v>
      </c>
      <c r="B73" s="334" t="s">
        <v>378</v>
      </c>
      <c r="C73" s="335" t="s">
        <v>8</v>
      </c>
      <c r="D73" s="336">
        <v>30.1</v>
      </c>
      <c r="E73" s="336">
        <f>估驗單!F69</f>
        <v>30.1</v>
      </c>
      <c r="F73" s="390">
        <f t="shared" si="4"/>
        <v>0</v>
      </c>
      <c r="G73" s="336">
        <v>545.1</v>
      </c>
      <c r="H73" s="336"/>
      <c r="I73" s="336">
        <f t="shared" si="5"/>
        <v>16407.509999999998</v>
      </c>
      <c r="J73" s="336">
        <f t="shared" si="6"/>
        <v>16407.509999999998</v>
      </c>
      <c r="K73" s="546">
        <f t="shared" si="2"/>
        <v>0</v>
      </c>
      <c r="L73" s="502"/>
      <c r="M73" s="231"/>
      <c r="N73" s="11" t="s">
        <v>243</v>
      </c>
      <c r="O73" s="341"/>
      <c r="P73" s="339"/>
    </row>
    <row r="74" spans="1:17" ht="40.5" hidden="1">
      <c r="A74" s="503" t="s">
        <v>2192</v>
      </c>
      <c r="B74" s="504" t="s">
        <v>380</v>
      </c>
      <c r="C74" s="505" t="s">
        <v>8</v>
      </c>
      <c r="D74" s="506">
        <v>31.2</v>
      </c>
      <c r="E74" s="506">
        <f>估驗單!F70</f>
        <v>35.200000000000003</v>
      </c>
      <c r="F74" s="507">
        <f t="shared" si="4"/>
        <v>4.0000000000000036</v>
      </c>
      <c r="G74" s="506">
        <v>8355.11</v>
      </c>
      <c r="H74" s="506"/>
      <c r="I74" s="506">
        <f t="shared" si="5"/>
        <v>260679.43</v>
      </c>
      <c r="J74" s="506">
        <f t="shared" si="6"/>
        <v>294099.87</v>
      </c>
      <c r="K74" s="547">
        <f t="shared" si="2"/>
        <v>33420.44</v>
      </c>
      <c r="L74" s="510"/>
      <c r="M74" s="508"/>
      <c r="N74" s="11" t="s">
        <v>243</v>
      </c>
      <c r="O74" s="341" t="s">
        <v>2916</v>
      </c>
      <c r="P74" s="339" t="s">
        <v>3007</v>
      </c>
      <c r="Q74" s="753" t="s">
        <v>3006</v>
      </c>
    </row>
    <row r="75" spans="1:17" ht="40.5" hidden="1">
      <c r="A75" s="503" t="s">
        <v>2193</v>
      </c>
      <c r="B75" s="504" t="s">
        <v>383</v>
      </c>
      <c r="C75" s="505" t="s">
        <v>8</v>
      </c>
      <c r="D75" s="506">
        <v>17.899999999999999</v>
      </c>
      <c r="E75" s="506">
        <f>估驗單!F71</f>
        <v>24.3</v>
      </c>
      <c r="F75" s="507">
        <f t="shared" si="4"/>
        <v>6.4000000000000021</v>
      </c>
      <c r="G75" s="506">
        <v>5394.64</v>
      </c>
      <c r="H75" s="506"/>
      <c r="I75" s="506">
        <f t="shared" si="5"/>
        <v>96564.06</v>
      </c>
      <c r="J75" s="506">
        <f t="shared" si="6"/>
        <v>131089.75</v>
      </c>
      <c r="K75" s="547">
        <f t="shared" si="2"/>
        <v>34525.69</v>
      </c>
      <c r="L75" s="510"/>
      <c r="M75" s="508"/>
      <c r="N75" s="11" t="s">
        <v>243</v>
      </c>
      <c r="O75" s="341" t="s">
        <v>2916</v>
      </c>
      <c r="P75" s="752">
        <v>24.3</v>
      </c>
      <c r="Q75" s="753" t="s">
        <v>3006</v>
      </c>
    </row>
    <row r="76" spans="1:17" ht="33" hidden="1">
      <c r="A76" s="333" t="s">
        <v>2194</v>
      </c>
      <c r="B76" s="334" t="s">
        <v>386</v>
      </c>
      <c r="C76" s="335" t="s">
        <v>8</v>
      </c>
      <c r="D76" s="336">
        <v>19.600000000000001</v>
      </c>
      <c r="E76" s="336">
        <f>估驗單!F72</f>
        <v>19.600000000000001</v>
      </c>
      <c r="F76" s="390">
        <f t="shared" si="4"/>
        <v>0</v>
      </c>
      <c r="G76" s="336">
        <v>432.57</v>
      </c>
      <c r="H76" s="336"/>
      <c r="I76" s="336">
        <f t="shared" si="5"/>
        <v>8478.3700000000008</v>
      </c>
      <c r="J76" s="336">
        <f t="shared" si="6"/>
        <v>8478.3700000000008</v>
      </c>
      <c r="K76" s="546">
        <f t="shared" si="2"/>
        <v>0</v>
      </c>
      <c r="L76" s="502"/>
      <c r="M76" s="231"/>
      <c r="N76" s="11" t="s">
        <v>243</v>
      </c>
      <c r="O76" s="341"/>
      <c r="P76" s="339"/>
    </row>
    <row r="77" spans="1:17" ht="33" hidden="1">
      <c r="A77" s="333" t="s">
        <v>2195</v>
      </c>
      <c r="B77" s="334" t="s">
        <v>389</v>
      </c>
      <c r="C77" s="335" t="s">
        <v>8</v>
      </c>
      <c r="D77" s="336">
        <v>24.9</v>
      </c>
      <c r="E77" s="336">
        <f>估驗單!F73</f>
        <v>24.9</v>
      </c>
      <c r="F77" s="390">
        <f t="shared" si="4"/>
        <v>0</v>
      </c>
      <c r="G77" s="336">
        <v>1224.22</v>
      </c>
      <c r="H77" s="336"/>
      <c r="I77" s="336">
        <f t="shared" si="5"/>
        <v>30483.08</v>
      </c>
      <c r="J77" s="336">
        <f t="shared" si="6"/>
        <v>30483.08</v>
      </c>
      <c r="K77" s="546">
        <f t="shared" ref="K77:K140" si="7">J77-I77</f>
        <v>0</v>
      </c>
      <c r="L77" s="502"/>
      <c r="M77" s="231" t="s">
        <v>242</v>
      </c>
      <c r="N77" s="11" t="s">
        <v>243</v>
      </c>
      <c r="O77" s="341"/>
      <c r="P77" s="339"/>
    </row>
    <row r="78" spans="1:17" ht="33" hidden="1">
      <c r="A78" s="333" t="s">
        <v>2196</v>
      </c>
      <c r="B78" s="334" t="s">
        <v>392</v>
      </c>
      <c r="C78" s="335" t="s">
        <v>8</v>
      </c>
      <c r="D78" s="336">
        <v>3.5</v>
      </c>
      <c r="E78" s="336">
        <f>估驗單!F74</f>
        <v>3.5</v>
      </c>
      <c r="F78" s="390">
        <f t="shared" si="4"/>
        <v>0</v>
      </c>
      <c r="G78" s="336">
        <v>1148.6300000000001</v>
      </c>
      <c r="H78" s="336"/>
      <c r="I78" s="336">
        <f t="shared" si="5"/>
        <v>4020.21</v>
      </c>
      <c r="J78" s="336">
        <f t="shared" si="6"/>
        <v>4020.21</v>
      </c>
      <c r="K78" s="546">
        <f t="shared" si="7"/>
        <v>0</v>
      </c>
      <c r="L78" s="502"/>
      <c r="M78" s="231" t="s">
        <v>242</v>
      </c>
      <c r="N78" s="11" t="s">
        <v>243</v>
      </c>
      <c r="O78" s="341"/>
      <c r="P78" s="339"/>
    </row>
    <row r="79" spans="1:17" ht="33" hidden="1">
      <c r="A79" s="333" t="s">
        <v>2197</v>
      </c>
      <c r="B79" s="334" t="s">
        <v>395</v>
      </c>
      <c r="C79" s="335" t="s">
        <v>0</v>
      </c>
      <c r="D79" s="336">
        <v>1</v>
      </c>
      <c r="E79" s="336">
        <f>估驗單!F75</f>
        <v>1</v>
      </c>
      <c r="F79" s="390">
        <f t="shared" si="4"/>
        <v>0</v>
      </c>
      <c r="G79" s="336">
        <v>5698.63</v>
      </c>
      <c r="H79" s="336"/>
      <c r="I79" s="336">
        <f t="shared" si="5"/>
        <v>5698.63</v>
      </c>
      <c r="J79" s="336">
        <f t="shared" si="6"/>
        <v>5698.63</v>
      </c>
      <c r="K79" s="546">
        <f t="shared" si="7"/>
        <v>0</v>
      </c>
      <c r="L79" s="502"/>
      <c r="M79" s="231" t="s">
        <v>242</v>
      </c>
      <c r="N79" s="11" t="s">
        <v>243</v>
      </c>
      <c r="O79" s="341"/>
      <c r="P79" s="339"/>
    </row>
    <row r="80" spans="1:17" ht="33" hidden="1">
      <c r="A80" s="333" t="s">
        <v>2198</v>
      </c>
      <c r="B80" s="334" t="s">
        <v>398</v>
      </c>
      <c r="C80" s="335" t="s">
        <v>0</v>
      </c>
      <c r="D80" s="336">
        <v>1</v>
      </c>
      <c r="E80" s="336">
        <f>估驗單!F76</f>
        <v>1</v>
      </c>
      <c r="F80" s="390">
        <f t="shared" si="4"/>
        <v>0</v>
      </c>
      <c r="G80" s="336">
        <v>5963.22</v>
      </c>
      <c r="H80" s="336"/>
      <c r="I80" s="336">
        <f t="shared" si="5"/>
        <v>5963.22</v>
      </c>
      <c r="J80" s="336">
        <f t="shared" si="6"/>
        <v>5963.22</v>
      </c>
      <c r="K80" s="546">
        <f t="shared" si="7"/>
        <v>0</v>
      </c>
      <c r="L80" s="502"/>
      <c r="M80" s="231" t="s">
        <v>242</v>
      </c>
      <c r="N80" s="11" t="s">
        <v>243</v>
      </c>
      <c r="O80" s="341"/>
      <c r="P80" s="339"/>
    </row>
    <row r="81" spans="1:16" ht="33" hidden="1">
      <c r="A81" s="333" t="s">
        <v>2199</v>
      </c>
      <c r="B81" s="334" t="s">
        <v>401</v>
      </c>
      <c r="C81" s="335" t="s">
        <v>0</v>
      </c>
      <c r="D81" s="336">
        <v>1</v>
      </c>
      <c r="E81" s="336">
        <f>估驗單!F77</f>
        <v>1</v>
      </c>
      <c r="F81" s="390">
        <f t="shared" si="4"/>
        <v>0</v>
      </c>
      <c r="G81" s="336">
        <v>1421.11</v>
      </c>
      <c r="H81" s="336"/>
      <c r="I81" s="336">
        <f t="shared" si="5"/>
        <v>1421.11</v>
      </c>
      <c r="J81" s="336">
        <f t="shared" si="6"/>
        <v>1421.11</v>
      </c>
      <c r="K81" s="546">
        <f t="shared" si="7"/>
        <v>0</v>
      </c>
      <c r="L81" s="502"/>
      <c r="M81" s="231" t="s">
        <v>242</v>
      </c>
      <c r="N81" s="11" t="s">
        <v>243</v>
      </c>
      <c r="O81" s="341"/>
      <c r="P81" s="339"/>
    </row>
    <row r="82" spans="1:16" ht="33" hidden="1">
      <c r="A82" s="333" t="s">
        <v>2200</v>
      </c>
      <c r="B82" s="334" t="s">
        <v>404</v>
      </c>
      <c r="C82" s="335" t="s">
        <v>0</v>
      </c>
      <c r="D82" s="336">
        <v>1</v>
      </c>
      <c r="E82" s="336">
        <f>估驗單!F78</f>
        <v>1</v>
      </c>
      <c r="F82" s="390">
        <f t="shared" si="4"/>
        <v>0</v>
      </c>
      <c r="G82" s="336">
        <v>4031.83</v>
      </c>
      <c r="H82" s="336"/>
      <c r="I82" s="336">
        <f t="shared" si="5"/>
        <v>4031.83</v>
      </c>
      <c r="J82" s="336">
        <f t="shared" si="6"/>
        <v>4031.83</v>
      </c>
      <c r="K82" s="546">
        <f t="shared" si="7"/>
        <v>0</v>
      </c>
      <c r="L82" s="502"/>
      <c r="M82" s="231" t="s">
        <v>242</v>
      </c>
      <c r="N82" s="11" t="s">
        <v>243</v>
      </c>
      <c r="O82" s="341"/>
      <c r="P82" s="339"/>
    </row>
    <row r="83" spans="1:16" ht="33" hidden="1">
      <c r="A83" s="333" t="s">
        <v>2201</v>
      </c>
      <c r="B83" s="334" t="s">
        <v>407</v>
      </c>
      <c r="C83" s="335" t="s">
        <v>0</v>
      </c>
      <c r="D83" s="336">
        <v>1</v>
      </c>
      <c r="E83" s="336">
        <f>估驗單!F79</f>
        <v>1</v>
      </c>
      <c r="F83" s="390">
        <f t="shared" si="4"/>
        <v>0</v>
      </c>
      <c r="G83" s="336">
        <v>3313.67</v>
      </c>
      <c r="H83" s="336"/>
      <c r="I83" s="336">
        <f t="shared" si="5"/>
        <v>3313.67</v>
      </c>
      <c r="J83" s="336">
        <f t="shared" si="6"/>
        <v>3313.67</v>
      </c>
      <c r="K83" s="546">
        <f t="shared" si="7"/>
        <v>0</v>
      </c>
      <c r="L83" s="502"/>
      <c r="M83" s="231" t="s">
        <v>242</v>
      </c>
      <c r="N83" s="11" t="s">
        <v>243</v>
      </c>
      <c r="O83" s="341"/>
      <c r="P83" s="339"/>
    </row>
    <row r="84" spans="1:16" ht="33" hidden="1">
      <c r="A84" s="333" t="s">
        <v>2202</v>
      </c>
      <c r="B84" s="334" t="s">
        <v>410</v>
      </c>
      <c r="C84" s="335" t="s">
        <v>8</v>
      </c>
      <c r="D84" s="336">
        <v>149.5</v>
      </c>
      <c r="E84" s="336">
        <f>估驗單!F80</f>
        <v>149.5</v>
      </c>
      <c r="F84" s="390">
        <f t="shared" si="4"/>
        <v>0</v>
      </c>
      <c r="G84" s="336">
        <v>1975.94</v>
      </c>
      <c r="H84" s="336"/>
      <c r="I84" s="336">
        <f t="shared" si="5"/>
        <v>295403.03000000003</v>
      </c>
      <c r="J84" s="336">
        <f t="shared" si="6"/>
        <v>295403.03000000003</v>
      </c>
      <c r="K84" s="546">
        <f t="shared" si="7"/>
        <v>0</v>
      </c>
      <c r="L84" s="502"/>
      <c r="M84" s="231" t="s">
        <v>242</v>
      </c>
      <c r="N84" s="11" t="s">
        <v>243</v>
      </c>
      <c r="O84" s="341"/>
      <c r="P84" s="339"/>
    </row>
    <row r="85" spans="1:16" ht="33" hidden="1">
      <c r="A85" s="333" t="s">
        <v>2203</v>
      </c>
      <c r="B85" s="334" t="s">
        <v>413</v>
      </c>
      <c r="C85" s="335" t="s">
        <v>8</v>
      </c>
      <c r="D85" s="336">
        <v>39.299999999999997</v>
      </c>
      <c r="E85" s="336">
        <f>估驗單!F81</f>
        <v>39.299999999999997</v>
      </c>
      <c r="F85" s="390">
        <f t="shared" si="4"/>
        <v>0</v>
      </c>
      <c r="G85" s="336">
        <v>4874.2299999999996</v>
      </c>
      <c r="H85" s="336"/>
      <c r="I85" s="336">
        <f t="shared" si="5"/>
        <v>191557.24</v>
      </c>
      <c r="J85" s="336">
        <f t="shared" si="6"/>
        <v>191557.24</v>
      </c>
      <c r="K85" s="546">
        <f t="shared" si="7"/>
        <v>0</v>
      </c>
      <c r="L85" s="502"/>
      <c r="M85" s="231" t="s">
        <v>242</v>
      </c>
      <c r="N85" s="11" t="s">
        <v>243</v>
      </c>
      <c r="O85" s="341"/>
      <c r="P85" s="339"/>
    </row>
    <row r="86" spans="1:16" ht="33" hidden="1">
      <c r="A86" s="333" t="s">
        <v>2204</v>
      </c>
      <c r="B86" s="334" t="s">
        <v>416</v>
      </c>
      <c r="C86" s="335" t="s">
        <v>8</v>
      </c>
      <c r="D86" s="336">
        <v>51.3</v>
      </c>
      <c r="E86" s="336">
        <f>估驗單!F82</f>
        <v>51.3</v>
      </c>
      <c r="F86" s="390">
        <f t="shared" si="4"/>
        <v>0</v>
      </c>
      <c r="G86" s="336">
        <v>2938.96</v>
      </c>
      <c r="H86" s="336"/>
      <c r="I86" s="336">
        <f t="shared" si="5"/>
        <v>150768.65</v>
      </c>
      <c r="J86" s="336">
        <f t="shared" si="6"/>
        <v>150768.65</v>
      </c>
      <c r="K86" s="546">
        <f t="shared" si="7"/>
        <v>0</v>
      </c>
      <c r="L86" s="502"/>
      <c r="M86" s="231" t="s">
        <v>242</v>
      </c>
      <c r="N86" s="11" t="s">
        <v>243</v>
      </c>
      <c r="O86" s="341"/>
      <c r="P86" s="339"/>
    </row>
    <row r="87" spans="1:16" ht="33" hidden="1">
      <c r="A87" s="333" t="s">
        <v>2205</v>
      </c>
      <c r="B87" s="334" t="s">
        <v>419</v>
      </c>
      <c r="C87" s="335" t="s">
        <v>0</v>
      </c>
      <c r="D87" s="336">
        <v>1</v>
      </c>
      <c r="E87" s="336">
        <f>估驗單!F83</f>
        <v>1</v>
      </c>
      <c r="F87" s="390">
        <f t="shared" si="4"/>
        <v>0</v>
      </c>
      <c r="G87" s="336">
        <v>23029.53</v>
      </c>
      <c r="H87" s="336"/>
      <c r="I87" s="336">
        <f t="shared" si="5"/>
        <v>23029.53</v>
      </c>
      <c r="J87" s="336">
        <f t="shared" si="6"/>
        <v>23029.53</v>
      </c>
      <c r="K87" s="546">
        <f t="shared" si="7"/>
        <v>0</v>
      </c>
      <c r="L87" s="502"/>
      <c r="M87" s="231"/>
      <c r="N87" s="11" t="s">
        <v>243</v>
      </c>
      <c r="O87" s="341"/>
      <c r="P87" s="339"/>
    </row>
    <row r="88" spans="1:16" ht="33" hidden="1">
      <c r="A88" s="333" t="s">
        <v>2206</v>
      </c>
      <c r="B88" s="334" t="s">
        <v>422</v>
      </c>
      <c r="C88" s="335" t="s">
        <v>0</v>
      </c>
      <c r="D88" s="336">
        <v>2</v>
      </c>
      <c r="E88" s="336">
        <f>估驗單!F84</f>
        <v>2</v>
      </c>
      <c r="F88" s="390">
        <f t="shared" si="4"/>
        <v>0</v>
      </c>
      <c r="G88" s="336">
        <v>18604.87</v>
      </c>
      <c r="H88" s="336"/>
      <c r="I88" s="336">
        <f t="shared" si="5"/>
        <v>37209.74</v>
      </c>
      <c r="J88" s="336">
        <f t="shared" si="6"/>
        <v>37209.74</v>
      </c>
      <c r="K88" s="546">
        <f t="shared" si="7"/>
        <v>0</v>
      </c>
      <c r="L88" s="502"/>
      <c r="M88" s="231"/>
      <c r="N88" s="11" t="s">
        <v>243</v>
      </c>
      <c r="O88" s="341"/>
      <c r="P88" s="339"/>
    </row>
    <row r="89" spans="1:16" ht="33" hidden="1">
      <c r="A89" s="333" t="s">
        <v>2207</v>
      </c>
      <c r="B89" s="334" t="s">
        <v>425</v>
      </c>
      <c r="C89" s="335" t="s">
        <v>0</v>
      </c>
      <c r="D89" s="336">
        <v>1</v>
      </c>
      <c r="E89" s="336">
        <f>估驗單!F85</f>
        <v>1</v>
      </c>
      <c r="F89" s="390">
        <f t="shared" si="4"/>
        <v>0</v>
      </c>
      <c r="G89" s="336">
        <v>18604.87</v>
      </c>
      <c r="H89" s="336"/>
      <c r="I89" s="336">
        <f t="shared" si="5"/>
        <v>18604.87</v>
      </c>
      <c r="J89" s="336">
        <f t="shared" si="6"/>
        <v>18604.87</v>
      </c>
      <c r="K89" s="546">
        <f t="shared" si="7"/>
        <v>0</v>
      </c>
      <c r="L89" s="502"/>
      <c r="M89" s="231" t="s">
        <v>242</v>
      </c>
      <c r="N89" s="11" t="s">
        <v>243</v>
      </c>
      <c r="O89" s="341"/>
      <c r="P89" s="339"/>
    </row>
    <row r="90" spans="1:16" ht="33" hidden="1">
      <c r="A90" s="333" t="s">
        <v>2208</v>
      </c>
      <c r="B90" s="334" t="s">
        <v>428</v>
      </c>
      <c r="C90" s="335" t="s">
        <v>0</v>
      </c>
      <c r="D90" s="336">
        <v>2</v>
      </c>
      <c r="E90" s="336">
        <f>估驗單!F86</f>
        <v>2</v>
      </c>
      <c r="F90" s="390">
        <f t="shared" ref="F90:F156" si="8">E90-D90</f>
        <v>0</v>
      </c>
      <c r="G90" s="336">
        <v>11654.82</v>
      </c>
      <c r="H90" s="336"/>
      <c r="I90" s="336">
        <f t="shared" si="5"/>
        <v>23309.64</v>
      </c>
      <c r="J90" s="336">
        <f t="shared" si="6"/>
        <v>23309.64</v>
      </c>
      <c r="K90" s="546">
        <f t="shared" si="7"/>
        <v>0</v>
      </c>
      <c r="L90" s="502"/>
      <c r="M90" s="231" t="s">
        <v>242</v>
      </c>
      <c r="N90" s="11" t="s">
        <v>243</v>
      </c>
      <c r="O90" s="341"/>
      <c r="P90" s="339"/>
    </row>
    <row r="91" spans="1:16" ht="33" hidden="1">
      <c r="A91" s="333" t="s">
        <v>2209</v>
      </c>
      <c r="B91" s="334" t="s">
        <v>431</v>
      </c>
      <c r="C91" s="335" t="s">
        <v>0</v>
      </c>
      <c r="D91" s="336">
        <v>2</v>
      </c>
      <c r="E91" s="336">
        <f>估驗單!F87</f>
        <v>2</v>
      </c>
      <c r="F91" s="390">
        <f t="shared" si="8"/>
        <v>0</v>
      </c>
      <c r="G91" s="336">
        <v>25107.48</v>
      </c>
      <c r="H91" s="336"/>
      <c r="I91" s="336">
        <f t="shared" si="5"/>
        <v>50214.96</v>
      </c>
      <c r="J91" s="336">
        <f t="shared" si="6"/>
        <v>50214.96</v>
      </c>
      <c r="K91" s="546">
        <f t="shared" si="7"/>
        <v>0</v>
      </c>
      <c r="L91" s="502"/>
      <c r="M91" s="231" t="s">
        <v>242</v>
      </c>
      <c r="N91" s="11" t="s">
        <v>243</v>
      </c>
      <c r="O91" s="341"/>
      <c r="P91" s="339"/>
    </row>
    <row r="92" spans="1:16" ht="33" hidden="1">
      <c r="A92" s="333" t="s">
        <v>2210</v>
      </c>
      <c r="B92" s="334" t="s">
        <v>434</v>
      </c>
      <c r="C92" s="335" t="s">
        <v>0</v>
      </c>
      <c r="D92" s="336">
        <v>1</v>
      </c>
      <c r="E92" s="336">
        <f>估驗單!F88</f>
        <v>1</v>
      </c>
      <c r="F92" s="390">
        <f t="shared" si="8"/>
        <v>0</v>
      </c>
      <c r="G92" s="336">
        <v>22415.66</v>
      </c>
      <c r="H92" s="336"/>
      <c r="I92" s="336">
        <f t="shared" si="5"/>
        <v>22415.66</v>
      </c>
      <c r="J92" s="336">
        <f t="shared" si="6"/>
        <v>22415.66</v>
      </c>
      <c r="K92" s="546">
        <f t="shared" si="7"/>
        <v>0</v>
      </c>
      <c r="L92" s="502"/>
      <c r="M92" s="231" t="s">
        <v>242</v>
      </c>
      <c r="N92" s="11" t="s">
        <v>243</v>
      </c>
      <c r="O92" s="341"/>
      <c r="P92" s="339"/>
    </row>
    <row r="93" spans="1:16" ht="33" hidden="1">
      <c r="A93" s="333" t="s">
        <v>2211</v>
      </c>
      <c r="B93" s="334" t="s">
        <v>437</v>
      </c>
      <c r="C93" s="335" t="s">
        <v>0</v>
      </c>
      <c r="D93" s="336">
        <v>1</v>
      </c>
      <c r="E93" s="336">
        <f>估驗單!F89</f>
        <v>1</v>
      </c>
      <c r="F93" s="390">
        <f t="shared" si="8"/>
        <v>0</v>
      </c>
      <c r="G93" s="336">
        <v>21723.54</v>
      </c>
      <c r="H93" s="336"/>
      <c r="I93" s="336">
        <f t="shared" si="5"/>
        <v>21723.54</v>
      </c>
      <c r="J93" s="336">
        <f t="shared" si="6"/>
        <v>21723.54</v>
      </c>
      <c r="K93" s="546">
        <f t="shared" si="7"/>
        <v>0</v>
      </c>
      <c r="L93" s="502"/>
      <c r="M93" s="231" t="s">
        <v>242</v>
      </c>
      <c r="N93" s="11" t="s">
        <v>243</v>
      </c>
      <c r="O93" s="341"/>
      <c r="P93" s="339"/>
    </row>
    <row r="94" spans="1:16" ht="33" hidden="1">
      <c r="A94" s="333" t="s">
        <v>2212</v>
      </c>
      <c r="B94" s="334" t="s">
        <v>440</v>
      </c>
      <c r="C94" s="335" t="s">
        <v>0</v>
      </c>
      <c r="D94" s="336">
        <v>1</v>
      </c>
      <c r="E94" s="336">
        <f>估驗單!F90</f>
        <v>1</v>
      </c>
      <c r="F94" s="390">
        <f t="shared" si="8"/>
        <v>0</v>
      </c>
      <c r="G94" s="336">
        <v>22646.36</v>
      </c>
      <c r="H94" s="336"/>
      <c r="I94" s="336">
        <f t="shared" si="5"/>
        <v>22646.36</v>
      </c>
      <c r="J94" s="336">
        <f t="shared" si="6"/>
        <v>22646.36</v>
      </c>
      <c r="K94" s="546">
        <f t="shared" si="7"/>
        <v>0</v>
      </c>
      <c r="L94" s="502"/>
      <c r="M94" s="231" t="s">
        <v>242</v>
      </c>
      <c r="N94" s="11" t="s">
        <v>243</v>
      </c>
      <c r="O94" s="341"/>
      <c r="P94" s="339"/>
    </row>
    <row r="95" spans="1:16" ht="33" hidden="1">
      <c r="A95" s="333" t="s">
        <v>2213</v>
      </c>
      <c r="B95" s="334" t="s">
        <v>443</v>
      </c>
      <c r="C95" s="335" t="s">
        <v>0</v>
      </c>
      <c r="D95" s="336">
        <v>4</v>
      </c>
      <c r="E95" s="336">
        <f>估驗單!F91</f>
        <v>4</v>
      </c>
      <c r="F95" s="390">
        <f t="shared" si="8"/>
        <v>0</v>
      </c>
      <c r="G95" s="336">
        <v>17340.05</v>
      </c>
      <c r="H95" s="336"/>
      <c r="I95" s="336">
        <f t="shared" si="5"/>
        <v>69360.2</v>
      </c>
      <c r="J95" s="336">
        <f t="shared" si="6"/>
        <v>69360.2</v>
      </c>
      <c r="K95" s="546">
        <f t="shared" si="7"/>
        <v>0</v>
      </c>
      <c r="L95" s="502"/>
      <c r="M95" s="231" t="s">
        <v>242</v>
      </c>
      <c r="N95" s="11" t="s">
        <v>243</v>
      </c>
      <c r="O95" s="341"/>
      <c r="P95" s="339"/>
    </row>
    <row r="96" spans="1:16" ht="33" hidden="1">
      <c r="A96" s="333" t="s">
        <v>2214</v>
      </c>
      <c r="B96" s="334" t="s">
        <v>446</v>
      </c>
      <c r="C96" s="335" t="s">
        <v>0</v>
      </c>
      <c r="D96" s="336">
        <v>6</v>
      </c>
      <c r="E96" s="336">
        <f>估驗單!F92</f>
        <v>6</v>
      </c>
      <c r="F96" s="390">
        <f t="shared" si="8"/>
        <v>0</v>
      </c>
      <c r="G96" s="336">
        <v>17340.05</v>
      </c>
      <c r="H96" s="336"/>
      <c r="I96" s="336">
        <f t="shared" si="5"/>
        <v>104040.3</v>
      </c>
      <c r="J96" s="336">
        <f t="shared" si="6"/>
        <v>104040.3</v>
      </c>
      <c r="K96" s="546">
        <f t="shared" si="7"/>
        <v>0</v>
      </c>
      <c r="L96" s="502"/>
      <c r="M96" s="231" t="s">
        <v>242</v>
      </c>
      <c r="N96" s="11" t="s">
        <v>243</v>
      </c>
      <c r="O96" s="341"/>
      <c r="P96" s="339"/>
    </row>
    <row r="97" spans="1:17" ht="33" hidden="1">
      <c r="A97" s="333" t="s">
        <v>2215</v>
      </c>
      <c r="B97" s="334" t="s">
        <v>449</v>
      </c>
      <c r="C97" s="335" t="s">
        <v>0</v>
      </c>
      <c r="D97" s="336">
        <v>1</v>
      </c>
      <c r="E97" s="336">
        <f>估驗單!F93</f>
        <v>1</v>
      </c>
      <c r="F97" s="390">
        <f t="shared" si="8"/>
        <v>0</v>
      </c>
      <c r="G97" s="336">
        <v>17496.650000000001</v>
      </c>
      <c r="H97" s="336"/>
      <c r="I97" s="336">
        <f t="shared" si="5"/>
        <v>17496.650000000001</v>
      </c>
      <c r="J97" s="336">
        <f t="shared" si="6"/>
        <v>17496.650000000001</v>
      </c>
      <c r="K97" s="546">
        <f t="shared" si="7"/>
        <v>0</v>
      </c>
      <c r="L97" s="502"/>
      <c r="M97" s="231" t="s">
        <v>242</v>
      </c>
      <c r="N97" s="11" t="s">
        <v>243</v>
      </c>
      <c r="O97" s="341"/>
      <c r="P97" s="339"/>
    </row>
    <row r="98" spans="1:17" ht="33" hidden="1">
      <c r="A98" s="333" t="s">
        <v>2216</v>
      </c>
      <c r="B98" s="334" t="s">
        <v>452</v>
      </c>
      <c r="C98" s="335" t="s">
        <v>0</v>
      </c>
      <c r="D98" s="336">
        <v>1</v>
      </c>
      <c r="E98" s="336">
        <f>估驗單!F94</f>
        <v>1</v>
      </c>
      <c r="F98" s="390">
        <f t="shared" si="8"/>
        <v>0</v>
      </c>
      <c r="G98" s="336">
        <v>1501.66</v>
      </c>
      <c r="H98" s="336"/>
      <c r="I98" s="336">
        <f t="shared" si="5"/>
        <v>1501.66</v>
      </c>
      <c r="J98" s="336">
        <f t="shared" si="6"/>
        <v>1501.66</v>
      </c>
      <c r="K98" s="546">
        <f t="shared" si="7"/>
        <v>0</v>
      </c>
      <c r="L98" s="502"/>
      <c r="M98" s="231" t="s">
        <v>242</v>
      </c>
      <c r="N98" s="11" t="s">
        <v>243</v>
      </c>
      <c r="O98" s="341"/>
      <c r="P98" s="339"/>
    </row>
    <row r="99" spans="1:17" ht="33" hidden="1">
      <c r="A99" s="333" t="s">
        <v>2217</v>
      </c>
      <c r="B99" s="334" t="s">
        <v>455</v>
      </c>
      <c r="C99" s="335" t="s">
        <v>0</v>
      </c>
      <c r="D99" s="336">
        <v>1</v>
      </c>
      <c r="E99" s="336">
        <f>估驗單!F95</f>
        <v>1</v>
      </c>
      <c r="F99" s="390">
        <f t="shared" si="8"/>
        <v>0</v>
      </c>
      <c r="G99" s="336">
        <v>1240.05</v>
      </c>
      <c r="H99" s="336"/>
      <c r="I99" s="336">
        <f t="shared" si="5"/>
        <v>1240.05</v>
      </c>
      <c r="J99" s="336">
        <f t="shared" si="6"/>
        <v>1240.05</v>
      </c>
      <c r="K99" s="546">
        <f t="shared" si="7"/>
        <v>0</v>
      </c>
      <c r="L99" s="502"/>
      <c r="M99" s="231" t="s">
        <v>242</v>
      </c>
      <c r="N99" s="11" t="s">
        <v>243</v>
      </c>
      <c r="O99" s="341"/>
      <c r="P99" s="339"/>
    </row>
    <row r="100" spans="1:17" ht="33" hidden="1">
      <c r="A100" s="333" t="s">
        <v>2218</v>
      </c>
      <c r="B100" s="334" t="s">
        <v>458</v>
      </c>
      <c r="C100" s="335" t="s">
        <v>0</v>
      </c>
      <c r="D100" s="336">
        <v>1</v>
      </c>
      <c r="E100" s="336">
        <f>估驗單!F96</f>
        <v>1</v>
      </c>
      <c r="F100" s="390">
        <f t="shared" si="8"/>
        <v>0</v>
      </c>
      <c r="G100" s="336">
        <v>1470.75</v>
      </c>
      <c r="H100" s="336"/>
      <c r="I100" s="336">
        <f t="shared" si="5"/>
        <v>1470.75</v>
      </c>
      <c r="J100" s="336">
        <f t="shared" si="6"/>
        <v>1470.75</v>
      </c>
      <c r="K100" s="546">
        <f t="shared" si="7"/>
        <v>0</v>
      </c>
      <c r="L100" s="502"/>
      <c r="M100" s="231" t="s">
        <v>242</v>
      </c>
      <c r="N100" s="11" t="s">
        <v>243</v>
      </c>
      <c r="O100" s="341"/>
      <c r="P100" s="339"/>
    </row>
    <row r="101" spans="1:17" ht="33" hidden="1">
      <c r="A101" s="333" t="s">
        <v>2219</v>
      </c>
      <c r="B101" s="334" t="s">
        <v>461</v>
      </c>
      <c r="C101" s="335" t="s">
        <v>0</v>
      </c>
      <c r="D101" s="336">
        <v>1</v>
      </c>
      <c r="E101" s="336">
        <f>估驗單!F97</f>
        <v>1</v>
      </c>
      <c r="F101" s="390">
        <f t="shared" si="8"/>
        <v>0</v>
      </c>
      <c r="G101" s="336">
        <v>1326.56</v>
      </c>
      <c r="H101" s="336"/>
      <c r="I101" s="336">
        <f t="shared" si="5"/>
        <v>1326.56</v>
      </c>
      <c r="J101" s="336">
        <f t="shared" si="6"/>
        <v>1326.56</v>
      </c>
      <c r="K101" s="546">
        <f t="shared" si="7"/>
        <v>0</v>
      </c>
      <c r="L101" s="502"/>
      <c r="M101" s="231" t="s">
        <v>242</v>
      </c>
      <c r="N101" s="11" t="s">
        <v>243</v>
      </c>
      <c r="O101" s="341"/>
      <c r="P101" s="339"/>
    </row>
    <row r="102" spans="1:17" ht="33" hidden="1">
      <c r="A102" s="333" t="s">
        <v>2220</v>
      </c>
      <c r="B102" s="334" t="s">
        <v>464</v>
      </c>
      <c r="C102" s="335" t="s">
        <v>0</v>
      </c>
      <c r="D102" s="336">
        <v>3</v>
      </c>
      <c r="E102" s="336">
        <f>估驗單!F98</f>
        <v>3</v>
      </c>
      <c r="F102" s="390">
        <f t="shared" si="8"/>
        <v>0</v>
      </c>
      <c r="G102" s="336">
        <v>331.64</v>
      </c>
      <c r="H102" s="336"/>
      <c r="I102" s="336">
        <f t="shared" ref="I102:I125" si="9">ROUND(D102*G102,2)</f>
        <v>994.92</v>
      </c>
      <c r="J102" s="336">
        <f t="shared" ref="J102:J122" si="10">ROUND(E102*G102,2)</f>
        <v>994.92</v>
      </c>
      <c r="K102" s="546">
        <f t="shared" si="7"/>
        <v>0</v>
      </c>
      <c r="L102" s="502"/>
      <c r="M102" s="231" t="s">
        <v>242</v>
      </c>
      <c r="N102" s="11" t="s">
        <v>243</v>
      </c>
      <c r="O102" s="341"/>
      <c r="P102" s="339"/>
    </row>
    <row r="103" spans="1:17" ht="33" hidden="1">
      <c r="A103" s="333" t="s">
        <v>2221</v>
      </c>
      <c r="B103" s="334" t="s">
        <v>467</v>
      </c>
      <c r="C103" s="335" t="s">
        <v>0</v>
      </c>
      <c r="D103" s="336">
        <v>7</v>
      </c>
      <c r="E103" s="336">
        <f>估驗單!F99</f>
        <v>7</v>
      </c>
      <c r="F103" s="390">
        <f t="shared" si="8"/>
        <v>0</v>
      </c>
      <c r="G103" s="336">
        <v>952.18</v>
      </c>
      <c r="H103" s="336"/>
      <c r="I103" s="336">
        <f t="shared" si="9"/>
        <v>6665.26</v>
      </c>
      <c r="J103" s="336">
        <f t="shared" si="10"/>
        <v>6665.26</v>
      </c>
      <c r="K103" s="546">
        <f t="shared" si="7"/>
        <v>0</v>
      </c>
      <c r="L103" s="502"/>
      <c r="M103" s="231" t="s">
        <v>242</v>
      </c>
      <c r="N103" s="11" t="s">
        <v>243</v>
      </c>
      <c r="O103" s="341"/>
      <c r="P103" s="339"/>
    </row>
    <row r="104" spans="1:17" ht="33" hidden="1">
      <c r="A104" s="333" t="s">
        <v>2222</v>
      </c>
      <c r="B104" s="334" t="s">
        <v>470</v>
      </c>
      <c r="C104" s="335" t="s">
        <v>0</v>
      </c>
      <c r="D104" s="336">
        <v>1</v>
      </c>
      <c r="E104" s="336">
        <f>估驗單!F100</f>
        <v>1</v>
      </c>
      <c r="F104" s="390">
        <f t="shared" si="8"/>
        <v>0</v>
      </c>
      <c r="G104" s="336">
        <v>272825.21000000002</v>
      </c>
      <c r="H104" s="336"/>
      <c r="I104" s="336">
        <f t="shared" si="9"/>
        <v>272825.21000000002</v>
      </c>
      <c r="J104" s="336">
        <f t="shared" si="10"/>
        <v>272825.21000000002</v>
      </c>
      <c r="K104" s="546">
        <f t="shared" si="7"/>
        <v>0</v>
      </c>
      <c r="L104" s="502"/>
      <c r="M104" s="231" t="s">
        <v>242</v>
      </c>
      <c r="N104" s="11" t="s">
        <v>243</v>
      </c>
      <c r="O104" s="341"/>
      <c r="P104" s="339"/>
    </row>
    <row r="105" spans="1:17" ht="33" hidden="1">
      <c r="A105" s="333" t="s">
        <v>2223</v>
      </c>
      <c r="B105" s="334" t="s">
        <v>473</v>
      </c>
      <c r="C105" s="335" t="s">
        <v>13</v>
      </c>
      <c r="D105" s="336">
        <v>759.43</v>
      </c>
      <c r="E105" s="336">
        <f>估驗單!F101</f>
        <v>759.43</v>
      </c>
      <c r="F105" s="390">
        <f t="shared" si="8"/>
        <v>0</v>
      </c>
      <c r="G105" s="336">
        <v>647.65</v>
      </c>
      <c r="H105" s="336"/>
      <c r="I105" s="336">
        <f t="shared" si="9"/>
        <v>491844.84</v>
      </c>
      <c r="J105" s="336">
        <f t="shared" si="10"/>
        <v>491844.84</v>
      </c>
      <c r="K105" s="546">
        <f t="shared" si="7"/>
        <v>0</v>
      </c>
      <c r="L105" s="502"/>
      <c r="M105" s="231" t="s">
        <v>242</v>
      </c>
      <c r="N105" s="11" t="s">
        <v>243</v>
      </c>
      <c r="O105" s="341"/>
      <c r="P105" s="339"/>
    </row>
    <row r="106" spans="1:17" ht="33" hidden="1">
      <c r="A106" s="333" t="s">
        <v>2224</v>
      </c>
      <c r="B106" s="334" t="s">
        <v>476</v>
      </c>
      <c r="C106" s="335" t="s">
        <v>15</v>
      </c>
      <c r="D106" s="336">
        <v>1</v>
      </c>
      <c r="E106" s="336">
        <f>估驗單!F102</f>
        <v>1</v>
      </c>
      <c r="F106" s="390">
        <f t="shared" si="8"/>
        <v>0</v>
      </c>
      <c r="G106" s="336">
        <v>10412.73</v>
      </c>
      <c r="H106" s="336"/>
      <c r="I106" s="336">
        <f t="shared" si="9"/>
        <v>10412.73</v>
      </c>
      <c r="J106" s="336">
        <f t="shared" si="10"/>
        <v>10412.73</v>
      </c>
      <c r="K106" s="546">
        <f t="shared" si="7"/>
        <v>0</v>
      </c>
      <c r="L106" s="502"/>
      <c r="M106" s="231"/>
      <c r="N106" s="11" t="s">
        <v>243</v>
      </c>
      <c r="O106" s="341"/>
      <c r="P106" s="339"/>
    </row>
    <row r="107" spans="1:17" ht="33" hidden="1">
      <c r="A107" s="333" t="s">
        <v>2225</v>
      </c>
      <c r="B107" s="334" t="s">
        <v>479</v>
      </c>
      <c r="C107" s="335" t="s">
        <v>15</v>
      </c>
      <c r="D107" s="336">
        <v>3</v>
      </c>
      <c r="E107" s="336">
        <f>估驗單!F103</f>
        <v>3</v>
      </c>
      <c r="F107" s="390">
        <f t="shared" si="8"/>
        <v>0</v>
      </c>
      <c r="G107" s="336">
        <v>4575.03</v>
      </c>
      <c r="H107" s="336"/>
      <c r="I107" s="336">
        <f t="shared" si="9"/>
        <v>13725.09</v>
      </c>
      <c r="J107" s="336">
        <f t="shared" si="10"/>
        <v>13725.09</v>
      </c>
      <c r="K107" s="546">
        <f t="shared" si="7"/>
        <v>0</v>
      </c>
      <c r="L107" s="502"/>
      <c r="M107" s="231"/>
      <c r="N107" s="11" t="s">
        <v>243</v>
      </c>
      <c r="O107" s="341"/>
      <c r="P107" s="339"/>
    </row>
    <row r="108" spans="1:17" ht="33.75" hidden="1">
      <c r="A108" s="333" t="s">
        <v>2226</v>
      </c>
      <c r="B108" s="334" t="s">
        <v>482</v>
      </c>
      <c r="C108" s="335" t="s">
        <v>483</v>
      </c>
      <c r="D108" s="336">
        <v>88.17</v>
      </c>
      <c r="E108" s="336">
        <f>估驗單!F104</f>
        <v>88.17</v>
      </c>
      <c r="F108" s="390">
        <f t="shared" si="8"/>
        <v>0</v>
      </c>
      <c r="G108" s="336">
        <v>15299.17</v>
      </c>
      <c r="H108" s="336"/>
      <c r="I108" s="336">
        <f t="shared" si="9"/>
        <v>1348927.82</v>
      </c>
      <c r="J108" s="336">
        <f t="shared" si="10"/>
        <v>1348927.82</v>
      </c>
      <c r="K108" s="546">
        <f t="shared" si="7"/>
        <v>0</v>
      </c>
      <c r="L108" s="502"/>
      <c r="M108" s="231"/>
      <c r="N108" s="11" t="s">
        <v>243</v>
      </c>
      <c r="O108" s="474" t="s">
        <v>2912</v>
      </c>
      <c r="P108" s="339" t="s">
        <v>2882</v>
      </c>
      <c r="Q108" s="245" t="s">
        <v>2875</v>
      </c>
    </row>
    <row r="109" spans="1:17" ht="33" hidden="1">
      <c r="A109" s="333" t="s">
        <v>2227</v>
      </c>
      <c r="B109" s="334" t="s">
        <v>486</v>
      </c>
      <c r="C109" s="335" t="s">
        <v>0</v>
      </c>
      <c r="D109" s="336">
        <v>25</v>
      </c>
      <c r="E109" s="336">
        <f>估驗單!F105</f>
        <v>25</v>
      </c>
      <c r="F109" s="390">
        <f t="shared" si="8"/>
        <v>0</v>
      </c>
      <c r="G109" s="336">
        <v>4498.3100000000004</v>
      </c>
      <c r="H109" s="336"/>
      <c r="I109" s="336">
        <f t="shared" si="9"/>
        <v>112457.75</v>
      </c>
      <c r="J109" s="336">
        <f t="shared" si="10"/>
        <v>112457.75</v>
      </c>
      <c r="K109" s="546">
        <f t="shared" si="7"/>
        <v>0</v>
      </c>
      <c r="L109" s="502"/>
      <c r="M109" s="231" t="s">
        <v>242</v>
      </c>
      <c r="N109" s="11" t="s">
        <v>243</v>
      </c>
      <c r="O109" s="341"/>
      <c r="P109" s="339"/>
    </row>
    <row r="110" spans="1:17" ht="33" hidden="1">
      <c r="A110" s="333" t="s">
        <v>2228</v>
      </c>
      <c r="B110" s="334" t="s">
        <v>489</v>
      </c>
      <c r="C110" s="335" t="s">
        <v>0</v>
      </c>
      <c r="D110" s="336">
        <v>13</v>
      </c>
      <c r="E110" s="336">
        <f>估驗單!F106</f>
        <v>13</v>
      </c>
      <c r="F110" s="390">
        <f t="shared" si="8"/>
        <v>0</v>
      </c>
      <c r="G110" s="336">
        <v>3353.5</v>
      </c>
      <c r="H110" s="336"/>
      <c r="I110" s="336">
        <f t="shared" si="9"/>
        <v>43595.5</v>
      </c>
      <c r="J110" s="336">
        <f t="shared" si="10"/>
        <v>43595.5</v>
      </c>
      <c r="K110" s="546">
        <f t="shared" si="7"/>
        <v>0</v>
      </c>
      <c r="L110" s="502"/>
      <c r="M110" s="231" t="s">
        <v>242</v>
      </c>
      <c r="N110" s="11" t="s">
        <v>243</v>
      </c>
      <c r="O110" s="341"/>
      <c r="P110" s="339"/>
    </row>
    <row r="111" spans="1:17" ht="33" hidden="1">
      <c r="A111" s="333" t="s">
        <v>2229</v>
      </c>
      <c r="B111" s="334" t="s">
        <v>492</v>
      </c>
      <c r="C111" s="335" t="s">
        <v>8</v>
      </c>
      <c r="D111" s="336">
        <v>9.8000000000000007</v>
      </c>
      <c r="E111" s="336">
        <f>估驗單!F107</f>
        <v>9.8000000000000007</v>
      </c>
      <c r="F111" s="390">
        <f t="shared" si="8"/>
        <v>0</v>
      </c>
      <c r="G111" s="336">
        <v>9873.85</v>
      </c>
      <c r="H111" s="336"/>
      <c r="I111" s="336">
        <f t="shared" si="9"/>
        <v>96763.73</v>
      </c>
      <c r="J111" s="336">
        <f t="shared" si="10"/>
        <v>96763.73</v>
      </c>
      <c r="K111" s="546">
        <f t="shared" si="7"/>
        <v>0</v>
      </c>
      <c r="L111" s="502"/>
      <c r="M111" s="231" t="s">
        <v>242</v>
      </c>
      <c r="N111" s="11" t="s">
        <v>243</v>
      </c>
      <c r="O111" s="341"/>
      <c r="P111" s="339"/>
    </row>
    <row r="112" spans="1:17" ht="33" hidden="1">
      <c r="A112" s="333" t="s">
        <v>2230</v>
      </c>
      <c r="B112" s="334" t="s">
        <v>495</v>
      </c>
      <c r="C112" s="335" t="s">
        <v>8</v>
      </c>
      <c r="D112" s="336">
        <v>6.2</v>
      </c>
      <c r="E112" s="336">
        <f>估驗單!F108</f>
        <v>6.2</v>
      </c>
      <c r="F112" s="390">
        <f t="shared" si="8"/>
        <v>0</v>
      </c>
      <c r="G112" s="336">
        <v>6554</v>
      </c>
      <c r="H112" s="336"/>
      <c r="I112" s="336">
        <f t="shared" si="9"/>
        <v>40634.800000000003</v>
      </c>
      <c r="J112" s="336">
        <f t="shared" si="10"/>
        <v>40634.800000000003</v>
      </c>
      <c r="K112" s="546">
        <f t="shared" si="7"/>
        <v>0</v>
      </c>
      <c r="L112" s="502"/>
      <c r="M112" s="231" t="s">
        <v>242</v>
      </c>
      <c r="N112" s="11" t="s">
        <v>243</v>
      </c>
      <c r="O112" s="341"/>
      <c r="P112" s="339"/>
    </row>
    <row r="113" spans="1:17" ht="33" hidden="1">
      <c r="A113" s="333" t="s">
        <v>2231</v>
      </c>
      <c r="B113" s="334" t="s">
        <v>498</v>
      </c>
      <c r="C113" s="335" t="s">
        <v>8</v>
      </c>
      <c r="D113" s="336">
        <v>3.3</v>
      </c>
      <c r="E113" s="336">
        <f>估驗單!F109</f>
        <v>3.3</v>
      </c>
      <c r="F113" s="390">
        <f t="shared" si="8"/>
        <v>0</v>
      </c>
      <c r="G113" s="336">
        <v>8390.27</v>
      </c>
      <c r="H113" s="336"/>
      <c r="I113" s="336">
        <f t="shared" si="9"/>
        <v>27687.89</v>
      </c>
      <c r="J113" s="336">
        <f t="shared" si="10"/>
        <v>27687.89</v>
      </c>
      <c r="K113" s="546">
        <f t="shared" si="7"/>
        <v>0</v>
      </c>
      <c r="L113" s="502"/>
      <c r="M113" s="231" t="s">
        <v>242</v>
      </c>
      <c r="N113" s="11" t="s">
        <v>243</v>
      </c>
      <c r="O113" s="341"/>
      <c r="P113" s="339"/>
    </row>
    <row r="114" spans="1:17" ht="33" hidden="1">
      <c r="A114" s="333" t="s">
        <v>2232</v>
      </c>
      <c r="B114" s="334" t="s">
        <v>501</v>
      </c>
      <c r="C114" s="335" t="s">
        <v>8</v>
      </c>
      <c r="D114" s="336">
        <v>40.6</v>
      </c>
      <c r="E114" s="336">
        <f>估驗單!F110</f>
        <v>40.6</v>
      </c>
      <c r="F114" s="390">
        <f t="shared" si="8"/>
        <v>0</v>
      </c>
      <c r="G114" s="336">
        <v>671.95</v>
      </c>
      <c r="H114" s="336"/>
      <c r="I114" s="336">
        <f t="shared" si="9"/>
        <v>27281.17</v>
      </c>
      <c r="J114" s="336">
        <f t="shared" si="10"/>
        <v>27281.17</v>
      </c>
      <c r="K114" s="546">
        <f t="shared" si="7"/>
        <v>0</v>
      </c>
      <c r="L114" s="502"/>
      <c r="M114" s="231"/>
      <c r="N114" s="11" t="s">
        <v>243</v>
      </c>
      <c r="O114" s="341"/>
      <c r="P114" s="339"/>
    </row>
    <row r="115" spans="1:17" ht="33" hidden="1">
      <c r="A115" s="333" t="s">
        <v>2233</v>
      </c>
      <c r="B115" s="334" t="s">
        <v>504</v>
      </c>
      <c r="C115" s="335" t="s">
        <v>8</v>
      </c>
      <c r="D115" s="336">
        <v>176.7</v>
      </c>
      <c r="E115" s="336">
        <f>估驗單!F111</f>
        <v>176.7</v>
      </c>
      <c r="F115" s="390">
        <f t="shared" si="8"/>
        <v>0</v>
      </c>
      <c r="G115" s="336">
        <v>658.27</v>
      </c>
      <c r="H115" s="336"/>
      <c r="I115" s="336">
        <f t="shared" si="9"/>
        <v>116316.31</v>
      </c>
      <c r="J115" s="336">
        <f t="shared" si="10"/>
        <v>116316.31</v>
      </c>
      <c r="K115" s="546">
        <f t="shared" si="7"/>
        <v>0</v>
      </c>
      <c r="L115" s="502"/>
      <c r="M115" s="231"/>
      <c r="N115" s="11" t="s">
        <v>243</v>
      </c>
      <c r="O115" s="341"/>
      <c r="P115" s="339"/>
    </row>
    <row r="116" spans="1:17" ht="33" hidden="1">
      <c r="A116" s="333" t="s">
        <v>2234</v>
      </c>
      <c r="B116" s="334" t="s">
        <v>507</v>
      </c>
      <c r="C116" s="335" t="s">
        <v>8</v>
      </c>
      <c r="D116" s="336">
        <v>251.7</v>
      </c>
      <c r="E116" s="336">
        <f>估驗單!F112</f>
        <v>251.7</v>
      </c>
      <c r="F116" s="390">
        <f t="shared" si="8"/>
        <v>0</v>
      </c>
      <c r="G116" s="336">
        <v>730.37</v>
      </c>
      <c r="H116" s="336"/>
      <c r="I116" s="336">
        <f t="shared" si="9"/>
        <v>183834.13</v>
      </c>
      <c r="J116" s="336">
        <f t="shared" si="10"/>
        <v>183834.13</v>
      </c>
      <c r="K116" s="546">
        <f t="shared" si="7"/>
        <v>0</v>
      </c>
      <c r="L116" s="502"/>
      <c r="M116" s="231"/>
      <c r="N116" s="11" t="s">
        <v>243</v>
      </c>
      <c r="O116" s="341"/>
      <c r="P116" s="339"/>
    </row>
    <row r="117" spans="1:17" ht="33" hidden="1">
      <c r="A117" s="333" t="s">
        <v>2235</v>
      </c>
      <c r="B117" s="334" t="s">
        <v>510</v>
      </c>
      <c r="C117" s="335" t="s">
        <v>8</v>
      </c>
      <c r="D117" s="336">
        <v>6.8</v>
      </c>
      <c r="E117" s="336">
        <f>估驗單!F113</f>
        <v>6.8</v>
      </c>
      <c r="F117" s="390">
        <f t="shared" si="8"/>
        <v>0</v>
      </c>
      <c r="G117" s="336">
        <v>406.38</v>
      </c>
      <c r="H117" s="336"/>
      <c r="I117" s="336">
        <f t="shared" si="9"/>
        <v>2763.38</v>
      </c>
      <c r="J117" s="336">
        <f t="shared" si="10"/>
        <v>2763.38</v>
      </c>
      <c r="K117" s="546">
        <f t="shared" si="7"/>
        <v>0</v>
      </c>
      <c r="L117" s="502"/>
      <c r="M117" s="231"/>
      <c r="N117" s="11" t="s">
        <v>243</v>
      </c>
      <c r="O117" s="341"/>
      <c r="P117" s="339"/>
    </row>
    <row r="118" spans="1:17" ht="33" hidden="1">
      <c r="A118" s="333" t="s">
        <v>2236</v>
      </c>
      <c r="B118" s="334" t="s">
        <v>513</v>
      </c>
      <c r="C118" s="335" t="s">
        <v>8</v>
      </c>
      <c r="D118" s="336">
        <v>44.2</v>
      </c>
      <c r="E118" s="336">
        <f>估驗單!F114</f>
        <v>44.2</v>
      </c>
      <c r="F118" s="390">
        <f t="shared" si="8"/>
        <v>0</v>
      </c>
      <c r="G118" s="336">
        <v>457.88</v>
      </c>
      <c r="H118" s="336"/>
      <c r="I118" s="336">
        <f t="shared" si="9"/>
        <v>20238.3</v>
      </c>
      <c r="J118" s="336">
        <f t="shared" si="10"/>
        <v>20238.3</v>
      </c>
      <c r="K118" s="546">
        <f t="shared" si="7"/>
        <v>0</v>
      </c>
      <c r="L118" s="502"/>
      <c r="M118" s="231"/>
      <c r="N118" s="11" t="s">
        <v>243</v>
      </c>
      <c r="O118" s="341"/>
      <c r="P118" s="339"/>
    </row>
    <row r="119" spans="1:17" ht="33" hidden="1">
      <c r="A119" s="333" t="s">
        <v>2237</v>
      </c>
      <c r="B119" s="334" t="s">
        <v>516</v>
      </c>
      <c r="C119" s="335" t="s">
        <v>8</v>
      </c>
      <c r="D119" s="336">
        <v>10.7</v>
      </c>
      <c r="E119" s="336">
        <f>估驗單!F115</f>
        <v>10.7</v>
      </c>
      <c r="F119" s="390">
        <f t="shared" si="8"/>
        <v>0</v>
      </c>
      <c r="G119" s="336">
        <v>499.08</v>
      </c>
      <c r="H119" s="336"/>
      <c r="I119" s="336">
        <f t="shared" si="9"/>
        <v>5340.16</v>
      </c>
      <c r="J119" s="336">
        <f t="shared" si="10"/>
        <v>5340.16</v>
      </c>
      <c r="K119" s="546">
        <f t="shared" si="7"/>
        <v>0</v>
      </c>
      <c r="L119" s="502"/>
      <c r="M119" s="231"/>
      <c r="N119" s="11" t="s">
        <v>243</v>
      </c>
      <c r="O119" s="341"/>
      <c r="P119" s="339"/>
    </row>
    <row r="120" spans="1:17" ht="33" hidden="1">
      <c r="A120" s="333" t="s">
        <v>2238</v>
      </c>
      <c r="B120" s="334" t="s">
        <v>519</v>
      </c>
      <c r="C120" s="335" t="s">
        <v>8</v>
      </c>
      <c r="D120" s="336">
        <v>62.5</v>
      </c>
      <c r="E120" s="336">
        <f>估驗單!F116</f>
        <v>62.5</v>
      </c>
      <c r="F120" s="390">
        <f t="shared" si="8"/>
        <v>0</v>
      </c>
      <c r="G120" s="336">
        <v>545.82000000000005</v>
      </c>
      <c r="H120" s="336"/>
      <c r="I120" s="336">
        <f t="shared" si="9"/>
        <v>34113.75</v>
      </c>
      <c r="J120" s="336">
        <f t="shared" si="10"/>
        <v>34113.75</v>
      </c>
      <c r="K120" s="546">
        <f t="shared" si="7"/>
        <v>0</v>
      </c>
      <c r="L120" s="502"/>
      <c r="M120" s="231"/>
      <c r="N120" s="11" t="s">
        <v>243</v>
      </c>
      <c r="O120" s="341"/>
      <c r="P120" s="339"/>
    </row>
    <row r="121" spans="1:17" ht="33" hidden="1">
      <c r="A121" s="333" t="s">
        <v>2239</v>
      </c>
      <c r="B121" s="334" t="s">
        <v>522</v>
      </c>
      <c r="C121" s="335" t="s">
        <v>8</v>
      </c>
      <c r="D121" s="336">
        <v>84.8</v>
      </c>
      <c r="E121" s="336">
        <f>估驗單!F117</f>
        <v>84.8</v>
      </c>
      <c r="F121" s="390">
        <f t="shared" si="8"/>
        <v>0</v>
      </c>
      <c r="G121" s="336">
        <v>7340.02</v>
      </c>
      <c r="H121" s="336"/>
      <c r="I121" s="336">
        <f t="shared" si="9"/>
        <v>622433.69999999995</v>
      </c>
      <c r="J121" s="336">
        <f t="shared" si="10"/>
        <v>622433.69999999995</v>
      </c>
      <c r="K121" s="546">
        <f t="shared" si="7"/>
        <v>0</v>
      </c>
      <c r="L121" s="502"/>
      <c r="M121" s="231"/>
      <c r="N121" s="11" t="s">
        <v>243</v>
      </c>
      <c r="O121" s="341"/>
      <c r="P121" s="339"/>
    </row>
    <row r="122" spans="1:17" ht="45" hidden="1" customHeight="1">
      <c r="A122" s="503" t="s">
        <v>2240</v>
      </c>
      <c r="B122" s="504" t="s">
        <v>525</v>
      </c>
      <c r="C122" s="505" t="s">
        <v>0</v>
      </c>
      <c r="D122" s="506">
        <v>2</v>
      </c>
      <c r="E122" s="506">
        <v>0</v>
      </c>
      <c r="F122" s="509">
        <f t="shared" si="8"/>
        <v>-2</v>
      </c>
      <c r="G122" s="506">
        <v>913306.18</v>
      </c>
      <c r="H122" s="506"/>
      <c r="I122" s="506">
        <f t="shared" si="9"/>
        <v>1826612.36</v>
      </c>
      <c r="J122" s="506">
        <f t="shared" si="10"/>
        <v>0</v>
      </c>
      <c r="K122" s="547"/>
      <c r="L122" s="510">
        <f>J122-I122</f>
        <v>-1826612.36</v>
      </c>
      <c r="M122" s="508"/>
      <c r="N122" s="11" t="s">
        <v>243</v>
      </c>
      <c r="O122" s="1007" t="s">
        <v>2883</v>
      </c>
      <c r="P122" s="339"/>
      <c r="Q122" s="1010" t="s">
        <v>3026</v>
      </c>
    </row>
    <row r="123" spans="1:17" ht="27.95" hidden="1" customHeight="1">
      <c r="A123" s="503" t="s">
        <v>2606</v>
      </c>
      <c r="B123" s="504" t="s">
        <v>2609</v>
      </c>
      <c r="C123" s="505" t="s">
        <v>0</v>
      </c>
      <c r="D123" s="511">
        <v>0</v>
      </c>
      <c r="E123" s="511">
        <v>1</v>
      </c>
      <c r="F123" s="507">
        <f t="shared" si="8"/>
        <v>1</v>
      </c>
      <c r="G123" s="511">
        <v>0</v>
      </c>
      <c r="H123" s="511">
        <v>704273.82</v>
      </c>
      <c r="I123" s="506">
        <f t="shared" si="9"/>
        <v>0</v>
      </c>
      <c r="J123" s="506">
        <f>ROUND(E123*H123,2)</f>
        <v>704273.82</v>
      </c>
      <c r="K123" s="547">
        <f t="shared" si="7"/>
        <v>704273.82</v>
      </c>
      <c r="L123" s="533"/>
      <c r="M123" s="768" t="s">
        <v>3025</v>
      </c>
      <c r="N123" s="11"/>
      <c r="O123" s="1008"/>
      <c r="P123" s="339" t="s">
        <v>2884</v>
      </c>
      <c r="Q123" s="1011"/>
    </row>
    <row r="124" spans="1:17" ht="27.95" hidden="1" customHeight="1">
      <c r="A124" s="503" t="s">
        <v>2607</v>
      </c>
      <c r="B124" s="504" t="s">
        <v>2610</v>
      </c>
      <c r="C124" s="505" t="s">
        <v>0</v>
      </c>
      <c r="D124" s="511">
        <v>0</v>
      </c>
      <c r="E124" s="511">
        <v>1</v>
      </c>
      <c r="F124" s="507">
        <f t="shared" si="8"/>
        <v>1</v>
      </c>
      <c r="G124" s="511">
        <v>0</v>
      </c>
      <c r="H124" s="511">
        <v>1255553.18</v>
      </c>
      <c r="I124" s="506">
        <f t="shared" si="9"/>
        <v>0</v>
      </c>
      <c r="J124" s="506">
        <f>ROUND(E124*H124,2)</f>
        <v>1255553.18</v>
      </c>
      <c r="K124" s="547">
        <f t="shared" si="7"/>
        <v>1255553.18</v>
      </c>
      <c r="L124" s="533"/>
      <c r="M124" s="768" t="s">
        <v>3025</v>
      </c>
      <c r="N124" s="11"/>
      <c r="O124" s="1008"/>
      <c r="P124" s="339" t="s">
        <v>2885</v>
      </c>
      <c r="Q124" s="1011"/>
    </row>
    <row r="125" spans="1:17" ht="27.95" hidden="1" customHeight="1">
      <c r="A125" s="503" t="s">
        <v>2608</v>
      </c>
      <c r="B125" s="504" t="s">
        <v>2611</v>
      </c>
      <c r="C125" s="505" t="s">
        <v>0</v>
      </c>
      <c r="D125" s="511">
        <v>0</v>
      </c>
      <c r="E125" s="511">
        <v>1</v>
      </c>
      <c r="F125" s="507">
        <f t="shared" si="8"/>
        <v>1</v>
      </c>
      <c r="G125" s="511">
        <v>0</v>
      </c>
      <c r="H125" s="511">
        <v>1277917.6000000001</v>
      </c>
      <c r="I125" s="506">
        <f t="shared" si="9"/>
        <v>0</v>
      </c>
      <c r="J125" s="506">
        <f>ROUND(E125*H125,2)</f>
        <v>1277917.6000000001</v>
      </c>
      <c r="K125" s="547">
        <f t="shared" si="7"/>
        <v>1277917.6000000001</v>
      </c>
      <c r="L125" s="533"/>
      <c r="M125" s="768" t="s">
        <v>3025</v>
      </c>
      <c r="N125" s="11"/>
      <c r="O125" s="1009"/>
      <c r="P125" s="339" t="s">
        <v>2886</v>
      </c>
      <c r="Q125" s="1011"/>
    </row>
    <row r="126" spans="1:17" ht="33">
      <c r="A126" s="406" t="s">
        <v>2241</v>
      </c>
      <c r="B126" s="407" t="s">
        <v>527</v>
      </c>
      <c r="C126" s="408" t="s">
        <v>4</v>
      </c>
      <c r="D126" s="409"/>
      <c r="E126" s="409">
        <f>估驗單!F119</f>
        <v>0</v>
      </c>
      <c r="F126" s="410">
        <f t="shared" si="8"/>
        <v>0</v>
      </c>
      <c r="G126" s="409">
        <f>I126</f>
        <v>45369259.610000014</v>
      </c>
      <c r="H126" s="409"/>
      <c r="I126" s="409">
        <f>SUM(I127:I165)</f>
        <v>45369259.610000014</v>
      </c>
      <c r="J126" s="409">
        <f>SUM(J127:J165)</f>
        <v>45442982.900000013</v>
      </c>
      <c r="K126" s="542">
        <f>SUM(K127:K165)</f>
        <v>240343.79999999976</v>
      </c>
      <c r="L126" s="534">
        <f>SUM(L127:L165)</f>
        <v>-166620.51</v>
      </c>
      <c r="M126" s="288" t="s">
        <v>242</v>
      </c>
      <c r="N126" s="11" t="s">
        <v>243</v>
      </c>
      <c r="O126" s="785">
        <f>K126+L126</f>
        <v>73723.289999999746</v>
      </c>
      <c r="P126" s="339"/>
    </row>
    <row r="127" spans="1:17" ht="33" hidden="1">
      <c r="A127" s="333" t="s">
        <v>2154</v>
      </c>
      <c r="B127" s="334" t="s">
        <v>310</v>
      </c>
      <c r="C127" s="335" t="s">
        <v>223</v>
      </c>
      <c r="D127" s="336">
        <v>928.51</v>
      </c>
      <c r="E127" s="336">
        <f>估驗單!F120</f>
        <v>928.51</v>
      </c>
      <c r="F127" s="390">
        <f t="shared" si="8"/>
        <v>0</v>
      </c>
      <c r="G127" s="336">
        <v>320.72000000000003</v>
      </c>
      <c r="H127" s="336"/>
      <c r="I127" s="336">
        <f t="shared" ref="I127:I165" si="11">ROUND(D127*G127,2)</f>
        <v>297791.73</v>
      </c>
      <c r="J127" s="336">
        <f t="shared" ref="J127:J165" si="12">ROUND(E127*G127,2)</f>
        <v>297791.73</v>
      </c>
      <c r="K127" s="546">
        <f t="shared" si="7"/>
        <v>0</v>
      </c>
      <c r="L127" s="502"/>
      <c r="M127" s="231" t="s">
        <v>242</v>
      </c>
      <c r="N127" s="11" t="s">
        <v>243</v>
      </c>
      <c r="O127" s="341"/>
      <c r="P127" s="339"/>
      <c r="Q127" s="342"/>
    </row>
    <row r="128" spans="1:17" ht="33" hidden="1">
      <c r="A128" s="333" t="s">
        <v>2155</v>
      </c>
      <c r="B128" s="334" t="s">
        <v>315</v>
      </c>
      <c r="C128" s="335" t="s">
        <v>6</v>
      </c>
      <c r="D128" s="336">
        <v>26.33</v>
      </c>
      <c r="E128" s="336">
        <f>估驗單!F121</f>
        <v>26.33</v>
      </c>
      <c r="F128" s="390">
        <f t="shared" si="8"/>
        <v>0</v>
      </c>
      <c r="G128" s="336">
        <v>3114.97</v>
      </c>
      <c r="H128" s="336"/>
      <c r="I128" s="336">
        <f t="shared" si="11"/>
        <v>82017.16</v>
      </c>
      <c r="J128" s="336">
        <f t="shared" si="12"/>
        <v>82017.16</v>
      </c>
      <c r="K128" s="546">
        <f t="shared" si="7"/>
        <v>0</v>
      </c>
      <c r="L128" s="502"/>
      <c r="M128" s="231" t="s">
        <v>242</v>
      </c>
      <c r="N128" s="11" t="s">
        <v>243</v>
      </c>
      <c r="O128" s="341"/>
      <c r="P128" s="339"/>
    </row>
    <row r="129" spans="1:17" ht="33" hidden="1">
      <c r="A129" s="333" t="s">
        <v>2156</v>
      </c>
      <c r="B129" s="334" t="s">
        <v>24</v>
      </c>
      <c r="C129" s="335" t="s">
        <v>6</v>
      </c>
      <c r="D129" s="336">
        <v>36.86</v>
      </c>
      <c r="E129" s="336">
        <f>估驗單!F122</f>
        <v>36.86</v>
      </c>
      <c r="F129" s="390">
        <f t="shared" si="8"/>
        <v>0</v>
      </c>
      <c r="G129" s="336">
        <v>3320.96</v>
      </c>
      <c r="H129" s="336"/>
      <c r="I129" s="336">
        <f t="shared" si="11"/>
        <v>122410.59</v>
      </c>
      <c r="J129" s="336">
        <f t="shared" si="12"/>
        <v>122410.59</v>
      </c>
      <c r="K129" s="546">
        <f t="shared" si="7"/>
        <v>0</v>
      </c>
      <c r="L129" s="502"/>
      <c r="M129" s="231" t="s">
        <v>242</v>
      </c>
      <c r="N129" s="11" t="s">
        <v>243</v>
      </c>
      <c r="O129" s="341"/>
      <c r="P129" s="339"/>
    </row>
    <row r="130" spans="1:17" ht="33" hidden="1">
      <c r="A130" s="333" t="s">
        <v>2157</v>
      </c>
      <c r="B130" s="334" t="s">
        <v>528</v>
      </c>
      <c r="C130" s="335" t="s">
        <v>6</v>
      </c>
      <c r="D130" s="336">
        <v>654.83000000000004</v>
      </c>
      <c r="E130" s="336">
        <f>估驗單!F123</f>
        <v>654.83000000000004</v>
      </c>
      <c r="F130" s="390">
        <f t="shared" si="8"/>
        <v>0</v>
      </c>
      <c r="G130" s="336">
        <v>3643.53</v>
      </c>
      <c r="H130" s="336"/>
      <c r="I130" s="336">
        <f t="shared" si="11"/>
        <v>2385892.75</v>
      </c>
      <c r="J130" s="336">
        <f t="shared" si="12"/>
        <v>2385892.75</v>
      </c>
      <c r="K130" s="546">
        <f t="shared" si="7"/>
        <v>0</v>
      </c>
      <c r="L130" s="502"/>
      <c r="M130" s="231" t="s">
        <v>242</v>
      </c>
      <c r="N130" s="11" t="s">
        <v>243</v>
      </c>
      <c r="O130" s="341"/>
      <c r="P130" s="339"/>
    </row>
    <row r="131" spans="1:17" ht="33" hidden="1">
      <c r="A131" s="333" t="s">
        <v>2158</v>
      </c>
      <c r="B131" s="334" t="s">
        <v>192</v>
      </c>
      <c r="C131" s="335" t="s">
        <v>17</v>
      </c>
      <c r="D131" s="336">
        <v>6240.88</v>
      </c>
      <c r="E131" s="336">
        <f>估驗單!F124</f>
        <v>6240.88</v>
      </c>
      <c r="F131" s="390">
        <f t="shared" si="8"/>
        <v>0</v>
      </c>
      <c r="G131" s="336">
        <v>36.4</v>
      </c>
      <c r="H131" s="336"/>
      <c r="I131" s="336">
        <f t="shared" si="11"/>
        <v>227168.03</v>
      </c>
      <c r="J131" s="336">
        <f t="shared" si="12"/>
        <v>227168.03</v>
      </c>
      <c r="K131" s="546">
        <f t="shared" si="7"/>
        <v>0</v>
      </c>
      <c r="L131" s="502"/>
      <c r="M131" s="231"/>
      <c r="N131" s="11" t="s">
        <v>243</v>
      </c>
      <c r="O131" s="341"/>
      <c r="P131" s="339"/>
    </row>
    <row r="132" spans="1:17" ht="33" hidden="1">
      <c r="A132" s="333" t="s">
        <v>2159</v>
      </c>
      <c r="B132" s="334" t="s">
        <v>530</v>
      </c>
      <c r="C132" s="335" t="s">
        <v>17</v>
      </c>
      <c r="D132" s="336">
        <v>102796.95</v>
      </c>
      <c r="E132" s="336">
        <f>估驗單!F125</f>
        <v>102796.95</v>
      </c>
      <c r="F132" s="390">
        <f t="shared" si="8"/>
        <v>0</v>
      </c>
      <c r="G132" s="336">
        <v>38.71</v>
      </c>
      <c r="H132" s="336"/>
      <c r="I132" s="336">
        <f t="shared" si="11"/>
        <v>3979269.93</v>
      </c>
      <c r="J132" s="336">
        <f t="shared" si="12"/>
        <v>3979269.93</v>
      </c>
      <c r="K132" s="546">
        <f t="shared" si="7"/>
        <v>0</v>
      </c>
      <c r="L132" s="502"/>
      <c r="M132" s="231"/>
      <c r="N132" s="11" t="s">
        <v>243</v>
      </c>
      <c r="O132" s="341"/>
      <c r="P132" s="339"/>
    </row>
    <row r="133" spans="1:17" ht="33" hidden="1">
      <c r="A133" s="333" t="s">
        <v>2160</v>
      </c>
      <c r="B133" s="334" t="s">
        <v>532</v>
      </c>
      <c r="C133" s="335" t="s">
        <v>13</v>
      </c>
      <c r="D133" s="336">
        <v>223.3</v>
      </c>
      <c r="E133" s="336">
        <f>估驗單!F126</f>
        <v>223.3</v>
      </c>
      <c r="F133" s="390">
        <f t="shared" si="8"/>
        <v>0</v>
      </c>
      <c r="G133" s="336">
        <v>1154.9100000000001</v>
      </c>
      <c r="H133" s="336"/>
      <c r="I133" s="336">
        <f t="shared" si="11"/>
        <v>257891.4</v>
      </c>
      <c r="J133" s="336">
        <f t="shared" si="12"/>
        <v>257891.4</v>
      </c>
      <c r="K133" s="546">
        <f t="shared" si="7"/>
        <v>0</v>
      </c>
      <c r="L133" s="502"/>
      <c r="M133" s="231"/>
      <c r="N133" s="11" t="s">
        <v>243</v>
      </c>
      <c r="O133" s="341"/>
      <c r="P133" s="339"/>
    </row>
    <row r="134" spans="1:17" ht="45" hidden="1">
      <c r="A134" s="503" t="s">
        <v>2161</v>
      </c>
      <c r="B134" s="504" t="s">
        <v>534</v>
      </c>
      <c r="C134" s="505" t="s">
        <v>13</v>
      </c>
      <c r="D134" s="506">
        <v>450.04</v>
      </c>
      <c r="E134" s="506">
        <f>估驗單!F127</f>
        <v>484.31400000000008</v>
      </c>
      <c r="F134" s="507">
        <f t="shared" si="8"/>
        <v>34.274000000000058</v>
      </c>
      <c r="G134" s="506">
        <v>982.93</v>
      </c>
      <c r="H134" s="506"/>
      <c r="I134" s="506">
        <f t="shared" si="11"/>
        <v>442357.82</v>
      </c>
      <c r="J134" s="506">
        <f t="shared" si="12"/>
        <v>476046.76</v>
      </c>
      <c r="K134" s="547">
        <f t="shared" si="7"/>
        <v>33688.94</v>
      </c>
      <c r="L134" s="510"/>
      <c r="M134" s="508"/>
      <c r="N134" s="11" t="s">
        <v>243</v>
      </c>
      <c r="O134" s="341" t="s">
        <v>3017</v>
      </c>
      <c r="P134" s="339"/>
      <c r="Q134" s="586" t="s">
        <v>3018</v>
      </c>
    </row>
    <row r="135" spans="1:17" ht="45" hidden="1">
      <c r="A135" s="503" t="s">
        <v>2162</v>
      </c>
      <c r="B135" s="504" t="s">
        <v>536</v>
      </c>
      <c r="C135" s="505" t="s">
        <v>13</v>
      </c>
      <c r="D135" s="506">
        <v>28.27</v>
      </c>
      <c r="E135" s="506">
        <f>估驗單!F128</f>
        <v>42.534999999999997</v>
      </c>
      <c r="F135" s="507">
        <f t="shared" si="8"/>
        <v>14.264999999999997</v>
      </c>
      <c r="G135" s="506">
        <v>804.75</v>
      </c>
      <c r="H135" s="506"/>
      <c r="I135" s="506">
        <f t="shared" si="11"/>
        <v>22750.28</v>
      </c>
      <c r="J135" s="506">
        <f t="shared" si="12"/>
        <v>34230.04</v>
      </c>
      <c r="K135" s="547">
        <f t="shared" si="7"/>
        <v>11479.760000000002</v>
      </c>
      <c r="L135" s="510"/>
      <c r="M135" s="508"/>
      <c r="N135" s="11" t="s">
        <v>243</v>
      </c>
      <c r="O135" s="341" t="s">
        <v>3017</v>
      </c>
      <c r="P135" s="339"/>
      <c r="Q135" s="586" t="s">
        <v>3018</v>
      </c>
    </row>
    <row r="136" spans="1:17" ht="33" hidden="1">
      <c r="A136" s="333" t="s">
        <v>2163</v>
      </c>
      <c r="B136" s="334" t="s">
        <v>538</v>
      </c>
      <c r="C136" s="335" t="s">
        <v>539</v>
      </c>
      <c r="D136" s="336">
        <v>25655</v>
      </c>
      <c r="E136" s="336">
        <f>估驗單!F129</f>
        <v>25655</v>
      </c>
      <c r="F136" s="390">
        <f t="shared" si="8"/>
        <v>0</v>
      </c>
      <c r="G136" s="336">
        <v>75</v>
      </c>
      <c r="H136" s="336"/>
      <c r="I136" s="336">
        <f t="shared" si="11"/>
        <v>1924125</v>
      </c>
      <c r="J136" s="336">
        <f t="shared" si="12"/>
        <v>1924125</v>
      </c>
      <c r="K136" s="546">
        <f t="shared" si="7"/>
        <v>0</v>
      </c>
      <c r="L136" s="502"/>
      <c r="M136" s="231" t="s">
        <v>242</v>
      </c>
      <c r="N136" s="11" t="s">
        <v>243</v>
      </c>
      <c r="O136" s="341"/>
      <c r="P136" s="339"/>
    </row>
    <row r="137" spans="1:17" ht="33" hidden="1">
      <c r="A137" s="333" t="s">
        <v>2164</v>
      </c>
      <c r="B137" s="334" t="s">
        <v>321</v>
      </c>
      <c r="C137" s="335" t="s">
        <v>17</v>
      </c>
      <c r="D137" s="336">
        <v>3691</v>
      </c>
      <c r="E137" s="336">
        <f>估驗單!F130</f>
        <v>3691</v>
      </c>
      <c r="F137" s="390">
        <f t="shared" si="8"/>
        <v>0</v>
      </c>
      <c r="G137" s="336">
        <v>60</v>
      </c>
      <c r="H137" s="336"/>
      <c r="I137" s="336">
        <f t="shared" si="11"/>
        <v>221460</v>
      </c>
      <c r="J137" s="336">
        <f t="shared" si="12"/>
        <v>221460</v>
      </c>
      <c r="K137" s="546">
        <f t="shared" si="7"/>
        <v>0</v>
      </c>
      <c r="L137" s="502"/>
      <c r="M137" s="231"/>
      <c r="N137" s="11" t="s">
        <v>243</v>
      </c>
      <c r="O137" s="341"/>
      <c r="P137" s="339"/>
    </row>
    <row r="138" spans="1:17" ht="33" hidden="1">
      <c r="A138" s="333" t="s">
        <v>2165</v>
      </c>
      <c r="B138" s="334" t="s">
        <v>323</v>
      </c>
      <c r="C138" s="335" t="s">
        <v>17</v>
      </c>
      <c r="D138" s="336">
        <v>3691</v>
      </c>
      <c r="E138" s="336">
        <f>估驗單!F131</f>
        <v>3691</v>
      </c>
      <c r="F138" s="390">
        <f t="shared" si="8"/>
        <v>0</v>
      </c>
      <c r="G138" s="336">
        <v>31.9</v>
      </c>
      <c r="H138" s="336"/>
      <c r="I138" s="336">
        <f t="shared" si="11"/>
        <v>117742.9</v>
      </c>
      <c r="J138" s="336">
        <f t="shared" si="12"/>
        <v>117742.9</v>
      </c>
      <c r="K138" s="546">
        <f t="shared" si="7"/>
        <v>0</v>
      </c>
      <c r="L138" s="502"/>
      <c r="M138" s="231" t="s">
        <v>242</v>
      </c>
      <c r="N138" s="11" t="s">
        <v>243</v>
      </c>
      <c r="O138" s="341"/>
      <c r="P138" s="339"/>
    </row>
    <row r="139" spans="1:17" ht="33" hidden="1">
      <c r="A139" s="333" t="s">
        <v>2166</v>
      </c>
      <c r="B139" s="334" t="s">
        <v>542</v>
      </c>
      <c r="C139" s="335" t="s">
        <v>17</v>
      </c>
      <c r="D139" s="336">
        <v>2162</v>
      </c>
      <c r="E139" s="336">
        <f>估驗單!F132</f>
        <v>2162</v>
      </c>
      <c r="F139" s="390">
        <f t="shared" si="8"/>
        <v>0</v>
      </c>
      <c r="G139" s="336">
        <v>278.08</v>
      </c>
      <c r="H139" s="336"/>
      <c r="I139" s="336">
        <f t="shared" si="11"/>
        <v>601208.96</v>
      </c>
      <c r="J139" s="336">
        <f t="shared" si="12"/>
        <v>601208.96</v>
      </c>
      <c r="K139" s="546">
        <f t="shared" si="7"/>
        <v>0</v>
      </c>
      <c r="L139" s="502"/>
      <c r="M139" s="231" t="s">
        <v>242</v>
      </c>
      <c r="N139" s="11" t="s">
        <v>243</v>
      </c>
      <c r="O139" s="341"/>
      <c r="P139" s="339"/>
    </row>
    <row r="140" spans="1:17" ht="33" hidden="1">
      <c r="A140" s="333" t="s">
        <v>2167</v>
      </c>
      <c r="B140" s="334" t="s">
        <v>544</v>
      </c>
      <c r="C140" s="335" t="s">
        <v>13</v>
      </c>
      <c r="D140" s="336">
        <v>99.7</v>
      </c>
      <c r="E140" s="336">
        <f>估驗單!F133</f>
        <v>99.7</v>
      </c>
      <c r="F140" s="390">
        <f t="shared" si="8"/>
        <v>0</v>
      </c>
      <c r="G140" s="336">
        <v>1399.92</v>
      </c>
      <c r="H140" s="336"/>
      <c r="I140" s="336">
        <f t="shared" si="11"/>
        <v>139572.01999999999</v>
      </c>
      <c r="J140" s="336">
        <f t="shared" si="12"/>
        <v>139572.01999999999</v>
      </c>
      <c r="K140" s="546">
        <f t="shared" si="7"/>
        <v>0</v>
      </c>
      <c r="L140" s="502"/>
      <c r="M140" s="231"/>
      <c r="N140" s="11" t="s">
        <v>243</v>
      </c>
      <c r="O140" s="341"/>
      <c r="P140" s="339"/>
    </row>
    <row r="141" spans="1:17" ht="57" hidden="1">
      <c r="A141" s="503" t="s">
        <v>2168</v>
      </c>
      <c r="B141" s="504" t="s">
        <v>325</v>
      </c>
      <c r="C141" s="505" t="s">
        <v>17</v>
      </c>
      <c r="D141" s="506">
        <v>95900</v>
      </c>
      <c r="E141" s="506">
        <f>估驗單!F134</f>
        <v>96604.35</v>
      </c>
      <c r="F141" s="507">
        <f t="shared" si="8"/>
        <v>704.35000000000582</v>
      </c>
      <c r="G141" s="506">
        <v>107.3</v>
      </c>
      <c r="H141" s="506"/>
      <c r="I141" s="506">
        <f t="shared" si="11"/>
        <v>10290070</v>
      </c>
      <c r="J141" s="506">
        <f t="shared" si="12"/>
        <v>10365646.76</v>
      </c>
      <c r="K141" s="547">
        <f t="shared" ref="K141:K204" si="13">J141-I141</f>
        <v>75576.759999999776</v>
      </c>
      <c r="L141" s="510"/>
      <c r="M141" s="508"/>
      <c r="N141" s="11" t="s">
        <v>243</v>
      </c>
      <c r="O141" s="341" t="s">
        <v>2992</v>
      </c>
      <c r="P141" s="339"/>
      <c r="Q141" s="756" t="s">
        <v>3016</v>
      </c>
    </row>
    <row r="142" spans="1:17" ht="33" hidden="1">
      <c r="A142" s="503" t="s">
        <v>2169</v>
      </c>
      <c r="B142" s="504" t="s">
        <v>222</v>
      </c>
      <c r="C142" s="505" t="s">
        <v>13</v>
      </c>
      <c r="D142" s="506">
        <v>438.86</v>
      </c>
      <c r="E142" s="506">
        <f>估驗單!F135</f>
        <v>611.66</v>
      </c>
      <c r="F142" s="507">
        <f t="shared" si="8"/>
        <v>172.79999999999995</v>
      </c>
      <c r="G142" s="506">
        <v>692.12</v>
      </c>
      <c r="H142" s="506"/>
      <c r="I142" s="506">
        <f t="shared" si="11"/>
        <v>303743.78000000003</v>
      </c>
      <c r="J142" s="506">
        <f t="shared" si="12"/>
        <v>423342.12</v>
      </c>
      <c r="K142" s="547">
        <f t="shared" si="13"/>
        <v>119598.33999999997</v>
      </c>
      <c r="L142" s="510"/>
      <c r="M142" s="508"/>
      <c r="N142" s="11" t="s">
        <v>243</v>
      </c>
      <c r="O142" s="341" t="s">
        <v>2953</v>
      </c>
      <c r="P142" s="339" t="s">
        <v>2929</v>
      </c>
      <c r="Q142" s="147" t="s">
        <v>2928</v>
      </c>
    </row>
    <row r="143" spans="1:17" ht="33" hidden="1">
      <c r="A143" s="333" t="s">
        <v>2170</v>
      </c>
      <c r="B143" s="334" t="s">
        <v>194</v>
      </c>
      <c r="C143" s="335" t="s">
        <v>23</v>
      </c>
      <c r="D143" s="336">
        <v>342.71</v>
      </c>
      <c r="E143" s="336">
        <f>估驗單!F136</f>
        <v>342.71</v>
      </c>
      <c r="F143" s="390">
        <f t="shared" si="8"/>
        <v>0</v>
      </c>
      <c r="G143" s="336">
        <v>48.28</v>
      </c>
      <c r="H143" s="336"/>
      <c r="I143" s="336">
        <f t="shared" si="11"/>
        <v>16546.04</v>
      </c>
      <c r="J143" s="336">
        <f t="shared" si="12"/>
        <v>16546.04</v>
      </c>
      <c r="K143" s="546">
        <f t="shared" si="13"/>
        <v>0</v>
      </c>
      <c r="L143" s="502"/>
      <c r="M143" s="231" t="s">
        <v>242</v>
      </c>
      <c r="N143" s="11" t="s">
        <v>243</v>
      </c>
      <c r="O143" s="341"/>
      <c r="P143" s="339"/>
    </row>
    <row r="144" spans="1:17" ht="33" hidden="1">
      <c r="A144" s="503" t="s">
        <v>2171</v>
      </c>
      <c r="B144" s="504" t="s">
        <v>205</v>
      </c>
      <c r="C144" s="505" t="s">
        <v>23</v>
      </c>
      <c r="D144" s="506">
        <v>231.09</v>
      </c>
      <c r="E144" s="506">
        <f>估驗單!F137</f>
        <v>0</v>
      </c>
      <c r="F144" s="510">
        <f t="shared" si="8"/>
        <v>-231.09</v>
      </c>
      <c r="G144" s="506">
        <v>721.02</v>
      </c>
      <c r="H144" s="506"/>
      <c r="I144" s="506">
        <f t="shared" si="11"/>
        <v>166620.51</v>
      </c>
      <c r="J144" s="506">
        <f t="shared" si="12"/>
        <v>0</v>
      </c>
      <c r="K144" s="547"/>
      <c r="L144" s="510">
        <f>J144-I144</f>
        <v>-166620.51</v>
      </c>
      <c r="M144" s="508" t="s">
        <v>242</v>
      </c>
      <c r="N144" s="11" t="s">
        <v>243</v>
      </c>
      <c r="O144" s="474" t="s">
        <v>3010</v>
      </c>
      <c r="P144" s="339"/>
      <c r="Q144" s="147" t="s">
        <v>3028</v>
      </c>
    </row>
    <row r="145" spans="1:16" ht="33" hidden="1">
      <c r="A145" s="333" t="s">
        <v>2172</v>
      </c>
      <c r="B145" s="334" t="s">
        <v>548</v>
      </c>
      <c r="C145" s="335" t="s">
        <v>13</v>
      </c>
      <c r="D145" s="336">
        <v>27956</v>
      </c>
      <c r="E145" s="336">
        <f>估驗單!F138</f>
        <v>27956</v>
      </c>
      <c r="F145" s="390">
        <f t="shared" si="8"/>
        <v>0</v>
      </c>
      <c r="G145" s="336">
        <v>28</v>
      </c>
      <c r="H145" s="336"/>
      <c r="I145" s="336">
        <f t="shared" si="11"/>
        <v>782768</v>
      </c>
      <c r="J145" s="336">
        <f t="shared" si="12"/>
        <v>782768</v>
      </c>
      <c r="K145" s="546">
        <f t="shared" si="13"/>
        <v>0</v>
      </c>
      <c r="L145" s="502"/>
      <c r="M145" s="231"/>
      <c r="N145" s="11" t="s">
        <v>243</v>
      </c>
      <c r="O145" s="341"/>
      <c r="P145" s="339"/>
    </row>
    <row r="146" spans="1:16" ht="33" hidden="1">
      <c r="A146" s="333" t="s">
        <v>2173</v>
      </c>
      <c r="B146" s="334" t="s">
        <v>2242</v>
      </c>
      <c r="C146" s="335" t="s">
        <v>8</v>
      </c>
      <c r="D146" s="336">
        <v>322</v>
      </c>
      <c r="E146" s="336">
        <f>估驗單!F139</f>
        <v>322</v>
      </c>
      <c r="F146" s="390">
        <f t="shared" si="8"/>
        <v>0</v>
      </c>
      <c r="G146" s="336">
        <v>19011.37</v>
      </c>
      <c r="H146" s="336"/>
      <c r="I146" s="336">
        <f t="shared" si="11"/>
        <v>6121661.1399999997</v>
      </c>
      <c r="J146" s="336">
        <f t="shared" si="12"/>
        <v>6121661.1399999997</v>
      </c>
      <c r="K146" s="546">
        <f t="shared" si="13"/>
        <v>0</v>
      </c>
      <c r="L146" s="502"/>
      <c r="M146" s="231"/>
      <c r="N146" s="11" t="s">
        <v>243</v>
      </c>
      <c r="O146" s="341"/>
      <c r="P146" s="339"/>
    </row>
    <row r="147" spans="1:16" ht="33" hidden="1">
      <c r="A147" s="333" t="s">
        <v>2174</v>
      </c>
      <c r="B147" s="334" t="s">
        <v>552</v>
      </c>
      <c r="C147" s="335" t="s">
        <v>13</v>
      </c>
      <c r="D147" s="336">
        <v>100</v>
      </c>
      <c r="E147" s="336">
        <f>估驗單!F140</f>
        <v>100</v>
      </c>
      <c r="F147" s="390">
        <f t="shared" si="8"/>
        <v>0</v>
      </c>
      <c r="G147" s="336">
        <v>373.08</v>
      </c>
      <c r="H147" s="336"/>
      <c r="I147" s="336">
        <f t="shared" si="11"/>
        <v>37308</v>
      </c>
      <c r="J147" s="336">
        <f t="shared" si="12"/>
        <v>37308</v>
      </c>
      <c r="K147" s="546">
        <f t="shared" si="13"/>
        <v>0</v>
      </c>
      <c r="L147" s="502"/>
      <c r="M147" s="231" t="s">
        <v>242</v>
      </c>
      <c r="N147" s="11" t="s">
        <v>243</v>
      </c>
      <c r="O147" s="341"/>
      <c r="P147" s="339"/>
    </row>
    <row r="148" spans="1:16" ht="33" hidden="1">
      <c r="A148" s="333" t="s">
        <v>2175</v>
      </c>
      <c r="B148" s="334" t="s">
        <v>554</v>
      </c>
      <c r="C148" s="335" t="s">
        <v>13</v>
      </c>
      <c r="D148" s="336">
        <v>83</v>
      </c>
      <c r="E148" s="336">
        <f>估驗單!F141</f>
        <v>83</v>
      </c>
      <c r="F148" s="390">
        <f t="shared" si="8"/>
        <v>0</v>
      </c>
      <c r="G148" s="336">
        <v>616.49</v>
      </c>
      <c r="H148" s="336"/>
      <c r="I148" s="336">
        <f t="shared" si="11"/>
        <v>51168.67</v>
      </c>
      <c r="J148" s="336">
        <f t="shared" si="12"/>
        <v>51168.67</v>
      </c>
      <c r="K148" s="546">
        <f t="shared" si="13"/>
        <v>0</v>
      </c>
      <c r="L148" s="502"/>
      <c r="M148" s="231" t="s">
        <v>242</v>
      </c>
      <c r="N148" s="11" t="s">
        <v>243</v>
      </c>
      <c r="O148" s="341"/>
      <c r="P148" s="339"/>
    </row>
    <row r="149" spans="1:16" ht="33" hidden="1">
      <c r="A149" s="333" t="s">
        <v>2177</v>
      </c>
      <c r="B149" s="334" t="s">
        <v>556</v>
      </c>
      <c r="C149" s="335" t="s">
        <v>13</v>
      </c>
      <c r="D149" s="336">
        <v>2.1</v>
      </c>
      <c r="E149" s="336">
        <f>估驗單!F142</f>
        <v>2.1</v>
      </c>
      <c r="F149" s="390">
        <f t="shared" si="8"/>
        <v>0</v>
      </c>
      <c r="G149" s="336">
        <v>1874.26</v>
      </c>
      <c r="H149" s="336"/>
      <c r="I149" s="336">
        <f t="shared" si="11"/>
        <v>3935.95</v>
      </c>
      <c r="J149" s="336">
        <f t="shared" si="12"/>
        <v>3935.95</v>
      </c>
      <c r="K149" s="546">
        <f t="shared" si="13"/>
        <v>0</v>
      </c>
      <c r="L149" s="502"/>
      <c r="M149" s="231" t="s">
        <v>242</v>
      </c>
      <c r="N149" s="11" t="s">
        <v>243</v>
      </c>
      <c r="O149" s="341"/>
      <c r="P149" s="339"/>
    </row>
    <row r="150" spans="1:16" ht="33" hidden="1">
      <c r="A150" s="333" t="s">
        <v>2178</v>
      </c>
      <c r="B150" s="334" t="s">
        <v>558</v>
      </c>
      <c r="C150" s="335" t="s">
        <v>8</v>
      </c>
      <c r="D150" s="336">
        <v>62</v>
      </c>
      <c r="E150" s="336">
        <f>估驗單!F143</f>
        <v>62</v>
      </c>
      <c r="F150" s="390">
        <f t="shared" si="8"/>
        <v>0</v>
      </c>
      <c r="G150" s="336">
        <v>2388.4299999999998</v>
      </c>
      <c r="H150" s="336"/>
      <c r="I150" s="336">
        <f t="shared" si="11"/>
        <v>148082.66</v>
      </c>
      <c r="J150" s="336">
        <f t="shared" si="12"/>
        <v>148082.66</v>
      </c>
      <c r="K150" s="546">
        <f t="shared" si="13"/>
        <v>0</v>
      </c>
      <c r="L150" s="502"/>
      <c r="M150" s="231"/>
      <c r="N150" s="11" t="s">
        <v>243</v>
      </c>
      <c r="O150" s="341"/>
      <c r="P150" s="339"/>
    </row>
    <row r="151" spans="1:16" ht="33" hidden="1">
      <c r="A151" s="333" t="s">
        <v>2179</v>
      </c>
      <c r="B151" s="334" t="s">
        <v>560</v>
      </c>
      <c r="C151" s="335" t="s">
        <v>8</v>
      </c>
      <c r="D151" s="336">
        <v>33</v>
      </c>
      <c r="E151" s="336">
        <f>估驗單!F144</f>
        <v>33</v>
      </c>
      <c r="F151" s="390">
        <f t="shared" si="8"/>
        <v>0</v>
      </c>
      <c r="G151" s="336">
        <v>12777.68</v>
      </c>
      <c r="H151" s="336"/>
      <c r="I151" s="336">
        <f t="shared" si="11"/>
        <v>421663.44</v>
      </c>
      <c r="J151" s="336">
        <f t="shared" si="12"/>
        <v>421663.44</v>
      </c>
      <c r="K151" s="546">
        <f t="shared" si="13"/>
        <v>0</v>
      </c>
      <c r="L151" s="502"/>
      <c r="M151" s="231"/>
      <c r="N151" s="11" t="s">
        <v>243</v>
      </c>
      <c r="O151" s="341"/>
      <c r="P151" s="339"/>
    </row>
    <row r="152" spans="1:16" ht="33" hidden="1">
      <c r="A152" s="333" t="s">
        <v>2181</v>
      </c>
      <c r="B152" s="334" t="s">
        <v>562</v>
      </c>
      <c r="C152" s="335" t="s">
        <v>8</v>
      </c>
      <c r="D152" s="336">
        <v>32.6</v>
      </c>
      <c r="E152" s="336">
        <f>估驗單!F145</f>
        <v>32.6</v>
      </c>
      <c r="F152" s="390">
        <f t="shared" si="8"/>
        <v>0</v>
      </c>
      <c r="G152" s="336">
        <v>71914.34</v>
      </c>
      <c r="H152" s="336"/>
      <c r="I152" s="336">
        <f t="shared" si="11"/>
        <v>2344407.48</v>
      </c>
      <c r="J152" s="336">
        <f t="shared" si="12"/>
        <v>2344407.48</v>
      </c>
      <c r="K152" s="546">
        <f t="shared" si="13"/>
        <v>0</v>
      </c>
      <c r="L152" s="502"/>
      <c r="M152" s="231"/>
      <c r="N152" s="11" t="s">
        <v>243</v>
      </c>
      <c r="O152" s="341"/>
      <c r="P152" s="339"/>
    </row>
    <row r="153" spans="1:16" ht="33" hidden="1">
      <c r="A153" s="333" t="s">
        <v>2182</v>
      </c>
      <c r="B153" s="334" t="s">
        <v>564</v>
      </c>
      <c r="C153" s="335" t="s">
        <v>8</v>
      </c>
      <c r="D153" s="336">
        <v>32.6</v>
      </c>
      <c r="E153" s="336">
        <f>估驗單!F146</f>
        <v>32.6</v>
      </c>
      <c r="F153" s="390">
        <f t="shared" si="8"/>
        <v>0</v>
      </c>
      <c r="G153" s="336">
        <v>189793.78</v>
      </c>
      <c r="H153" s="336"/>
      <c r="I153" s="336">
        <f t="shared" si="11"/>
        <v>6187277.2300000004</v>
      </c>
      <c r="J153" s="336">
        <f t="shared" si="12"/>
        <v>6187277.2300000004</v>
      </c>
      <c r="K153" s="546">
        <f t="shared" si="13"/>
        <v>0</v>
      </c>
      <c r="L153" s="502"/>
      <c r="M153" s="231"/>
      <c r="N153" s="11" t="s">
        <v>243</v>
      </c>
      <c r="O153" s="341"/>
      <c r="P153" s="339"/>
    </row>
    <row r="154" spans="1:16" ht="33" hidden="1">
      <c r="A154" s="333" t="s">
        <v>2183</v>
      </c>
      <c r="B154" s="334" t="s">
        <v>567</v>
      </c>
      <c r="C154" s="335" t="s">
        <v>0</v>
      </c>
      <c r="D154" s="336">
        <v>1</v>
      </c>
      <c r="E154" s="336">
        <f>估驗單!F147</f>
        <v>1</v>
      </c>
      <c r="F154" s="390">
        <f t="shared" si="8"/>
        <v>0</v>
      </c>
      <c r="G154" s="336">
        <v>78208.240000000005</v>
      </c>
      <c r="H154" s="336"/>
      <c r="I154" s="336">
        <f t="shared" si="11"/>
        <v>78208.240000000005</v>
      </c>
      <c r="J154" s="336">
        <f t="shared" si="12"/>
        <v>78208.240000000005</v>
      </c>
      <c r="K154" s="546">
        <f t="shared" si="13"/>
        <v>0</v>
      </c>
      <c r="L154" s="502"/>
      <c r="M154" s="231"/>
      <c r="N154" s="11" t="s">
        <v>243</v>
      </c>
      <c r="O154" s="341"/>
      <c r="P154" s="339"/>
    </row>
    <row r="155" spans="1:16" ht="33" hidden="1">
      <c r="A155" s="333" t="s">
        <v>2184</v>
      </c>
      <c r="B155" s="334" t="s">
        <v>570</v>
      </c>
      <c r="C155" s="335" t="s">
        <v>8</v>
      </c>
      <c r="D155" s="336">
        <v>9.6</v>
      </c>
      <c r="E155" s="336">
        <f>估驗單!F148</f>
        <v>9.6</v>
      </c>
      <c r="F155" s="390">
        <f t="shared" si="8"/>
        <v>0</v>
      </c>
      <c r="G155" s="336">
        <v>4213.4799999999996</v>
      </c>
      <c r="H155" s="336"/>
      <c r="I155" s="336">
        <f t="shared" si="11"/>
        <v>40449.410000000003</v>
      </c>
      <c r="J155" s="336">
        <f t="shared" si="12"/>
        <v>40449.410000000003</v>
      </c>
      <c r="K155" s="546">
        <f t="shared" si="13"/>
        <v>0</v>
      </c>
      <c r="L155" s="502"/>
      <c r="M155" s="231"/>
      <c r="N155" s="11" t="s">
        <v>243</v>
      </c>
      <c r="O155" s="341"/>
      <c r="P155" s="339"/>
    </row>
    <row r="156" spans="1:16" ht="33" hidden="1">
      <c r="A156" s="333" t="s">
        <v>2185</v>
      </c>
      <c r="B156" s="334" t="s">
        <v>573</v>
      </c>
      <c r="C156" s="335" t="s">
        <v>0</v>
      </c>
      <c r="D156" s="336">
        <v>1</v>
      </c>
      <c r="E156" s="336">
        <f>估驗單!F149</f>
        <v>1</v>
      </c>
      <c r="F156" s="390">
        <f t="shared" si="8"/>
        <v>0</v>
      </c>
      <c r="G156" s="336">
        <v>2005.23</v>
      </c>
      <c r="H156" s="336"/>
      <c r="I156" s="336">
        <f t="shared" si="11"/>
        <v>2005.23</v>
      </c>
      <c r="J156" s="336">
        <f t="shared" si="12"/>
        <v>2005.23</v>
      </c>
      <c r="K156" s="546">
        <f t="shared" si="13"/>
        <v>0</v>
      </c>
      <c r="L156" s="502"/>
      <c r="M156" s="231" t="s">
        <v>242</v>
      </c>
      <c r="N156" s="11" t="s">
        <v>243</v>
      </c>
      <c r="O156" s="341"/>
      <c r="P156" s="339"/>
    </row>
    <row r="157" spans="1:16" ht="33" hidden="1">
      <c r="A157" s="333" t="s">
        <v>2186</v>
      </c>
      <c r="B157" s="334" t="s">
        <v>576</v>
      </c>
      <c r="C157" s="335" t="s">
        <v>8</v>
      </c>
      <c r="D157" s="336">
        <v>32.6</v>
      </c>
      <c r="E157" s="336">
        <f>估驗單!F150</f>
        <v>32.6</v>
      </c>
      <c r="F157" s="390">
        <f t="shared" ref="F157:F220" si="14">E157-D157</f>
        <v>0</v>
      </c>
      <c r="G157" s="336">
        <v>21727.78</v>
      </c>
      <c r="H157" s="336"/>
      <c r="I157" s="336">
        <f t="shared" si="11"/>
        <v>708325.63</v>
      </c>
      <c r="J157" s="336">
        <f t="shared" si="12"/>
        <v>708325.63</v>
      </c>
      <c r="K157" s="546">
        <f t="shared" si="13"/>
        <v>0</v>
      </c>
      <c r="L157" s="502"/>
      <c r="M157" s="231"/>
      <c r="N157" s="11" t="s">
        <v>243</v>
      </c>
      <c r="O157" s="341"/>
      <c r="P157" s="339"/>
    </row>
    <row r="158" spans="1:16" ht="33" hidden="1">
      <c r="A158" s="333" t="s">
        <v>2187</v>
      </c>
      <c r="B158" s="334" t="s">
        <v>579</v>
      </c>
      <c r="C158" s="335" t="s">
        <v>8</v>
      </c>
      <c r="D158" s="336">
        <v>32.6</v>
      </c>
      <c r="E158" s="336">
        <f>估驗單!F151</f>
        <v>32.6</v>
      </c>
      <c r="F158" s="390">
        <f t="shared" si="14"/>
        <v>0</v>
      </c>
      <c r="G158" s="336">
        <v>15955.67</v>
      </c>
      <c r="H158" s="336"/>
      <c r="I158" s="336">
        <f t="shared" si="11"/>
        <v>520154.84</v>
      </c>
      <c r="J158" s="336">
        <f t="shared" si="12"/>
        <v>520154.84</v>
      </c>
      <c r="K158" s="546">
        <f t="shared" si="13"/>
        <v>0</v>
      </c>
      <c r="L158" s="502"/>
      <c r="M158" s="231"/>
      <c r="N158" s="11" t="s">
        <v>243</v>
      </c>
      <c r="O158" s="341"/>
      <c r="P158" s="339"/>
    </row>
    <row r="159" spans="1:16" ht="33" hidden="1">
      <c r="A159" s="333" t="s">
        <v>2188</v>
      </c>
      <c r="B159" s="334" t="s">
        <v>582</v>
      </c>
      <c r="C159" s="335" t="s">
        <v>583</v>
      </c>
      <c r="D159" s="336">
        <v>4</v>
      </c>
      <c r="E159" s="336">
        <f>估驗單!F152</f>
        <v>4</v>
      </c>
      <c r="F159" s="390">
        <f t="shared" si="14"/>
        <v>0</v>
      </c>
      <c r="G159" s="336">
        <v>299.98</v>
      </c>
      <c r="H159" s="336"/>
      <c r="I159" s="336">
        <f t="shared" si="11"/>
        <v>1199.92</v>
      </c>
      <c r="J159" s="336">
        <f t="shared" si="12"/>
        <v>1199.92</v>
      </c>
      <c r="K159" s="546">
        <f t="shared" si="13"/>
        <v>0</v>
      </c>
      <c r="L159" s="502"/>
      <c r="M159" s="231"/>
      <c r="N159" s="11" t="s">
        <v>243</v>
      </c>
      <c r="O159" s="341"/>
      <c r="P159" s="339"/>
    </row>
    <row r="160" spans="1:16" ht="33" hidden="1">
      <c r="A160" s="343" t="s">
        <v>2189</v>
      </c>
      <c r="B160" s="344" t="s">
        <v>2346</v>
      </c>
      <c r="C160" s="345" t="s">
        <v>8</v>
      </c>
      <c r="D160" s="340">
        <v>4.8</v>
      </c>
      <c r="E160" s="336">
        <f>估驗單!F153</f>
        <v>4.8</v>
      </c>
      <c r="F160" s="390">
        <f t="shared" si="14"/>
        <v>0</v>
      </c>
      <c r="G160" s="340">
        <v>119.99</v>
      </c>
      <c r="H160" s="340"/>
      <c r="I160" s="336">
        <f t="shared" si="11"/>
        <v>575.95000000000005</v>
      </c>
      <c r="J160" s="336">
        <f t="shared" si="12"/>
        <v>575.95000000000005</v>
      </c>
      <c r="K160" s="546">
        <f t="shared" si="13"/>
        <v>0</v>
      </c>
      <c r="L160" s="502"/>
      <c r="M160" s="346"/>
      <c r="N160" s="347" t="s">
        <v>243</v>
      </c>
      <c r="O160" s="354"/>
      <c r="P160" s="322"/>
    </row>
    <row r="161" spans="1:19" ht="33" hidden="1">
      <c r="A161" s="333" t="s">
        <v>2190</v>
      </c>
      <c r="B161" s="334" t="s">
        <v>589</v>
      </c>
      <c r="C161" s="335" t="s">
        <v>0</v>
      </c>
      <c r="D161" s="336">
        <v>1</v>
      </c>
      <c r="E161" s="336">
        <f>估驗單!F154</f>
        <v>1</v>
      </c>
      <c r="F161" s="390">
        <f t="shared" si="14"/>
        <v>0</v>
      </c>
      <c r="G161" s="336">
        <v>849172.02</v>
      </c>
      <c r="H161" s="336"/>
      <c r="I161" s="336">
        <f t="shared" si="11"/>
        <v>849172.02</v>
      </c>
      <c r="J161" s="336">
        <f t="shared" si="12"/>
        <v>849172.02</v>
      </c>
      <c r="K161" s="546">
        <f t="shared" si="13"/>
        <v>0</v>
      </c>
      <c r="L161" s="502"/>
      <c r="M161" s="231"/>
      <c r="N161" s="11" t="s">
        <v>243</v>
      </c>
      <c r="O161" s="341"/>
      <c r="P161" s="339"/>
    </row>
    <row r="162" spans="1:19" ht="33" hidden="1">
      <c r="A162" s="333" t="s">
        <v>2191</v>
      </c>
      <c r="B162" s="334" t="s">
        <v>592</v>
      </c>
      <c r="C162" s="335" t="s">
        <v>0</v>
      </c>
      <c r="D162" s="336">
        <v>1</v>
      </c>
      <c r="E162" s="336">
        <f>估驗單!F155</f>
        <v>1</v>
      </c>
      <c r="F162" s="390">
        <f t="shared" si="14"/>
        <v>0</v>
      </c>
      <c r="G162" s="336">
        <v>2066157.04</v>
      </c>
      <c r="H162" s="336"/>
      <c r="I162" s="336">
        <f t="shared" si="11"/>
        <v>2066157.04</v>
      </c>
      <c r="J162" s="336">
        <f t="shared" si="12"/>
        <v>2066157.04</v>
      </c>
      <c r="K162" s="546">
        <f t="shared" si="13"/>
        <v>0</v>
      </c>
      <c r="L162" s="502"/>
      <c r="M162" s="231" t="s">
        <v>242</v>
      </c>
      <c r="N162" s="11" t="s">
        <v>243</v>
      </c>
      <c r="O162" s="341"/>
      <c r="P162" s="339"/>
    </row>
    <row r="163" spans="1:19" ht="33" hidden="1" customHeight="1">
      <c r="A163" s="333" t="s">
        <v>2192</v>
      </c>
      <c r="B163" s="334" t="s">
        <v>1360</v>
      </c>
      <c r="C163" s="335" t="s">
        <v>606</v>
      </c>
      <c r="D163" s="336">
        <v>2</v>
      </c>
      <c r="E163" s="336">
        <f>估驗單!F156</f>
        <v>2</v>
      </c>
      <c r="F163" s="390">
        <f t="shared" si="14"/>
        <v>0</v>
      </c>
      <c r="G163" s="336">
        <v>201796.15</v>
      </c>
      <c r="H163" s="336"/>
      <c r="I163" s="336">
        <f t="shared" si="11"/>
        <v>403592.3</v>
      </c>
      <c r="J163" s="336">
        <f t="shared" si="12"/>
        <v>403592.3</v>
      </c>
      <c r="K163" s="546">
        <f t="shared" si="13"/>
        <v>0</v>
      </c>
      <c r="L163" s="502"/>
      <c r="M163" s="231" t="s">
        <v>242</v>
      </c>
      <c r="N163" s="11" t="s">
        <v>243</v>
      </c>
      <c r="O163" s="341"/>
      <c r="P163" s="339"/>
    </row>
    <row r="164" spans="1:19" s="356" customFormat="1" ht="33" hidden="1" customHeight="1">
      <c r="A164" s="343">
        <v>38</v>
      </c>
      <c r="B164" s="344" t="s">
        <v>2347</v>
      </c>
      <c r="C164" s="345" t="s">
        <v>2348</v>
      </c>
      <c r="D164" s="340">
        <v>96850</v>
      </c>
      <c r="E164" s="336">
        <f>估驗單!F157</f>
        <v>96850</v>
      </c>
      <c r="F164" s="390">
        <f t="shared" si="14"/>
        <v>0</v>
      </c>
      <c r="G164" s="340">
        <v>16.21</v>
      </c>
      <c r="H164" s="340"/>
      <c r="I164" s="336">
        <f t="shared" si="11"/>
        <v>1569938.5</v>
      </c>
      <c r="J164" s="336">
        <f t="shared" si="12"/>
        <v>1569938.5</v>
      </c>
      <c r="K164" s="546">
        <f t="shared" si="13"/>
        <v>0</v>
      </c>
      <c r="L164" s="502"/>
      <c r="M164" s="757"/>
      <c r="N164" s="347"/>
      <c r="O164" s="517"/>
      <c r="P164" s="349"/>
      <c r="Q164" s="325"/>
    </row>
    <row r="165" spans="1:19" s="359" customFormat="1" ht="33" hidden="1" customHeight="1">
      <c r="A165" s="343">
        <v>39</v>
      </c>
      <c r="B165" s="344" t="s">
        <v>2352</v>
      </c>
      <c r="C165" s="345" t="s">
        <v>2353</v>
      </c>
      <c r="D165" s="340">
        <v>18</v>
      </c>
      <c r="E165" s="336">
        <f>估驗單!F158</f>
        <v>18</v>
      </c>
      <c r="F165" s="390">
        <f t="shared" si="14"/>
        <v>0</v>
      </c>
      <c r="G165" s="340">
        <v>79587.17</v>
      </c>
      <c r="H165" s="340"/>
      <c r="I165" s="336">
        <f t="shared" si="11"/>
        <v>1432569.06</v>
      </c>
      <c r="J165" s="336">
        <f t="shared" si="12"/>
        <v>1432569.06</v>
      </c>
      <c r="K165" s="546">
        <f t="shared" si="13"/>
        <v>0</v>
      </c>
      <c r="L165" s="502"/>
      <c r="M165" s="346"/>
      <c r="N165" s="357"/>
      <c r="O165" s="355"/>
      <c r="P165" s="349"/>
      <c r="Q165" s="358"/>
      <c r="S165" s="359" t="s">
        <v>2357</v>
      </c>
    </row>
    <row r="166" spans="1:19" ht="33">
      <c r="A166" s="406" t="s">
        <v>2243</v>
      </c>
      <c r="B166" s="407" t="s">
        <v>594</v>
      </c>
      <c r="C166" s="408" t="s">
        <v>4</v>
      </c>
      <c r="D166" s="409"/>
      <c r="E166" s="409">
        <f>估驗單!F159</f>
        <v>0</v>
      </c>
      <c r="F166" s="410">
        <f t="shared" si="14"/>
        <v>0</v>
      </c>
      <c r="G166" s="409">
        <f>I166</f>
        <v>31723888.269999996</v>
      </c>
      <c r="H166" s="409"/>
      <c r="I166" s="448">
        <f>SUM(I167:I194)</f>
        <v>31723888.269999996</v>
      </c>
      <c r="J166" s="448">
        <f>SUM(J167:J194)</f>
        <v>35058442.640000001</v>
      </c>
      <c r="K166" s="543">
        <f>SUM(K167:K194)</f>
        <v>3573708.53</v>
      </c>
      <c r="L166" s="452">
        <f>SUM(L167:L194)</f>
        <v>-239154.16</v>
      </c>
      <c r="M166" s="288" t="s">
        <v>242</v>
      </c>
      <c r="N166" s="11" t="s">
        <v>243</v>
      </c>
      <c r="O166" s="785">
        <f>K166+L166</f>
        <v>3334554.3699999996</v>
      </c>
      <c r="P166" s="339"/>
    </row>
    <row r="167" spans="1:19" ht="33" hidden="1">
      <c r="A167" s="333" t="s">
        <v>2154</v>
      </c>
      <c r="B167" s="334" t="s">
        <v>315</v>
      </c>
      <c r="C167" s="335" t="s">
        <v>6</v>
      </c>
      <c r="D167" s="336">
        <v>22</v>
      </c>
      <c r="E167" s="336">
        <f>估驗單!F160</f>
        <v>22</v>
      </c>
      <c r="F167" s="390">
        <f t="shared" si="14"/>
        <v>0</v>
      </c>
      <c r="G167" s="336">
        <v>3114.97</v>
      </c>
      <c r="H167" s="336"/>
      <c r="I167" s="336">
        <f t="shared" ref="I167:I194" si="15">ROUND(D167*G167,2)</f>
        <v>68529.34</v>
      </c>
      <c r="J167" s="336">
        <f t="shared" ref="J167:J194" si="16">ROUND(E167*G167,2)</f>
        <v>68529.34</v>
      </c>
      <c r="K167" s="546">
        <f t="shared" si="13"/>
        <v>0</v>
      </c>
      <c r="L167" s="502"/>
      <c r="M167" s="231" t="s">
        <v>242</v>
      </c>
      <c r="N167" s="11" t="s">
        <v>243</v>
      </c>
      <c r="O167" s="341"/>
      <c r="P167" s="339"/>
    </row>
    <row r="168" spans="1:19" ht="33" hidden="1">
      <c r="A168" s="333" t="s">
        <v>2155</v>
      </c>
      <c r="B168" s="334" t="s">
        <v>24</v>
      </c>
      <c r="C168" s="335" t="s">
        <v>6</v>
      </c>
      <c r="D168" s="336">
        <v>302</v>
      </c>
      <c r="E168" s="336">
        <f>估驗單!F161</f>
        <v>302</v>
      </c>
      <c r="F168" s="390">
        <f t="shared" si="14"/>
        <v>0</v>
      </c>
      <c r="G168" s="336">
        <v>3320.96</v>
      </c>
      <c r="H168" s="336"/>
      <c r="I168" s="336">
        <f t="shared" si="15"/>
        <v>1002929.92</v>
      </c>
      <c r="J168" s="336">
        <f t="shared" si="16"/>
        <v>1002929.92</v>
      </c>
      <c r="K168" s="546"/>
      <c r="L168" s="453"/>
      <c r="M168" s="234"/>
      <c r="N168" s="11" t="s">
        <v>243</v>
      </c>
      <c r="O168" s="338"/>
      <c r="P168" s="339"/>
    </row>
    <row r="169" spans="1:19" ht="33" hidden="1">
      <c r="A169" s="333" t="s">
        <v>2156</v>
      </c>
      <c r="B169" s="334" t="s">
        <v>528</v>
      </c>
      <c r="C169" s="335" t="s">
        <v>6</v>
      </c>
      <c r="D169" s="336">
        <v>0</v>
      </c>
      <c r="E169" s="336">
        <f>估驗單!F162</f>
        <v>0</v>
      </c>
      <c r="F169" s="390">
        <f t="shared" si="14"/>
        <v>0</v>
      </c>
      <c r="G169" s="340">
        <v>3643.53</v>
      </c>
      <c r="H169" s="340"/>
      <c r="I169" s="336">
        <f t="shared" si="15"/>
        <v>0</v>
      </c>
      <c r="J169" s="336">
        <f t="shared" si="16"/>
        <v>0</v>
      </c>
      <c r="K169" s="546">
        <f t="shared" si="13"/>
        <v>0</v>
      </c>
      <c r="L169" s="502"/>
      <c r="M169" s="231" t="s">
        <v>242</v>
      </c>
      <c r="N169" s="11" t="s">
        <v>243</v>
      </c>
      <c r="O169" s="341"/>
      <c r="P169" s="339"/>
      <c r="Q169" s="358"/>
    </row>
    <row r="170" spans="1:19" ht="33" hidden="1">
      <c r="A170" s="503" t="s">
        <v>2157</v>
      </c>
      <c r="B170" s="504" t="s">
        <v>595</v>
      </c>
      <c r="C170" s="505" t="s">
        <v>6</v>
      </c>
      <c r="D170" s="506">
        <v>1090</v>
      </c>
      <c r="E170" s="506">
        <f>估驗單!F163</f>
        <v>1501.8982857142857</v>
      </c>
      <c r="F170" s="507">
        <f t="shared" si="14"/>
        <v>411.89828571428575</v>
      </c>
      <c r="G170" s="506">
        <v>199.99</v>
      </c>
      <c r="H170" s="506"/>
      <c r="I170" s="506">
        <f t="shared" si="15"/>
        <v>217989.1</v>
      </c>
      <c r="J170" s="506">
        <f t="shared" si="16"/>
        <v>300364.64</v>
      </c>
      <c r="K170" s="547">
        <f t="shared" si="13"/>
        <v>82375.540000000008</v>
      </c>
      <c r="L170" s="510"/>
      <c r="M170" s="508" t="s">
        <v>242</v>
      </c>
      <c r="N170" s="11" t="s">
        <v>243</v>
      </c>
      <c r="O170" s="341"/>
      <c r="P170" s="339"/>
      <c r="Q170" s="245" t="s">
        <v>3029</v>
      </c>
    </row>
    <row r="171" spans="1:19" ht="71.25" hidden="1">
      <c r="A171" s="503" t="s">
        <v>2158</v>
      </c>
      <c r="B171" s="504" t="s">
        <v>534</v>
      </c>
      <c r="C171" s="505" t="s">
        <v>13</v>
      </c>
      <c r="D171" s="506">
        <v>1203</v>
      </c>
      <c r="E171" s="506">
        <f>估驗單!F164</f>
        <v>1274.9890000000003</v>
      </c>
      <c r="F171" s="507">
        <f t="shared" si="14"/>
        <v>71.98900000000026</v>
      </c>
      <c r="G171" s="506">
        <v>982.93</v>
      </c>
      <c r="H171" s="506"/>
      <c r="I171" s="506">
        <f t="shared" si="15"/>
        <v>1182464.79</v>
      </c>
      <c r="J171" s="506">
        <f t="shared" si="16"/>
        <v>1253224.94</v>
      </c>
      <c r="K171" s="547">
        <f t="shared" si="13"/>
        <v>70760.149999999907</v>
      </c>
      <c r="L171" s="510"/>
      <c r="M171" s="508"/>
      <c r="N171" s="11" t="s">
        <v>243</v>
      </c>
      <c r="O171" s="341" t="s">
        <v>3032</v>
      </c>
      <c r="P171" s="339" t="s">
        <v>2927</v>
      </c>
      <c r="Q171" s="758" t="s">
        <v>3036</v>
      </c>
    </row>
    <row r="172" spans="1:19" ht="71.25" hidden="1">
      <c r="A172" s="503" t="s">
        <v>2159</v>
      </c>
      <c r="B172" s="504" t="s">
        <v>536</v>
      </c>
      <c r="C172" s="505" t="s">
        <v>13</v>
      </c>
      <c r="D172" s="506">
        <v>393</v>
      </c>
      <c r="E172" s="506">
        <f>估驗單!F165</f>
        <v>821.92359999999985</v>
      </c>
      <c r="F172" s="507">
        <f t="shared" si="14"/>
        <v>428.92359999999985</v>
      </c>
      <c r="G172" s="506">
        <v>804.75</v>
      </c>
      <c r="H172" s="506"/>
      <c r="I172" s="506">
        <f t="shared" si="15"/>
        <v>316266.75</v>
      </c>
      <c r="J172" s="506">
        <f t="shared" si="16"/>
        <v>661443.02</v>
      </c>
      <c r="K172" s="547">
        <f t="shared" si="13"/>
        <v>345176.27</v>
      </c>
      <c r="L172" s="510"/>
      <c r="M172" s="508"/>
      <c r="N172" s="11" t="s">
        <v>243</v>
      </c>
      <c r="O172" s="341" t="s">
        <v>3032</v>
      </c>
      <c r="P172" s="339" t="s">
        <v>2927</v>
      </c>
      <c r="Q172" s="758" t="s">
        <v>3036</v>
      </c>
    </row>
    <row r="173" spans="1:19" ht="71.25" hidden="1">
      <c r="A173" s="503" t="s">
        <v>2160</v>
      </c>
      <c r="B173" s="504" t="s">
        <v>192</v>
      </c>
      <c r="C173" s="505" t="s">
        <v>17</v>
      </c>
      <c r="D173" s="506">
        <v>13138</v>
      </c>
      <c r="E173" s="506">
        <f>估驗單!F166</f>
        <v>35217.512975700003</v>
      </c>
      <c r="F173" s="507">
        <f t="shared" si="14"/>
        <v>22079.512975700003</v>
      </c>
      <c r="G173" s="506">
        <v>36.4</v>
      </c>
      <c r="H173" s="506"/>
      <c r="I173" s="506">
        <f t="shared" si="15"/>
        <v>478223.2</v>
      </c>
      <c r="J173" s="506">
        <f t="shared" si="16"/>
        <v>1281917.47</v>
      </c>
      <c r="K173" s="547">
        <f t="shared" si="13"/>
        <v>803694.27</v>
      </c>
      <c r="L173" s="510"/>
      <c r="M173" s="508"/>
      <c r="N173" s="11" t="s">
        <v>243</v>
      </c>
      <c r="O173" s="341" t="s">
        <v>3032</v>
      </c>
      <c r="P173" s="339" t="s">
        <v>2927</v>
      </c>
      <c r="Q173" s="758" t="s">
        <v>3038</v>
      </c>
    </row>
    <row r="174" spans="1:19" ht="99.75" hidden="1">
      <c r="A174" s="503" t="s">
        <v>2161</v>
      </c>
      <c r="B174" s="504" t="s">
        <v>530</v>
      </c>
      <c r="C174" s="505" t="s">
        <v>17</v>
      </c>
      <c r="D174" s="506">
        <v>15589</v>
      </c>
      <c r="E174" s="506">
        <f>估驗單!F167</f>
        <v>25125.1749375</v>
      </c>
      <c r="F174" s="507">
        <f t="shared" si="14"/>
        <v>9536.1749374999999</v>
      </c>
      <c r="G174" s="506">
        <v>38.71</v>
      </c>
      <c r="H174" s="506"/>
      <c r="I174" s="506">
        <f t="shared" si="15"/>
        <v>603450.18999999994</v>
      </c>
      <c r="J174" s="506">
        <f t="shared" si="16"/>
        <v>972595.52</v>
      </c>
      <c r="K174" s="547">
        <f t="shared" si="13"/>
        <v>369145.33000000007</v>
      </c>
      <c r="L174" s="510"/>
      <c r="M174" s="508"/>
      <c r="N174" s="11" t="s">
        <v>243</v>
      </c>
      <c r="O174" s="341" t="s">
        <v>3033</v>
      </c>
      <c r="P174" s="339" t="s">
        <v>2927</v>
      </c>
      <c r="Q174" s="758" t="s">
        <v>3037</v>
      </c>
    </row>
    <row r="175" spans="1:19" ht="33" hidden="1">
      <c r="A175" s="343" t="s">
        <v>2162</v>
      </c>
      <c r="B175" s="344" t="s">
        <v>597</v>
      </c>
      <c r="C175" s="345" t="s">
        <v>13</v>
      </c>
      <c r="D175" s="340">
        <v>776</v>
      </c>
      <c r="E175" s="336">
        <f>估驗單!F168</f>
        <v>776</v>
      </c>
      <c r="F175" s="390">
        <f t="shared" si="14"/>
        <v>0</v>
      </c>
      <c r="G175" s="340">
        <v>2510.64</v>
      </c>
      <c r="H175" s="340"/>
      <c r="I175" s="336">
        <f t="shared" si="15"/>
        <v>1948256.64</v>
      </c>
      <c r="J175" s="336">
        <f t="shared" si="16"/>
        <v>1948256.64</v>
      </c>
      <c r="K175" s="546">
        <f t="shared" si="13"/>
        <v>0</v>
      </c>
      <c r="L175" s="502"/>
      <c r="M175" s="346"/>
      <c r="N175" s="347" t="s">
        <v>243</v>
      </c>
      <c r="O175" s="354"/>
      <c r="P175" s="349"/>
    </row>
    <row r="176" spans="1:19" ht="33" hidden="1">
      <c r="A176" s="503" t="s">
        <v>2163</v>
      </c>
      <c r="B176" s="504" t="s">
        <v>599</v>
      </c>
      <c r="C176" s="505" t="s">
        <v>223</v>
      </c>
      <c r="D176" s="506">
        <v>235</v>
      </c>
      <c r="E176" s="506">
        <f>估驗單!F169</f>
        <v>251.85</v>
      </c>
      <c r="F176" s="507">
        <f t="shared" si="14"/>
        <v>16.849999999999994</v>
      </c>
      <c r="G176" s="506">
        <v>3297.86</v>
      </c>
      <c r="H176" s="506"/>
      <c r="I176" s="506">
        <f t="shared" si="15"/>
        <v>774997.1</v>
      </c>
      <c r="J176" s="506">
        <f t="shared" si="16"/>
        <v>830566.04</v>
      </c>
      <c r="K176" s="547">
        <f t="shared" si="13"/>
        <v>55568.940000000061</v>
      </c>
      <c r="L176" s="510"/>
      <c r="M176" s="508"/>
      <c r="N176" s="11" t="s">
        <v>243</v>
      </c>
      <c r="O176" s="341" t="s">
        <v>2931</v>
      </c>
      <c r="P176" s="339" t="s">
        <v>2927</v>
      </c>
      <c r="Q176" s="753" t="s">
        <v>2932</v>
      </c>
    </row>
    <row r="177" spans="1:19" ht="33" hidden="1">
      <c r="A177" s="503" t="s">
        <v>2164</v>
      </c>
      <c r="B177" s="504" t="s">
        <v>601</v>
      </c>
      <c r="C177" s="505" t="s">
        <v>13</v>
      </c>
      <c r="D177" s="506">
        <v>102</v>
      </c>
      <c r="E177" s="506">
        <f>估驗單!F170</f>
        <v>173.82</v>
      </c>
      <c r="F177" s="507">
        <f t="shared" si="14"/>
        <v>71.819999999999993</v>
      </c>
      <c r="G177" s="506">
        <v>2952.01</v>
      </c>
      <c r="H177" s="506"/>
      <c r="I177" s="506">
        <f t="shared" si="15"/>
        <v>301105.02</v>
      </c>
      <c r="J177" s="506">
        <f t="shared" si="16"/>
        <v>513118.38</v>
      </c>
      <c r="K177" s="547">
        <f t="shared" si="13"/>
        <v>212013.36</v>
      </c>
      <c r="L177" s="510"/>
      <c r="M177" s="508"/>
      <c r="N177" s="11" t="s">
        <v>243</v>
      </c>
      <c r="O177" s="341" t="s">
        <v>2917</v>
      </c>
      <c r="P177" s="339" t="s">
        <v>2927</v>
      </c>
      <c r="Q177" s="245" t="s">
        <v>2918</v>
      </c>
    </row>
    <row r="178" spans="1:19" ht="45" hidden="1">
      <c r="A178" s="631" t="s">
        <v>2165</v>
      </c>
      <c r="B178" s="632" t="s">
        <v>603</v>
      </c>
      <c r="C178" s="633" t="s">
        <v>13</v>
      </c>
      <c r="D178" s="634">
        <v>400</v>
      </c>
      <c r="E178" s="634">
        <f>估驗單!F171</f>
        <v>400</v>
      </c>
      <c r="F178" s="635">
        <f t="shared" si="14"/>
        <v>0</v>
      </c>
      <c r="G178" s="634">
        <v>1454.49</v>
      </c>
      <c r="H178" s="634"/>
      <c r="I178" s="634">
        <f t="shared" si="15"/>
        <v>581796</v>
      </c>
      <c r="J178" s="634">
        <f t="shared" si="16"/>
        <v>581796</v>
      </c>
      <c r="K178" s="636">
        <f t="shared" si="13"/>
        <v>0</v>
      </c>
      <c r="L178" s="637"/>
      <c r="M178" s="638" t="s">
        <v>242</v>
      </c>
      <c r="N178" s="11" t="s">
        <v>243</v>
      </c>
      <c r="O178" s="341" t="s">
        <v>2960</v>
      </c>
      <c r="P178" s="339" t="s">
        <v>2996</v>
      </c>
      <c r="Q178" s="756" t="s">
        <v>2936</v>
      </c>
    </row>
    <row r="179" spans="1:19" ht="33" hidden="1">
      <c r="A179" s="333" t="s">
        <v>2166</v>
      </c>
      <c r="B179" s="334" t="s">
        <v>605</v>
      </c>
      <c r="C179" s="335" t="s">
        <v>606</v>
      </c>
      <c r="D179" s="336">
        <v>333</v>
      </c>
      <c r="E179" s="336">
        <f>估驗單!F172</f>
        <v>333</v>
      </c>
      <c r="F179" s="390">
        <f t="shared" si="14"/>
        <v>0</v>
      </c>
      <c r="G179" s="336">
        <v>434.98</v>
      </c>
      <c r="H179" s="336"/>
      <c r="I179" s="336">
        <f t="shared" si="15"/>
        <v>144848.34</v>
      </c>
      <c r="J179" s="336">
        <f t="shared" si="16"/>
        <v>144848.34</v>
      </c>
      <c r="K179" s="546">
        <f t="shared" si="13"/>
        <v>0</v>
      </c>
      <c r="L179" s="502"/>
      <c r="M179" s="231" t="s">
        <v>242</v>
      </c>
      <c r="N179" s="11" t="s">
        <v>243</v>
      </c>
      <c r="O179" s="341"/>
      <c r="P179" s="339"/>
    </row>
    <row r="180" spans="1:19" ht="33" hidden="1">
      <c r="A180" s="631" t="s">
        <v>2167</v>
      </c>
      <c r="B180" s="632" t="s">
        <v>608</v>
      </c>
      <c r="C180" s="633" t="s">
        <v>13</v>
      </c>
      <c r="D180" s="634">
        <v>1702</v>
      </c>
      <c r="E180" s="634">
        <f>估驗單!G173</f>
        <v>1702</v>
      </c>
      <c r="F180" s="635">
        <f t="shared" si="14"/>
        <v>0</v>
      </c>
      <c r="G180" s="634">
        <v>885.76</v>
      </c>
      <c r="H180" s="634"/>
      <c r="I180" s="634">
        <f t="shared" si="15"/>
        <v>1507563.52</v>
      </c>
      <c r="J180" s="634">
        <f t="shared" si="16"/>
        <v>1507563.52</v>
      </c>
      <c r="K180" s="636"/>
      <c r="L180" s="639"/>
      <c r="M180" s="638"/>
      <c r="N180" s="11" t="s">
        <v>243</v>
      </c>
      <c r="O180" s="341" t="s">
        <v>2962</v>
      </c>
      <c r="P180" s="339" t="s">
        <v>2998</v>
      </c>
      <c r="Q180" s="147" t="s">
        <v>2963</v>
      </c>
    </row>
    <row r="181" spans="1:19" ht="33" hidden="1">
      <c r="A181" s="333" t="s">
        <v>2168</v>
      </c>
      <c r="B181" s="334" t="s">
        <v>357</v>
      </c>
      <c r="C181" s="335" t="s">
        <v>8</v>
      </c>
      <c r="D181" s="336">
        <v>49</v>
      </c>
      <c r="E181" s="336">
        <f>估驗單!F174</f>
        <v>49</v>
      </c>
      <c r="F181" s="390">
        <f t="shared" si="14"/>
        <v>0</v>
      </c>
      <c r="G181" s="336">
        <v>138.84</v>
      </c>
      <c r="H181" s="336"/>
      <c r="I181" s="336">
        <f t="shared" si="15"/>
        <v>6803.16</v>
      </c>
      <c r="J181" s="336">
        <f t="shared" si="16"/>
        <v>6803.16</v>
      </c>
      <c r="K181" s="546">
        <f t="shared" si="13"/>
        <v>0</v>
      </c>
      <c r="L181" s="502"/>
      <c r="M181" s="231" t="s">
        <v>242</v>
      </c>
      <c r="N181" s="11" t="s">
        <v>243</v>
      </c>
      <c r="O181" s="341"/>
      <c r="P181" s="339"/>
    </row>
    <row r="182" spans="1:19" ht="33" hidden="1">
      <c r="A182" s="333" t="s">
        <v>2169</v>
      </c>
      <c r="B182" s="334" t="s">
        <v>611</v>
      </c>
      <c r="C182" s="335" t="s">
        <v>8</v>
      </c>
      <c r="D182" s="336">
        <v>85</v>
      </c>
      <c r="E182" s="336">
        <f>估驗單!F175</f>
        <v>85</v>
      </c>
      <c r="F182" s="390">
        <f t="shared" si="14"/>
        <v>0</v>
      </c>
      <c r="G182" s="336">
        <v>326.27999999999997</v>
      </c>
      <c r="H182" s="336"/>
      <c r="I182" s="336">
        <f t="shared" si="15"/>
        <v>27733.8</v>
      </c>
      <c r="J182" s="336">
        <f t="shared" si="16"/>
        <v>27733.8</v>
      </c>
      <c r="K182" s="546">
        <f t="shared" si="13"/>
        <v>0</v>
      </c>
      <c r="L182" s="502"/>
      <c r="M182" s="231" t="s">
        <v>242</v>
      </c>
      <c r="N182" s="11" t="s">
        <v>243</v>
      </c>
      <c r="O182" s="341"/>
      <c r="P182" s="339"/>
    </row>
    <row r="183" spans="1:19" ht="33" hidden="1">
      <c r="A183" s="503" t="s">
        <v>2170</v>
      </c>
      <c r="B183" s="504" t="s">
        <v>222</v>
      </c>
      <c r="C183" s="505" t="s">
        <v>13</v>
      </c>
      <c r="D183" s="506">
        <v>385</v>
      </c>
      <c r="E183" s="506">
        <f>估驗單!F176</f>
        <v>2005</v>
      </c>
      <c r="F183" s="507">
        <f t="shared" si="14"/>
        <v>1620</v>
      </c>
      <c r="G183" s="506">
        <v>692.12</v>
      </c>
      <c r="H183" s="506"/>
      <c r="I183" s="506">
        <f t="shared" si="15"/>
        <v>266466.2</v>
      </c>
      <c r="J183" s="506">
        <f t="shared" si="16"/>
        <v>1387700.6</v>
      </c>
      <c r="K183" s="547">
        <f t="shared" si="13"/>
        <v>1121234.4000000001</v>
      </c>
      <c r="L183" s="510"/>
      <c r="M183" s="508"/>
      <c r="N183" s="11" t="s">
        <v>243</v>
      </c>
      <c r="O183" s="341" t="s">
        <v>2953</v>
      </c>
      <c r="P183" s="339"/>
      <c r="Q183" s="586" t="s">
        <v>3030</v>
      </c>
    </row>
    <row r="184" spans="1:19" ht="33" hidden="1">
      <c r="A184" s="333" t="s">
        <v>2171</v>
      </c>
      <c r="B184" s="334" t="s">
        <v>615</v>
      </c>
      <c r="C184" s="335" t="s">
        <v>8</v>
      </c>
      <c r="D184" s="336">
        <v>0</v>
      </c>
      <c r="E184" s="336">
        <f>估驗單!F177</f>
        <v>0</v>
      </c>
      <c r="F184" s="390">
        <f t="shared" si="14"/>
        <v>0</v>
      </c>
      <c r="G184" s="336">
        <v>1706.44</v>
      </c>
      <c r="H184" s="336"/>
      <c r="I184" s="336">
        <f t="shared" si="15"/>
        <v>0</v>
      </c>
      <c r="J184" s="336">
        <f t="shared" si="16"/>
        <v>0</v>
      </c>
      <c r="K184" s="546">
        <f t="shared" si="13"/>
        <v>0</v>
      </c>
      <c r="L184" s="502"/>
      <c r="M184" s="231"/>
      <c r="N184" s="11" t="s">
        <v>243</v>
      </c>
      <c r="O184" s="341"/>
      <c r="P184" s="339"/>
    </row>
    <row r="185" spans="1:19" ht="33" hidden="1">
      <c r="A185" s="333" t="s">
        <v>2172</v>
      </c>
      <c r="B185" s="334" t="s">
        <v>618</v>
      </c>
      <c r="C185" s="335" t="s">
        <v>23</v>
      </c>
      <c r="D185" s="336">
        <v>1070.5</v>
      </c>
      <c r="E185" s="336">
        <f>估驗單!F178</f>
        <v>1070.5</v>
      </c>
      <c r="F185" s="390">
        <f t="shared" si="14"/>
        <v>0</v>
      </c>
      <c r="G185" s="336">
        <v>49</v>
      </c>
      <c r="H185" s="336"/>
      <c r="I185" s="336">
        <f t="shared" si="15"/>
        <v>52454.5</v>
      </c>
      <c r="J185" s="336">
        <f t="shared" si="16"/>
        <v>52454.5</v>
      </c>
      <c r="K185" s="546">
        <f t="shared" si="13"/>
        <v>0</v>
      </c>
      <c r="L185" s="502"/>
      <c r="M185" s="231" t="s">
        <v>242</v>
      </c>
      <c r="N185" s="11" t="s">
        <v>243</v>
      </c>
      <c r="O185" s="341"/>
      <c r="P185" s="339"/>
    </row>
    <row r="186" spans="1:19" ht="33" hidden="1">
      <c r="A186" s="333" t="s">
        <v>2173</v>
      </c>
      <c r="B186" s="334" t="s">
        <v>621</v>
      </c>
      <c r="C186" s="335" t="s">
        <v>19</v>
      </c>
      <c r="D186" s="336">
        <v>2</v>
      </c>
      <c r="E186" s="336">
        <f>估驗單!F179</f>
        <v>2</v>
      </c>
      <c r="F186" s="390">
        <f t="shared" si="14"/>
        <v>0</v>
      </c>
      <c r="G186" s="336">
        <v>5349708.26</v>
      </c>
      <c r="H186" s="336"/>
      <c r="I186" s="336">
        <f t="shared" si="15"/>
        <v>10699416.52</v>
      </c>
      <c r="J186" s="336">
        <f t="shared" si="16"/>
        <v>10699416.52</v>
      </c>
      <c r="K186" s="546">
        <f t="shared" si="13"/>
        <v>0</v>
      </c>
      <c r="L186" s="502"/>
      <c r="M186" s="231" t="s">
        <v>242</v>
      </c>
      <c r="N186" s="11" t="s">
        <v>243</v>
      </c>
      <c r="O186" s="341"/>
      <c r="P186" s="339"/>
    </row>
    <row r="187" spans="1:19" ht="42.75" hidden="1">
      <c r="A187" s="333" t="s">
        <v>2174</v>
      </c>
      <c r="B187" s="334" t="s">
        <v>1368</v>
      </c>
      <c r="C187" s="335" t="s">
        <v>8</v>
      </c>
      <c r="D187" s="336">
        <v>571.08000000000004</v>
      </c>
      <c r="E187" s="336">
        <f>估驗單!F180</f>
        <v>571.08000000000004</v>
      </c>
      <c r="F187" s="390">
        <f t="shared" si="14"/>
        <v>0</v>
      </c>
      <c r="G187" s="336">
        <v>5456.33</v>
      </c>
      <c r="H187" s="336"/>
      <c r="I187" s="336">
        <f t="shared" si="15"/>
        <v>3116000.94</v>
      </c>
      <c r="J187" s="336">
        <f t="shared" si="16"/>
        <v>3116000.94</v>
      </c>
      <c r="K187" s="546">
        <f t="shared" si="13"/>
        <v>0</v>
      </c>
      <c r="L187" s="502"/>
      <c r="M187" s="231" t="s">
        <v>242</v>
      </c>
      <c r="N187" s="11" t="s">
        <v>243</v>
      </c>
      <c r="O187" s="341"/>
      <c r="P187" s="339"/>
    </row>
    <row r="188" spans="1:19" ht="33" hidden="1">
      <c r="A188" s="503" t="s">
        <v>2175</v>
      </c>
      <c r="B188" s="504" t="s">
        <v>1370</v>
      </c>
      <c r="C188" s="505" t="s">
        <v>6</v>
      </c>
      <c r="D188" s="506">
        <v>161.38999999999999</v>
      </c>
      <c r="E188" s="506">
        <f>估驗單!F181</f>
        <v>0</v>
      </c>
      <c r="F188" s="519">
        <f t="shared" si="14"/>
        <v>-161.38999999999999</v>
      </c>
      <c r="G188" s="506">
        <v>1481.84</v>
      </c>
      <c r="H188" s="506"/>
      <c r="I188" s="506">
        <f t="shared" si="15"/>
        <v>239154.16</v>
      </c>
      <c r="J188" s="506">
        <f t="shared" si="16"/>
        <v>0</v>
      </c>
      <c r="K188" s="547"/>
      <c r="L188" s="510">
        <f>J188-I188</f>
        <v>-239154.16</v>
      </c>
      <c r="M188" s="508" t="s">
        <v>242</v>
      </c>
      <c r="N188" s="11" t="s">
        <v>243</v>
      </c>
      <c r="O188" s="769" t="s">
        <v>3009</v>
      </c>
      <c r="P188" s="339"/>
      <c r="Q188" s="245" t="s">
        <v>3027</v>
      </c>
    </row>
    <row r="189" spans="1:19" s="352" customFormat="1" ht="56.25" hidden="1">
      <c r="A189" s="512">
        <v>24</v>
      </c>
      <c r="B189" s="513" t="s">
        <v>1372</v>
      </c>
      <c r="C189" s="514" t="s">
        <v>13</v>
      </c>
      <c r="D189" s="515">
        <v>634.14</v>
      </c>
      <c r="E189" s="506">
        <f>估驗單!F182</f>
        <v>776.79333333333329</v>
      </c>
      <c r="F189" s="507">
        <f t="shared" si="14"/>
        <v>142.65333333333331</v>
      </c>
      <c r="G189" s="515">
        <v>3120.65</v>
      </c>
      <c r="H189" s="515"/>
      <c r="I189" s="506">
        <f t="shared" si="15"/>
        <v>1978928.99</v>
      </c>
      <c r="J189" s="506">
        <f t="shared" si="16"/>
        <v>2424100.12</v>
      </c>
      <c r="K189" s="547">
        <f t="shared" si="13"/>
        <v>445171.13000000012</v>
      </c>
      <c r="L189" s="510"/>
      <c r="M189" s="527"/>
      <c r="N189" s="347" t="s">
        <v>243</v>
      </c>
      <c r="O189" s="341" t="s">
        <v>3034</v>
      </c>
      <c r="P189" s="339" t="s">
        <v>2927</v>
      </c>
      <c r="Q189" s="325" t="s">
        <v>3035</v>
      </c>
      <c r="S189" s="361"/>
    </row>
    <row r="190" spans="1:19" s="363" customFormat="1" ht="33" hidden="1">
      <c r="A190" s="343">
        <v>25</v>
      </c>
      <c r="B190" s="344" t="s">
        <v>2346</v>
      </c>
      <c r="C190" s="345" t="s">
        <v>8</v>
      </c>
      <c r="D190" s="340">
        <f>295*0.7+76*0.75+40*2</f>
        <v>343.5</v>
      </c>
      <c r="E190" s="336">
        <f>估驗單!F183</f>
        <v>343.5</v>
      </c>
      <c r="F190" s="390">
        <f t="shared" si="14"/>
        <v>0</v>
      </c>
      <c r="G190" s="340">
        <v>119.99</v>
      </c>
      <c r="H190" s="340"/>
      <c r="I190" s="336">
        <f t="shared" si="15"/>
        <v>41216.57</v>
      </c>
      <c r="J190" s="336">
        <f t="shared" si="16"/>
        <v>41216.57</v>
      </c>
      <c r="K190" s="546">
        <f t="shared" si="13"/>
        <v>0</v>
      </c>
      <c r="L190" s="502"/>
      <c r="M190" s="346"/>
      <c r="N190" s="347" t="s">
        <v>243</v>
      </c>
      <c r="O190" s="354"/>
      <c r="P190" s="322"/>
      <c r="Q190" s="362"/>
    </row>
    <row r="191" spans="1:19" s="363" customFormat="1" ht="16.5" hidden="1">
      <c r="A191" s="343">
        <v>26</v>
      </c>
      <c r="B191" s="344" t="s">
        <v>2367</v>
      </c>
      <c r="C191" s="345" t="s">
        <v>2368</v>
      </c>
      <c r="D191" s="340">
        <f>295+76+80</f>
        <v>451</v>
      </c>
      <c r="E191" s="336">
        <f>估驗單!F184</f>
        <v>451</v>
      </c>
      <c r="F191" s="390">
        <f t="shared" si="14"/>
        <v>0</v>
      </c>
      <c r="G191" s="340">
        <v>324.97000000000003</v>
      </c>
      <c r="H191" s="340"/>
      <c r="I191" s="336">
        <f t="shared" si="15"/>
        <v>146561.47</v>
      </c>
      <c r="J191" s="336">
        <f t="shared" si="16"/>
        <v>146561.47</v>
      </c>
      <c r="K191" s="546">
        <f t="shared" si="13"/>
        <v>0</v>
      </c>
      <c r="L191" s="502"/>
      <c r="M191" s="346"/>
      <c r="N191" s="347"/>
      <c r="O191" s="354"/>
      <c r="P191" s="322"/>
      <c r="Q191" s="362"/>
    </row>
    <row r="192" spans="1:19" ht="33" hidden="1">
      <c r="A192" s="333">
        <v>28</v>
      </c>
      <c r="B192" s="334" t="s">
        <v>1377</v>
      </c>
      <c r="C192" s="335" t="s">
        <v>6</v>
      </c>
      <c r="D192" s="336">
        <v>1513</v>
      </c>
      <c r="E192" s="336">
        <f>估驗單!F185</f>
        <v>1513</v>
      </c>
      <c r="F192" s="390">
        <f t="shared" si="14"/>
        <v>0</v>
      </c>
      <c r="G192" s="336">
        <v>926.62</v>
      </c>
      <c r="H192" s="336"/>
      <c r="I192" s="336">
        <f t="shared" si="15"/>
        <v>1401976.06</v>
      </c>
      <c r="J192" s="336">
        <f t="shared" si="16"/>
        <v>1401976.06</v>
      </c>
      <c r="K192" s="546">
        <f t="shared" si="13"/>
        <v>0</v>
      </c>
      <c r="L192" s="502"/>
      <c r="M192" s="231"/>
      <c r="N192" s="11" t="s">
        <v>243</v>
      </c>
      <c r="O192" s="364"/>
      <c r="P192" s="365"/>
      <c r="Q192" s="325"/>
      <c r="S192" s="82">
        <f>(1.5*1.5*0.45*0.45)^(1/2)*(295+57.3)*0.15</f>
        <v>35.670375000000007</v>
      </c>
    </row>
    <row r="193" spans="1:19" s="368" customFormat="1" ht="52.5" hidden="1">
      <c r="A193" s="333">
        <v>29</v>
      </c>
      <c r="B193" s="334" t="s">
        <v>2375</v>
      </c>
      <c r="C193" s="335" t="s">
        <v>6</v>
      </c>
      <c r="D193" s="336">
        <v>1177.9000000000001</v>
      </c>
      <c r="E193" s="336">
        <f>估驗單!F186</f>
        <v>1177.9000000000001</v>
      </c>
      <c r="F193" s="390">
        <f t="shared" si="14"/>
        <v>0</v>
      </c>
      <c r="G193" s="336">
        <v>3832.9</v>
      </c>
      <c r="H193" s="336"/>
      <c r="I193" s="336">
        <f t="shared" si="15"/>
        <v>4514772.91</v>
      </c>
      <c r="J193" s="336">
        <f t="shared" si="16"/>
        <v>4514772.91</v>
      </c>
      <c r="K193" s="546">
        <f t="shared" si="13"/>
        <v>0</v>
      </c>
      <c r="L193" s="502"/>
      <c r="M193" s="231"/>
      <c r="N193" s="11" t="s">
        <v>243</v>
      </c>
      <c r="O193" s="433" t="s">
        <v>2913</v>
      </c>
      <c r="P193" s="366"/>
      <c r="Q193" s="367"/>
      <c r="S193" s="369" t="s">
        <v>2380</v>
      </c>
    </row>
    <row r="194" spans="1:19" s="368" customFormat="1" ht="33" hidden="1" customHeight="1">
      <c r="A194" s="503">
        <v>30</v>
      </c>
      <c r="B194" s="504" t="s">
        <v>1380</v>
      </c>
      <c r="C194" s="505" t="s">
        <v>13</v>
      </c>
      <c r="D194" s="506">
        <v>442.5</v>
      </c>
      <c r="E194" s="506">
        <f>估驗單!F187</f>
        <v>734.29600000000005</v>
      </c>
      <c r="F194" s="507">
        <f t="shared" si="14"/>
        <v>291.79600000000005</v>
      </c>
      <c r="G194" s="506">
        <v>234.99</v>
      </c>
      <c r="H194" s="506"/>
      <c r="I194" s="506">
        <f t="shared" si="15"/>
        <v>103983.08</v>
      </c>
      <c r="J194" s="506">
        <f t="shared" si="16"/>
        <v>172552.22</v>
      </c>
      <c r="K194" s="547">
        <f t="shared" si="13"/>
        <v>68569.14</v>
      </c>
      <c r="L194" s="510"/>
      <c r="M194" s="508"/>
      <c r="N194" s="11"/>
      <c r="O194" s="754" t="s">
        <v>2915</v>
      </c>
      <c r="P194" s="755" t="s">
        <v>2926</v>
      </c>
      <c r="Q194" s="325" t="s">
        <v>2933</v>
      </c>
      <c r="S194" s="369"/>
    </row>
    <row r="195" spans="1:19" ht="33">
      <c r="A195" s="406" t="s">
        <v>2244</v>
      </c>
      <c r="B195" s="407" t="s">
        <v>623</v>
      </c>
      <c r="C195" s="408" t="s">
        <v>4</v>
      </c>
      <c r="D195" s="409"/>
      <c r="E195" s="409">
        <f>估驗單!F188</f>
        <v>0</v>
      </c>
      <c r="F195" s="410">
        <f t="shared" si="14"/>
        <v>0</v>
      </c>
      <c r="G195" s="409">
        <f>I195</f>
        <v>28004421.200000003</v>
      </c>
      <c r="H195" s="409"/>
      <c r="I195" s="409">
        <f>SUM(I196:I214)</f>
        <v>28004421.200000003</v>
      </c>
      <c r="J195" s="409">
        <f>SUM(J196:J214)</f>
        <v>33518571.399999999</v>
      </c>
      <c r="K195" s="409">
        <f>SUM(K196:K214)</f>
        <v>5987095.5399999991</v>
      </c>
      <c r="L195" s="452">
        <f>SUM(L196:L214)</f>
        <v>-472945.33999999991</v>
      </c>
      <c r="M195" s="288" t="s">
        <v>242</v>
      </c>
      <c r="N195" s="11" t="s">
        <v>243</v>
      </c>
      <c r="O195" s="785">
        <f>K195+L195</f>
        <v>5514150.1999999993</v>
      </c>
      <c r="P195" s="339"/>
    </row>
    <row r="196" spans="1:19" ht="33" hidden="1">
      <c r="A196" s="503" t="s">
        <v>2154</v>
      </c>
      <c r="B196" s="504" t="s">
        <v>315</v>
      </c>
      <c r="C196" s="505" t="s">
        <v>6</v>
      </c>
      <c r="D196" s="506">
        <v>252</v>
      </c>
      <c r="E196" s="506">
        <f>估驗單!F189</f>
        <v>109.33</v>
      </c>
      <c r="F196" s="519">
        <f t="shared" si="14"/>
        <v>-142.67000000000002</v>
      </c>
      <c r="G196" s="506">
        <v>3114.97</v>
      </c>
      <c r="H196" s="506"/>
      <c r="I196" s="506">
        <f t="shared" ref="I196:I214" si="17">ROUND(D196*G196,2)</f>
        <v>784972.44</v>
      </c>
      <c r="J196" s="506">
        <f t="shared" ref="J196:J214" si="18">ROUND(E196*G196,2)</f>
        <v>340559.67</v>
      </c>
      <c r="K196" s="547"/>
      <c r="L196" s="519">
        <f>J196-I196</f>
        <v>-444412.76999999996</v>
      </c>
      <c r="M196" s="520"/>
      <c r="N196" s="11" t="s">
        <v>243</v>
      </c>
      <c r="O196" s="341" t="s">
        <v>2961</v>
      </c>
      <c r="P196" s="339"/>
      <c r="Q196" s="293" t="s">
        <v>3039</v>
      </c>
    </row>
    <row r="197" spans="1:19" ht="33" hidden="1">
      <c r="A197" s="333" t="s">
        <v>2155</v>
      </c>
      <c r="B197" s="334" t="s">
        <v>24</v>
      </c>
      <c r="C197" s="335" t="s">
        <v>6</v>
      </c>
      <c r="D197" s="336">
        <v>2490</v>
      </c>
      <c r="E197" s="336">
        <f>估驗單!F190</f>
        <v>2490</v>
      </c>
      <c r="F197" s="390">
        <f t="shared" si="14"/>
        <v>0</v>
      </c>
      <c r="G197" s="336">
        <v>3320.96</v>
      </c>
      <c r="H197" s="336"/>
      <c r="I197" s="336">
        <f t="shared" si="17"/>
        <v>8269190.4000000004</v>
      </c>
      <c r="J197" s="336">
        <f t="shared" si="18"/>
        <v>8269190.4000000004</v>
      </c>
      <c r="K197" s="546">
        <f t="shared" si="13"/>
        <v>0</v>
      </c>
      <c r="L197" s="502"/>
      <c r="M197" s="231" t="s">
        <v>242</v>
      </c>
      <c r="N197" s="11" t="s">
        <v>243</v>
      </c>
      <c r="O197" s="433" t="s">
        <v>2940</v>
      </c>
      <c r="P197" s="339"/>
    </row>
    <row r="198" spans="1:19" ht="33" hidden="1">
      <c r="A198" s="333" t="s">
        <v>2156</v>
      </c>
      <c r="B198" s="334" t="s">
        <v>624</v>
      </c>
      <c r="C198" s="335" t="s">
        <v>6</v>
      </c>
      <c r="D198" s="336">
        <v>998</v>
      </c>
      <c r="E198" s="336">
        <f>估驗單!F191</f>
        <v>998</v>
      </c>
      <c r="F198" s="390">
        <f t="shared" si="14"/>
        <v>0</v>
      </c>
      <c r="G198" s="336">
        <v>1749.16</v>
      </c>
      <c r="H198" s="336"/>
      <c r="I198" s="336">
        <f t="shared" si="17"/>
        <v>1745661.68</v>
      </c>
      <c r="J198" s="336">
        <f t="shared" si="18"/>
        <v>1745661.68</v>
      </c>
      <c r="K198" s="546">
        <f t="shared" si="13"/>
        <v>0</v>
      </c>
      <c r="L198" s="502"/>
      <c r="M198" s="231" t="s">
        <v>242</v>
      </c>
      <c r="N198" s="11" t="s">
        <v>243</v>
      </c>
      <c r="O198" s="341"/>
      <c r="P198" s="339"/>
    </row>
    <row r="199" spans="1:19" ht="33" hidden="1">
      <c r="A199" s="503" t="s">
        <v>2157</v>
      </c>
      <c r="B199" s="504" t="s">
        <v>595</v>
      </c>
      <c r="C199" s="505" t="s">
        <v>6</v>
      </c>
      <c r="D199" s="506">
        <v>3740</v>
      </c>
      <c r="E199" s="506">
        <f>估驗單!F192</f>
        <v>3597.33</v>
      </c>
      <c r="F199" s="519">
        <f t="shared" si="14"/>
        <v>-142.67000000000007</v>
      </c>
      <c r="G199" s="506">
        <v>199.99</v>
      </c>
      <c r="H199" s="506"/>
      <c r="I199" s="506">
        <f t="shared" si="17"/>
        <v>747962.6</v>
      </c>
      <c r="J199" s="506">
        <f t="shared" si="18"/>
        <v>719430.03</v>
      </c>
      <c r="K199" s="547"/>
      <c r="L199" s="519">
        <f>J199-I199</f>
        <v>-28532.569999999949</v>
      </c>
      <c r="M199" s="508" t="s">
        <v>242</v>
      </c>
      <c r="N199" s="11" t="s">
        <v>243</v>
      </c>
      <c r="O199" s="341" t="s">
        <v>2961</v>
      </c>
      <c r="P199" s="339"/>
      <c r="Q199" s="82" t="s">
        <v>2941</v>
      </c>
    </row>
    <row r="200" spans="1:19" s="325" customFormat="1" ht="56.25" hidden="1">
      <c r="A200" s="503" t="s">
        <v>2158</v>
      </c>
      <c r="B200" s="504" t="s">
        <v>534</v>
      </c>
      <c r="C200" s="505" t="s">
        <v>13</v>
      </c>
      <c r="D200" s="506">
        <v>4240</v>
      </c>
      <c r="E200" s="506">
        <f>估驗單!F193</f>
        <v>4949.6072000000013</v>
      </c>
      <c r="F200" s="507">
        <f t="shared" si="14"/>
        <v>709.60720000000128</v>
      </c>
      <c r="G200" s="506">
        <v>982.93</v>
      </c>
      <c r="H200" s="506"/>
      <c r="I200" s="506">
        <f t="shared" si="17"/>
        <v>4167623.2</v>
      </c>
      <c r="J200" s="506">
        <f t="shared" si="18"/>
        <v>4865117.41</v>
      </c>
      <c r="K200" s="547">
        <f t="shared" si="13"/>
        <v>697494.21</v>
      </c>
      <c r="L200" s="510"/>
      <c r="M200" s="508"/>
      <c r="N200" s="11" t="s">
        <v>243</v>
      </c>
      <c r="O200" s="341" t="s">
        <v>3041</v>
      </c>
      <c r="P200" s="360"/>
      <c r="Q200" s="325" t="s">
        <v>3040</v>
      </c>
    </row>
    <row r="201" spans="1:19" s="325" customFormat="1" ht="56.25" hidden="1">
      <c r="A201" s="503" t="s">
        <v>2159</v>
      </c>
      <c r="B201" s="504" t="s">
        <v>626</v>
      </c>
      <c r="C201" s="505" t="s">
        <v>13</v>
      </c>
      <c r="D201" s="506">
        <v>38</v>
      </c>
      <c r="E201" s="506">
        <f>估驗單!F194</f>
        <v>49.359999999999992</v>
      </c>
      <c r="F201" s="507">
        <f t="shared" si="14"/>
        <v>11.359999999999992</v>
      </c>
      <c r="G201" s="506">
        <v>698.28</v>
      </c>
      <c r="H201" s="506"/>
      <c r="I201" s="506">
        <f t="shared" si="17"/>
        <v>26534.639999999999</v>
      </c>
      <c r="J201" s="506">
        <f t="shared" si="18"/>
        <v>34467.1</v>
      </c>
      <c r="K201" s="547">
        <f t="shared" si="13"/>
        <v>7932.4599999999991</v>
      </c>
      <c r="L201" s="510"/>
      <c r="M201" s="508"/>
      <c r="N201" s="11" t="s">
        <v>243</v>
      </c>
      <c r="O201" s="341" t="s">
        <v>3041</v>
      </c>
      <c r="P201" s="339"/>
      <c r="Q201" s="325" t="s">
        <v>3040</v>
      </c>
    </row>
    <row r="202" spans="1:19" s="325" customFormat="1" ht="56.25" hidden="1">
      <c r="A202" s="503" t="s">
        <v>2160</v>
      </c>
      <c r="B202" s="504" t="s">
        <v>536</v>
      </c>
      <c r="C202" s="505" t="s">
        <v>13</v>
      </c>
      <c r="D202" s="506">
        <v>783</v>
      </c>
      <c r="E202" s="506">
        <f>估驗單!F195</f>
        <v>1409.35</v>
      </c>
      <c r="F202" s="507">
        <f t="shared" si="14"/>
        <v>626.34999999999991</v>
      </c>
      <c r="G202" s="506">
        <v>804.75</v>
      </c>
      <c r="H202" s="506"/>
      <c r="I202" s="506">
        <f t="shared" si="17"/>
        <v>630119.25</v>
      </c>
      <c r="J202" s="506">
        <f t="shared" si="18"/>
        <v>1134174.4099999999</v>
      </c>
      <c r="K202" s="547">
        <f t="shared" si="13"/>
        <v>504055.15999999992</v>
      </c>
      <c r="L202" s="510"/>
      <c r="M202" s="508"/>
      <c r="N202" s="11" t="s">
        <v>243</v>
      </c>
      <c r="O202" s="341" t="s">
        <v>3041</v>
      </c>
      <c r="P202" s="339"/>
      <c r="Q202" s="325" t="s">
        <v>3040</v>
      </c>
    </row>
    <row r="203" spans="1:19" s="325" customFormat="1" ht="56.25" hidden="1">
      <c r="A203" s="503" t="s">
        <v>2161</v>
      </c>
      <c r="B203" s="504" t="s">
        <v>193</v>
      </c>
      <c r="C203" s="505" t="s">
        <v>13</v>
      </c>
      <c r="D203" s="506">
        <v>300</v>
      </c>
      <c r="E203" s="506">
        <f>估驗單!F196</f>
        <v>761.34</v>
      </c>
      <c r="F203" s="507">
        <f t="shared" si="14"/>
        <v>461.34000000000003</v>
      </c>
      <c r="G203" s="506">
        <v>533.61</v>
      </c>
      <c r="H203" s="506"/>
      <c r="I203" s="506">
        <f t="shared" si="17"/>
        <v>160083</v>
      </c>
      <c r="J203" s="506">
        <f t="shared" si="18"/>
        <v>406258.64</v>
      </c>
      <c r="K203" s="547">
        <f t="shared" si="13"/>
        <v>246175.64</v>
      </c>
      <c r="L203" s="510"/>
      <c r="M203" s="508"/>
      <c r="N203" s="11" t="s">
        <v>243</v>
      </c>
      <c r="O203" s="341" t="s">
        <v>3041</v>
      </c>
      <c r="P203" s="360"/>
      <c r="Q203" s="325" t="s">
        <v>3040</v>
      </c>
    </row>
    <row r="204" spans="1:19" s="325" customFormat="1" ht="56.25" hidden="1">
      <c r="A204" s="503" t="s">
        <v>2162</v>
      </c>
      <c r="B204" s="504" t="s">
        <v>192</v>
      </c>
      <c r="C204" s="505" t="s">
        <v>17</v>
      </c>
      <c r="D204" s="506">
        <v>137462</v>
      </c>
      <c r="E204" s="506">
        <f>估驗單!F197</f>
        <v>207085.17276800002</v>
      </c>
      <c r="F204" s="507">
        <f t="shared" si="14"/>
        <v>69623.172768000019</v>
      </c>
      <c r="G204" s="506">
        <v>36.4</v>
      </c>
      <c r="H204" s="506"/>
      <c r="I204" s="506">
        <f t="shared" si="17"/>
        <v>5003616.8</v>
      </c>
      <c r="J204" s="506">
        <f t="shared" si="18"/>
        <v>7537900.29</v>
      </c>
      <c r="K204" s="547">
        <f t="shared" si="13"/>
        <v>2534283.4900000002</v>
      </c>
      <c r="L204" s="510"/>
      <c r="M204" s="508"/>
      <c r="N204" s="11" t="s">
        <v>243</v>
      </c>
      <c r="O204" s="341" t="s">
        <v>3041</v>
      </c>
      <c r="P204" s="339"/>
      <c r="Q204" s="325" t="s">
        <v>3040</v>
      </c>
    </row>
    <row r="205" spans="1:19" s="325" customFormat="1" ht="56.25" hidden="1">
      <c r="A205" s="503" t="s">
        <v>2163</v>
      </c>
      <c r="B205" s="504" t="s">
        <v>530</v>
      </c>
      <c r="C205" s="505" t="s">
        <v>17</v>
      </c>
      <c r="D205" s="506">
        <v>116638</v>
      </c>
      <c r="E205" s="506">
        <f>估驗單!F198</f>
        <v>168230.73</v>
      </c>
      <c r="F205" s="507">
        <f t="shared" si="14"/>
        <v>51592.73000000001</v>
      </c>
      <c r="G205" s="506">
        <v>38.71</v>
      </c>
      <c r="H205" s="506"/>
      <c r="I205" s="506">
        <f t="shared" si="17"/>
        <v>4515056.9800000004</v>
      </c>
      <c r="J205" s="506">
        <f t="shared" si="18"/>
        <v>6512211.5599999996</v>
      </c>
      <c r="K205" s="547">
        <f t="shared" ref="K205:K268" si="19">J205-I205</f>
        <v>1997154.5799999991</v>
      </c>
      <c r="L205" s="510"/>
      <c r="M205" s="508"/>
      <c r="N205" s="11" t="s">
        <v>243</v>
      </c>
      <c r="O205" s="341" t="s">
        <v>3041</v>
      </c>
      <c r="P205" s="339"/>
      <c r="Q205" s="325" t="s">
        <v>3040</v>
      </c>
    </row>
    <row r="206" spans="1:19" s="325" customFormat="1" ht="33" hidden="1">
      <c r="A206" s="333" t="s">
        <v>2164</v>
      </c>
      <c r="B206" s="334" t="s">
        <v>628</v>
      </c>
      <c r="C206" s="335" t="s">
        <v>8</v>
      </c>
      <c r="D206" s="336">
        <v>112</v>
      </c>
      <c r="E206" s="336">
        <f>估驗單!F199</f>
        <v>112</v>
      </c>
      <c r="F206" s="390">
        <f t="shared" si="14"/>
        <v>0</v>
      </c>
      <c r="G206" s="336">
        <v>2865.8</v>
      </c>
      <c r="H206" s="336"/>
      <c r="I206" s="336">
        <f t="shared" si="17"/>
        <v>320969.59999999998</v>
      </c>
      <c r="J206" s="336">
        <f t="shared" si="18"/>
        <v>320969.59999999998</v>
      </c>
      <c r="K206" s="546"/>
      <c r="L206" s="453"/>
      <c r="M206" s="234" t="s">
        <v>2496</v>
      </c>
      <c r="N206" s="11" t="s">
        <v>243</v>
      </c>
      <c r="O206" s="325" t="s">
        <v>2947</v>
      </c>
      <c r="P206" s="770" t="s">
        <v>3042</v>
      </c>
      <c r="Q206" s="325" t="s">
        <v>2947</v>
      </c>
    </row>
    <row r="207" spans="1:19" s="325" customFormat="1" ht="33" hidden="1">
      <c r="A207" s="333" t="s">
        <v>2165</v>
      </c>
      <c r="B207" s="334" t="s">
        <v>630</v>
      </c>
      <c r="C207" s="335" t="s">
        <v>0</v>
      </c>
      <c r="D207" s="336">
        <v>47</v>
      </c>
      <c r="E207" s="336">
        <f>估驗單!F200</f>
        <v>47</v>
      </c>
      <c r="F207" s="390">
        <f t="shared" si="14"/>
        <v>0</v>
      </c>
      <c r="G207" s="336">
        <v>1477.97</v>
      </c>
      <c r="H207" s="336"/>
      <c r="I207" s="336">
        <f t="shared" si="17"/>
        <v>69464.59</v>
      </c>
      <c r="J207" s="336">
        <f t="shared" si="18"/>
        <v>69464.59</v>
      </c>
      <c r="K207" s="546">
        <f t="shared" si="19"/>
        <v>0</v>
      </c>
      <c r="L207" s="502"/>
      <c r="M207" s="234"/>
      <c r="N207" s="11" t="s">
        <v>243</v>
      </c>
      <c r="O207" s="341"/>
      <c r="P207" s="339"/>
    </row>
    <row r="208" spans="1:19" s="325" customFormat="1" ht="42.75" hidden="1">
      <c r="A208" s="333" t="s">
        <v>2166</v>
      </c>
      <c r="B208" s="334" t="s">
        <v>632</v>
      </c>
      <c r="C208" s="335" t="s">
        <v>8</v>
      </c>
      <c r="D208" s="336">
        <v>148</v>
      </c>
      <c r="E208" s="336">
        <f>估驗單!F201</f>
        <v>148</v>
      </c>
      <c r="F208" s="390">
        <f t="shared" si="14"/>
        <v>0</v>
      </c>
      <c r="G208" s="336">
        <v>151.71</v>
      </c>
      <c r="H208" s="336"/>
      <c r="I208" s="336">
        <f t="shared" si="17"/>
        <v>22453.08</v>
      </c>
      <c r="J208" s="336">
        <f t="shared" si="18"/>
        <v>22453.08</v>
      </c>
      <c r="K208" s="546">
        <f t="shared" si="19"/>
        <v>0</v>
      </c>
      <c r="L208" s="502"/>
      <c r="M208" s="231" t="s">
        <v>242</v>
      </c>
      <c r="N208" s="11" t="s">
        <v>243</v>
      </c>
      <c r="O208" s="341"/>
      <c r="P208" s="339"/>
    </row>
    <row r="209" spans="1:16" s="325" customFormat="1" ht="33" hidden="1">
      <c r="A209" s="333" t="s">
        <v>2167</v>
      </c>
      <c r="B209" s="334" t="s">
        <v>634</v>
      </c>
      <c r="C209" s="335" t="s">
        <v>15</v>
      </c>
      <c r="D209" s="336">
        <v>6</v>
      </c>
      <c r="E209" s="336">
        <f>估驗單!F202</f>
        <v>6</v>
      </c>
      <c r="F209" s="390">
        <f t="shared" si="14"/>
        <v>0</v>
      </c>
      <c r="G209" s="336">
        <v>15778.75</v>
      </c>
      <c r="H209" s="336"/>
      <c r="I209" s="336">
        <f t="shared" si="17"/>
        <v>94672.5</v>
      </c>
      <c r="J209" s="336">
        <f t="shared" si="18"/>
        <v>94672.5</v>
      </c>
      <c r="K209" s="546">
        <f t="shared" si="19"/>
        <v>0</v>
      </c>
      <c r="L209" s="502"/>
      <c r="M209" s="231" t="s">
        <v>242</v>
      </c>
      <c r="N209" s="11" t="s">
        <v>243</v>
      </c>
      <c r="O209" s="341"/>
      <c r="P209" s="339"/>
    </row>
    <row r="210" spans="1:16" s="325" customFormat="1" ht="33" hidden="1">
      <c r="A210" s="333" t="s">
        <v>2168</v>
      </c>
      <c r="B210" s="334" t="s">
        <v>357</v>
      </c>
      <c r="C210" s="335" t="s">
        <v>8</v>
      </c>
      <c r="D210" s="336">
        <v>746</v>
      </c>
      <c r="E210" s="336">
        <f>估驗單!F203</f>
        <v>746</v>
      </c>
      <c r="F210" s="390">
        <f t="shared" si="14"/>
        <v>0</v>
      </c>
      <c r="G210" s="336">
        <v>138.84</v>
      </c>
      <c r="H210" s="336"/>
      <c r="I210" s="336">
        <f t="shared" si="17"/>
        <v>103574.64</v>
      </c>
      <c r="J210" s="336">
        <f t="shared" si="18"/>
        <v>103574.64</v>
      </c>
      <c r="K210" s="546"/>
      <c r="L210" s="453"/>
      <c r="M210" s="234"/>
      <c r="N210" s="11" t="s">
        <v>243</v>
      </c>
      <c r="O210" s="341"/>
      <c r="P210" s="339"/>
    </row>
    <row r="211" spans="1:16" s="325" customFormat="1" ht="33" hidden="1">
      <c r="A211" s="333" t="s">
        <v>2169</v>
      </c>
      <c r="B211" s="334" t="s">
        <v>611</v>
      </c>
      <c r="C211" s="335" t="s">
        <v>8</v>
      </c>
      <c r="D211" s="336">
        <v>1740</v>
      </c>
      <c r="E211" s="336">
        <f>估驗單!F204</f>
        <v>1740</v>
      </c>
      <c r="F211" s="390">
        <f t="shared" si="14"/>
        <v>0</v>
      </c>
      <c r="G211" s="336">
        <v>326.27999999999997</v>
      </c>
      <c r="H211" s="336"/>
      <c r="I211" s="336">
        <f t="shared" si="17"/>
        <v>567727.19999999995</v>
      </c>
      <c r="J211" s="336">
        <f t="shared" si="18"/>
        <v>567727.19999999995</v>
      </c>
      <c r="K211" s="546"/>
      <c r="L211" s="453"/>
      <c r="M211" s="234"/>
      <c r="N211" s="11" t="s">
        <v>243</v>
      </c>
      <c r="O211" s="341"/>
      <c r="P211" s="339"/>
    </row>
    <row r="212" spans="1:16" s="325" customFormat="1" ht="33" hidden="1">
      <c r="A212" s="333" t="s">
        <v>2170</v>
      </c>
      <c r="B212" s="334" t="s">
        <v>222</v>
      </c>
      <c r="C212" s="335" t="s">
        <v>13</v>
      </c>
      <c r="D212" s="336">
        <v>783</v>
      </c>
      <c r="E212" s="336">
        <f>估驗單!F205</f>
        <v>783</v>
      </c>
      <c r="F212" s="390">
        <f t="shared" si="14"/>
        <v>0</v>
      </c>
      <c r="G212" s="336">
        <v>692.12</v>
      </c>
      <c r="H212" s="336"/>
      <c r="I212" s="336">
        <f t="shared" si="17"/>
        <v>541929.96</v>
      </c>
      <c r="J212" s="336">
        <f t="shared" si="18"/>
        <v>541929.96</v>
      </c>
      <c r="K212" s="546">
        <f t="shared" si="19"/>
        <v>0</v>
      </c>
      <c r="L212" s="502"/>
      <c r="M212" s="231"/>
      <c r="N212" s="11" t="s">
        <v>243</v>
      </c>
      <c r="O212" s="341"/>
      <c r="P212" s="339"/>
    </row>
    <row r="213" spans="1:16" s="325" customFormat="1" ht="33" hidden="1">
      <c r="A213" s="333" t="s">
        <v>2171</v>
      </c>
      <c r="B213" s="334" t="s">
        <v>640</v>
      </c>
      <c r="C213" s="335" t="s">
        <v>15</v>
      </c>
      <c r="D213" s="336">
        <v>1</v>
      </c>
      <c r="E213" s="336">
        <f>估驗單!F206</f>
        <v>1</v>
      </c>
      <c r="F213" s="390">
        <f t="shared" si="14"/>
        <v>0</v>
      </c>
      <c r="G213" s="336">
        <v>214228.32</v>
      </c>
      <c r="H213" s="336"/>
      <c r="I213" s="336">
        <f t="shared" si="17"/>
        <v>214228.32</v>
      </c>
      <c r="J213" s="336">
        <f t="shared" si="18"/>
        <v>214228.32</v>
      </c>
      <c r="K213" s="546">
        <f t="shared" si="19"/>
        <v>0</v>
      </c>
      <c r="L213" s="502"/>
      <c r="M213" s="231" t="s">
        <v>242</v>
      </c>
      <c r="N213" s="11" t="s">
        <v>243</v>
      </c>
      <c r="O213" s="341"/>
      <c r="P213" s="339"/>
    </row>
    <row r="214" spans="1:16" s="325" customFormat="1" ht="33" hidden="1">
      <c r="A214" s="333" t="s">
        <v>2172</v>
      </c>
      <c r="B214" s="334" t="s">
        <v>643</v>
      </c>
      <c r="C214" s="335" t="s">
        <v>5</v>
      </c>
      <c r="D214" s="336">
        <v>44</v>
      </c>
      <c r="E214" s="336">
        <f>估驗單!F207</f>
        <v>44</v>
      </c>
      <c r="F214" s="390">
        <f t="shared" si="14"/>
        <v>0</v>
      </c>
      <c r="G214" s="336">
        <v>422.28</v>
      </c>
      <c r="H214" s="336"/>
      <c r="I214" s="336">
        <f t="shared" si="17"/>
        <v>18580.32</v>
      </c>
      <c r="J214" s="336">
        <f t="shared" si="18"/>
        <v>18580.32</v>
      </c>
      <c r="K214" s="546">
        <f t="shared" si="19"/>
        <v>0</v>
      </c>
      <c r="L214" s="502"/>
      <c r="M214" s="231" t="s">
        <v>242</v>
      </c>
      <c r="N214" s="11" t="s">
        <v>243</v>
      </c>
      <c r="O214" s="341"/>
      <c r="P214" s="339"/>
    </row>
    <row r="215" spans="1:16" s="325" customFormat="1" ht="33">
      <c r="A215" s="406" t="s">
        <v>2245</v>
      </c>
      <c r="B215" s="407" t="s">
        <v>645</v>
      </c>
      <c r="C215" s="408" t="s">
        <v>4</v>
      </c>
      <c r="D215" s="409"/>
      <c r="E215" s="409"/>
      <c r="F215" s="410"/>
      <c r="G215" s="409">
        <f>I215</f>
        <v>13631722.120000003</v>
      </c>
      <c r="H215" s="409"/>
      <c r="I215" s="409">
        <f>SUM(I216:I231)</f>
        <v>13631722.120000003</v>
      </c>
      <c r="J215" s="409">
        <f>SUM(J216:J231)</f>
        <v>13631722.120000003</v>
      </c>
      <c r="K215" s="542">
        <f>SUM(K216:K231)</f>
        <v>0</v>
      </c>
      <c r="L215" s="452">
        <f>SUM(L216:L231)</f>
        <v>0</v>
      </c>
      <c r="M215" s="288" t="s">
        <v>242</v>
      </c>
      <c r="N215" s="11" t="s">
        <v>243</v>
      </c>
      <c r="O215" s="785">
        <f>K215+L215</f>
        <v>0</v>
      </c>
      <c r="P215" s="339"/>
    </row>
    <row r="216" spans="1:16" s="325" customFormat="1" ht="33" hidden="1">
      <c r="A216" s="333" t="s">
        <v>2154</v>
      </c>
      <c r="B216" s="334" t="s">
        <v>646</v>
      </c>
      <c r="C216" s="335" t="s">
        <v>6</v>
      </c>
      <c r="D216" s="336">
        <v>230</v>
      </c>
      <c r="E216" s="336">
        <f>估驗單!F209</f>
        <v>230</v>
      </c>
      <c r="F216" s="390">
        <f t="shared" si="14"/>
        <v>0</v>
      </c>
      <c r="G216" s="336">
        <v>7517.15</v>
      </c>
      <c r="H216" s="336"/>
      <c r="I216" s="336">
        <f t="shared" ref="I216:I231" si="20">ROUND(D216*G216,2)</f>
        <v>1728944.5</v>
      </c>
      <c r="J216" s="336">
        <f t="shared" ref="J216:J231" si="21">ROUND(E216*G216,2)</f>
        <v>1728944.5</v>
      </c>
      <c r="K216" s="546">
        <f t="shared" si="19"/>
        <v>0</v>
      </c>
      <c r="L216" s="502"/>
      <c r="M216" s="231" t="s">
        <v>242</v>
      </c>
      <c r="N216" s="11" t="s">
        <v>243</v>
      </c>
      <c r="O216" s="341"/>
      <c r="P216" s="339"/>
    </row>
    <row r="217" spans="1:16" s="325" customFormat="1" ht="33" hidden="1">
      <c r="A217" s="333" t="s">
        <v>2155</v>
      </c>
      <c r="B217" s="334" t="s">
        <v>648</v>
      </c>
      <c r="C217" s="335" t="s">
        <v>6</v>
      </c>
      <c r="D217" s="336">
        <v>689</v>
      </c>
      <c r="E217" s="336">
        <f>估驗單!F210</f>
        <v>689</v>
      </c>
      <c r="F217" s="390">
        <f t="shared" si="14"/>
        <v>0</v>
      </c>
      <c r="G217" s="336">
        <v>7496.55</v>
      </c>
      <c r="H217" s="336"/>
      <c r="I217" s="336">
        <f t="shared" si="20"/>
        <v>5165122.95</v>
      </c>
      <c r="J217" s="336">
        <f t="shared" si="21"/>
        <v>5165122.95</v>
      </c>
      <c r="K217" s="546">
        <f t="shared" si="19"/>
        <v>0</v>
      </c>
      <c r="L217" s="502"/>
      <c r="M217" s="231" t="s">
        <v>242</v>
      </c>
      <c r="N217" s="11" t="s">
        <v>243</v>
      </c>
      <c r="O217" s="341"/>
      <c r="P217" s="339"/>
    </row>
    <row r="218" spans="1:16" s="325" customFormat="1" ht="33" hidden="1">
      <c r="A218" s="333" t="s">
        <v>2156</v>
      </c>
      <c r="B218" s="334" t="s">
        <v>650</v>
      </c>
      <c r="C218" s="335" t="s">
        <v>13</v>
      </c>
      <c r="D218" s="336">
        <v>4589</v>
      </c>
      <c r="E218" s="336">
        <f>估驗單!F211</f>
        <v>4589</v>
      </c>
      <c r="F218" s="390">
        <f t="shared" si="14"/>
        <v>0</v>
      </c>
      <c r="G218" s="336">
        <v>11.6</v>
      </c>
      <c r="H218" s="336"/>
      <c r="I218" s="336">
        <f t="shared" si="20"/>
        <v>53232.4</v>
      </c>
      <c r="J218" s="336">
        <f t="shared" si="21"/>
        <v>53232.4</v>
      </c>
      <c r="K218" s="546">
        <f t="shared" si="19"/>
        <v>0</v>
      </c>
      <c r="L218" s="502"/>
      <c r="M218" s="231" t="s">
        <v>242</v>
      </c>
      <c r="N218" s="11" t="s">
        <v>243</v>
      </c>
      <c r="O218" s="341"/>
      <c r="P218" s="339"/>
    </row>
    <row r="219" spans="1:16" s="325" customFormat="1" ht="33" hidden="1">
      <c r="A219" s="333" t="s">
        <v>2157</v>
      </c>
      <c r="B219" s="334" t="s">
        <v>652</v>
      </c>
      <c r="C219" s="335" t="s">
        <v>13</v>
      </c>
      <c r="D219" s="336">
        <v>4589</v>
      </c>
      <c r="E219" s="336">
        <f>估驗單!F212</f>
        <v>4589</v>
      </c>
      <c r="F219" s="390">
        <f t="shared" si="14"/>
        <v>0</v>
      </c>
      <c r="G219" s="336">
        <v>42.46</v>
      </c>
      <c r="H219" s="336"/>
      <c r="I219" s="336">
        <f t="shared" si="20"/>
        <v>194848.94</v>
      </c>
      <c r="J219" s="336">
        <f t="shared" si="21"/>
        <v>194848.94</v>
      </c>
      <c r="K219" s="546">
        <f t="shared" si="19"/>
        <v>0</v>
      </c>
      <c r="L219" s="502"/>
      <c r="M219" s="231" t="s">
        <v>242</v>
      </c>
      <c r="N219" s="11" t="s">
        <v>243</v>
      </c>
      <c r="O219" s="341"/>
      <c r="P219" s="339"/>
    </row>
    <row r="220" spans="1:16" s="325" customFormat="1" ht="33" hidden="1">
      <c r="A220" s="333" t="s">
        <v>2158</v>
      </c>
      <c r="B220" s="334" t="s">
        <v>204</v>
      </c>
      <c r="C220" s="335" t="s">
        <v>13</v>
      </c>
      <c r="D220" s="336">
        <v>13765</v>
      </c>
      <c r="E220" s="336">
        <f>估驗單!F213</f>
        <v>13765</v>
      </c>
      <c r="F220" s="390">
        <f t="shared" si="14"/>
        <v>0</v>
      </c>
      <c r="G220" s="336">
        <v>15.96</v>
      </c>
      <c r="H220" s="336"/>
      <c r="I220" s="336">
        <f t="shared" si="20"/>
        <v>219689.4</v>
      </c>
      <c r="J220" s="336">
        <f t="shared" si="21"/>
        <v>219689.4</v>
      </c>
      <c r="K220" s="546">
        <f t="shared" si="19"/>
        <v>0</v>
      </c>
      <c r="L220" s="502"/>
      <c r="M220" s="231" t="s">
        <v>242</v>
      </c>
      <c r="N220" s="11" t="s">
        <v>243</v>
      </c>
      <c r="O220" s="341"/>
      <c r="P220" s="339"/>
    </row>
    <row r="221" spans="1:16" s="325" customFormat="1" ht="33" hidden="1">
      <c r="A221" s="333" t="s">
        <v>2159</v>
      </c>
      <c r="B221" s="334" t="s">
        <v>315</v>
      </c>
      <c r="C221" s="335" t="s">
        <v>6</v>
      </c>
      <c r="D221" s="336">
        <v>49</v>
      </c>
      <c r="E221" s="336">
        <f>估驗單!F214</f>
        <v>49</v>
      </c>
      <c r="F221" s="390">
        <f t="shared" ref="F221:F284" si="22">E221-D221</f>
        <v>0</v>
      </c>
      <c r="G221" s="336">
        <v>3114.97</v>
      </c>
      <c r="H221" s="336"/>
      <c r="I221" s="336">
        <f t="shared" si="20"/>
        <v>152633.53</v>
      </c>
      <c r="J221" s="336">
        <f t="shared" si="21"/>
        <v>152633.53</v>
      </c>
      <c r="K221" s="546">
        <f t="shared" si="19"/>
        <v>0</v>
      </c>
      <c r="L221" s="453"/>
      <c r="M221" s="231" t="s">
        <v>242</v>
      </c>
      <c r="N221" s="11" t="s">
        <v>243</v>
      </c>
      <c r="O221" s="341"/>
      <c r="P221" s="339"/>
    </row>
    <row r="222" spans="1:16" s="325" customFormat="1" ht="33" hidden="1">
      <c r="A222" s="333" t="s">
        <v>2160</v>
      </c>
      <c r="B222" s="334" t="s">
        <v>24</v>
      </c>
      <c r="C222" s="335" t="s">
        <v>6</v>
      </c>
      <c r="D222" s="336">
        <v>328</v>
      </c>
      <c r="E222" s="336">
        <f>估驗單!F215</f>
        <v>328</v>
      </c>
      <c r="F222" s="390">
        <f t="shared" si="22"/>
        <v>0</v>
      </c>
      <c r="G222" s="336">
        <v>3320.96</v>
      </c>
      <c r="H222" s="336"/>
      <c r="I222" s="336">
        <f t="shared" si="20"/>
        <v>1089274.8799999999</v>
      </c>
      <c r="J222" s="336">
        <f t="shared" si="21"/>
        <v>1089274.8799999999</v>
      </c>
      <c r="K222" s="546">
        <f t="shared" si="19"/>
        <v>0</v>
      </c>
      <c r="L222" s="502"/>
      <c r="M222" s="231" t="s">
        <v>242</v>
      </c>
      <c r="N222" s="11" t="s">
        <v>243</v>
      </c>
      <c r="O222" s="341" t="s">
        <v>2991</v>
      </c>
      <c r="P222" s="433" t="s">
        <v>2993</v>
      </c>
    </row>
    <row r="223" spans="1:16" s="325" customFormat="1" ht="33" hidden="1">
      <c r="A223" s="333" t="s">
        <v>2161</v>
      </c>
      <c r="B223" s="334" t="s">
        <v>595</v>
      </c>
      <c r="C223" s="335" t="s">
        <v>6</v>
      </c>
      <c r="D223" s="336">
        <v>377</v>
      </c>
      <c r="E223" s="336">
        <f>估驗單!F216</f>
        <v>377</v>
      </c>
      <c r="F223" s="390">
        <f t="shared" si="22"/>
        <v>0</v>
      </c>
      <c r="G223" s="336">
        <v>199.99</v>
      </c>
      <c r="H223" s="336"/>
      <c r="I223" s="336">
        <f t="shared" si="20"/>
        <v>75396.23</v>
      </c>
      <c r="J223" s="336">
        <f t="shared" si="21"/>
        <v>75396.23</v>
      </c>
      <c r="K223" s="546">
        <f t="shared" si="19"/>
        <v>0</v>
      </c>
      <c r="L223" s="502"/>
      <c r="M223" s="231" t="s">
        <v>242</v>
      </c>
      <c r="N223" s="11" t="s">
        <v>243</v>
      </c>
      <c r="O223" s="341" t="s">
        <v>2991</v>
      </c>
      <c r="P223" s="433" t="s">
        <v>2993</v>
      </c>
    </row>
    <row r="224" spans="1:16" s="325" customFormat="1" ht="33" hidden="1">
      <c r="A224" s="333" t="s">
        <v>2162</v>
      </c>
      <c r="B224" s="334" t="s">
        <v>626</v>
      </c>
      <c r="C224" s="335" t="s">
        <v>13</v>
      </c>
      <c r="D224" s="336">
        <v>867</v>
      </c>
      <c r="E224" s="336">
        <f>估驗單!F217</f>
        <v>867</v>
      </c>
      <c r="F224" s="390">
        <f t="shared" si="22"/>
        <v>0</v>
      </c>
      <c r="G224" s="336">
        <v>698.28</v>
      </c>
      <c r="H224" s="336"/>
      <c r="I224" s="336">
        <f t="shared" si="20"/>
        <v>605408.76</v>
      </c>
      <c r="J224" s="336">
        <f t="shared" si="21"/>
        <v>605408.76</v>
      </c>
      <c r="K224" s="546">
        <f t="shared" si="19"/>
        <v>0</v>
      </c>
      <c r="L224" s="502"/>
      <c r="M224" s="231"/>
      <c r="N224" s="11" t="s">
        <v>243</v>
      </c>
      <c r="O224" s="341" t="s">
        <v>2991</v>
      </c>
      <c r="P224" s="433" t="s">
        <v>2993</v>
      </c>
    </row>
    <row r="225" spans="1:19" s="325" customFormat="1" ht="33" hidden="1">
      <c r="A225" s="333" t="s">
        <v>2163</v>
      </c>
      <c r="B225" s="334" t="s">
        <v>193</v>
      </c>
      <c r="C225" s="335" t="s">
        <v>13</v>
      </c>
      <c r="D225" s="336">
        <v>1257</v>
      </c>
      <c r="E225" s="336">
        <f>估驗單!F218</f>
        <v>1257</v>
      </c>
      <c r="F225" s="390">
        <f t="shared" si="22"/>
        <v>0</v>
      </c>
      <c r="G225" s="336">
        <v>533.61</v>
      </c>
      <c r="H225" s="336"/>
      <c r="I225" s="336">
        <f t="shared" si="20"/>
        <v>670747.77</v>
      </c>
      <c r="J225" s="336">
        <f t="shared" si="21"/>
        <v>670747.77</v>
      </c>
      <c r="K225" s="546">
        <f t="shared" si="19"/>
        <v>0</v>
      </c>
      <c r="L225" s="453"/>
      <c r="M225" s="231"/>
      <c r="N225" s="11" t="s">
        <v>243</v>
      </c>
      <c r="O225" s="341"/>
      <c r="P225" s="360"/>
    </row>
    <row r="226" spans="1:19" s="325" customFormat="1" ht="33" hidden="1">
      <c r="A226" s="333" t="s">
        <v>2164</v>
      </c>
      <c r="B226" s="334" t="s">
        <v>192</v>
      </c>
      <c r="C226" s="335" t="s">
        <v>17</v>
      </c>
      <c r="D226" s="336">
        <v>12810</v>
      </c>
      <c r="E226" s="336">
        <f>估驗單!F219</f>
        <v>12810</v>
      </c>
      <c r="F226" s="390">
        <f t="shared" si="22"/>
        <v>0</v>
      </c>
      <c r="G226" s="336">
        <v>36.4</v>
      </c>
      <c r="H226" s="336"/>
      <c r="I226" s="336">
        <f t="shared" si="20"/>
        <v>466284</v>
      </c>
      <c r="J226" s="336">
        <f t="shared" si="21"/>
        <v>466284</v>
      </c>
      <c r="K226" s="336">
        <f t="shared" si="19"/>
        <v>0</v>
      </c>
      <c r="L226" s="502"/>
      <c r="M226" s="231"/>
      <c r="N226" s="11" t="s">
        <v>243</v>
      </c>
      <c r="O226" s="341" t="s">
        <v>2991</v>
      </c>
      <c r="P226" s="433" t="s">
        <v>2993</v>
      </c>
    </row>
    <row r="227" spans="1:19" s="325" customFormat="1" ht="33" hidden="1">
      <c r="A227" s="333" t="s">
        <v>2165</v>
      </c>
      <c r="B227" s="334" t="s">
        <v>655</v>
      </c>
      <c r="C227" s="335" t="s">
        <v>15</v>
      </c>
      <c r="D227" s="336">
        <v>158</v>
      </c>
      <c r="E227" s="336">
        <f>估驗單!F220</f>
        <v>158</v>
      </c>
      <c r="F227" s="390">
        <f t="shared" si="22"/>
        <v>0</v>
      </c>
      <c r="G227" s="336">
        <v>3615.1</v>
      </c>
      <c r="H227" s="336"/>
      <c r="I227" s="336">
        <f t="shared" si="20"/>
        <v>571185.80000000005</v>
      </c>
      <c r="J227" s="336">
        <f t="shared" si="21"/>
        <v>571185.80000000005</v>
      </c>
      <c r="K227" s="546">
        <f t="shared" si="19"/>
        <v>0</v>
      </c>
      <c r="L227" s="502"/>
      <c r="M227" s="231"/>
      <c r="N227" s="11" t="s">
        <v>243</v>
      </c>
      <c r="O227" s="341"/>
      <c r="P227" s="339"/>
    </row>
    <row r="228" spans="1:19" s="325" customFormat="1" ht="33" hidden="1">
      <c r="A228" s="333" t="s">
        <v>2166</v>
      </c>
      <c r="B228" s="334" t="s">
        <v>657</v>
      </c>
      <c r="C228" s="335" t="s">
        <v>17</v>
      </c>
      <c r="D228" s="336">
        <v>3713</v>
      </c>
      <c r="E228" s="336">
        <f>估驗單!F221</f>
        <v>3713</v>
      </c>
      <c r="F228" s="390">
        <f t="shared" si="22"/>
        <v>0</v>
      </c>
      <c r="G228" s="336">
        <v>107.44</v>
      </c>
      <c r="H228" s="336"/>
      <c r="I228" s="336">
        <f t="shared" si="20"/>
        <v>398924.72</v>
      </c>
      <c r="J228" s="336">
        <f t="shared" si="21"/>
        <v>398924.72</v>
      </c>
      <c r="K228" s="546">
        <f t="shared" si="19"/>
        <v>0</v>
      </c>
      <c r="L228" s="502"/>
      <c r="M228" s="231"/>
      <c r="N228" s="11" t="s">
        <v>243</v>
      </c>
      <c r="O228" s="341"/>
      <c r="P228" s="339"/>
    </row>
    <row r="229" spans="1:19" s="325" customFormat="1" ht="33" hidden="1">
      <c r="A229" s="333" t="s">
        <v>2167</v>
      </c>
      <c r="B229" s="334" t="s">
        <v>357</v>
      </c>
      <c r="C229" s="335" t="s">
        <v>8</v>
      </c>
      <c r="D229" s="336">
        <v>155</v>
      </c>
      <c r="E229" s="336">
        <f>估驗單!F222</f>
        <v>155</v>
      </c>
      <c r="F229" s="390">
        <f t="shared" si="22"/>
        <v>0</v>
      </c>
      <c r="G229" s="336">
        <v>138.84</v>
      </c>
      <c r="H229" s="336"/>
      <c r="I229" s="336">
        <f t="shared" si="20"/>
        <v>21520.2</v>
      </c>
      <c r="J229" s="336">
        <f t="shared" si="21"/>
        <v>21520.2</v>
      </c>
      <c r="K229" s="546">
        <f t="shared" si="19"/>
        <v>0</v>
      </c>
      <c r="L229" s="502"/>
      <c r="M229" s="231" t="s">
        <v>242</v>
      </c>
      <c r="N229" s="11" t="s">
        <v>243</v>
      </c>
      <c r="O229" s="341"/>
      <c r="P229" s="339"/>
    </row>
    <row r="230" spans="1:19" s="356" customFormat="1" ht="28.5" hidden="1">
      <c r="A230" s="343">
        <v>15</v>
      </c>
      <c r="B230" s="344" t="s">
        <v>1497</v>
      </c>
      <c r="C230" s="345" t="s">
        <v>223</v>
      </c>
      <c r="D230" s="340">
        <v>1376.7</v>
      </c>
      <c r="E230" s="336">
        <f>估驗單!F223</f>
        <v>1376.7</v>
      </c>
      <c r="F230" s="390">
        <f t="shared" si="22"/>
        <v>0</v>
      </c>
      <c r="G230" s="340">
        <v>1288.28</v>
      </c>
      <c r="H230" s="340"/>
      <c r="I230" s="336">
        <f t="shared" si="20"/>
        <v>1773575.08</v>
      </c>
      <c r="J230" s="336">
        <f t="shared" si="21"/>
        <v>1773575.08</v>
      </c>
      <c r="K230" s="546">
        <f t="shared" si="19"/>
        <v>0</v>
      </c>
      <c r="L230" s="502"/>
      <c r="M230" s="346"/>
      <c r="N230" s="347"/>
      <c r="O230" s="355"/>
      <c r="P230" s="349"/>
      <c r="Q230" s="325"/>
    </row>
    <row r="231" spans="1:19" s="356" customFormat="1" ht="31.5" hidden="1">
      <c r="A231" s="343">
        <v>16</v>
      </c>
      <c r="B231" s="344" t="s">
        <v>2391</v>
      </c>
      <c r="C231" s="345" t="s">
        <v>2386</v>
      </c>
      <c r="D231" s="419">
        <v>512.1</v>
      </c>
      <c r="E231" s="336">
        <f>估驗單!F224</f>
        <v>512.1</v>
      </c>
      <c r="F231" s="390">
        <f t="shared" si="22"/>
        <v>0</v>
      </c>
      <c r="G231" s="340">
        <v>868.84</v>
      </c>
      <c r="H231" s="340"/>
      <c r="I231" s="336">
        <f t="shared" si="20"/>
        <v>444932.96</v>
      </c>
      <c r="J231" s="336">
        <f t="shared" si="21"/>
        <v>444932.96</v>
      </c>
      <c r="K231" s="546">
        <f t="shared" si="19"/>
        <v>0</v>
      </c>
      <c r="L231" s="453"/>
      <c r="M231" s="346"/>
      <c r="N231" s="347"/>
      <c r="O231" s="355"/>
      <c r="P231" s="360"/>
      <c r="Q231" s="362"/>
      <c r="S231" s="371" t="s">
        <v>2395</v>
      </c>
    </row>
    <row r="232" spans="1:19" s="325" customFormat="1" ht="33">
      <c r="A232" s="406" t="s">
        <v>2246</v>
      </c>
      <c r="B232" s="407" t="s">
        <v>660</v>
      </c>
      <c r="C232" s="408" t="s">
        <v>4</v>
      </c>
      <c r="D232" s="409"/>
      <c r="E232" s="409"/>
      <c r="F232" s="410">
        <f t="shared" si="22"/>
        <v>0</v>
      </c>
      <c r="G232" s="409">
        <v>901865.78</v>
      </c>
      <c r="H232" s="409"/>
      <c r="I232" s="411">
        <f>SUM(I233:I309)</f>
        <v>5797339.8100000005</v>
      </c>
      <c r="J232" s="411">
        <f>SUM(J233:J309)</f>
        <v>5864027.4800000004</v>
      </c>
      <c r="K232" s="541">
        <f>SUM(K233:K309)</f>
        <v>66687.67</v>
      </c>
      <c r="L232" s="452">
        <f>SUM(L233:L309)</f>
        <v>0</v>
      </c>
      <c r="M232" s="288" t="s">
        <v>242</v>
      </c>
      <c r="N232" s="11" t="s">
        <v>243</v>
      </c>
      <c r="O232" s="785">
        <f>K232+L232</f>
        <v>66687.67</v>
      </c>
      <c r="P232" s="339"/>
      <c r="R232" s="325">
        <f>(26.4+21.4+6.8+29.6+4.8+58.5)+(52.7+6.8+48.3+5+21.2+10.7+23.9+49.8+2.3+1.4)+(43.6+11.2+9.1+20.6+77.7+67.4+13.8+49.3+17.5+24.2+1.8)+(6.5+64.1+10.9+43+11.1+9.4+10+42+1.2+20.1)</f>
        <v>924.09999999999991</v>
      </c>
      <c r="S232" s="325">
        <f>(26.4+21.4+6.8+29.6+4.8+58.5)+(52.7+6.8+48.3+5+21.2+10.7+23.9+49.8+2.3+1.4)+(43.6+11.2+9.1+20.6+77.7+67.4+13.8+49.3+17.5+24.2+1.8)+(10.9+43+11.1+9.4+10+42+1.2+20.1)</f>
        <v>853.5</v>
      </c>
    </row>
    <row r="233" spans="1:19" s="325" customFormat="1" ht="33" hidden="1">
      <c r="A233" s="333" t="s">
        <v>2154</v>
      </c>
      <c r="B233" s="334" t="s">
        <v>662</v>
      </c>
      <c r="C233" s="335" t="s">
        <v>223</v>
      </c>
      <c r="D233" s="336">
        <v>1</v>
      </c>
      <c r="E233" s="336">
        <f>估驗單!F226</f>
        <v>1</v>
      </c>
      <c r="F233" s="390">
        <f t="shared" si="22"/>
        <v>0</v>
      </c>
      <c r="G233" s="336">
        <v>704.48</v>
      </c>
      <c r="H233" s="336"/>
      <c r="I233" s="336">
        <f t="shared" ref="I233:I296" si="23">ROUND(D233*G233,2)</f>
        <v>704.48</v>
      </c>
      <c r="J233" s="336">
        <f t="shared" ref="J233:J296" si="24">ROUND(E233*G233,2)</f>
        <v>704.48</v>
      </c>
      <c r="K233" s="546">
        <f t="shared" si="19"/>
        <v>0</v>
      </c>
      <c r="L233" s="502"/>
      <c r="M233" s="231"/>
      <c r="N233" s="11" t="s">
        <v>243</v>
      </c>
      <c r="O233" s="341"/>
      <c r="P233" s="339"/>
    </row>
    <row r="234" spans="1:19" s="325" customFormat="1" ht="33" hidden="1">
      <c r="A234" s="333" t="s">
        <v>2155</v>
      </c>
      <c r="B234" s="334" t="s">
        <v>665</v>
      </c>
      <c r="C234" s="335" t="s">
        <v>5</v>
      </c>
      <c r="D234" s="336">
        <v>1</v>
      </c>
      <c r="E234" s="336">
        <f>估驗單!F227</f>
        <v>1</v>
      </c>
      <c r="F234" s="390">
        <f t="shared" si="22"/>
        <v>0</v>
      </c>
      <c r="G234" s="336">
        <v>399.98</v>
      </c>
      <c r="H234" s="336"/>
      <c r="I234" s="336">
        <f t="shared" si="23"/>
        <v>399.98</v>
      </c>
      <c r="J234" s="336">
        <f t="shared" si="24"/>
        <v>399.98</v>
      </c>
      <c r="K234" s="546">
        <f t="shared" si="19"/>
        <v>0</v>
      </c>
      <c r="L234" s="502"/>
      <c r="M234" s="231"/>
      <c r="N234" s="11" t="s">
        <v>243</v>
      </c>
      <c r="O234" s="341"/>
      <c r="P234" s="339"/>
    </row>
    <row r="235" spans="1:19" s="325" customFormat="1" ht="33" hidden="1">
      <c r="A235" s="503" t="s">
        <v>2156</v>
      </c>
      <c r="B235" s="504" t="s">
        <v>668</v>
      </c>
      <c r="C235" s="505" t="s">
        <v>669</v>
      </c>
      <c r="D235" s="506">
        <v>14</v>
      </c>
      <c r="E235" s="506">
        <f>估驗單!F228</f>
        <v>15</v>
      </c>
      <c r="F235" s="507">
        <f t="shared" si="22"/>
        <v>1</v>
      </c>
      <c r="G235" s="506">
        <v>3569.75</v>
      </c>
      <c r="H235" s="506"/>
      <c r="I235" s="506">
        <f t="shared" si="23"/>
        <v>49976.5</v>
      </c>
      <c r="J235" s="506">
        <f t="shared" si="24"/>
        <v>53546.25</v>
      </c>
      <c r="K235" s="547">
        <f t="shared" si="19"/>
        <v>3569.75</v>
      </c>
      <c r="L235" s="510"/>
      <c r="M235" s="508"/>
      <c r="N235" s="11" t="s">
        <v>243</v>
      </c>
      <c r="O235" s="341" t="s">
        <v>2894</v>
      </c>
      <c r="P235" s="339"/>
      <c r="Q235" s="771" t="s">
        <v>3044</v>
      </c>
    </row>
    <row r="236" spans="1:19" s="325" customFormat="1" ht="33" hidden="1">
      <c r="A236" s="333" t="s">
        <v>2157</v>
      </c>
      <c r="B236" s="334" t="s">
        <v>672</v>
      </c>
      <c r="C236" s="335" t="s">
        <v>669</v>
      </c>
      <c r="D236" s="336">
        <v>2</v>
      </c>
      <c r="E236" s="336">
        <f>估驗單!F229</f>
        <v>2</v>
      </c>
      <c r="F236" s="390">
        <f t="shared" si="22"/>
        <v>0</v>
      </c>
      <c r="G236" s="336">
        <v>4082.87</v>
      </c>
      <c r="H236" s="336"/>
      <c r="I236" s="336">
        <f t="shared" si="23"/>
        <v>8165.74</v>
      </c>
      <c r="J236" s="336">
        <f t="shared" si="24"/>
        <v>8165.74</v>
      </c>
      <c r="K236" s="546">
        <f t="shared" si="19"/>
        <v>0</v>
      </c>
      <c r="L236" s="502"/>
      <c r="M236" s="231"/>
      <c r="N236" s="11" t="s">
        <v>243</v>
      </c>
      <c r="O236" s="341"/>
      <c r="P236" s="339"/>
    </row>
    <row r="237" spans="1:19" s="325" customFormat="1" ht="33" hidden="1">
      <c r="A237" s="503" t="s">
        <v>2158</v>
      </c>
      <c r="B237" s="504" t="s">
        <v>675</v>
      </c>
      <c r="C237" s="505" t="s">
        <v>669</v>
      </c>
      <c r="D237" s="506">
        <v>6</v>
      </c>
      <c r="E237" s="506">
        <f>估驗單!F230</f>
        <v>9</v>
      </c>
      <c r="F237" s="507">
        <f t="shared" si="22"/>
        <v>3</v>
      </c>
      <c r="G237" s="506">
        <v>7408.14</v>
      </c>
      <c r="H237" s="506"/>
      <c r="I237" s="506">
        <f t="shared" si="23"/>
        <v>44448.84</v>
      </c>
      <c r="J237" s="506">
        <f t="shared" si="24"/>
        <v>66673.259999999995</v>
      </c>
      <c r="K237" s="547">
        <f t="shared" si="19"/>
        <v>22224.42</v>
      </c>
      <c r="L237" s="510"/>
      <c r="M237" s="508"/>
      <c r="N237" s="11" t="s">
        <v>243</v>
      </c>
      <c r="O237" s="341" t="s">
        <v>2894</v>
      </c>
      <c r="P237" s="339"/>
      <c r="Q237" s="771" t="s">
        <v>3044</v>
      </c>
    </row>
    <row r="238" spans="1:19" s="325" customFormat="1" ht="33" hidden="1">
      <c r="A238" s="333" t="s">
        <v>2159</v>
      </c>
      <c r="B238" s="334" t="s">
        <v>678</v>
      </c>
      <c r="C238" s="335" t="s">
        <v>669</v>
      </c>
      <c r="D238" s="336">
        <v>8</v>
      </c>
      <c r="E238" s="336">
        <f>估驗單!F231</f>
        <v>8</v>
      </c>
      <c r="F238" s="390">
        <f t="shared" si="22"/>
        <v>0</v>
      </c>
      <c r="G238" s="336">
        <v>10318.74</v>
      </c>
      <c r="H238" s="336"/>
      <c r="I238" s="336">
        <f t="shared" si="23"/>
        <v>82549.919999999998</v>
      </c>
      <c r="J238" s="336">
        <f t="shared" si="24"/>
        <v>82549.919999999998</v>
      </c>
      <c r="K238" s="546">
        <f t="shared" si="19"/>
        <v>0</v>
      </c>
      <c r="L238" s="502"/>
      <c r="M238" s="231"/>
      <c r="N238" s="11" t="s">
        <v>243</v>
      </c>
      <c r="O238" s="341"/>
      <c r="P238" s="339"/>
    </row>
    <row r="239" spans="1:19" s="325" customFormat="1" ht="33" hidden="1">
      <c r="A239" s="333" t="s">
        <v>2160</v>
      </c>
      <c r="B239" s="334" t="s">
        <v>681</v>
      </c>
      <c r="C239" s="335" t="s">
        <v>669</v>
      </c>
      <c r="D239" s="336">
        <v>5</v>
      </c>
      <c r="E239" s="336">
        <f>估驗單!F232</f>
        <v>5</v>
      </c>
      <c r="F239" s="390">
        <f t="shared" si="22"/>
        <v>0</v>
      </c>
      <c r="G239" s="336">
        <v>15163.34</v>
      </c>
      <c r="H239" s="336"/>
      <c r="I239" s="336">
        <f t="shared" si="23"/>
        <v>75816.7</v>
      </c>
      <c r="J239" s="336">
        <f t="shared" si="24"/>
        <v>75816.7</v>
      </c>
      <c r="K239" s="546">
        <f t="shared" si="19"/>
        <v>0</v>
      </c>
      <c r="L239" s="502"/>
      <c r="M239" s="231"/>
      <c r="N239" s="11" t="s">
        <v>243</v>
      </c>
      <c r="O239" s="341"/>
      <c r="P239" s="339"/>
    </row>
    <row r="240" spans="1:19" s="325" customFormat="1" ht="33" hidden="1">
      <c r="A240" s="333" t="s">
        <v>2161</v>
      </c>
      <c r="B240" s="334" t="s">
        <v>684</v>
      </c>
      <c r="C240" s="335" t="s">
        <v>669</v>
      </c>
      <c r="D240" s="336">
        <v>3</v>
      </c>
      <c r="E240" s="336">
        <f>估驗單!F233</f>
        <v>3</v>
      </c>
      <c r="F240" s="390">
        <f t="shared" si="22"/>
        <v>0</v>
      </c>
      <c r="G240" s="336">
        <v>21801.91</v>
      </c>
      <c r="H240" s="336"/>
      <c r="I240" s="336">
        <f t="shared" si="23"/>
        <v>65405.73</v>
      </c>
      <c r="J240" s="336">
        <f t="shared" si="24"/>
        <v>65405.73</v>
      </c>
      <c r="K240" s="546">
        <f t="shared" si="19"/>
        <v>0</v>
      </c>
      <c r="L240" s="502"/>
      <c r="M240" s="231"/>
      <c r="N240" s="11" t="s">
        <v>243</v>
      </c>
      <c r="O240" s="341"/>
      <c r="P240" s="339"/>
    </row>
    <row r="241" spans="1:17" s="325" customFormat="1" ht="33" hidden="1">
      <c r="A241" s="333" t="s">
        <v>2162</v>
      </c>
      <c r="B241" s="334" t="s">
        <v>687</v>
      </c>
      <c r="C241" s="335" t="s">
        <v>669</v>
      </c>
      <c r="D241" s="336">
        <v>2</v>
      </c>
      <c r="E241" s="336">
        <f>估驗單!F234</f>
        <v>2</v>
      </c>
      <c r="F241" s="390">
        <f t="shared" si="22"/>
        <v>0</v>
      </c>
      <c r="G241" s="336">
        <v>29983.23</v>
      </c>
      <c r="H241" s="336"/>
      <c r="I241" s="336">
        <f t="shared" si="23"/>
        <v>59966.46</v>
      </c>
      <c r="J241" s="336">
        <f t="shared" si="24"/>
        <v>59966.46</v>
      </c>
      <c r="K241" s="546">
        <f t="shared" si="19"/>
        <v>0</v>
      </c>
      <c r="L241" s="502"/>
      <c r="M241" s="231" t="s">
        <v>242</v>
      </c>
      <c r="N241" s="11" t="s">
        <v>243</v>
      </c>
      <c r="O241" s="341"/>
      <c r="P241" s="339"/>
    </row>
    <row r="242" spans="1:17" s="325" customFormat="1" ht="33" hidden="1">
      <c r="A242" s="333" t="s">
        <v>2163</v>
      </c>
      <c r="B242" s="334" t="s">
        <v>690</v>
      </c>
      <c r="C242" s="335" t="s">
        <v>669</v>
      </c>
      <c r="D242" s="336">
        <v>1</v>
      </c>
      <c r="E242" s="336">
        <f>估驗單!F235</f>
        <v>1</v>
      </c>
      <c r="F242" s="390">
        <f t="shared" si="22"/>
        <v>0</v>
      </c>
      <c r="G242" s="336">
        <v>28372.400000000001</v>
      </c>
      <c r="H242" s="336"/>
      <c r="I242" s="336">
        <f t="shared" si="23"/>
        <v>28372.400000000001</v>
      </c>
      <c r="J242" s="336">
        <f t="shared" si="24"/>
        <v>28372.400000000001</v>
      </c>
      <c r="K242" s="546">
        <f t="shared" si="19"/>
        <v>0</v>
      </c>
      <c r="L242" s="502"/>
      <c r="M242" s="231" t="s">
        <v>242</v>
      </c>
      <c r="N242" s="11" t="s">
        <v>243</v>
      </c>
      <c r="O242" s="341"/>
      <c r="P242" s="339"/>
    </row>
    <row r="243" spans="1:17" s="325" customFormat="1" ht="33" hidden="1">
      <c r="A243" s="333" t="s">
        <v>2164</v>
      </c>
      <c r="B243" s="334" t="s">
        <v>693</v>
      </c>
      <c r="C243" s="335" t="s">
        <v>669</v>
      </c>
      <c r="D243" s="336">
        <v>1</v>
      </c>
      <c r="E243" s="336">
        <f>估驗單!F236</f>
        <v>1</v>
      </c>
      <c r="F243" s="390">
        <f t="shared" si="22"/>
        <v>0</v>
      </c>
      <c r="G243" s="336">
        <v>73084.87</v>
      </c>
      <c r="H243" s="336"/>
      <c r="I243" s="336">
        <f t="shared" si="23"/>
        <v>73084.87</v>
      </c>
      <c r="J243" s="336">
        <f t="shared" si="24"/>
        <v>73084.87</v>
      </c>
      <c r="K243" s="546">
        <f t="shared" si="19"/>
        <v>0</v>
      </c>
      <c r="L243" s="502"/>
      <c r="M243" s="231" t="s">
        <v>242</v>
      </c>
      <c r="N243" s="11" t="s">
        <v>243</v>
      </c>
      <c r="O243" s="341"/>
      <c r="P243" s="339"/>
    </row>
    <row r="244" spans="1:17" s="325" customFormat="1" ht="33" hidden="1">
      <c r="A244" s="333" t="s">
        <v>2165</v>
      </c>
      <c r="B244" s="334" t="s">
        <v>696</v>
      </c>
      <c r="C244" s="335" t="s">
        <v>669</v>
      </c>
      <c r="D244" s="336">
        <v>4</v>
      </c>
      <c r="E244" s="336">
        <f>估驗單!F237</f>
        <v>4</v>
      </c>
      <c r="F244" s="390">
        <f t="shared" si="22"/>
        <v>0</v>
      </c>
      <c r="G244" s="336">
        <v>22813.26</v>
      </c>
      <c r="H244" s="336"/>
      <c r="I244" s="336">
        <f t="shared" si="23"/>
        <v>91253.04</v>
      </c>
      <c r="J244" s="336">
        <f t="shared" si="24"/>
        <v>91253.04</v>
      </c>
      <c r="K244" s="546">
        <f t="shared" si="19"/>
        <v>0</v>
      </c>
      <c r="L244" s="502"/>
      <c r="M244" s="231"/>
      <c r="N244" s="11" t="s">
        <v>243</v>
      </c>
      <c r="O244" s="341"/>
      <c r="P244" s="339"/>
    </row>
    <row r="245" spans="1:17" s="325" customFormat="1" ht="33.75" hidden="1">
      <c r="A245" s="503" t="s">
        <v>2166</v>
      </c>
      <c r="B245" s="504" t="s">
        <v>699</v>
      </c>
      <c r="C245" s="505" t="s">
        <v>669</v>
      </c>
      <c r="D245" s="506">
        <v>1</v>
      </c>
      <c r="E245" s="506">
        <f>估驗單!F238</f>
        <v>2</v>
      </c>
      <c r="F245" s="507">
        <f t="shared" si="22"/>
        <v>1</v>
      </c>
      <c r="G245" s="506">
        <v>1079.8499999999999</v>
      </c>
      <c r="H245" s="506"/>
      <c r="I245" s="506">
        <f t="shared" si="23"/>
        <v>1079.8499999999999</v>
      </c>
      <c r="J245" s="506">
        <f t="shared" si="24"/>
        <v>2159.6999999999998</v>
      </c>
      <c r="K245" s="547">
        <f t="shared" si="19"/>
        <v>1079.8499999999999</v>
      </c>
      <c r="L245" s="510"/>
      <c r="M245" s="508"/>
      <c r="N245" s="11" t="s">
        <v>243</v>
      </c>
      <c r="O245" s="341" t="s">
        <v>3045</v>
      </c>
      <c r="P245" s="339"/>
      <c r="Q245" s="325" t="s">
        <v>3046</v>
      </c>
    </row>
    <row r="246" spans="1:17" s="325" customFormat="1" ht="33.75" hidden="1">
      <c r="A246" s="503" t="s">
        <v>2167</v>
      </c>
      <c r="B246" s="504" t="s">
        <v>702</v>
      </c>
      <c r="C246" s="505" t="s">
        <v>669</v>
      </c>
      <c r="D246" s="506">
        <v>1</v>
      </c>
      <c r="E246" s="506">
        <f>估驗單!F239</f>
        <v>7</v>
      </c>
      <c r="F246" s="507">
        <f t="shared" si="22"/>
        <v>6</v>
      </c>
      <c r="G246" s="506">
        <v>1963.19</v>
      </c>
      <c r="H246" s="506"/>
      <c r="I246" s="506">
        <f t="shared" si="23"/>
        <v>1963.19</v>
      </c>
      <c r="J246" s="506">
        <f t="shared" si="24"/>
        <v>13742.33</v>
      </c>
      <c r="K246" s="547">
        <f t="shared" si="19"/>
        <v>11779.14</v>
      </c>
      <c r="L246" s="510"/>
      <c r="M246" s="508"/>
      <c r="N246" s="11" t="s">
        <v>243</v>
      </c>
      <c r="O246" s="341" t="s">
        <v>2895</v>
      </c>
      <c r="P246" s="339"/>
      <c r="Q246" s="325" t="s">
        <v>3046</v>
      </c>
    </row>
    <row r="247" spans="1:17" s="325" customFormat="1" ht="33.75" hidden="1">
      <c r="A247" s="503" t="s">
        <v>2168</v>
      </c>
      <c r="B247" s="504" t="s">
        <v>705</v>
      </c>
      <c r="C247" s="505" t="s">
        <v>669</v>
      </c>
      <c r="D247" s="506">
        <v>1</v>
      </c>
      <c r="E247" s="506">
        <f>估驗單!F240</f>
        <v>3</v>
      </c>
      <c r="F247" s="507">
        <f t="shared" si="22"/>
        <v>2</v>
      </c>
      <c r="G247" s="506">
        <v>2216.48</v>
      </c>
      <c r="H247" s="506"/>
      <c r="I247" s="506">
        <f t="shared" si="23"/>
        <v>2216.48</v>
      </c>
      <c r="J247" s="506">
        <f t="shared" si="24"/>
        <v>6649.44</v>
      </c>
      <c r="K247" s="547">
        <f t="shared" si="19"/>
        <v>4432.9599999999991</v>
      </c>
      <c r="L247" s="510"/>
      <c r="M247" s="508" t="s">
        <v>242</v>
      </c>
      <c r="N247" s="11" t="s">
        <v>243</v>
      </c>
      <c r="O247" s="341" t="s">
        <v>2895</v>
      </c>
      <c r="P247" s="339"/>
      <c r="Q247" s="325" t="s">
        <v>3046</v>
      </c>
    </row>
    <row r="248" spans="1:17" s="325" customFormat="1" ht="33.75" hidden="1">
      <c r="A248" s="503" t="s">
        <v>2169</v>
      </c>
      <c r="B248" s="504" t="s">
        <v>708</v>
      </c>
      <c r="C248" s="505" t="s">
        <v>669</v>
      </c>
      <c r="D248" s="506">
        <v>1</v>
      </c>
      <c r="E248" s="506">
        <f>估驗單!F241</f>
        <v>6</v>
      </c>
      <c r="F248" s="507">
        <f t="shared" si="22"/>
        <v>5</v>
      </c>
      <c r="G248" s="506">
        <v>4720.3100000000004</v>
      </c>
      <c r="H248" s="506"/>
      <c r="I248" s="506">
        <f t="shared" si="23"/>
        <v>4720.3100000000004</v>
      </c>
      <c r="J248" s="506">
        <f t="shared" si="24"/>
        <v>28321.86</v>
      </c>
      <c r="K248" s="547">
        <f t="shared" si="19"/>
        <v>23601.55</v>
      </c>
      <c r="L248" s="510"/>
      <c r="M248" s="508" t="s">
        <v>242</v>
      </c>
      <c r="N248" s="11" t="s">
        <v>243</v>
      </c>
      <c r="O248" s="341" t="s">
        <v>2895</v>
      </c>
      <c r="P248" s="339"/>
      <c r="Q248" s="325" t="s">
        <v>3046</v>
      </c>
    </row>
    <row r="249" spans="1:17" s="325" customFormat="1" ht="33" hidden="1">
      <c r="A249" s="333" t="s">
        <v>2170</v>
      </c>
      <c r="B249" s="334" t="s">
        <v>147</v>
      </c>
      <c r="C249" s="335" t="s">
        <v>8</v>
      </c>
      <c r="D249" s="336">
        <v>162</v>
      </c>
      <c r="E249" s="336">
        <f>估驗單!F242</f>
        <v>162</v>
      </c>
      <c r="F249" s="390">
        <f t="shared" si="22"/>
        <v>0</v>
      </c>
      <c r="G249" s="336">
        <v>1859.79</v>
      </c>
      <c r="H249" s="336"/>
      <c r="I249" s="336">
        <f t="shared" si="23"/>
        <v>301285.98</v>
      </c>
      <c r="J249" s="336">
        <f t="shared" si="24"/>
        <v>301285.98</v>
      </c>
      <c r="K249" s="546">
        <f t="shared" si="19"/>
        <v>0</v>
      </c>
      <c r="L249" s="502"/>
      <c r="M249" s="231"/>
      <c r="N249" s="11" t="s">
        <v>243</v>
      </c>
      <c r="O249" s="341"/>
      <c r="P249" s="339"/>
    </row>
    <row r="250" spans="1:17" s="325" customFormat="1" ht="33" hidden="1">
      <c r="A250" s="333" t="s">
        <v>2171</v>
      </c>
      <c r="B250" s="334" t="s">
        <v>713</v>
      </c>
      <c r="C250" s="335" t="s">
        <v>15</v>
      </c>
      <c r="D250" s="336">
        <v>1</v>
      </c>
      <c r="E250" s="336">
        <f>估驗單!F243</f>
        <v>1</v>
      </c>
      <c r="F250" s="390">
        <f t="shared" si="22"/>
        <v>0</v>
      </c>
      <c r="G250" s="336">
        <v>10254.44</v>
      </c>
      <c r="H250" s="336"/>
      <c r="I250" s="336">
        <f t="shared" si="23"/>
        <v>10254.44</v>
      </c>
      <c r="J250" s="336">
        <f t="shared" si="24"/>
        <v>10254.44</v>
      </c>
      <c r="K250" s="546">
        <f t="shared" si="19"/>
        <v>0</v>
      </c>
      <c r="L250" s="502"/>
      <c r="M250" s="231"/>
      <c r="N250" s="11" t="s">
        <v>243</v>
      </c>
      <c r="O250" s="341"/>
      <c r="P250" s="339"/>
    </row>
    <row r="251" spans="1:17" s="325" customFormat="1" ht="33" hidden="1">
      <c r="A251" s="333" t="s">
        <v>2172</v>
      </c>
      <c r="B251" s="334" t="s">
        <v>716</v>
      </c>
      <c r="C251" s="335" t="s">
        <v>15</v>
      </c>
      <c r="D251" s="336">
        <v>268</v>
      </c>
      <c r="E251" s="336">
        <f>估驗單!F244</f>
        <v>268</v>
      </c>
      <c r="F251" s="390">
        <f t="shared" si="22"/>
        <v>0</v>
      </c>
      <c r="G251" s="336">
        <v>40</v>
      </c>
      <c r="H251" s="336"/>
      <c r="I251" s="336">
        <f t="shared" si="23"/>
        <v>10720</v>
      </c>
      <c r="J251" s="336">
        <f t="shared" si="24"/>
        <v>10720</v>
      </c>
      <c r="K251" s="546">
        <f t="shared" si="19"/>
        <v>0</v>
      </c>
      <c r="L251" s="502"/>
      <c r="M251" s="231"/>
      <c r="N251" s="11" t="s">
        <v>243</v>
      </c>
      <c r="O251" s="341"/>
      <c r="P251" s="339"/>
    </row>
    <row r="252" spans="1:17" s="325" customFormat="1" ht="33" hidden="1">
      <c r="A252" s="333" t="s">
        <v>2173</v>
      </c>
      <c r="B252" s="334" t="s">
        <v>719</v>
      </c>
      <c r="C252" s="335" t="s">
        <v>7</v>
      </c>
      <c r="D252" s="336">
        <v>1340</v>
      </c>
      <c r="E252" s="336">
        <f>估驗單!F245</f>
        <v>1340</v>
      </c>
      <c r="F252" s="390">
        <f t="shared" si="22"/>
        <v>0</v>
      </c>
      <c r="G252" s="336">
        <v>35</v>
      </c>
      <c r="H252" s="336"/>
      <c r="I252" s="336">
        <f t="shared" si="23"/>
        <v>46900</v>
      </c>
      <c r="J252" s="336">
        <f t="shared" si="24"/>
        <v>46900</v>
      </c>
      <c r="K252" s="546">
        <f t="shared" si="19"/>
        <v>0</v>
      </c>
      <c r="L252" s="502"/>
      <c r="M252" s="231"/>
      <c r="N252" s="11" t="s">
        <v>243</v>
      </c>
      <c r="O252" s="341"/>
      <c r="P252" s="339"/>
    </row>
    <row r="253" spans="1:17" s="325" customFormat="1" ht="33" hidden="1">
      <c r="A253" s="333" t="s">
        <v>2174</v>
      </c>
      <c r="B253" s="334" t="s">
        <v>722</v>
      </c>
      <c r="C253" s="335" t="s">
        <v>8</v>
      </c>
      <c r="D253" s="336">
        <v>1</v>
      </c>
      <c r="E253" s="336">
        <f>估驗單!F246</f>
        <v>1</v>
      </c>
      <c r="F253" s="390">
        <f t="shared" si="22"/>
        <v>0</v>
      </c>
      <c r="G253" s="336">
        <v>10</v>
      </c>
      <c r="H253" s="336"/>
      <c r="I253" s="336">
        <f t="shared" si="23"/>
        <v>10</v>
      </c>
      <c r="J253" s="336">
        <f t="shared" si="24"/>
        <v>10</v>
      </c>
      <c r="K253" s="546">
        <f t="shared" si="19"/>
        <v>0</v>
      </c>
      <c r="L253" s="502"/>
      <c r="M253" s="231"/>
      <c r="N253" s="11" t="s">
        <v>243</v>
      </c>
      <c r="O253" s="341"/>
      <c r="P253" s="339"/>
    </row>
    <row r="254" spans="1:17" s="325" customFormat="1" ht="33" hidden="1">
      <c r="A254" s="333" t="s">
        <v>2175</v>
      </c>
      <c r="B254" s="334" t="s">
        <v>725</v>
      </c>
      <c r="C254" s="335" t="s">
        <v>13</v>
      </c>
      <c r="D254" s="336">
        <v>1</v>
      </c>
      <c r="E254" s="336">
        <f>估驗單!F247</f>
        <v>1</v>
      </c>
      <c r="F254" s="390">
        <f t="shared" si="22"/>
        <v>0</v>
      </c>
      <c r="G254" s="336">
        <v>530.97</v>
      </c>
      <c r="H254" s="336"/>
      <c r="I254" s="336">
        <f t="shared" si="23"/>
        <v>530.97</v>
      </c>
      <c r="J254" s="336">
        <f t="shared" si="24"/>
        <v>530.97</v>
      </c>
      <c r="K254" s="546">
        <f t="shared" si="19"/>
        <v>0</v>
      </c>
      <c r="L254" s="502"/>
      <c r="M254" s="231"/>
      <c r="N254" s="11" t="s">
        <v>243</v>
      </c>
      <c r="O254" s="341"/>
      <c r="P254" s="339"/>
    </row>
    <row r="255" spans="1:17" s="325" customFormat="1" ht="33" hidden="1">
      <c r="A255" s="333" t="s">
        <v>2177</v>
      </c>
      <c r="B255" s="334" t="s">
        <v>728</v>
      </c>
      <c r="C255" s="335" t="s">
        <v>6</v>
      </c>
      <c r="D255" s="336">
        <v>11.31</v>
      </c>
      <c r="E255" s="336">
        <f>估驗單!F248</f>
        <v>11.31</v>
      </c>
      <c r="F255" s="390">
        <f t="shared" si="22"/>
        <v>0</v>
      </c>
      <c r="G255" s="336">
        <v>3386.34</v>
      </c>
      <c r="H255" s="336"/>
      <c r="I255" s="336">
        <f t="shared" si="23"/>
        <v>38299.51</v>
      </c>
      <c r="J255" s="336">
        <f t="shared" si="24"/>
        <v>38299.51</v>
      </c>
      <c r="K255" s="546">
        <f t="shared" si="19"/>
        <v>0</v>
      </c>
      <c r="L255" s="502"/>
      <c r="M255" s="231"/>
      <c r="N255" s="11" t="s">
        <v>243</v>
      </c>
      <c r="O255" s="341"/>
      <c r="P255" s="339"/>
    </row>
    <row r="256" spans="1:17" s="325" customFormat="1" ht="33" hidden="1">
      <c r="A256" s="333" t="s">
        <v>2178</v>
      </c>
      <c r="B256" s="334" t="s">
        <v>731</v>
      </c>
      <c r="C256" s="335" t="s">
        <v>4</v>
      </c>
      <c r="D256" s="336">
        <v>1</v>
      </c>
      <c r="E256" s="336">
        <f>估驗單!F249</f>
        <v>1</v>
      </c>
      <c r="F256" s="390">
        <f t="shared" si="22"/>
        <v>0</v>
      </c>
      <c r="G256" s="336">
        <v>107994.11</v>
      </c>
      <c r="H256" s="336"/>
      <c r="I256" s="336">
        <f t="shared" si="23"/>
        <v>107994.11</v>
      </c>
      <c r="J256" s="336">
        <f t="shared" si="24"/>
        <v>107994.11</v>
      </c>
      <c r="K256" s="546">
        <f t="shared" si="19"/>
        <v>0</v>
      </c>
      <c r="L256" s="502"/>
      <c r="M256" s="231"/>
      <c r="N256" s="11" t="s">
        <v>243</v>
      </c>
      <c r="O256" s="341"/>
      <c r="P256" s="339"/>
    </row>
    <row r="257" spans="1:16" s="325" customFormat="1" ht="33" hidden="1">
      <c r="A257" s="333" t="s">
        <v>2179</v>
      </c>
      <c r="B257" s="334" t="s">
        <v>734</v>
      </c>
      <c r="C257" s="335" t="s">
        <v>13</v>
      </c>
      <c r="D257" s="336">
        <v>1</v>
      </c>
      <c r="E257" s="336">
        <f>估驗單!F250</f>
        <v>1</v>
      </c>
      <c r="F257" s="390">
        <f t="shared" si="22"/>
        <v>0</v>
      </c>
      <c r="G257" s="336">
        <v>499.97</v>
      </c>
      <c r="H257" s="336"/>
      <c r="I257" s="336">
        <f t="shared" si="23"/>
        <v>499.97</v>
      </c>
      <c r="J257" s="336">
        <f t="shared" si="24"/>
        <v>499.97</v>
      </c>
      <c r="K257" s="546">
        <f t="shared" si="19"/>
        <v>0</v>
      </c>
      <c r="L257" s="502"/>
      <c r="M257" s="231"/>
      <c r="N257" s="11" t="s">
        <v>243</v>
      </c>
      <c r="O257" s="341"/>
      <c r="P257" s="339"/>
    </row>
    <row r="258" spans="1:16" s="325" customFormat="1" ht="42.75" hidden="1">
      <c r="A258" s="333" t="s">
        <v>2181</v>
      </c>
      <c r="B258" s="334" t="s">
        <v>737</v>
      </c>
      <c r="C258" s="335" t="s">
        <v>669</v>
      </c>
      <c r="D258" s="336">
        <v>1</v>
      </c>
      <c r="E258" s="336">
        <f>估驗單!F251</f>
        <v>1</v>
      </c>
      <c r="F258" s="390">
        <f t="shared" si="22"/>
        <v>0</v>
      </c>
      <c r="G258" s="336">
        <v>10067.84</v>
      </c>
      <c r="H258" s="336"/>
      <c r="I258" s="336">
        <f t="shared" si="23"/>
        <v>10067.84</v>
      </c>
      <c r="J258" s="336">
        <f t="shared" si="24"/>
        <v>10067.84</v>
      </c>
      <c r="K258" s="546">
        <f t="shared" si="19"/>
        <v>0</v>
      </c>
      <c r="L258" s="502"/>
      <c r="M258" s="231"/>
      <c r="N258" s="11" t="s">
        <v>243</v>
      </c>
      <c r="O258" s="341"/>
      <c r="P258" s="339"/>
    </row>
    <row r="259" spans="1:16" s="325" customFormat="1" ht="33" hidden="1">
      <c r="A259" s="333" t="s">
        <v>2182</v>
      </c>
      <c r="B259" s="334" t="s">
        <v>740</v>
      </c>
      <c r="C259" s="335" t="s">
        <v>669</v>
      </c>
      <c r="D259" s="336">
        <v>1</v>
      </c>
      <c r="E259" s="336">
        <f>估驗單!F252</f>
        <v>1</v>
      </c>
      <c r="F259" s="390">
        <f t="shared" si="22"/>
        <v>0</v>
      </c>
      <c r="G259" s="336">
        <v>6487.57</v>
      </c>
      <c r="H259" s="336"/>
      <c r="I259" s="336">
        <f t="shared" si="23"/>
        <v>6487.57</v>
      </c>
      <c r="J259" s="336">
        <f t="shared" si="24"/>
        <v>6487.57</v>
      </c>
      <c r="K259" s="546">
        <f t="shared" si="19"/>
        <v>0</v>
      </c>
      <c r="L259" s="502"/>
      <c r="M259" s="231"/>
      <c r="N259" s="11" t="s">
        <v>243</v>
      </c>
      <c r="O259" s="341"/>
      <c r="P259" s="339"/>
    </row>
    <row r="260" spans="1:16" s="325" customFormat="1" ht="42.75" hidden="1">
      <c r="A260" s="333" t="s">
        <v>2183</v>
      </c>
      <c r="B260" s="334" t="s">
        <v>743</v>
      </c>
      <c r="C260" s="335" t="s">
        <v>669</v>
      </c>
      <c r="D260" s="336">
        <v>1</v>
      </c>
      <c r="E260" s="336">
        <f>估驗單!F253</f>
        <v>1</v>
      </c>
      <c r="F260" s="390">
        <f t="shared" si="22"/>
        <v>0</v>
      </c>
      <c r="G260" s="336">
        <v>8473.2999999999993</v>
      </c>
      <c r="H260" s="336"/>
      <c r="I260" s="336">
        <f t="shared" si="23"/>
        <v>8473.2999999999993</v>
      </c>
      <c r="J260" s="336">
        <f t="shared" si="24"/>
        <v>8473.2999999999993</v>
      </c>
      <c r="K260" s="546">
        <f t="shared" si="19"/>
        <v>0</v>
      </c>
      <c r="L260" s="502"/>
      <c r="M260" s="231"/>
      <c r="N260" s="11" t="s">
        <v>243</v>
      </c>
      <c r="O260" s="341"/>
      <c r="P260" s="339"/>
    </row>
    <row r="261" spans="1:16" s="325" customFormat="1" ht="42.75" hidden="1">
      <c r="A261" s="333" t="s">
        <v>2184</v>
      </c>
      <c r="B261" s="334" t="s">
        <v>746</v>
      </c>
      <c r="C261" s="335" t="s">
        <v>669</v>
      </c>
      <c r="D261" s="336">
        <v>1</v>
      </c>
      <c r="E261" s="336">
        <f>估驗單!F254</f>
        <v>1</v>
      </c>
      <c r="F261" s="390">
        <f t="shared" si="22"/>
        <v>0</v>
      </c>
      <c r="G261" s="336">
        <v>17742.79</v>
      </c>
      <c r="H261" s="336"/>
      <c r="I261" s="336">
        <f t="shared" si="23"/>
        <v>17742.79</v>
      </c>
      <c r="J261" s="336">
        <f t="shared" si="24"/>
        <v>17742.79</v>
      </c>
      <c r="K261" s="546">
        <f t="shared" si="19"/>
        <v>0</v>
      </c>
      <c r="L261" s="502"/>
      <c r="M261" s="231"/>
      <c r="N261" s="11" t="s">
        <v>243</v>
      </c>
      <c r="O261" s="341"/>
      <c r="P261" s="339"/>
    </row>
    <row r="262" spans="1:16" s="325" customFormat="1" ht="42.75" hidden="1">
      <c r="A262" s="333" t="s">
        <v>2185</v>
      </c>
      <c r="B262" s="334" t="s">
        <v>749</v>
      </c>
      <c r="C262" s="335" t="s">
        <v>669</v>
      </c>
      <c r="D262" s="336">
        <v>1</v>
      </c>
      <c r="E262" s="336">
        <f>估驗單!F255</f>
        <v>1</v>
      </c>
      <c r="F262" s="390">
        <f t="shared" si="22"/>
        <v>0</v>
      </c>
      <c r="G262" s="336">
        <v>5164.09</v>
      </c>
      <c r="H262" s="336"/>
      <c r="I262" s="336">
        <f t="shared" si="23"/>
        <v>5164.09</v>
      </c>
      <c r="J262" s="336">
        <f t="shared" si="24"/>
        <v>5164.09</v>
      </c>
      <c r="K262" s="546">
        <f t="shared" si="19"/>
        <v>0</v>
      </c>
      <c r="L262" s="502"/>
      <c r="M262" s="231"/>
      <c r="N262" s="11" t="s">
        <v>243</v>
      </c>
      <c r="O262" s="341"/>
      <c r="P262" s="339"/>
    </row>
    <row r="263" spans="1:16" s="325" customFormat="1" ht="42.75" hidden="1">
      <c r="A263" s="333" t="s">
        <v>2186</v>
      </c>
      <c r="B263" s="334" t="s">
        <v>752</v>
      </c>
      <c r="C263" s="335" t="s">
        <v>669</v>
      </c>
      <c r="D263" s="336">
        <v>1</v>
      </c>
      <c r="E263" s="336">
        <f>估驗單!F256</f>
        <v>1</v>
      </c>
      <c r="F263" s="390">
        <f t="shared" si="22"/>
        <v>0</v>
      </c>
      <c r="G263" s="336">
        <v>5164.09</v>
      </c>
      <c r="H263" s="336"/>
      <c r="I263" s="336">
        <f t="shared" si="23"/>
        <v>5164.09</v>
      </c>
      <c r="J263" s="336">
        <f t="shared" si="24"/>
        <v>5164.09</v>
      </c>
      <c r="K263" s="546">
        <f t="shared" si="19"/>
        <v>0</v>
      </c>
      <c r="L263" s="502"/>
      <c r="M263" s="231"/>
      <c r="N263" s="11" t="s">
        <v>243</v>
      </c>
      <c r="O263" s="341"/>
      <c r="P263" s="339"/>
    </row>
    <row r="264" spans="1:16" s="325" customFormat="1" ht="42.75" hidden="1">
      <c r="A264" s="333" t="s">
        <v>2187</v>
      </c>
      <c r="B264" s="334" t="s">
        <v>755</v>
      </c>
      <c r="C264" s="335" t="s">
        <v>669</v>
      </c>
      <c r="D264" s="336">
        <v>1</v>
      </c>
      <c r="E264" s="336">
        <f>估驗單!F257</f>
        <v>1</v>
      </c>
      <c r="F264" s="390">
        <f t="shared" si="22"/>
        <v>0</v>
      </c>
      <c r="G264" s="336">
        <v>5730.56</v>
      </c>
      <c r="H264" s="336"/>
      <c r="I264" s="336">
        <f t="shared" si="23"/>
        <v>5730.56</v>
      </c>
      <c r="J264" s="336">
        <f t="shared" si="24"/>
        <v>5730.56</v>
      </c>
      <c r="K264" s="546">
        <f t="shared" si="19"/>
        <v>0</v>
      </c>
      <c r="L264" s="502"/>
      <c r="M264" s="231"/>
      <c r="N264" s="11" t="s">
        <v>243</v>
      </c>
      <c r="O264" s="341"/>
      <c r="P264" s="339"/>
    </row>
    <row r="265" spans="1:16" s="325" customFormat="1" ht="42.75" hidden="1">
      <c r="A265" s="333" t="s">
        <v>2188</v>
      </c>
      <c r="B265" s="334" t="s">
        <v>758</v>
      </c>
      <c r="C265" s="335" t="s">
        <v>669</v>
      </c>
      <c r="D265" s="336">
        <v>1</v>
      </c>
      <c r="E265" s="336">
        <f>估驗單!F258</f>
        <v>1</v>
      </c>
      <c r="F265" s="390">
        <f t="shared" si="22"/>
        <v>0</v>
      </c>
      <c r="G265" s="336">
        <v>7081</v>
      </c>
      <c r="H265" s="336"/>
      <c r="I265" s="336">
        <f t="shared" si="23"/>
        <v>7081</v>
      </c>
      <c r="J265" s="336">
        <f t="shared" si="24"/>
        <v>7081</v>
      </c>
      <c r="K265" s="546">
        <f t="shared" si="19"/>
        <v>0</v>
      </c>
      <c r="L265" s="502"/>
      <c r="M265" s="231"/>
      <c r="N265" s="11" t="s">
        <v>243</v>
      </c>
      <c r="O265" s="341"/>
      <c r="P265" s="339"/>
    </row>
    <row r="266" spans="1:16" s="325" customFormat="1" ht="42.75" hidden="1">
      <c r="A266" s="333" t="s">
        <v>2189</v>
      </c>
      <c r="B266" s="334" t="s">
        <v>761</v>
      </c>
      <c r="C266" s="335" t="s">
        <v>669</v>
      </c>
      <c r="D266" s="336">
        <v>1</v>
      </c>
      <c r="E266" s="336">
        <f>估驗單!F259</f>
        <v>1</v>
      </c>
      <c r="F266" s="390">
        <f t="shared" si="22"/>
        <v>0</v>
      </c>
      <c r="G266" s="336">
        <v>4752.1099999999997</v>
      </c>
      <c r="H266" s="336"/>
      <c r="I266" s="336">
        <f t="shared" si="23"/>
        <v>4752.1099999999997</v>
      </c>
      <c r="J266" s="336">
        <f t="shared" si="24"/>
        <v>4752.1099999999997</v>
      </c>
      <c r="K266" s="546">
        <f t="shared" si="19"/>
        <v>0</v>
      </c>
      <c r="L266" s="502"/>
      <c r="M266" s="231"/>
      <c r="N266" s="11" t="s">
        <v>243</v>
      </c>
      <c r="O266" s="341"/>
      <c r="P266" s="339"/>
    </row>
    <row r="267" spans="1:16" s="325" customFormat="1" ht="42.75" hidden="1">
      <c r="A267" s="333" t="s">
        <v>2190</v>
      </c>
      <c r="B267" s="334" t="s">
        <v>764</v>
      </c>
      <c r="C267" s="335" t="s">
        <v>669</v>
      </c>
      <c r="D267" s="336">
        <v>1</v>
      </c>
      <c r="E267" s="336">
        <f>估驗單!F260</f>
        <v>1</v>
      </c>
      <c r="F267" s="390">
        <f t="shared" si="22"/>
        <v>0</v>
      </c>
      <c r="G267" s="336">
        <v>14691.08</v>
      </c>
      <c r="H267" s="336"/>
      <c r="I267" s="336">
        <f t="shared" si="23"/>
        <v>14691.08</v>
      </c>
      <c r="J267" s="336">
        <f t="shared" si="24"/>
        <v>14691.08</v>
      </c>
      <c r="K267" s="546">
        <f t="shared" si="19"/>
        <v>0</v>
      </c>
      <c r="L267" s="502"/>
      <c r="M267" s="231"/>
      <c r="N267" s="11" t="s">
        <v>243</v>
      </c>
      <c r="O267" s="341"/>
      <c r="P267" s="339"/>
    </row>
    <row r="268" spans="1:16" s="325" customFormat="1" ht="33" hidden="1">
      <c r="A268" s="333" t="s">
        <v>2191</v>
      </c>
      <c r="B268" s="334" t="s">
        <v>767</v>
      </c>
      <c r="C268" s="335" t="s">
        <v>669</v>
      </c>
      <c r="D268" s="336">
        <v>1</v>
      </c>
      <c r="E268" s="336">
        <f>估驗單!F261</f>
        <v>1</v>
      </c>
      <c r="F268" s="390">
        <f t="shared" si="22"/>
        <v>0</v>
      </c>
      <c r="G268" s="336">
        <v>224.3</v>
      </c>
      <c r="H268" s="336"/>
      <c r="I268" s="336">
        <f t="shared" si="23"/>
        <v>224.3</v>
      </c>
      <c r="J268" s="336">
        <f t="shared" si="24"/>
        <v>224.3</v>
      </c>
      <c r="K268" s="546">
        <f t="shared" si="19"/>
        <v>0</v>
      </c>
      <c r="L268" s="502"/>
      <c r="M268" s="231"/>
      <c r="N268" s="11" t="s">
        <v>243</v>
      </c>
      <c r="O268" s="341"/>
      <c r="P268" s="339"/>
    </row>
    <row r="269" spans="1:16" s="325" customFormat="1" ht="33" hidden="1">
      <c r="A269" s="333" t="s">
        <v>2192</v>
      </c>
      <c r="B269" s="334" t="s">
        <v>770</v>
      </c>
      <c r="C269" s="335" t="s">
        <v>669</v>
      </c>
      <c r="D269" s="336">
        <v>1</v>
      </c>
      <c r="E269" s="336">
        <f>估驗單!F262</f>
        <v>1</v>
      </c>
      <c r="F269" s="390">
        <f t="shared" si="22"/>
        <v>0</v>
      </c>
      <c r="G269" s="336">
        <v>275.64</v>
      </c>
      <c r="H269" s="336"/>
      <c r="I269" s="336">
        <f t="shared" si="23"/>
        <v>275.64</v>
      </c>
      <c r="J269" s="336">
        <f t="shared" si="24"/>
        <v>275.64</v>
      </c>
      <c r="K269" s="546">
        <f t="shared" ref="K269:K332" si="25">J269-I269</f>
        <v>0</v>
      </c>
      <c r="L269" s="502"/>
      <c r="M269" s="231"/>
      <c r="N269" s="11" t="s">
        <v>243</v>
      </c>
      <c r="O269" s="341"/>
      <c r="P269" s="339"/>
    </row>
    <row r="270" spans="1:16" s="325" customFormat="1" ht="33" hidden="1">
      <c r="A270" s="333" t="s">
        <v>2193</v>
      </c>
      <c r="B270" s="334" t="s">
        <v>773</v>
      </c>
      <c r="C270" s="335" t="s">
        <v>669</v>
      </c>
      <c r="D270" s="336">
        <v>1</v>
      </c>
      <c r="E270" s="336">
        <f>估驗單!F263</f>
        <v>1</v>
      </c>
      <c r="F270" s="390">
        <f t="shared" si="22"/>
        <v>0</v>
      </c>
      <c r="G270" s="336">
        <v>283.52999999999997</v>
      </c>
      <c r="H270" s="336"/>
      <c r="I270" s="336">
        <f t="shared" si="23"/>
        <v>283.52999999999997</v>
      </c>
      <c r="J270" s="336">
        <f t="shared" si="24"/>
        <v>283.52999999999997</v>
      </c>
      <c r="K270" s="546">
        <f t="shared" si="25"/>
        <v>0</v>
      </c>
      <c r="L270" s="502"/>
      <c r="M270" s="231"/>
      <c r="N270" s="11" t="s">
        <v>243</v>
      </c>
      <c r="O270" s="341"/>
      <c r="P270" s="339"/>
    </row>
    <row r="271" spans="1:16" s="325" customFormat="1" ht="33" hidden="1">
      <c r="A271" s="333" t="s">
        <v>2194</v>
      </c>
      <c r="B271" s="334" t="s">
        <v>776</v>
      </c>
      <c r="C271" s="335" t="s">
        <v>669</v>
      </c>
      <c r="D271" s="336">
        <v>1</v>
      </c>
      <c r="E271" s="336">
        <f>估驗單!F264</f>
        <v>1</v>
      </c>
      <c r="F271" s="390">
        <f t="shared" si="22"/>
        <v>0</v>
      </c>
      <c r="G271" s="336">
        <v>88.95</v>
      </c>
      <c r="H271" s="336"/>
      <c r="I271" s="336">
        <f t="shared" si="23"/>
        <v>88.95</v>
      </c>
      <c r="J271" s="336">
        <f t="shared" si="24"/>
        <v>88.95</v>
      </c>
      <c r="K271" s="546">
        <f t="shared" si="25"/>
        <v>0</v>
      </c>
      <c r="L271" s="502"/>
      <c r="M271" s="231"/>
      <c r="N271" s="11" t="s">
        <v>243</v>
      </c>
      <c r="O271" s="341"/>
      <c r="P271" s="339"/>
    </row>
    <row r="272" spans="1:16" s="325" customFormat="1" ht="33" hidden="1">
      <c r="A272" s="333" t="s">
        <v>2195</v>
      </c>
      <c r="B272" s="334" t="s">
        <v>779</v>
      </c>
      <c r="C272" s="335" t="s">
        <v>669</v>
      </c>
      <c r="D272" s="336">
        <v>1</v>
      </c>
      <c r="E272" s="336">
        <f>估驗單!F265</f>
        <v>1</v>
      </c>
      <c r="F272" s="390">
        <f t="shared" si="22"/>
        <v>0</v>
      </c>
      <c r="G272" s="336">
        <v>123.72</v>
      </c>
      <c r="H272" s="336"/>
      <c r="I272" s="336">
        <f t="shared" si="23"/>
        <v>123.72</v>
      </c>
      <c r="J272" s="336">
        <f t="shared" si="24"/>
        <v>123.72</v>
      </c>
      <c r="K272" s="546">
        <f t="shared" si="25"/>
        <v>0</v>
      </c>
      <c r="L272" s="502"/>
      <c r="M272" s="231"/>
      <c r="N272" s="11" t="s">
        <v>243</v>
      </c>
      <c r="O272" s="341"/>
      <c r="P272" s="339"/>
    </row>
    <row r="273" spans="1:16" s="325" customFormat="1" ht="33" hidden="1">
      <c r="A273" s="333" t="s">
        <v>2196</v>
      </c>
      <c r="B273" s="334" t="s">
        <v>782</v>
      </c>
      <c r="C273" s="335" t="s">
        <v>669</v>
      </c>
      <c r="D273" s="336">
        <v>1</v>
      </c>
      <c r="E273" s="336">
        <f>估驗單!F266</f>
        <v>1</v>
      </c>
      <c r="F273" s="390">
        <f t="shared" si="22"/>
        <v>0</v>
      </c>
      <c r="G273" s="336">
        <v>121.41</v>
      </c>
      <c r="H273" s="336"/>
      <c r="I273" s="336">
        <f t="shared" si="23"/>
        <v>121.41</v>
      </c>
      <c r="J273" s="336">
        <f t="shared" si="24"/>
        <v>121.41</v>
      </c>
      <c r="K273" s="546">
        <f t="shared" si="25"/>
        <v>0</v>
      </c>
      <c r="L273" s="502"/>
      <c r="M273" s="231"/>
      <c r="N273" s="11" t="s">
        <v>243</v>
      </c>
      <c r="O273" s="341"/>
      <c r="P273" s="339"/>
    </row>
    <row r="274" spans="1:16" s="325" customFormat="1" ht="33" hidden="1">
      <c r="A274" s="333" t="s">
        <v>2197</v>
      </c>
      <c r="B274" s="334" t="s">
        <v>785</v>
      </c>
      <c r="C274" s="335" t="s">
        <v>669</v>
      </c>
      <c r="D274" s="336">
        <v>1</v>
      </c>
      <c r="E274" s="336">
        <f>估驗單!F267</f>
        <v>1</v>
      </c>
      <c r="F274" s="390">
        <f t="shared" si="22"/>
        <v>0</v>
      </c>
      <c r="G274" s="336">
        <v>134.28</v>
      </c>
      <c r="H274" s="336"/>
      <c r="I274" s="336">
        <f t="shared" si="23"/>
        <v>134.28</v>
      </c>
      <c r="J274" s="336">
        <f t="shared" si="24"/>
        <v>134.28</v>
      </c>
      <c r="K274" s="546">
        <f t="shared" si="25"/>
        <v>0</v>
      </c>
      <c r="L274" s="502"/>
      <c r="M274" s="231"/>
      <c r="N274" s="11" t="s">
        <v>243</v>
      </c>
      <c r="O274" s="341"/>
      <c r="P274" s="339"/>
    </row>
    <row r="275" spans="1:16" s="325" customFormat="1" ht="33" hidden="1">
      <c r="A275" s="333" t="s">
        <v>2198</v>
      </c>
      <c r="B275" s="334" t="s">
        <v>788</v>
      </c>
      <c r="C275" s="335" t="s">
        <v>669</v>
      </c>
      <c r="D275" s="336">
        <v>1</v>
      </c>
      <c r="E275" s="336">
        <f>估驗單!F268</f>
        <v>1</v>
      </c>
      <c r="F275" s="390">
        <f t="shared" si="22"/>
        <v>0</v>
      </c>
      <c r="G275" s="336">
        <v>36.549999999999997</v>
      </c>
      <c r="H275" s="336"/>
      <c r="I275" s="336">
        <f t="shared" si="23"/>
        <v>36.549999999999997</v>
      </c>
      <c r="J275" s="336">
        <f t="shared" si="24"/>
        <v>36.549999999999997</v>
      </c>
      <c r="K275" s="546">
        <f t="shared" si="25"/>
        <v>0</v>
      </c>
      <c r="L275" s="502"/>
      <c r="M275" s="231"/>
      <c r="N275" s="11" t="s">
        <v>243</v>
      </c>
      <c r="O275" s="341"/>
      <c r="P275" s="339"/>
    </row>
    <row r="276" spans="1:16" s="325" customFormat="1" ht="33" hidden="1">
      <c r="A276" s="333" t="s">
        <v>2199</v>
      </c>
      <c r="B276" s="334" t="s">
        <v>791</v>
      </c>
      <c r="C276" s="335" t="s">
        <v>669</v>
      </c>
      <c r="D276" s="336">
        <v>1</v>
      </c>
      <c r="E276" s="336">
        <f>估驗單!F269</f>
        <v>1</v>
      </c>
      <c r="F276" s="390">
        <f t="shared" si="22"/>
        <v>0</v>
      </c>
      <c r="G276" s="336">
        <v>103.76</v>
      </c>
      <c r="H276" s="336"/>
      <c r="I276" s="336">
        <f t="shared" si="23"/>
        <v>103.76</v>
      </c>
      <c r="J276" s="336">
        <f t="shared" si="24"/>
        <v>103.76</v>
      </c>
      <c r="K276" s="546">
        <f t="shared" si="25"/>
        <v>0</v>
      </c>
      <c r="L276" s="502"/>
      <c r="M276" s="231"/>
      <c r="N276" s="11" t="s">
        <v>243</v>
      </c>
      <c r="O276" s="341"/>
      <c r="P276" s="339"/>
    </row>
    <row r="277" spans="1:16" s="325" customFormat="1" ht="33" hidden="1">
      <c r="A277" s="333" t="s">
        <v>2200</v>
      </c>
      <c r="B277" s="334" t="s">
        <v>794</v>
      </c>
      <c r="C277" s="335" t="s">
        <v>669</v>
      </c>
      <c r="D277" s="336">
        <v>1</v>
      </c>
      <c r="E277" s="336">
        <f>估驗單!F270</f>
        <v>1</v>
      </c>
      <c r="F277" s="390">
        <f t="shared" si="22"/>
        <v>0</v>
      </c>
      <c r="G277" s="336">
        <v>140.84</v>
      </c>
      <c r="H277" s="336"/>
      <c r="I277" s="336">
        <f t="shared" si="23"/>
        <v>140.84</v>
      </c>
      <c r="J277" s="336">
        <f t="shared" si="24"/>
        <v>140.84</v>
      </c>
      <c r="K277" s="546">
        <f t="shared" si="25"/>
        <v>0</v>
      </c>
      <c r="L277" s="502"/>
      <c r="M277" s="231"/>
      <c r="N277" s="11" t="s">
        <v>243</v>
      </c>
      <c r="O277" s="341"/>
      <c r="P277" s="339"/>
    </row>
    <row r="278" spans="1:16" s="325" customFormat="1" ht="33" hidden="1">
      <c r="A278" s="333" t="s">
        <v>2201</v>
      </c>
      <c r="B278" s="334" t="s">
        <v>797</v>
      </c>
      <c r="C278" s="335" t="s">
        <v>669</v>
      </c>
      <c r="D278" s="336">
        <v>1</v>
      </c>
      <c r="E278" s="336">
        <f>估驗單!F271</f>
        <v>1</v>
      </c>
      <c r="F278" s="390">
        <f t="shared" si="22"/>
        <v>0</v>
      </c>
      <c r="G278" s="336">
        <v>51.75</v>
      </c>
      <c r="H278" s="336"/>
      <c r="I278" s="336">
        <f t="shared" si="23"/>
        <v>51.75</v>
      </c>
      <c r="J278" s="336">
        <f t="shared" si="24"/>
        <v>51.75</v>
      </c>
      <c r="K278" s="546">
        <f t="shared" si="25"/>
        <v>0</v>
      </c>
      <c r="L278" s="502"/>
      <c r="M278" s="231"/>
      <c r="N278" s="11" t="s">
        <v>243</v>
      </c>
      <c r="O278" s="341"/>
      <c r="P278" s="339"/>
    </row>
    <row r="279" spans="1:16" s="325" customFormat="1" ht="33" hidden="1">
      <c r="A279" s="333" t="s">
        <v>2202</v>
      </c>
      <c r="B279" s="334" t="s">
        <v>800</v>
      </c>
      <c r="C279" s="335" t="s">
        <v>669</v>
      </c>
      <c r="D279" s="336">
        <v>1</v>
      </c>
      <c r="E279" s="336">
        <f>估驗單!F272</f>
        <v>1</v>
      </c>
      <c r="F279" s="390">
        <f t="shared" si="22"/>
        <v>0</v>
      </c>
      <c r="G279" s="336">
        <v>35.01</v>
      </c>
      <c r="H279" s="336"/>
      <c r="I279" s="336">
        <f t="shared" si="23"/>
        <v>35.01</v>
      </c>
      <c r="J279" s="336">
        <f t="shared" si="24"/>
        <v>35.01</v>
      </c>
      <c r="K279" s="546">
        <f t="shared" si="25"/>
        <v>0</v>
      </c>
      <c r="L279" s="502"/>
      <c r="M279" s="231"/>
      <c r="N279" s="11" t="s">
        <v>243</v>
      </c>
      <c r="O279" s="341"/>
      <c r="P279" s="339"/>
    </row>
    <row r="280" spans="1:16" s="325" customFormat="1" ht="33" hidden="1">
      <c r="A280" s="333" t="s">
        <v>2203</v>
      </c>
      <c r="B280" s="334" t="s">
        <v>803</v>
      </c>
      <c r="C280" s="335" t="s">
        <v>669</v>
      </c>
      <c r="D280" s="336">
        <v>1</v>
      </c>
      <c r="E280" s="336">
        <f>估驗單!F273</f>
        <v>1</v>
      </c>
      <c r="F280" s="390">
        <f t="shared" si="22"/>
        <v>0</v>
      </c>
      <c r="G280" s="336">
        <v>58.37</v>
      </c>
      <c r="H280" s="336"/>
      <c r="I280" s="336">
        <f t="shared" si="23"/>
        <v>58.37</v>
      </c>
      <c r="J280" s="336">
        <f t="shared" si="24"/>
        <v>58.37</v>
      </c>
      <c r="K280" s="546">
        <f t="shared" si="25"/>
        <v>0</v>
      </c>
      <c r="L280" s="502"/>
      <c r="M280" s="231"/>
      <c r="N280" s="11" t="s">
        <v>243</v>
      </c>
      <c r="O280" s="341"/>
      <c r="P280" s="339"/>
    </row>
    <row r="281" spans="1:16" s="325" customFormat="1" ht="33" hidden="1">
      <c r="A281" s="333" t="s">
        <v>2204</v>
      </c>
      <c r="B281" s="334" t="s">
        <v>806</v>
      </c>
      <c r="C281" s="335" t="s">
        <v>669</v>
      </c>
      <c r="D281" s="336">
        <v>1</v>
      </c>
      <c r="E281" s="336">
        <f>估驗單!F274</f>
        <v>1</v>
      </c>
      <c r="F281" s="390">
        <f t="shared" si="22"/>
        <v>0</v>
      </c>
      <c r="G281" s="336">
        <v>79.040000000000006</v>
      </c>
      <c r="H281" s="336"/>
      <c r="I281" s="336">
        <f t="shared" si="23"/>
        <v>79.040000000000006</v>
      </c>
      <c r="J281" s="336">
        <f t="shared" si="24"/>
        <v>79.040000000000006</v>
      </c>
      <c r="K281" s="546">
        <f t="shared" si="25"/>
        <v>0</v>
      </c>
      <c r="L281" s="502"/>
      <c r="M281" s="231"/>
      <c r="N281" s="11" t="s">
        <v>243</v>
      </c>
      <c r="O281" s="341"/>
      <c r="P281" s="339"/>
    </row>
    <row r="282" spans="1:16" s="325" customFormat="1" ht="33" hidden="1">
      <c r="A282" s="333" t="s">
        <v>2205</v>
      </c>
      <c r="B282" s="334" t="s">
        <v>809</v>
      </c>
      <c r="C282" s="335" t="s">
        <v>669</v>
      </c>
      <c r="D282" s="336">
        <v>1</v>
      </c>
      <c r="E282" s="336">
        <f>估驗單!F275</f>
        <v>1</v>
      </c>
      <c r="F282" s="390">
        <f t="shared" si="22"/>
        <v>0</v>
      </c>
      <c r="G282" s="336">
        <v>63.59</v>
      </c>
      <c r="H282" s="336"/>
      <c r="I282" s="336">
        <f t="shared" si="23"/>
        <v>63.59</v>
      </c>
      <c r="J282" s="336">
        <f t="shared" si="24"/>
        <v>63.59</v>
      </c>
      <c r="K282" s="546">
        <f t="shared" si="25"/>
        <v>0</v>
      </c>
      <c r="L282" s="502"/>
      <c r="M282" s="231"/>
      <c r="N282" s="11" t="s">
        <v>243</v>
      </c>
      <c r="O282" s="341"/>
      <c r="P282" s="339"/>
    </row>
    <row r="283" spans="1:16" s="325" customFormat="1" ht="33" hidden="1">
      <c r="A283" s="333" t="s">
        <v>2206</v>
      </c>
      <c r="B283" s="334" t="s">
        <v>812</v>
      </c>
      <c r="C283" s="335" t="s">
        <v>669</v>
      </c>
      <c r="D283" s="336">
        <v>1</v>
      </c>
      <c r="E283" s="336">
        <f>估驗單!F276</f>
        <v>1</v>
      </c>
      <c r="F283" s="390">
        <f t="shared" si="22"/>
        <v>0</v>
      </c>
      <c r="G283" s="336">
        <v>94.49</v>
      </c>
      <c r="H283" s="336"/>
      <c r="I283" s="336">
        <f t="shared" si="23"/>
        <v>94.49</v>
      </c>
      <c r="J283" s="336">
        <f t="shared" si="24"/>
        <v>94.49</v>
      </c>
      <c r="K283" s="546">
        <f t="shared" si="25"/>
        <v>0</v>
      </c>
      <c r="L283" s="502"/>
      <c r="M283" s="231"/>
      <c r="N283" s="11" t="s">
        <v>243</v>
      </c>
      <c r="O283" s="341"/>
      <c r="P283" s="339"/>
    </row>
    <row r="284" spans="1:16" s="325" customFormat="1" ht="33" hidden="1">
      <c r="A284" s="333" t="s">
        <v>2207</v>
      </c>
      <c r="B284" s="334" t="s">
        <v>815</v>
      </c>
      <c r="C284" s="335" t="s">
        <v>669</v>
      </c>
      <c r="D284" s="336">
        <v>1</v>
      </c>
      <c r="E284" s="336">
        <f>估驗單!F277</f>
        <v>1</v>
      </c>
      <c r="F284" s="390">
        <f t="shared" si="22"/>
        <v>0</v>
      </c>
      <c r="G284" s="336">
        <v>73.89</v>
      </c>
      <c r="H284" s="336"/>
      <c r="I284" s="336">
        <f t="shared" si="23"/>
        <v>73.89</v>
      </c>
      <c r="J284" s="336">
        <f t="shared" si="24"/>
        <v>73.89</v>
      </c>
      <c r="K284" s="546">
        <f t="shared" si="25"/>
        <v>0</v>
      </c>
      <c r="L284" s="502"/>
      <c r="M284" s="231"/>
      <c r="N284" s="11" t="s">
        <v>243</v>
      </c>
      <c r="O284" s="341"/>
      <c r="P284" s="339"/>
    </row>
    <row r="285" spans="1:16" s="325" customFormat="1" ht="33" hidden="1">
      <c r="A285" s="333" t="s">
        <v>2208</v>
      </c>
      <c r="B285" s="334" t="s">
        <v>818</v>
      </c>
      <c r="C285" s="335" t="s">
        <v>669</v>
      </c>
      <c r="D285" s="336">
        <v>1</v>
      </c>
      <c r="E285" s="336">
        <f>估驗單!F278</f>
        <v>1</v>
      </c>
      <c r="F285" s="390">
        <f t="shared" ref="F285:F348" si="26">E285-D285</f>
        <v>0</v>
      </c>
      <c r="G285" s="336">
        <v>92.43</v>
      </c>
      <c r="H285" s="336"/>
      <c r="I285" s="336">
        <f t="shared" si="23"/>
        <v>92.43</v>
      </c>
      <c r="J285" s="336">
        <f t="shared" si="24"/>
        <v>92.43</v>
      </c>
      <c r="K285" s="546">
        <f t="shared" si="25"/>
        <v>0</v>
      </c>
      <c r="L285" s="502"/>
      <c r="M285" s="231"/>
      <c r="N285" s="11" t="s">
        <v>243</v>
      </c>
      <c r="O285" s="341"/>
      <c r="P285" s="339"/>
    </row>
    <row r="286" spans="1:16" s="325" customFormat="1" ht="33" hidden="1">
      <c r="A286" s="333" t="s">
        <v>2209</v>
      </c>
      <c r="B286" s="334" t="s">
        <v>821</v>
      </c>
      <c r="C286" s="335" t="s">
        <v>669</v>
      </c>
      <c r="D286" s="336">
        <v>1</v>
      </c>
      <c r="E286" s="336">
        <f>估驗單!F279</f>
        <v>1</v>
      </c>
      <c r="F286" s="390">
        <f t="shared" si="26"/>
        <v>0</v>
      </c>
      <c r="G286" s="336">
        <v>61.98</v>
      </c>
      <c r="H286" s="336"/>
      <c r="I286" s="336">
        <f t="shared" si="23"/>
        <v>61.98</v>
      </c>
      <c r="J286" s="336">
        <f t="shared" si="24"/>
        <v>61.98</v>
      </c>
      <c r="K286" s="546">
        <f t="shared" si="25"/>
        <v>0</v>
      </c>
      <c r="L286" s="502"/>
      <c r="M286" s="231"/>
      <c r="N286" s="11" t="s">
        <v>243</v>
      </c>
      <c r="O286" s="341"/>
      <c r="P286" s="339"/>
    </row>
    <row r="287" spans="1:16" s="325" customFormat="1" ht="33" hidden="1">
      <c r="A287" s="333" t="s">
        <v>2210</v>
      </c>
      <c r="B287" s="334" t="s">
        <v>824</v>
      </c>
      <c r="C287" s="335" t="s">
        <v>669</v>
      </c>
      <c r="D287" s="336">
        <v>1</v>
      </c>
      <c r="E287" s="336">
        <f>估驗單!F280</f>
        <v>1</v>
      </c>
      <c r="F287" s="390">
        <f t="shared" si="26"/>
        <v>0</v>
      </c>
      <c r="G287" s="336">
        <v>154.66</v>
      </c>
      <c r="H287" s="336"/>
      <c r="I287" s="336">
        <f t="shared" si="23"/>
        <v>154.66</v>
      </c>
      <c r="J287" s="336">
        <f t="shared" si="24"/>
        <v>154.66</v>
      </c>
      <c r="K287" s="546">
        <f t="shared" si="25"/>
        <v>0</v>
      </c>
      <c r="L287" s="502"/>
      <c r="M287" s="231"/>
      <c r="N287" s="11" t="s">
        <v>243</v>
      </c>
      <c r="O287" s="341"/>
      <c r="P287" s="339"/>
    </row>
    <row r="288" spans="1:16" s="325" customFormat="1" ht="33" hidden="1">
      <c r="A288" s="333" t="s">
        <v>2211</v>
      </c>
      <c r="B288" s="334" t="s">
        <v>827</v>
      </c>
      <c r="C288" s="335" t="s">
        <v>669</v>
      </c>
      <c r="D288" s="336">
        <v>1</v>
      </c>
      <c r="E288" s="336">
        <f>估驗單!F281</f>
        <v>1</v>
      </c>
      <c r="F288" s="390">
        <f t="shared" si="26"/>
        <v>0</v>
      </c>
      <c r="G288" s="336">
        <v>67.709999999999994</v>
      </c>
      <c r="H288" s="336"/>
      <c r="I288" s="336">
        <f t="shared" si="23"/>
        <v>67.709999999999994</v>
      </c>
      <c r="J288" s="336">
        <f t="shared" si="24"/>
        <v>67.709999999999994</v>
      </c>
      <c r="K288" s="546">
        <f t="shared" si="25"/>
        <v>0</v>
      </c>
      <c r="L288" s="502"/>
      <c r="M288" s="231"/>
      <c r="N288" s="11" t="s">
        <v>243</v>
      </c>
      <c r="O288" s="341"/>
      <c r="P288" s="339"/>
    </row>
    <row r="289" spans="1:16" s="325" customFormat="1" ht="33" hidden="1">
      <c r="A289" s="333" t="s">
        <v>2212</v>
      </c>
      <c r="B289" s="334" t="s">
        <v>830</v>
      </c>
      <c r="C289" s="335" t="s">
        <v>669</v>
      </c>
      <c r="D289" s="336">
        <v>1</v>
      </c>
      <c r="E289" s="336">
        <f>估驗單!F282</f>
        <v>1</v>
      </c>
      <c r="F289" s="390">
        <f t="shared" si="26"/>
        <v>0</v>
      </c>
      <c r="G289" s="336">
        <v>54.25</v>
      </c>
      <c r="H289" s="336"/>
      <c r="I289" s="336">
        <f t="shared" si="23"/>
        <v>54.25</v>
      </c>
      <c r="J289" s="336">
        <f t="shared" si="24"/>
        <v>54.25</v>
      </c>
      <c r="K289" s="546">
        <f t="shared" si="25"/>
        <v>0</v>
      </c>
      <c r="L289" s="502"/>
      <c r="M289" s="231"/>
      <c r="N289" s="11" t="s">
        <v>243</v>
      </c>
      <c r="O289" s="341"/>
      <c r="P289" s="339"/>
    </row>
    <row r="290" spans="1:16" s="325" customFormat="1" ht="33" hidden="1">
      <c r="A290" s="333" t="s">
        <v>2213</v>
      </c>
      <c r="B290" s="334" t="s">
        <v>833</v>
      </c>
      <c r="C290" s="335" t="s">
        <v>669</v>
      </c>
      <c r="D290" s="336">
        <v>1</v>
      </c>
      <c r="E290" s="336">
        <f>估驗單!F283</f>
        <v>1</v>
      </c>
      <c r="F290" s="390">
        <f t="shared" si="26"/>
        <v>0</v>
      </c>
      <c r="G290" s="336">
        <v>90.3</v>
      </c>
      <c r="H290" s="336"/>
      <c r="I290" s="336">
        <f t="shared" si="23"/>
        <v>90.3</v>
      </c>
      <c r="J290" s="336">
        <f t="shared" si="24"/>
        <v>90.3</v>
      </c>
      <c r="K290" s="546">
        <f t="shared" si="25"/>
        <v>0</v>
      </c>
      <c r="L290" s="502"/>
      <c r="M290" s="231"/>
      <c r="N290" s="11" t="s">
        <v>243</v>
      </c>
      <c r="O290" s="341"/>
      <c r="P290" s="339"/>
    </row>
    <row r="291" spans="1:16" s="325" customFormat="1" ht="33" hidden="1">
      <c r="A291" s="333" t="s">
        <v>2214</v>
      </c>
      <c r="B291" s="334" t="s">
        <v>836</v>
      </c>
      <c r="C291" s="335" t="s">
        <v>669</v>
      </c>
      <c r="D291" s="336">
        <v>1</v>
      </c>
      <c r="E291" s="336">
        <f>估驗單!F284</f>
        <v>1</v>
      </c>
      <c r="F291" s="390">
        <f t="shared" si="26"/>
        <v>0</v>
      </c>
      <c r="G291" s="336">
        <v>67.13</v>
      </c>
      <c r="H291" s="336"/>
      <c r="I291" s="336">
        <f t="shared" si="23"/>
        <v>67.13</v>
      </c>
      <c r="J291" s="336">
        <f t="shared" si="24"/>
        <v>67.13</v>
      </c>
      <c r="K291" s="546">
        <f t="shared" si="25"/>
        <v>0</v>
      </c>
      <c r="L291" s="502"/>
      <c r="M291" s="231"/>
      <c r="N291" s="11" t="s">
        <v>243</v>
      </c>
      <c r="O291" s="341"/>
      <c r="P291" s="339"/>
    </row>
    <row r="292" spans="1:16" s="325" customFormat="1" ht="33" hidden="1">
      <c r="A292" s="333" t="s">
        <v>2215</v>
      </c>
      <c r="B292" s="334" t="s">
        <v>839</v>
      </c>
      <c r="C292" s="335" t="s">
        <v>669</v>
      </c>
      <c r="D292" s="336">
        <v>1</v>
      </c>
      <c r="E292" s="336">
        <f>估驗單!F285</f>
        <v>1</v>
      </c>
      <c r="F292" s="390">
        <f t="shared" si="26"/>
        <v>0</v>
      </c>
      <c r="G292" s="336">
        <v>56.83</v>
      </c>
      <c r="H292" s="336"/>
      <c r="I292" s="336">
        <f t="shared" si="23"/>
        <v>56.83</v>
      </c>
      <c r="J292" s="336">
        <f t="shared" si="24"/>
        <v>56.83</v>
      </c>
      <c r="K292" s="546">
        <f t="shared" si="25"/>
        <v>0</v>
      </c>
      <c r="L292" s="502"/>
      <c r="M292" s="231"/>
      <c r="N292" s="11" t="s">
        <v>243</v>
      </c>
      <c r="O292" s="341"/>
      <c r="P292" s="339"/>
    </row>
    <row r="293" spans="1:16" s="325" customFormat="1" ht="33" hidden="1">
      <c r="A293" s="333" t="s">
        <v>2216</v>
      </c>
      <c r="B293" s="334" t="s">
        <v>842</v>
      </c>
      <c r="C293" s="335" t="s">
        <v>669</v>
      </c>
      <c r="D293" s="336">
        <v>1</v>
      </c>
      <c r="E293" s="336">
        <f>估驗單!F286</f>
        <v>1</v>
      </c>
      <c r="F293" s="390">
        <f t="shared" si="26"/>
        <v>0</v>
      </c>
      <c r="G293" s="336">
        <v>68.67</v>
      </c>
      <c r="H293" s="336"/>
      <c r="I293" s="336">
        <f t="shared" si="23"/>
        <v>68.67</v>
      </c>
      <c r="J293" s="336">
        <f t="shared" si="24"/>
        <v>68.67</v>
      </c>
      <c r="K293" s="546">
        <f t="shared" si="25"/>
        <v>0</v>
      </c>
      <c r="L293" s="502"/>
      <c r="M293" s="231"/>
      <c r="N293" s="11" t="s">
        <v>243</v>
      </c>
      <c r="O293" s="341"/>
      <c r="P293" s="339"/>
    </row>
    <row r="294" spans="1:16" s="325" customFormat="1" ht="33" hidden="1">
      <c r="A294" s="333" t="s">
        <v>2217</v>
      </c>
      <c r="B294" s="334" t="s">
        <v>845</v>
      </c>
      <c r="C294" s="335" t="s">
        <v>669</v>
      </c>
      <c r="D294" s="336">
        <v>1</v>
      </c>
      <c r="E294" s="336">
        <f>估驗單!F287</f>
        <v>1</v>
      </c>
      <c r="F294" s="390">
        <f t="shared" si="26"/>
        <v>0</v>
      </c>
      <c r="G294" s="336">
        <v>59.92</v>
      </c>
      <c r="H294" s="336"/>
      <c r="I294" s="336">
        <f t="shared" si="23"/>
        <v>59.92</v>
      </c>
      <c r="J294" s="336">
        <f t="shared" si="24"/>
        <v>59.92</v>
      </c>
      <c r="K294" s="546">
        <f t="shared" si="25"/>
        <v>0</v>
      </c>
      <c r="L294" s="502"/>
      <c r="M294" s="231"/>
      <c r="N294" s="11" t="s">
        <v>243</v>
      </c>
      <c r="O294" s="341"/>
      <c r="P294" s="339"/>
    </row>
    <row r="295" spans="1:16" s="325" customFormat="1" ht="33" hidden="1">
      <c r="A295" s="333" t="s">
        <v>2218</v>
      </c>
      <c r="B295" s="334" t="s">
        <v>848</v>
      </c>
      <c r="C295" s="335" t="s">
        <v>669</v>
      </c>
      <c r="D295" s="336">
        <v>1</v>
      </c>
      <c r="E295" s="336">
        <f>估驗單!F288</f>
        <v>1</v>
      </c>
      <c r="F295" s="390">
        <f t="shared" si="26"/>
        <v>0</v>
      </c>
      <c r="G295" s="336">
        <v>58.37</v>
      </c>
      <c r="H295" s="336"/>
      <c r="I295" s="336">
        <f t="shared" si="23"/>
        <v>58.37</v>
      </c>
      <c r="J295" s="336">
        <f t="shared" si="24"/>
        <v>58.37</v>
      </c>
      <c r="K295" s="546">
        <f t="shared" si="25"/>
        <v>0</v>
      </c>
      <c r="L295" s="502"/>
      <c r="M295" s="231"/>
      <c r="N295" s="11" t="s">
        <v>243</v>
      </c>
      <c r="O295" s="341"/>
      <c r="P295" s="339"/>
    </row>
    <row r="296" spans="1:16" s="325" customFormat="1" ht="33" hidden="1">
      <c r="A296" s="333" t="s">
        <v>2219</v>
      </c>
      <c r="B296" s="334" t="s">
        <v>851</v>
      </c>
      <c r="C296" s="335" t="s">
        <v>669</v>
      </c>
      <c r="D296" s="336">
        <v>1</v>
      </c>
      <c r="E296" s="336">
        <f>估驗單!F289</f>
        <v>1</v>
      </c>
      <c r="F296" s="390">
        <f t="shared" si="26"/>
        <v>0</v>
      </c>
      <c r="G296" s="336">
        <v>68.209999999999994</v>
      </c>
      <c r="H296" s="336"/>
      <c r="I296" s="336">
        <f t="shared" si="23"/>
        <v>68.209999999999994</v>
      </c>
      <c r="J296" s="336">
        <f t="shared" si="24"/>
        <v>68.209999999999994</v>
      </c>
      <c r="K296" s="546">
        <f t="shared" si="25"/>
        <v>0</v>
      </c>
      <c r="L296" s="502"/>
      <c r="M296" s="231"/>
      <c r="N296" s="11" t="s">
        <v>243</v>
      </c>
      <c r="O296" s="341"/>
      <c r="P296" s="339"/>
    </row>
    <row r="297" spans="1:16" s="325" customFormat="1" ht="33" hidden="1">
      <c r="A297" s="333" t="s">
        <v>2220</v>
      </c>
      <c r="B297" s="334" t="s">
        <v>854</v>
      </c>
      <c r="C297" s="335" t="s">
        <v>669</v>
      </c>
      <c r="D297" s="336">
        <v>1</v>
      </c>
      <c r="E297" s="336">
        <f>估驗單!F290</f>
        <v>1</v>
      </c>
      <c r="F297" s="390">
        <f t="shared" si="26"/>
        <v>0</v>
      </c>
      <c r="G297" s="336">
        <v>72.33</v>
      </c>
      <c r="H297" s="336"/>
      <c r="I297" s="336">
        <f t="shared" ref="I297:I309" si="27">ROUND(D297*G297,2)</f>
        <v>72.33</v>
      </c>
      <c r="J297" s="336">
        <f t="shared" ref="J297:J309" si="28">ROUND(E297*G297,2)</f>
        <v>72.33</v>
      </c>
      <c r="K297" s="546">
        <f t="shared" si="25"/>
        <v>0</v>
      </c>
      <c r="L297" s="502"/>
      <c r="M297" s="231"/>
      <c r="N297" s="11" t="s">
        <v>243</v>
      </c>
      <c r="O297" s="341"/>
      <c r="P297" s="339"/>
    </row>
    <row r="298" spans="1:16" ht="33" hidden="1">
      <c r="A298" s="333" t="s">
        <v>2221</v>
      </c>
      <c r="B298" s="334" t="s">
        <v>857</v>
      </c>
      <c r="C298" s="335" t="s">
        <v>669</v>
      </c>
      <c r="D298" s="336">
        <v>1</v>
      </c>
      <c r="E298" s="336">
        <f>估驗單!F291</f>
        <v>1</v>
      </c>
      <c r="F298" s="390">
        <f t="shared" si="26"/>
        <v>0</v>
      </c>
      <c r="G298" s="336">
        <v>111.47</v>
      </c>
      <c r="H298" s="336"/>
      <c r="I298" s="336">
        <f t="shared" si="27"/>
        <v>111.47</v>
      </c>
      <c r="J298" s="336">
        <f t="shared" si="28"/>
        <v>111.47</v>
      </c>
      <c r="K298" s="546">
        <f t="shared" si="25"/>
        <v>0</v>
      </c>
      <c r="L298" s="502"/>
      <c r="M298" s="231"/>
      <c r="N298" s="11" t="s">
        <v>243</v>
      </c>
      <c r="O298" s="341"/>
      <c r="P298" s="339"/>
    </row>
    <row r="299" spans="1:16" ht="33" hidden="1">
      <c r="A299" s="333" t="s">
        <v>2222</v>
      </c>
      <c r="B299" s="334" t="s">
        <v>860</v>
      </c>
      <c r="C299" s="335" t="s">
        <v>669</v>
      </c>
      <c r="D299" s="336">
        <v>1</v>
      </c>
      <c r="E299" s="336">
        <f>估驗單!F292</f>
        <v>1</v>
      </c>
      <c r="F299" s="390">
        <f t="shared" si="26"/>
        <v>0</v>
      </c>
      <c r="G299" s="336">
        <v>101.17</v>
      </c>
      <c r="H299" s="336"/>
      <c r="I299" s="336">
        <f t="shared" si="27"/>
        <v>101.17</v>
      </c>
      <c r="J299" s="336">
        <f t="shared" si="28"/>
        <v>101.17</v>
      </c>
      <c r="K299" s="546">
        <f t="shared" si="25"/>
        <v>0</v>
      </c>
      <c r="L299" s="502"/>
      <c r="M299" s="231"/>
      <c r="N299" s="11" t="s">
        <v>243</v>
      </c>
      <c r="O299" s="341"/>
      <c r="P299" s="339"/>
    </row>
    <row r="300" spans="1:16" ht="33" hidden="1">
      <c r="A300" s="333" t="s">
        <v>2223</v>
      </c>
      <c r="B300" s="334" t="s">
        <v>863</v>
      </c>
      <c r="C300" s="335" t="s">
        <v>669</v>
      </c>
      <c r="D300" s="336">
        <v>1</v>
      </c>
      <c r="E300" s="336">
        <f>估驗單!F293</f>
        <v>1</v>
      </c>
      <c r="F300" s="390">
        <f t="shared" si="26"/>
        <v>0</v>
      </c>
      <c r="G300" s="336">
        <v>81.62</v>
      </c>
      <c r="H300" s="336"/>
      <c r="I300" s="336">
        <f t="shared" si="27"/>
        <v>81.62</v>
      </c>
      <c r="J300" s="336">
        <f t="shared" si="28"/>
        <v>81.62</v>
      </c>
      <c r="K300" s="546">
        <f t="shared" si="25"/>
        <v>0</v>
      </c>
      <c r="L300" s="502"/>
      <c r="M300" s="231"/>
      <c r="N300" s="11" t="s">
        <v>243</v>
      </c>
      <c r="O300" s="341"/>
      <c r="P300" s="339"/>
    </row>
    <row r="301" spans="1:16" ht="33" hidden="1">
      <c r="A301" s="333" t="s">
        <v>2224</v>
      </c>
      <c r="B301" s="334" t="s">
        <v>866</v>
      </c>
      <c r="C301" s="335" t="s">
        <v>669</v>
      </c>
      <c r="D301" s="336">
        <v>1</v>
      </c>
      <c r="E301" s="336">
        <f>估驗單!F294</f>
        <v>1</v>
      </c>
      <c r="F301" s="390">
        <f t="shared" si="26"/>
        <v>0</v>
      </c>
      <c r="G301" s="336">
        <v>79.040000000000006</v>
      </c>
      <c r="H301" s="336"/>
      <c r="I301" s="336">
        <f t="shared" si="27"/>
        <v>79.040000000000006</v>
      </c>
      <c r="J301" s="336">
        <f t="shared" si="28"/>
        <v>79.040000000000006</v>
      </c>
      <c r="K301" s="546">
        <f t="shared" si="25"/>
        <v>0</v>
      </c>
      <c r="L301" s="502"/>
      <c r="M301" s="231"/>
      <c r="N301" s="11" t="s">
        <v>243</v>
      </c>
      <c r="O301" s="341"/>
      <c r="P301" s="339"/>
    </row>
    <row r="302" spans="1:16" ht="33" hidden="1">
      <c r="A302" s="333" t="s">
        <v>2225</v>
      </c>
      <c r="B302" s="334" t="s">
        <v>869</v>
      </c>
      <c r="C302" s="335" t="s">
        <v>669</v>
      </c>
      <c r="D302" s="336">
        <v>1</v>
      </c>
      <c r="E302" s="336">
        <f>估驗單!F295</f>
        <v>1</v>
      </c>
      <c r="F302" s="390">
        <f t="shared" si="26"/>
        <v>0</v>
      </c>
      <c r="G302" s="336">
        <v>99.64</v>
      </c>
      <c r="H302" s="336"/>
      <c r="I302" s="336">
        <f t="shared" si="27"/>
        <v>99.64</v>
      </c>
      <c r="J302" s="336">
        <f t="shared" si="28"/>
        <v>99.64</v>
      </c>
      <c r="K302" s="546">
        <f t="shared" si="25"/>
        <v>0</v>
      </c>
      <c r="L302" s="502"/>
      <c r="M302" s="231"/>
      <c r="N302" s="11" t="s">
        <v>243</v>
      </c>
      <c r="O302" s="341"/>
      <c r="P302" s="339"/>
    </row>
    <row r="303" spans="1:16" ht="33" hidden="1">
      <c r="A303" s="333" t="s">
        <v>2226</v>
      </c>
      <c r="B303" s="334" t="s">
        <v>872</v>
      </c>
      <c r="C303" s="335" t="s">
        <v>669</v>
      </c>
      <c r="D303" s="336">
        <v>1</v>
      </c>
      <c r="E303" s="336">
        <f>估驗單!F296</f>
        <v>1</v>
      </c>
      <c r="F303" s="390">
        <f t="shared" si="26"/>
        <v>0</v>
      </c>
      <c r="G303" s="336">
        <v>74.92</v>
      </c>
      <c r="H303" s="336"/>
      <c r="I303" s="336">
        <f t="shared" si="27"/>
        <v>74.92</v>
      </c>
      <c r="J303" s="336">
        <f t="shared" si="28"/>
        <v>74.92</v>
      </c>
      <c r="K303" s="546">
        <f t="shared" si="25"/>
        <v>0</v>
      </c>
      <c r="L303" s="502"/>
      <c r="M303" s="231"/>
      <c r="N303" s="11" t="s">
        <v>243</v>
      </c>
      <c r="O303" s="341"/>
      <c r="P303" s="339"/>
    </row>
    <row r="304" spans="1:16" ht="33" hidden="1">
      <c r="A304" s="333" t="s">
        <v>2227</v>
      </c>
      <c r="B304" s="334" t="s">
        <v>875</v>
      </c>
      <c r="C304" s="335" t="s">
        <v>669</v>
      </c>
      <c r="D304" s="336">
        <v>1</v>
      </c>
      <c r="E304" s="336">
        <f>估驗單!F297</f>
        <v>1</v>
      </c>
      <c r="F304" s="390">
        <f t="shared" si="26"/>
        <v>0</v>
      </c>
      <c r="G304" s="336">
        <v>72.28</v>
      </c>
      <c r="H304" s="336"/>
      <c r="I304" s="336">
        <f t="shared" si="27"/>
        <v>72.28</v>
      </c>
      <c r="J304" s="336">
        <f t="shared" si="28"/>
        <v>72.28</v>
      </c>
      <c r="K304" s="546">
        <f t="shared" si="25"/>
        <v>0</v>
      </c>
      <c r="L304" s="502"/>
      <c r="M304" s="231"/>
      <c r="N304" s="11" t="s">
        <v>243</v>
      </c>
      <c r="O304" s="341"/>
      <c r="P304" s="339"/>
    </row>
    <row r="305" spans="1:19" ht="33" hidden="1">
      <c r="A305" s="333" t="s">
        <v>2228</v>
      </c>
      <c r="B305" s="334" t="s">
        <v>878</v>
      </c>
      <c r="C305" s="335" t="s">
        <v>13</v>
      </c>
      <c r="D305" s="336">
        <v>1</v>
      </c>
      <c r="E305" s="336">
        <f>估驗單!F298</f>
        <v>1</v>
      </c>
      <c r="F305" s="390">
        <f t="shared" si="26"/>
        <v>0</v>
      </c>
      <c r="G305" s="336">
        <v>43.77</v>
      </c>
      <c r="H305" s="336"/>
      <c r="I305" s="336">
        <f t="shared" si="27"/>
        <v>43.77</v>
      </c>
      <c r="J305" s="336">
        <f t="shared" si="28"/>
        <v>43.77</v>
      </c>
      <c r="K305" s="546">
        <f t="shared" si="25"/>
        <v>0</v>
      </c>
      <c r="L305" s="502"/>
      <c r="M305" s="231"/>
      <c r="N305" s="11" t="s">
        <v>243</v>
      </c>
      <c r="O305" s="341"/>
      <c r="P305" s="339"/>
    </row>
    <row r="306" spans="1:19" ht="33" hidden="1">
      <c r="A306" s="333" t="s">
        <v>2229</v>
      </c>
      <c r="B306" s="334" t="s">
        <v>881</v>
      </c>
      <c r="C306" s="335" t="s">
        <v>882</v>
      </c>
      <c r="D306" s="336">
        <v>1</v>
      </c>
      <c r="E306" s="336">
        <f>估驗單!F299</f>
        <v>1</v>
      </c>
      <c r="F306" s="390">
        <f t="shared" si="26"/>
        <v>0</v>
      </c>
      <c r="G306" s="336">
        <v>28.11</v>
      </c>
      <c r="H306" s="336"/>
      <c r="I306" s="336">
        <f t="shared" si="27"/>
        <v>28.11</v>
      </c>
      <c r="J306" s="336">
        <f t="shared" si="28"/>
        <v>28.11</v>
      </c>
      <c r="K306" s="546">
        <f t="shared" si="25"/>
        <v>0</v>
      </c>
      <c r="L306" s="502"/>
      <c r="M306" s="231"/>
      <c r="N306" s="11" t="s">
        <v>243</v>
      </c>
      <c r="O306" s="341"/>
      <c r="P306" s="339"/>
    </row>
    <row r="307" spans="1:19" ht="33" hidden="1">
      <c r="A307" s="333" t="s">
        <v>2230</v>
      </c>
      <c r="B307" s="334" t="s">
        <v>885</v>
      </c>
      <c r="C307" s="335" t="s">
        <v>13</v>
      </c>
      <c r="D307" s="336">
        <v>1</v>
      </c>
      <c r="E307" s="336">
        <f>估驗單!F300</f>
        <v>1</v>
      </c>
      <c r="F307" s="390">
        <f t="shared" si="26"/>
        <v>0</v>
      </c>
      <c r="G307" s="336">
        <v>239.86</v>
      </c>
      <c r="H307" s="336"/>
      <c r="I307" s="336">
        <f t="shared" si="27"/>
        <v>239.86</v>
      </c>
      <c r="J307" s="336">
        <f t="shared" si="28"/>
        <v>239.86</v>
      </c>
      <c r="K307" s="546">
        <f t="shared" si="25"/>
        <v>0</v>
      </c>
      <c r="L307" s="502"/>
      <c r="M307" s="231"/>
      <c r="N307" s="11" t="s">
        <v>243</v>
      </c>
      <c r="O307" s="341"/>
      <c r="P307" s="339"/>
    </row>
    <row r="308" spans="1:19" s="352" customFormat="1" ht="42.75" hidden="1">
      <c r="A308" s="343">
        <v>76</v>
      </c>
      <c r="B308" s="344" t="s">
        <v>2411</v>
      </c>
      <c r="C308" s="345" t="s">
        <v>2386</v>
      </c>
      <c r="D308" s="340">
        <v>1305</v>
      </c>
      <c r="E308" s="336">
        <f>估驗單!F301</f>
        <v>1305</v>
      </c>
      <c r="F308" s="390">
        <f t="shared" si="26"/>
        <v>0</v>
      </c>
      <c r="G308" s="340">
        <v>1765.46</v>
      </c>
      <c r="H308" s="340"/>
      <c r="I308" s="336">
        <f t="shared" si="27"/>
        <v>2303925.2999999998</v>
      </c>
      <c r="J308" s="336">
        <f t="shared" si="28"/>
        <v>2303925.2999999998</v>
      </c>
      <c r="K308" s="546">
        <f t="shared" si="25"/>
        <v>0</v>
      </c>
      <c r="L308" s="502"/>
      <c r="M308" s="350"/>
      <c r="N308" s="347"/>
      <c r="O308" s="348"/>
      <c r="P308" s="349"/>
      <c r="Q308" s="325"/>
      <c r="S308" s="372" t="s">
        <v>2416</v>
      </c>
    </row>
    <row r="309" spans="1:19" s="363" customFormat="1" ht="31.5" hidden="1" customHeight="1">
      <c r="A309" s="343">
        <v>77</v>
      </c>
      <c r="B309" s="344" t="s">
        <v>1508</v>
      </c>
      <c r="C309" s="345" t="s">
        <v>1509</v>
      </c>
      <c r="D309" s="340">
        <f>9*1702</f>
        <v>15318</v>
      </c>
      <c r="E309" s="336">
        <f>估驗單!F302</f>
        <v>15318</v>
      </c>
      <c r="F309" s="418">
        <f t="shared" si="26"/>
        <v>0</v>
      </c>
      <c r="G309" s="340">
        <v>149.99</v>
      </c>
      <c r="H309" s="340"/>
      <c r="I309" s="336">
        <f t="shared" si="27"/>
        <v>2297546.8199999998</v>
      </c>
      <c r="J309" s="336">
        <f t="shared" si="28"/>
        <v>2297546.8199999998</v>
      </c>
      <c r="K309" s="546">
        <f t="shared" si="25"/>
        <v>0</v>
      </c>
      <c r="L309" s="453"/>
      <c r="M309" s="346"/>
      <c r="N309" s="347"/>
      <c r="O309" s="354"/>
      <c r="P309" s="322"/>
      <c r="Q309" s="325"/>
    </row>
    <row r="310" spans="1:19" ht="33">
      <c r="A310" s="406" t="s">
        <v>2248</v>
      </c>
      <c r="B310" s="407" t="s">
        <v>888</v>
      </c>
      <c r="C310" s="408" t="s">
        <v>4</v>
      </c>
      <c r="D310" s="409">
        <v>1</v>
      </c>
      <c r="E310" s="409">
        <f>估驗單!F303</f>
        <v>1</v>
      </c>
      <c r="F310" s="410"/>
      <c r="G310" s="409">
        <f>I310</f>
        <v>5050770.370000001</v>
      </c>
      <c r="H310" s="409"/>
      <c r="I310" s="409">
        <f>SUM(I311:I343)</f>
        <v>5050770.370000001</v>
      </c>
      <c r="J310" s="409">
        <f>SUM(J311:J343)</f>
        <v>5050770.370000001</v>
      </c>
      <c r="K310" s="542">
        <f>SUM(K311:K343)</f>
        <v>0</v>
      </c>
      <c r="L310" s="534">
        <f>SUM(L311:L343)</f>
        <v>0</v>
      </c>
      <c r="M310" s="288"/>
      <c r="N310" s="11" t="s">
        <v>243</v>
      </c>
      <c r="O310" s="785">
        <f>K310+L310</f>
        <v>0</v>
      </c>
      <c r="P310" s="339"/>
    </row>
    <row r="311" spans="1:19" ht="33" hidden="1">
      <c r="A311" s="333" t="s">
        <v>2154</v>
      </c>
      <c r="B311" s="334" t="s">
        <v>890</v>
      </c>
      <c r="C311" s="335" t="s">
        <v>4</v>
      </c>
      <c r="D311" s="336">
        <v>1</v>
      </c>
      <c r="E311" s="336">
        <f>估驗單!F304</f>
        <v>1</v>
      </c>
      <c r="F311" s="390">
        <f t="shared" si="26"/>
        <v>0</v>
      </c>
      <c r="G311" s="336">
        <v>88179.19</v>
      </c>
      <c r="H311" s="336"/>
      <c r="I311" s="336">
        <f t="shared" ref="I311:I343" si="29">ROUND(D311*G311,2)</f>
        <v>88179.19</v>
      </c>
      <c r="J311" s="336">
        <f t="shared" ref="J311:J343" si="30">ROUND(E311*G311,2)</f>
        <v>88179.19</v>
      </c>
      <c r="K311" s="546">
        <f t="shared" si="25"/>
        <v>0</v>
      </c>
      <c r="L311" s="502"/>
      <c r="M311" s="231"/>
      <c r="N311" s="11" t="s">
        <v>243</v>
      </c>
      <c r="O311" s="341"/>
      <c r="P311" s="339"/>
    </row>
    <row r="312" spans="1:19" ht="33" hidden="1">
      <c r="A312" s="333" t="s">
        <v>2155</v>
      </c>
      <c r="B312" s="334" t="s">
        <v>893</v>
      </c>
      <c r="C312" s="335" t="s">
        <v>4</v>
      </c>
      <c r="D312" s="336">
        <v>1</v>
      </c>
      <c r="E312" s="336">
        <f>估驗單!F305</f>
        <v>1</v>
      </c>
      <c r="F312" s="390">
        <f t="shared" si="26"/>
        <v>0</v>
      </c>
      <c r="G312" s="336">
        <v>149702.84</v>
      </c>
      <c r="H312" s="336"/>
      <c r="I312" s="336">
        <f t="shared" si="29"/>
        <v>149702.84</v>
      </c>
      <c r="J312" s="336">
        <f t="shared" si="30"/>
        <v>149702.84</v>
      </c>
      <c r="K312" s="546">
        <f t="shared" si="25"/>
        <v>0</v>
      </c>
      <c r="L312" s="502"/>
      <c r="M312" s="231"/>
      <c r="N312" s="11" t="s">
        <v>243</v>
      </c>
      <c r="O312" s="341"/>
      <c r="P312" s="339"/>
    </row>
    <row r="313" spans="1:19" ht="33" hidden="1">
      <c r="A313" s="333" t="s">
        <v>2156</v>
      </c>
      <c r="B313" s="334" t="s">
        <v>896</v>
      </c>
      <c r="C313" s="335" t="s">
        <v>4</v>
      </c>
      <c r="D313" s="336">
        <v>1</v>
      </c>
      <c r="E313" s="336">
        <f>估驗單!F306</f>
        <v>1</v>
      </c>
      <c r="F313" s="390">
        <f t="shared" si="26"/>
        <v>0</v>
      </c>
      <c r="G313" s="336">
        <v>168290.82</v>
      </c>
      <c r="H313" s="336"/>
      <c r="I313" s="336">
        <f t="shared" si="29"/>
        <v>168290.82</v>
      </c>
      <c r="J313" s="336">
        <f t="shared" si="30"/>
        <v>168290.82</v>
      </c>
      <c r="K313" s="546">
        <f t="shared" si="25"/>
        <v>0</v>
      </c>
      <c r="L313" s="502"/>
      <c r="M313" s="231"/>
      <c r="N313" s="11" t="s">
        <v>243</v>
      </c>
      <c r="O313" s="341"/>
      <c r="P313" s="339"/>
    </row>
    <row r="314" spans="1:19" ht="33" hidden="1">
      <c r="A314" s="333" t="s">
        <v>2157</v>
      </c>
      <c r="B314" s="334" t="s">
        <v>899</v>
      </c>
      <c r="C314" s="335" t="s">
        <v>4</v>
      </c>
      <c r="D314" s="336">
        <v>1</v>
      </c>
      <c r="E314" s="336">
        <f>估驗單!F307</f>
        <v>1</v>
      </c>
      <c r="F314" s="390">
        <f t="shared" si="26"/>
        <v>0</v>
      </c>
      <c r="G314" s="336">
        <v>23946.69</v>
      </c>
      <c r="H314" s="336"/>
      <c r="I314" s="336">
        <f t="shared" si="29"/>
        <v>23946.69</v>
      </c>
      <c r="J314" s="336">
        <f t="shared" si="30"/>
        <v>23946.69</v>
      </c>
      <c r="K314" s="546">
        <f t="shared" si="25"/>
        <v>0</v>
      </c>
      <c r="L314" s="502"/>
      <c r="M314" s="231"/>
      <c r="N314" s="11" t="s">
        <v>243</v>
      </c>
      <c r="O314" s="341"/>
      <c r="P314" s="339"/>
    </row>
    <row r="315" spans="1:19" s="325" customFormat="1" ht="33" hidden="1">
      <c r="A315" s="333" t="s">
        <v>2158</v>
      </c>
      <c r="B315" s="334" t="s">
        <v>902</v>
      </c>
      <c r="C315" s="335" t="s">
        <v>0</v>
      </c>
      <c r="D315" s="336">
        <v>11</v>
      </c>
      <c r="E315" s="336">
        <f>估驗單!F308</f>
        <v>11</v>
      </c>
      <c r="F315" s="390">
        <f t="shared" si="26"/>
        <v>0</v>
      </c>
      <c r="G315" s="336">
        <v>42797.67</v>
      </c>
      <c r="H315" s="336"/>
      <c r="I315" s="336">
        <f t="shared" si="29"/>
        <v>470774.37</v>
      </c>
      <c r="J315" s="336">
        <f t="shared" si="30"/>
        <v>470774.37</v>
      </c>
      <c r="K315" s="546">
        <f t="shared" si="25"/>
        <v>0</v>
      </c>
      <c r="L315" s="502"/>
      <c r="M315" s="231"/>
      <c r="N315" s="11" t="s">
        <v>243</v>
      </c>
      <c r="O315" s="341"/>
      <c r="P315" s="339"/>
    </row>
    <row r="316" spans="1:19" s="325" customFormat="1" ht="33" hidden="1">
      <c r="A316" s="333" t="s">
        <v>2159</v>
      </c>
      <c r="B316" s="334" t="s">
        <v>905</v>
      </c>
      <c r="C316" s="335" t="s">
        <v>0</v>
      </c>
      <c r="D316" s="336">
        <v>9</v>
      </c>
      <c r="E316" s="336">
        <f>估驗單!F309</f>
        <v>9</v>
      </c>
      <c r="F316" s="390">
        <f t="shared" si="26"/>
        <v>0</v>
      </c>
      <c r="G316" s="336">
        <v>60396.71</v>
      </c>
      <c r="H316" s="336"/>
      <c r="I316" s="336">
        <f t="shared" si="29"/>
        <v>543570.39</v>
      </c>
      <c r="J316" s="336">
        <f t="shared" si="30"/>
        <v>543570.39</v>
      </c>
      <c r="K316" s="546">
        <f t="shared" si="25"/>
        <v>0</v>
      </c>
      <c r="L316" s="502"/>
      <c r="M316" s="231"/>
      <c r="N316" s="11" t="s">
        <v>243</v>
      </c>
      <c r="O316" s="341"/>
      <c r="P316" s="339"/>
    </row>
    <row r="317" spans="1:19" s="325" customFormat="1" ht="33" hidden="1">
      <c r="A317" s="333" t="s">
        <v>2160</v>
      </c>
      <c r="B317" s="334" t="s">
        <v>908</v>
      </c>
      <c r="C317" s="335" t="s">
        <v>0</v>
      </c>
      <c r="D317" s="336">
        <v>10</v>
      </c>
      <c r="E317" s="336">
        <f>估驗單!F310</f>
        <v>10</v>
      </c>
      <c r="F317" s="390">
        <f t="shared" si="26"/>
        <v>0</v>
      </c>
      <c r="G317" s="336">
        <v>34998.089999999997</v>
      </c>
      <c r="H317" s="336"/>
      <c r="I317" s="336">
        <f t="shared" si="29"/>
        <v>349980.9</v>
      </c>
      <c r="J317" s="336">
        <f t="shared" si="30"/>
        <v>349980.9</v>
      </c>
      <c r="K317" s="546">
        <f t="shared" si="25"/>
        <v>0</v>
      </c>
      <c r="L317" s="502"/>
      <c r="M317" s="231"/>
      <c r="N317" s="11" t="s">
        <v>243</v>
      </c>
      <c r="O317" s="341"/>
      <c r="P317" s="339"/>
    </row>
    <row r="318" spans="1:19" s="325" customFormat="1" ht="33" hidden="1">
      <c r="A318" s="333" t="s">
        <v>2161</v>
      </c>
      <c r="B318" s="334" t="s">
        <v>911</v>
      </c>
      <c r="C318" s="335" t="s">
        <v>0</v>
      </c>
      <c r="D318" s="336">
        <v>8</v>
      </c>
      <c r="E318" s="336">
        <f>估驗單!F311</f>
        <v>8</v>
      </c>
      <c r="F318" s="390">
        <f t="shared" si="26"/>
        <v>0</v>
      </c>
      <c r="G318" s="336">
        <v>9999.4500000000007</v>
      </c>
      <c r="H318" s="336"/>
      <c r="I318" s="336">
        <f t="shared" si="29"/>
        <v>79995.600000000006</v>
      </c>
      <c r="J318" s="336">
        <f t="shared" si="30"/>
        <v>79995.600000000006</v>
      </c>
      <c r="K318" s="546">
        <f t="shared" si="25"/>
        <v>0</v>
      </c>
      <c r="L318" s="502"/>
      <c r="M318" s="231"/>
      <c r="N318" s="11" t="s">
        <v>243</v>
      </c>
      <c r="O318" s="341"/>
      <c r="P318" s="339"/>
    </row>
    <row r="319" spans="1:19" s="325" customFormat="1" ht="33" hidden="1">
      <c r="A319" s="333" t="s">
        <v>2162</v>
      </c>
      <c r="B319" s="334" t="s">
        <v>914</v>
      </c>
      <c r="C319" s="335" t="s">
        <v>15</v>
      </c>
      <c r="D319" s="336">
        <v>2</v>
      </c>
      <c r="E319" s="336">
        <f>估驗單!F312</f>
        <v>2</v>
      </c>
      <c r="F319" s="390">
        <f t="shared" si="26"/>
        <v>0</v>
      </c>
      <c r="G319" s="336">
        <v>1499.92</v>
      </c>
      <c r="H319" s="336"/>
      <c r="I319" s="336">
        <f t="shared" si="29"/>
        <v>2999.84</v>
      </c>
      <c r="J319" s="336">
        <f t="shared" si="30"/>
        <v>2999.84</v>
      </c>
      <c r="K319" s="546">
        <f t="shared" si="25"/>
        <v>0</v>
      </c>
      <c r="L319" s="502"/>
      <c r="M319" s="231"/>
      <c r="N319" s="11" t="s">
        <v>243</v>
      </c>
      <c r="O319" s="341"/>
      <c r="P319" s="339"/>
    </row>
    <row r="320" spans="1:19" s="325" customFormat="1" ht="33" hidden="1">
      <c r="A320" s="333" t="s">
        <v>2163</v>
      </c>
      <c r="B320" s="334" t="s">
        <v>917</v>
      </c>
      <c r="C320" s="335" t="s">
        <v>15</v>
      </c>
      <c r="D320" s="336">
        <v>2</v>
      </c>
      <c r="E320" s="336">
        <f>估驗單!F313</f>
        <v>2</v>
      </c>
      <c r="F320" s="390">
        <f t="shared" si="26"/>
        <v>0</v>
      </c>
      <c r="G320" s="336">
        <v>3999.78</v>
      </c>
      <c r="H320" s="336"/>
      <c r="I320" s="336">
        <f t="shared" si="29"/>
        <v>7999.56</v>
      </c>
      <c r="J320" s="336">
        <f t="shared" si="30"/>
        <v>7999.56</v>
      </c>
      <c r="K320" s="546">
        <f t="shared" si="25"/>
        <v>0</v>
      </c>
      <c r="L320" s="502"/>
      <c r="M320" s="231"/>
      <c r="N320" s="11" t="s">
        <v>243</v>
      </c>
      <c r="O320" s="341"/>
      <c r="P320" s="339"/>
    </row>
    <row r="321" spans="1:16" s="325" customFormat="1" ht="33" hidden="1">
      <c r="A321" s="333" t="s">
        <v>2164</v>
      </c>
      <c r="B321" s="334" t="s">
        <v>920</v>
      </c>
      <c r="C321" s="335" t="s">
        <v>8</v>
      </c>
      <c r="D321" s="336">
        <v>44.6</v>
      </c>
      <c r="E321" s="336">
        <f>估驗單!F314</f>
        <v>44.6</v>
      </c>
      <c r="F321" s="390">
        <f t="shared" si="26"/>
        <v>0</v>
      </c>
      <c r="G321" s="336">
        <v>799.96</v>
      </c>
      <c r="H321" s="336"/>
      <c r="I321" s="336">
        <f t="shared" si="29"/>
        <v>35678.22</v>
      </c>
      <c r="J321" s="336">
        <f t="shared" si="30"/>
        <v>35678.22</v>
      </c>
      <c r="K321" s="546">
        <f t="shared" si="25"/>
        <v>0</v>
      </c>
      <c r="L321" s="502"/>
      <c r="M321" s="231"/>
      <c r="N321" s="11" t="s">
        <v>243</v>
      </c>
      <c r="O321" s="341"/>
      <c r="P321" s="339"/>
    </row>
    <row r="322" spans="1:16" s="325" customFormat="1" ht="33" hidden="1">
      <c r="A322" s="333" t="s">
        <v>2165</v>
      </c>
      <c r="B322" s="334" t="s">
        <v>923</v>
      </c>
      <c r="C322" s="335" t="s">
        <v>15</v>
      </c>
      <c r="D322" s="336">
        <v>10</v>
      </c>
      <c r="E322" s="336">
        <f>估驗單!F315</f>
        <v>10</v>
      </c>
      <c r="F322" s="390">
        <f t="shared" si="26"/>
        <v>0</v>
      </c>
      <c r="G322" s="336">
        <v>11299.38</v>
      </c>
      <c r="H322" s="336"/>
      <c r="I322" s="336">
        <f t="shared" si="29"/>
        <v>112993.8</v>
      </c>
      <c r="J322" s="336">
        <f t="shared" si="30"/>
        <v>112993.8</v>
      </c>
      <c r="K322" s="546">
        <f t="shared" si="25"/>
        <v>0</v>
      </c>
      <c r="L322" s="502"/>
      <c r="M322" s="231"/>
      <c r="N322" s="11" t="s">
        <v>243</v>
      </c>
      <c r="O322" s="341"/>
      <c r="P322" s="339"/>
    </row>
    <row r="323" spans="1:16" s="325" customFormat="1" ht="33" hidden="1">
      <c r="A323" s="333" t="s">
        <v>2166</v>
      </c>
      <c r="B323" s="334" t="s">
        <v>926</v>
      </c>
      <c r="C323" s="335" t="s">
        <v>15</v>
      </c>
      <c r="D323" s="336">
        <v>5</v>
      </c>
      <c r="E323" s="336">
        <f>估驗單!F316</f>
        <v>5</v>
      </c>
      <c r="F323" s="390">
        <f t="shared" si="26"/>
        <v>0</v>
      </c>
      <c r="G323" s="336">
        <v>17999.02</v>
      </c>
      <c r="H323" s="336"/>
      <c r="I323" s="336">
        <f t="shared" si="29"/>
        <v>89995.1</v>
      </c>
      <c r="J323" s="336">
        <f t="shared" si="30"/>
        <v>89995.1</v>
      </c>
      <c r="K323" s="546">
        <f t="shared" si="25"/>
        <v>0</v>
      </c>
      <c r="L323" s="502"/>
      <c r="M323" s="231"/>
      <c r="N323" s="11" t="s">
        <v>243</v>
      </c>
      <c r="O323" s="341"/>
      <c r="P323" s="339"/>
    </row>
    <row r="324" spans="1:16" s="325" customFormat="1" ht="33" hidden="1">
      <c r="A324" s="333" t="s">
        <v>2167</v>
      </c>
      <c r="B324" s="334" t="s">
        <v>929</v>
      </c>
      <c r="C324" s="335" t="s">
        <v>15</v>
      </c>
      <c r="D324" s="336">
        <v>17</v>
      </c>
      <c r="E324" s="336">
        <f>估驗單!F317</f>
        <v>17</v>
      </c>
      <c r="F324" s="390">
        <f t="shared" si="26"/>
        <v>0</v>
      </c>
      <c r="G324" s="336">
        <v>4199.7700000000004</v>
      </c>
      <c r="H324" s="336"/>
      <c r="I324" s="336">
        <f t="shared" si="29"/>
        <v>71396.09</v>
      </c>
      <c r="J324" s="336">
        <f t="shared" si="30"/>
        <v>71396.09</v>
      </c>
      <c r="K324" s="546">
        <f t="shared" si="25"/>
        <v>0</v>
      </c>
      <c r="L324" s="502"/>
      <c r="M324" s="231"/>
      <c r="N324" s="11" t="s">
        <v>243</v>
      </c>
      <c r="O324" s="341"/>
      <c r="P324" s="339"/>
    </row>
    <row r="325" spans="1:16" s="325" customFormat="1" ht="33" hidden="1">
      <c r="A325" s="333" t="s">
        <v>2168</v>
      </c>
      <c r="B325" s="334" t="s">
        <v>932</v>
      </c>
      <c r="C325" s="335" t="s">
        <v>290</v>
      </c>
      <c r="D325" s="336">
        <v>1</v>
      </c>
      <c r="E325" s="336">
        <f>估驗單!F318</f>
        <v>1</v>
      </c>
      <c r="F325" s="390">
        <f t="shared" si="26"/>
        <v>0</v>
      </c>
      <c r="G325" s="336">
        <v>112957.32</v>
      </c>
      <c r="H325" s="336"/>
      <c r="I325" s="336">
        <f t="shared" si="29"/>
        <v>112957.32</v>
      </c>
      <c r="J325" s="336">
        <f t="shared" si="30"/>
        <v>112957.32</v>
      </c>
      <c r="K325" s="546">
        <f t="shared" si="25"/>
        <v>0</v>
      </c>
      <c r="L325" s="502"/>
      <c r="M325" s="231"/>
      <c r="N325" s="11" t="s">
        <v>243</v>
      </c>
      <c r="O325" s="341"/>
      <c r="P325" s="339"/>
    </row>
    <row r="326" spans="1:16" s="325" customFormat="1" ht="33" hidden="1">
      <c r="A326" s="333" t="s">
        <v>2169</v>
      </c>
      <c r="B326" s="334" t="s">
        <v>935</v>
      </c>
      <c r="C326" s="335" t="s">
        <v>4</v>
      </c>
      <c r="D326" s="336">
        <v>1</v>
      </c>
      <c r="E326" s="336">
        <f>估驗單!F319</f>
        <v>1</v>
      </c>
      <c r="F326" s="390">
        <f t="shared" si="26"/>
        <v>0</v>
      </c>
      <c r="G326" s="336">
        <v>322482.40999999997</v>
      </c>
      <c r="H326" s="336"/>
      <c r="I326" s="336">
        <f t="shared" si="29"/>
        <v>322482.40999999997</v>
      </c>
      <c r="J326" s="336">
        <f t="shared" si="30"/>
        <v>322482.40999999997</v>
      </c>
      <c r="K326" s="546">
        <f t="shared" si="25"/>
        <v>0</v>
      </c>
      <c r="L326" s="502"/>
      <c r="M326" s="231"/>
      <c r="N326" s="11" t="s">
        <v>243</v>
      </c>
      <c r="O326" s="341"/>
      <c r="P326" s="339"/>
    </row>
    <row r="327" spans="1:16" s="325" customFormat="1" ht="33" hidden="1">
      <c r="A327" s="333" t="s">
        <v>2170</v>
      </c>
      <c r="B327" s="334" t="s">
        <v>938</v>
      </c>
      <c r="C327" s="335" t="s">
        <v>15</v>
      </c>
      <c r="D327" s="336">
        <v>17</v>
      </c>
      <c r="E327" s="336">
        <f>估驗單!F320</f>
        <v>17</v>
      </c>
      <c r="F327" s="390">
        <f t="shared" si="26"/>
        <v>0</v>
      </c>
      <c r="G327" s="336">
        <v>99994.55</v>
      </c>
      <c r="H327" s="336"/>
      <c r="I327" s="336">
        <f t="shared" si="29"/>
        <v>1699907.35</v>
      </c>
      <c r="J327" s="336">
        <f t="shared" si="30"/>
        <v>1699907.35</v>
      </c>
      <c r="K327" s="546">
        <f t="shared" si="25"/>
        <v>0</v>
      </c>
      <c r="L327" s="502"/>
      <c r="M327" s="231"/>
      <c r="N327" s="11" t="s">
        <v>243</v>
      </c>
      <c r="O327" s="341"/>
      <c r="P327" s="339"/>
    </row>
    <row r="328" spans="1:16" s="325" customFormat="1" ht="33" hidden="1">
      <c r="A328" s="333" t="s">
        <v>2171</v>
      </c>
      <c r="B328" s="334" t="s">
        <v>941</v>
      </c>
      <c r="C328" s="335" t="s">
        <v>583</v>
      </c>
      <c r="D328" s="336">
        <v>2</v>
      </c>
      <c r="E328" s="336">
        <f>估驗單!F321</f>
        <v>2</v>
      </c>
      <c r="F328" s="390">
        <f t="shared" si="26"/>
        <v>0</v>
      </c>
      <c r="G328" s="336">
        <v>14999.18</v>
      </c>
      <c r="H328" s="336"/>
      <c r="I328" s="336">
        <f t="shared" si="29"/>
        <v>29998.36</v>
      </c>
      <c r="J328" s="336">
        <f t="shared" si="30"/>
        <v>29998.36</v>
      </c>
      <c r="K328" s="546">
        <f t="shared" si="25"/>
        <v>0</v>
      </c>
      <c r="L328" s="502"/>
      <c r="M328" s="231"/>
      <c r="N328" s="11" t="s">
        <v>243</v>
      </c>
      <c r="O328" s="341"/>
      <c r="P328" s="339"/>
    </row>
    <row r="329" spans="1:16" s="325" customFormat="1" ht="33" hidden="1">
      <c r="A329" s="333" t="s">
        <v>2172</v>
      </c>
      <c r="B329" s="334" t="s">
        <v>944</v>
      </c>
      <c r="C329" s="335" t="s">
        <v>15</v>
      </c>
      <c r="D329" s="336">
        <v>1</v>
      </c>
      <c r="E329" s="336">
        <f>估驗單!F322</f>
        <v>1</v>
      </c>
      <c r="F329" s="390">
        <f t="shared" si="26"/>
        <v>0</v>
      </c>
      <c r="G329" s="336">
        <v>1499.92</v>
      </c>
      <c r="H329" s="336"/>
      <c r="I329" s="336">
        <f t="shared" si="29"/>
        <v>1499.92</v>
      </c>
      <c r="J329" s="336">
        <f t="shared" si="30"/>
        <v>1499.92</v>
      </c>
      <c r="K329" s="546">
        <f t="shared" si="25"/>
        <v>0</v>
      </c>
      <c r="L329" s="502"/>
      <c r="M329" s="231"/>
      <c r="N329" s="11" t="s">
        <v>243</v>
      </c>
      <c r="O329" s="341"/>
      <c r="P329" s="339"/>
    </row>
    <row r="330" spans="1:16" s="325" customFormat="1" ht="33" hidden="1">
      <c r="A330" s="333" t="s">
        <v>2173</v>
      </c>
      <c r="B330" s="334" t="s">
        <v>947</v>
      </c>
      <c r="C330" s="335" t="s">
        <v>19</v>
      </c>
      <c r="D330" s="336">
        <v>2</v>
      </c>
      <c r="E330" s="336">
        <f>估驗單!F323</f>
        <v>2</v>
      </c>
      <c r="F330" s="390">
        <f t="shared" si="26"/>
        <v>0</v>
      </c>
      <c r="G330" s="336">
        <v>2599.86</v>
      </c>
      <c r="H330" s="336"/>
      <c r="I330" s="336">
        <f t="shared" si="29"/>
        <v>5199.72</v>
      </c>
      <c r="J330" s="336">
        <f t="shared" si="30"/>
        <v>5199.72</v>
      </c>
      <c r="K330" s="546">
        <f t="shared" si="25"/>
        <v>0</v>
      </c>
      <c r="L330" s="502"/>
      <c r="M330" s="231" t="s">
        <v>242</v>
      </c>
      <c r="N330" s="11" t="s">
        <v>243</v>
      </c>
      <c r="O330" s="341"/>
      <c r="P330" s="339"/>
    </row>
    <row r="331" spans="1:16" ht="33" hidden="1">
      <c r="A331" s="333" t="s">
        <v>2174</v>
      </c>
      <c r="B331" s="334" t="s">
        <v>950</v>
      </c>
      <c r="C331" s="335" t="s">
        <v>19</v>
      </c>
      <c r="D331" s="336">
        <v>9</v>
      </c>
      <c r="E331" s="336">
        <f>估驗單!F324</f>
        <v>9</v>
      </c>
      <c r="F331" s="390">
        <f t="shared" si="26"/>
        <v>0</v>
      </c>
      <c r="G331" s="336">
        <v>4459.76</v>
      </c>
      <c r="H331" s="336"/>
      <c r="I331" s="336">
        <f t="shared" si="29"/>
        <v>40137.839999999997</v>
      </c>
      <c r="J331" s="336">
        <f t="shared" si="30"/>
        <v>40137.839999999997</v>
      </c>
      <c r="K331" s="546">
        <f t="shared" si="25"/>
        <v>0</v>
      </c>
      <c r="L331" s="502"/>
      <c r="M331" s="231" t="s">
        <v>242</v>
      </c>
      <c r="N331" s="11" t="s">
        <v>243</v>
      </c>
      <c r="O331" s="341"/>
      <c r="P331" s="339"/>
    </row>
    <row r="332" spans="1:16" ht="33" hidden="1">
      <c r="A332" s="333" t="s">
        <v>2175</v>
      </c>
      <c r="B332" s="334" t="s">
        <v>953</v>
      </c>
      <c r="C332" s="335" t="s">
        <v>8</v>
      </c>
      <c r="D332" s="336">
        <v>180</v>
      </c>
      <c r="E332" s="336">
        <f>估驗單!F325</f>
        <v>180</v>
      </c>
      <c r="F332" s="390">
        <f t="shared" si="26"/>
        <v>0</v>
      </c>
      <c r="G332" s="336">
        <v>596.98</v>
      </c>
      <c r="H332" s="336"/>
      <c r="I332" s="336">
        <f t="shared" si="29"/>
        <v>107456.4</v>
      </c>
      <c r="J332" s="336">
        <f t="shared" si="30"/>
        <v>107456.4</v>
      </c>
      <c r="K332" s="546">
        <f t="shared" si="25"/>
        <v>0</v>
      </c>
      <c r="L332" s="502"/>
      <c r="M332" s="231" t="s">
        <v>242</v>
      </c>
      <c r="N332" s="11" t="s">
        <v>243</v>
      </c>
      <c r="O332" s="341"/>
      <c r="P332" s="339"/>
    </row>
    <row r="333" spans="1:16" ht="33" hidden="1">
      <c r="A333" s="333" t="s">
        <v>2177</v>
      </c>
      <c r="B333" s="334" t="s">
        <v>956</v>
      </c>
      <c r="C333" s="335" t="s">
        <v>8</v>
      </c>
      <c r="D333" s="336">
        <v>60</v>
      </c>
      <c r="E333" s="336">
        <f>估驗單!F326</f>
        <v>60</v>
      </c>
      <c r="F333" s="390">
        <f t="shared" si="26"/>
        <v>0</v>
      </c>
      <c r="G333" s="336">
        <v>67.42</v>
      </c>
      <c r="H333" s="336"/>
      <c r="I333" s="336">
        <f t="shared" si="29"/>
        <v>4045.2</v>
      </c>
      <c r="J333" s="336">
        <f t="shared" si="30"/>
        <v>4045.2</v>
      </c>
      <c r="K333" s="546">
        <f t="shared" ref="K333:K396" si="31">J333-I333</f>
        <v>0</v>
      </c>
      <c r="L333" s="502"/>
      <c r="M333" s="231"/>
      <c r="N333" s="11" t="s">
        <v>243</v>
      </c>
      <c r="O333" s="341"/>
      <c r="P333" s="339"/>
    </row>
    <row r="334" spans="1:16" ht="33" hidden="1">
      <c r="A334" s="333" t="s">
        <v>2178</v>
      </c>
      <c r="B334" s="334" t="s">
        <v>959</v>
      </c>
      <c r="C334" s="335" t="s">
        <v>8</v>
      </c>
      <c r="D334" s="336">
        <v>1032</v>
      </c>
      <c r="E334" s="336">
        <f>估驗單!F327</f>
        <v>1032</v>
      </c>
      <c r="F334" s="390">
        <f t="shared" si="26"/>
        <v>0</v>
      </c>
      <c r="G334" s="336">
        <v>29.42</v>
      </c>
      <c r="H334" s="336"/>
      <c r="I334" s="336">
        <f t="shared" si="29"/>
        <v>30361.439999999999</v>
      </c>
      <c r="J334" s="336">
        <f t="shared" si="30"/>
        <v>30361.439999999999</v>
      </c>
      <c r="K334" s="546">
        <f t="shared" si="31"/>
        <v>0</v>
      </c>
      <c r="L334" s="502"/>
      <c r="M334" s="231" t="s">
        <v>242</v>
      </c>
      <c r="N334" s="11" t="s">
        <v>243</v>
      </c>
      <c r="O334" s="341"/>
      <c r="P334" s="339"/>
    </row>
    <row r="335" spans="1:16" ht="33" hidden="1">
      <c r="A335" s="333" t="s">
        <v>2179</v>
      </c>
      <c r="B335" s="334" t="s">
        <v>962</v>
      </c>
      <c r="C335" s="335" t="s">
        <v>8</v>
      </c>
      <c r="D335" s="336">
        <v>1103</v>
      </c>
      <c r="E335" s="336">
        <f>估驗單!F328</f>
        <v>1103</v>
      </c>
      <c r="F335" s="390">
        <f t="shared" si="26"/>
        <v>0</v>
      </c>
      <c r="G335" s="336">
        <v>147.1</v>
      </c>
      <c r="H335" s="336"/>
      <c r="I335" s="336">
        <f t="shared" si="29"/>
        <v>162251.29999999999</v>
      </c>
      <c r="J335" s="336">
        <f t="shared" si="30"/>
        <v>162251.29999999999</v>
      </c>
      <c r="K335" s="546">
        <f t="shared" si="31"/>
        <v>0</v>
      </c>
      <c r="L335" s="502"/>
      <c r="M335" s="231" t="s">
        <v>242</v>
      </c>
      <c r="N335" s="11" t="s">
        <v>243</v>
      </c>
      <c r="O335" s="341"/>
      <c r="P335" s="339"/>
    </row>
    <row r="336" spans="1:16" ht="42.75" hidden="1">
      <c r="A336" s="333" t="s">
        <v>2181</v>
      </c>
      <c r="B336" s="334" t="s">
        <v>219</v>
      </c>
      <c r="C336" s="335" t="s">
        <v>8</v>
      </c>
      <c r="D336" s="336">
        <v>2064</v>
      </c>
      <c r="E336" s="336">
        <f>估驗單!F329</f>
        <v>2064</v>
      </c>
      <c r="F336" s="390">
        <f t="shared" si="26"/>
        <v>0</v>
      </c>
      <c r="G336" s="336">
        <v>78.459999999999994</v>
      </c>
      <c r="H336" s="336"/>
      <c r="I336" s="336">
        <f t="shared" si="29"/>
        <v>161941.44</v>
      </c>
      <c r="J336" s="336">
        <f t="shared" si="30"/>
        <v>161941.44</v>
      </c>
      <c r="K336" s="546">
        <f t="shared" si="31"/>
        <v>0</v>
      </c>
      <c r="L336" s="502"/>
      <c r="M336" s="231" t="s">
        <v>242</v>
      </c>
      <c r="N336" s="11" t="s">
        <v>243</v>
      </c>
      <c r="O336" s="341"/>
      <c r="P336" s="339"/>
    </row>
    <row r="337" spans="1:17" ht="33" hidden="1">
      <c r="A337" s="333" t="s">
        <v>2182</v>
      </c>
      <c r="B337" s="334" t="s">
        <v>967</v>
      </c>
      <c r="C337" s="335" t="s">
        <v>4</v>
      </c>
      <c r="D337" s="336">
        <v>1</v>
      </c>
      <c r="E337" s="336">
        <f>估驗單!F330</f>
        <v>1</v>
      </c>
      <c r="F337" s="390">
        <f t="shared" si="26"/>
        <v>0</v>
      </c>
      <c r="G337" s="336">
        <v>24062.69</v>
      </c>
      <c r="H337" s="336"/>
      <c r="I337" s="336">
        <f t="shared" si="29"/>
        <v>24062.69</v>
      </c>
      <c r="J337" s="336">
        <f t="shared" si="30"/>
        <v>24062.69</v>
      </c>
      <c r="K337" s="546">
        <f t="shared" si="31"/>
        <v>0</v>
      </c>
      <c r="L337" s="502"/>
      <c r="M337" s="231"/>
      <c r="N337" s="11" t="s">
        <v>243</v>
      </c>
      <c r="O337" s="341"/>
      <c r="P337" s="339"/>
    </row>
    <row r="338" spans="1:17" ht="33" hidden="1">
      <c r="A338" s="333" t="s">
        <v>2183</v>
      </c>
      <c r="B338" s="334" t="s">
        <v>970</v>
      </c>
      <c r="C338" s="335" t="s">
        <v>8</v>
      </c>
      <c r="D338" s="336">
        <v>1011</v>
      </c>
      <c r="E338" s="336">
        <f>估驗單!F331</f>
        <v>1011</v>
      </c>
      <c r="F338" s="390">
        <f t="shared" si="26"/>
        <v>0</v>
      </c>
      <c r="G338" s="336">
        <v>35.549999999999997</v>
      </c>
      <c r="H338" s="336"/>
      <c r="I338" s="336">
        <f t="shared" si="29"/>
        <v>35941.050000000003</v>
      </c>
      <c r="J338" s="336">
        <f t="shared" si="30"/>
        <v>35941.050000000003</v>
      </c>
      <c r="K338" s="546">
        <f t="shared" si="31"/>
        <v>0</v>
      </c>
      <c r="L338" s="502"/>
      <c r="M338" s="231"/>
      <c r="N338" s="11" t="s">
        <v>243</v>
      </c>
      <c r="O338" s="341"/>
      <c r="P338" s="339"/>
    </row>
    <row r="339" spans="1:17" ht="33" hidden="1">
      <c r="A339" s="333" t="s">
        <v>2184</v>
      </c>
      <c r="B339" s="334" t="s">
        <v>220</v>
      </c>
      <c r="C339" s="335" t="s">
        <v>8</v>
      </c>
      <c r="D339" s="336">
        <v>946</v>
      </c>
      <c r="E339" s="336">
        <f>估驗單!F332</f>
        <v>946</v>
      </c>
      <c r="F339" s="390">
        <f t="shared" si="26"/>
        <v>0</v>
      </c>
      <c r="G339" s="336">
        <v>60.07</v>
      </c>
      <c r="H339" s="336"/>
      <c r="I339" s="336">
        <f t="shared" si="29"/>
        <v>56826.22</v>
      </c>
      <c r="J339" s="336">
        <f t="shared" si="30"/>
        <v>56826.22</v>
      </c>
      <c r="K339" s="546">
        <f t="shared" si="31"/>
        <v>0</v>
      </c>
      <c r="L339" s="502"/>
      <c r="M339" s="231"/>
      <c r="N339" s="11" t="s">
        <v>243</v>
      </c>
      <c r="O339" s="341"/>
      <c r="P339" s="339"/>
    </row>
    <row r="340" spans="1:17" ht="33" hidden="1">
      <c r="A340" s="333" t="s">
        <v>2185</v>
      </c>
      <c r="B340" s="334" t="s">
        <v>975</v>
      </c>
      <c r="C340" s="335" t="s">
        <v>8</v>
      </c>
      <c r="D340" s="336">
        <v>55</v>
      </c>
      <c r="E340" s="336">
        <f>估驗單!F333</f>
        <v>55</v>
      </c>
      <c r="F340" s="390">
        <f t="shared" si="26"/>
        <v>0</v>
      </c>
      <c r="G340" s="336">
        <v>125.03</v>
      </c>
      <c r="H340" s="336"/>
      <c r="I340" s="336">
        <f t="shared" si="29"/>
        <v>6876.65</v>
      </c>
      <c r="J340" s="336">
        <f t="shared" si="30"/>
        <v>6876.65</v>
      </c>
      <c r="K340" s="546">
        <f t="shared" si="31"/>
        <v>0</v>
      </c>
      <c r="L340" s="502"/>
      <c r="M340" s="231" t="s">
        <v>242</v>
      </c>
      <c r="N340" s="11" t="s">
        <v>243</v>
      </c>
      <c r="O340" s="341"/>
      <c r="P340" s="339"/>
    </row>
    <row r="341" spans="1:17" ht="33" hidden="1">
      <c r="A341" s="333" t="s">
        <v>2186</v>
      </c>
      <c r="B341" s="334" t="s">
        <v>978</v>
      </c>
      <c r="C341" s="335" t="s">
        <v>8</v>
      </c>
      <c r="D341" s="336">
        <v>22</v>
      </c>
      <c r="E341" s="336">
        <f>估驗單!F334</f>
        <v>22</v>
      </c>
      <c r="F341" s="390">
        <f t="shared" si="26"/>
        <v>0</v>
      </c>
      <c r="G341" s="336">
        <v>178.97</v>
      </c>
      <c r="H341" s="336"/>
      <c r="I341" s="336">
        <f t="shared" si="29"/>
        <v>3937.34</v>
      </c>
      <c r="J341" s="336">
        <f t="shared" si="30"/>
        <v>3937.34</v>
      </c>
      <c r="K341" s="546">
        <f t="shared" si="31"/>
        <v>0</v>
      </c>
      <c r="L341" s="502"/>
      <c r="M341" s="231" t="s">
        <v>242</v>
      </c>
      <c r="N341" s="11" t="s">
        <v>243</v>
      </c>
      <c r="O341" s="341"/>
      <c r="P341" s="339"/>
    </row>
    <row r="342" spans="1:17" ht="33" hidden="1">
      <c r="A342" s="333" t="s">
        <v>2187</v>
      </c>
      <c r="B342" s="334" t="s">
        <v>981</v>
      </c>
      <c r="C342" s="335" t="s">
        <v>4</v>
      </c>
      <c r="D342" s="336">
        <v>1</v>
      </c>
      <c r="E342" s="336">
        <f>估驗單!F335</f>
        <v>1</v>
      </c>
      <c r="F342" s="390">
        <f t="shared" si="26"/>
        <v>0</v>
      </c>
      <c r="G342" s="336">
        <v>19812.919999999998</v>
      </c>
      <c r="H342" s="336"/>
      <c r="I342" s="336">
        <f t="shared" si="29"/>
        <v>19812.919999999998</v>
      </c>
      <c r="J342" s="336">
        <f t="shared" si="30"/>
        <v>19812.919999999998</v>
      </c>
      <c r="K342" s="546">
        <f t="shared" si="31"/>
        <v>0</v>
      </c>
      <c r="L342" s="502"/>
      <c r="M342" s="231" t="s">
        <v>242</v>
      </c>
      <c r="N342" s="11" t="s">
        <v>243</v>
      </c>
      <c r="O342" s="341"/>
      <c r="P342" s="339"/>
    </row>
    <row r="343" spans="1:17" ht="33" hidden="1">
      <c r="A343" s="333" t="s">
        <v>2188</v>
      </c>
      <c r="B343" s="334" t="s">
        <v>984</v>
      </c>
      <c r="C343" s="335" t="s">
        <v>4</v>
      </c>
      <c r="D343" s="336">
        <v>1</v>
      </c>
      <c r="E343" s="336">
        <f>估驗單!F336</f>
        <v>1</v>
      </c>
      <c r="F343" s="390">
        <f t="shared" si="26"/>
        <v>0</v>
      </c>
      <c r="G343" s="336">
        <v>29571.39</v>
      </c>
      <c r="H343" s="336"/>
      <c r="I343" s="336">
        <f t="shared" si="29"/>
        <v>29571.39</v>
      </c>
      <c r="J343" s="336">
        <f t="shared" si="30"/>
        <v>29571.39</v>
      </c>
      <c r="K343" s="546">
        <f t="shared" si="31"/>
        <v>0</v>
      </c>
      <c r="L343" s="502"/>
      <c r="M343" s="231" t="s">
        <v>242</v>
      </c>
      <c r="N343" s="11" t="s">
        <v>243</v>
      </c>
      <c r="O343" s="341"/>
      <c r="P343" s="339"/>
    </row>
    <row r="344" spans="1:17" ht="33">
      <c r="A344" s="406" t="s">
        <v>2249</v>
      </c>
      <c r="B344" s="407" t="s">
        <v>987</v>
      </c>
      <c r="C344" s="408" t="s">
        <v>4</v>
      </c>
      <c r="D344" s="409"/>
      <c r="E344" s="409"/>
      <c r="F344" s="410">
        <f t="shared" si="26"/>
        <v>0</v>
      </c>
      <c r="G344" s="409">
        <f>I344</f>
        <v>11249747.310000001</v>
      </c>
      <c r="H344" s="409"/>
      <c r="I344" s="448">
        <f>SUM(I345:I353)</f>
        <v>11249747.310000001</v>
      </c>
      <c r="J344" s="448">
        <f>SUM(J345:J353)</f>
        <v>13193015.85</v>
      </c>
      <c r="K344" s="543">
        <f>SUM(K345:K353)</f>
        <v>1943268.5400000003</v>
      </c>
      <c r="L344" s="535">
        <f>SUM(L345:L353)</f>
        <v>0</v>
      </c>
      <c r="M344" s="288" t="s">
        <v>242</v>
      </c>
      <c r="N344" s="11" t="s">
        <v>243</v>
      </c>
      <c r="O344" s="785">
        <f>K344+L344</f>
        <v>1943268.5400000003</v>
      </c>
      <c r="P344" s="339"/>
    </row>
    <row r="345" spans="1:17" ht="33" hidden="1">
      <c r="A345" s="333" t="s">
        <v>2154</v>
      </c>
      <c r="B345" s="334" t="s">
        <v>989</v>
      </c>
      <c r="C345" s="335" t="s">
        <v>8</v>
      </c>
      <c r="D345" s="340">
        <f>估驗單!E338</f>
        <v>2576.8000000000002</v>
      </c>
      <c r="E345" s="336">
        <f>估驗單!F338</f>
        <v>2576.8000000000002</v>
      </c>
      <c r="F345" s="390">
        <f t="shared" si="26"/>
        <v>0</v>
      </c>
      <c r="G345" s="340">
        <v>247.19</v>
      </c>
      <c r="H345" s="340"/>
      <c r="I345" s="336">
        <f t="shared" ref="I345:I353" si="32">ROUND(D345*G345,2)</f>
        <v>636959.18999999994</v>
      </c>
      <c r="J345" s="336">
        <f t="shared" ref="J345:J353" si="33">ROUND(E345*G345,2)</f>
        <v>636959.18999999994</v>
      </c>
      <c r="K345" s="546">
        <f t="shared" si="31"/>
        <v>0</v>
      </c>
      <c r="L345" s="502"/>
      <c r="M345" s="231"/>
      <c r="N345" s="11" t="s">
        <v>243</v>
      </c>
      <c r="O345" s="348"/>
      <c r="P345" s="339"/>
      <c r="Q345" s="342"/>
    </row>
    <row r="346" spans="1:17" ht="33" hidden="1">
      <c r="A346" s="333" t="s">
        <v>2155</v>
      </c>
      <c r="B346" s="334" t="s">
        <v>992</v>
      </c>
      <c r="C346" s="335" t="s">
        <v>8</v>
      </c>
      <c r="D346" s="340">
        <f>估驗單!E339</f>
        <v>2576.8000000000002</v>
      </c>
      <c r="E346" s="336">
        <f>估驗單!F339</f>
        <v>2576.8000000000002</v>
      </c>
      <c r="F346" s="390">
        <f t="shared" si="26"/>
        <v>0</v>
      </c>
      <c r="G346" s="340">
        <v>236.89</v>
      </c>
      <c r="H346" s="340"/>
      <c r="I346" s="336">
        <f t="shared" si="32"/>
        <v>610418.15</v>
      </c>
      <c r="J346" s="336">
        <f t="shared" si="33"/>
        <v>610418.15</v>
      </c>
      <c r="K346" s="546">
        <f t="shared" si="31"/>
        <v>0</v>
      </c>
      <c r="L346" s="502"/>
      <c r="M346" s="231" t="s">
        <v>242</v>
      </c>
      <c r="N346" s="11" t="s">
        <v>243</v>
      </c>
      <c r="O346" s="348"/>
      <c r="P346" s="339"/>
      <c r="Q346" s="342"/>
    </row>
    <row r="347" spans="1:17" s="325" customFormat="1" ht="33" hidden="1">
      <c r="A347" s="333" t="s">
        <v>2156</v>
      </c>
      <c r="B347" s="334" t="s">
        <v>995</v>
      </c>
      <c r="C347" s="335" t="s">
        <v>13</v>
      </c>
      <c r="D347" s="340">
        <f>估驗單!E340</f>
        <v>9215</v>
      </c>
      <c r="E347" s="336">
        <f>估驗單!F340</f>
        <v>9215</v>
      </c>
      <c r="F347" s="390">
        <f t="shared" si="26"/>
        <v>0</v>
      </c>
      <c r="G347" s="336">
        <v>252.34</v>
      </c>
      <c r="H347" s="336"/>
      <c r="I347" s="336">
        <f t="shared" si="32"/>
        <v>2325313.1</v>
      </c>
      <c r="J347" s="336">
        <f t="shared" si="33"/>
        <v>2325313.1</v>
      </c>
      <c r="K347" s="546">
        <f t="shared" si="31"/>
        <v>0</v>
      </c>
      <c r="L347" s="502"/>
      <c r="M347" s="231" t="s">
        <v>242</v>
      </c>
      <c r="N347" s="11" t="s">
        <v>243</v>
      </c>
      <c r="O347" s="341"/>
      <c r="P347" s="339"/>
    </row>
    <row r="348" spans="1:17" s="325" customFormat="1" ht="42.75" hidden="1">
      <c r="A348" s="333" t="s">
        <v>2157</v>
      </c>
      <c r="B348" s="334" t="s">
        <v>998</v>
      </c>
      <c r="C348" s="335" t="s">
        <v>4</v>
      </c>
      <c r="D348" s="340">
        <f>估驗單!E341</f>
        <v>1</v>
      </c>
      <c r="E348" s="336">
        <f>估驗單!F341</f>
        <v>1</v>
      </c>
      <c r="F348" s="390">
        <f t="shared" si="26"/>
        <v>0</v>
      </c>
      <c r="G348" s="336">
        <v>349980.91</v>
      </c>
      <c r="H348" s="336"/>
      <c r="I348" s="336">
        <f t="shared" si="32"/>
        <v>349980.91</v>
      </c>
      <c r="J348" s="336">
        <f t="shared" si="33"/>
        <v>349980.91</v>
      </c>
      <c r="K348" s="546">
        <f t="shared" si="31"/>
        <v>0</v>
      </c>
      <c r="L348" s="502"/>
      <c r="M348" s="231"/>
      <c r="N348" s="11" t="s">
        <v>243</v>
      </c>
      <c r="O348" s="341"/>
      <c r="P348" s="339"/>
    </row>
    <row r="349" spans="1:17" s="325" customFormat="1" ht="39" hidden="1" customHeight="1">
      <c r="A349" s="503" t="s">
        <v>2158</v>
      </c>
      <c r="B349" s="504" t="s">
        <v>1001</v>
      </c>
      <c r="C349" s="505" t="s">
        <v>16</v>
      </c>
      <c r="D349" s="515">
        <f>估驗單!E342</f>
        <v>2052</v>
      </c>
      <c r="E349" s="506">
        <f>估驗單!F342</f>
        <v>2928</v>
      </c>
      <c r="F349" s="507">
        <f t="shared" ref="F349:F427" si="34">E349-D349</f>
        <v>876</v>
      </c>
      <c r="G349" s="506">
        <v>931.07</v>
      </c>
      <c r="H349" s="506"/>
      <c r="I349" s="506">
        <f t="shared" si="32"/>
        <v>1910555.64</v>
      </c>
      <c r="J349" s="506">
        <f t="shared" si="33"/>
        <v>2726172.96</v>
      </c>
      <c r="K349" s="547">
        <f t="shared" si="31"/>
        <v>815617.32000000007</v>
      </c>
      <c r="L349" s="510"/>
      <c r="M349" s="508"/>
      <c r="N349" s="11" t="s">
        <v>243</v>
      </c>
      <c r="O349" s="341" t="s">
        <v>2965</v>
      </c>
      <c r="P349" s="339"/>
      <c r="Q349" s="325" t="s">
        <v>3047</v>
      </c>
    </row>
    <row r="350" spans="1:17" s="325" customFormat="1" ht="45" hidden="1">
      <c r="A350" s="503" t="s">
        <v>2159</v>
      </c>
      <c r="B350" s="504" t="s">
        <v>728</v>
      </c>
      <c r="C350" s="505" t="s">
        <v>6</v>
      </c>
      <c r="D350" s="515">
        <f>估驗單!E343</f>
        <v>720</v>
      </c>
      <c r="E350" s="506">
        <f>估驗單!F343</f>
        <v>1053</v>
      </c>
      <c r="F350" s="507">
        <f t="shared" si="34"/>
        <v>333</v>
      </c>
      <c r="G350" s="506">
        <v>3386.34</v>
      </c>
      <c r="H350" s="506"/>
      <c r="I350" s="506">
        <f t="shared" si="32"/>
        <v>2438164.7999999998</v>
      </c>
      <c r="J350" s="506">
        <f t="shared" si="33"/>
        <v>3565816.02</v>
      </c>
      <c r="K350" s="547">
        <f t="shared" si="31"/>
        <v>1127651.2200000002</v>
      </c>
      <c r="L350" s="510"/>
      <c r="M350" s="508"/>
      <c r="N350" s="11" t="s">
        <v>243</v>
      </c>
      <c r="O350" s="341" t="s">
        <v>2965</v>
      </c>
      <c r="P350" s="339"/>
      <c r="Q350" s="325" t="s">
        <v>3048</v>
      </c>
    </row>
    <row r="351" spans="1:17" s="325" customFormat="1" ht="42.75" hidden="1">
      <c r="A351" s="333" t="s">
        <v>2160</v>
      </c>
      <c r="B351" s="334" t="s">
        <v>1515</v>
      </c>
      <c r="C351" s="335" t="s">
        <v>8</v>
      </c>
      <c r="D351" s="336">
        <v>132</v>
      </c>
      <c r="E351" s="336">
        <f>估驗單!F344</f>
        <v>132</v>
      </c>
      <c r="F351" s="390">
        <f t="shared" si="34"/>
        <v>0</v>
      </c>
      <c r="G351" s="336">
        <v>5107.6000000000004</v>
      </c>
      <c r="H351" s="336"/>
      <c r="I351" s="336">
        <f t="shared" si="32"/>
        <v>674203.2</v>
      </c>
      <c r="J351" s="336">
        <f t="shared" si="33"/>
        <v>674203.2</v>
      </c>
      <c r="K351" s="546">
        <f t="shared" si="31"/>
        <v>0</v>
      </c>
      <c r="L351" s="502"/>
      <c r="M351" s="231"/>
      <c r="N351" s="11" t="s">
        <v>243</v>
      </c>
      <c r="O351" s="341"/>
      <c r="P351" s="339"/>
    </row>
    <row r="352" spans="1:17" s="325" customFormat="1" ht="42.75" hidden="1">
      <c r="A352" s="333" t="s">
        <v>2161</v>
      </c>
      <c r="B352" s="334" t="s">
        <v>1517</v>
      </c>
      <c r="C352" s="335" t="s">
        <v>8</v>
      </c>
      <c r="D352" s="336">
        <v>106</v>
      </c>
      <c r="E352" s="336">
        <f>估驗單!F345</f>
        <v>106</v>
      </c>
      <c r="F352" s="390">
        <f t="shared" si="34"/>
        <v>0</v>
      </c>
      <c r="G352" s="336">
        <v>7385.08</v>
      </c>
      <c r="H352" s="336"/>
      <c r="I352" s="336">
        <f t="shared" si="32"/>
        <v>782818.48</v>
      </c>
      <c r="J352" s="336">
        <f t="shared" si="33"/>
        <v>782818.48</v>
      </c>
      <c r="K352" s="546">
        <f t="shared" si="31"/>
        <v>0</v>
      </c>
      <c r="L352" s="502"/>
      <c r="M352" s="231"/>
      <c r="N352" s="11" t="s">
        <v>243</v>
      </c>
      <c r="O352" s="341"/>
      <c r="P352" s="339"/>
    </row>
    <row r="353" spans="1:19" s="325" customFormat="1" ht="42.75" hidden="1">
      <c r="A353" s="333" t="s">
        <v>2162</v>
      </c>
      <c r="B353" s="334" t="s">
        <v>1519</v>
      </c>
      <c r="C353" s="335" t="s">
        <v>8</v>
      </c>
      <c r="D353" s="336">
        <v>156</v>
      </c>
      <c r="E353" s="336">
        <f>估驗單!F346</f>
        <v>156</v>
      </c>
      <c r="F353" s="390">
        <f t="shared" si="34"/>
        <v>0</v>
      </c>
      <c r="G353" s="336">
        <v>9752.14</v>
      </c>
      <c r="H353" s="336"/>
      <c r="I353" s="336">
        <f t="shared" si="32"/>
        <v>1521333.84</v>
      </c>
      <c r="J353" s="336">
        <f t="shared" si="33"/>
        <v>1521333.84</v>
      </c>
      <c r="K353" s="546">
        <f t="shared" si="31"/>
        <v>0</v>
      </c>
      <c r="L353" s="502"/>
      <c r="M353" s="231"/>
      <c r="N353" s="11" t="s">
        <v>243</v>
      </c>
      <c r="O353" s="341"/>
      <c r="P353" s="339"/>
    </row>
    <row r="354" spans="1:19" s="325" customFormat="1" ht="33">
      <c r="A354" s="406" t="s">
        <v>2250</v>
      </c>
      <c r="B354" s="407" t="s">
        <v>11</v>
      </c>
      <c r="C354" s="408" t="s">
        <v>4</v>
      </c>
      <c r="D354" s="409"/>
      <c r="E354" s="409">
        <f>估驗單!F347</f>
        <v>0</v>
      </c>
      <c r="F354" s="410">
        <f t="shared" si="34"/>
        <v>0</v>
      </c>
      <c r="G354" s="409">
        <f>I354</f>
        <v>19449714.099999998</v>
      </c>
      <c r="H354" s="409"/>
      <c r="I354" s="409">
        <f>SUM(I355:I379)</f>
        <v>19449714.099999998</v>
      </c>
      <c r="J354" s="409">
        <f>SUM(J355:J379)</f>
        <v>19449714.099999998</v>
      </c>
      <c r="K354" s="542">
        <f>SUM(K355:K379)</f>
        <v>0</v>
      </c>
      <c r="L354" s="534">
        <f>SUM(L355:L364)</f>
        <v>0</v>
      </c>
      <c r="M354" s="288" t="s">
        <v>242</v>
      </c>
      <c r="N354" s="11" t="s">
        <v>243</v>
      </c>
      <c r="O354" s="785">
        <f>K354+L354</f>
        <v>0</v>
      </c>
      <c r="P354" s="339"/>
    </row>
    <row r="355" spans="1:19" s="325" customFormat="1" ht="33" hidden="1">
      <c r="A355" s="333" t="s">
        <v>2154</v>
      </c>
      <c r="B355" s="334" t="s">
        <v>1004</v>
      </c>
      <c r="C355" s="335" t="s">
        <v>4</v>
      </c>
      <c r="D355" s="336">
        <v>1</v>
      </c>
      <c r="E355" s="336">
        <f>估驗單!F348</f>
        <v>1</v>
      </c>
      <c r="F355" s="390">
        <f t="shared" si="34"/>
        <v>0</v>
      </c>
      <c r="G355" s="336">
        <v>716633.92</v>
      </c>
      <c r="H355" s="336"/>
      <c r="I355" s="336">
        <f t="shared" ref="I355:I379" si="35">ROUND(D355*G355,2)</f>
        <v>716633.92</v>
      </c>
      <c r="J355" s="336">
        <f t="shared" ref="J355:J379" si="36">ROUND(E355*G355,2)</f>
        <v>716633.92</v>
      </c>
      <c r="K355" s="546">
        <f t="shared" si="31"/>
        <v>0</v>
      </c>
      <c r="L355" s="502"/>
      <c r="M355" s="231"/>
      <c r="N355" s="11" t="s">
        <v>243</v>
      </c>
      <c r="O355" s="341"/>
      <c r="P355" s="339"/>
    </row>
    <row r="356" spans="1:19" s="325" customFormat="1" ht="33" hidden="1">
      <c r="A356" s="333" t="s">
        <v>2155</v>
      </c>
      <c r="B356" s="334" t="s">
        <v>1006</v>
      </c>
      <c r="C356" s="335" t="s">
        <v>1007</v>
      </c>
      <c r="D356" s="336">
        <v>7</v>
      </c>
      <c r="E356" s="336">
        <f>估驗單!F349</f>
        <v>7</v>
      </c>
      <c r="F356" s="390">
        <f t="shared" si="34"/>
        <v>0</v>
      </c>
      <c r="G356" s="336">
        <v>49997.27</v>
      </c>
      <c r="H356" s="336"/>
      <c r="I356" s="336">
        <f t="shared" si="35"/>
        <v>349980.89</v>
      </c>
      <c r="J356" s="336">
        <f t="shared" si="36"/>
        <v>349980.89</v>
      </c>
      <c r="K356" s="546">
        <f t="shared" si="31"/>
        <v>0</v>
      </c>
      <c r="L356" s="502"/>
      <c r="M356" s="231"/>
      <c r="N356" s="11" t="s">
        <v>243</v>
      </c>
      <c r="O356" s="341"/>
      <c r="P356" s="339"/>
    </row>
    <row r="357" spans="1:19" s="325" customFormat="1" ht="42.75" hidden="1">
      <c r="A357" s="333" t="s">
        <v>2156</v>
      </c>
      <c r="B357" s="334" t="s">
        <v>1009</v>
      </c>
      <c r="C357" s="335" t="s">
        <v>1010</v>
      </c>
      <c r="D357" s="336">
        <v>2230</v>
      </c>
      <c r="E357" s="336">
        <f>估驗單!F350</f>
        <v>2230</v>
      </c>
      <c r="F357" s="390">
        <f t="shared" si="34"/>
        <v>0</v>
      </c>
      <c r="G357" s="336">
        <v>805.95</v>
      </c>
      <c r="H357" s="336"/>
      <c r="I357" s="336">
        <f t="shared" si="35"/>
        <v>1797268.5</v>
      </c>
      <c r="J357" s="336">
        <f t="shared" si="36"/>
        <v>1797268.5</v>
      </c>
      <c r="K357" s="546">
        <f t="shared" si="31"/>
        <v>0</v>
      </c>
      <c r="L357" s="502"/>
      <c r="M357" s="231"/>
      <c r="N357" s="11" t="s">
        <v>243</v>
      </c>
      <c r="O357" s="364"/>
      <c r="P357" s="373"/>
      <c r="Q357" s="342"/>
      <c r="S357" s="374"/>
    </row>
    <row r="358" spans="1:19" s="325" customFormat="1" ht="33" hidden="1">
      <c r="A358" s="333" t="s">
        <v>2157</v>
      </c>
      <c r="B358" s="334" t="s">
        <v>1012</v>
      </c>
      <c r="C358" s="335" t="s">
        <v>1007</v>
      </c>
      <c r="D358" s="336">
        <v>4</v>
      </c>
      <c r="E358" s="336">
        <f>估驗單!F351</f>
        <v>4</v>
      </c>
      <c r="F358" s="390">
        <f t="shared" si="34"/>
        <v>0</v>
      </c>
      <c r="G358" s="336">
        <v>49997.27</v>
      </c>
      <c r="H358" s="336"/>
      <c r="I358" s="336">
        <f t="shared" si="35"/>
        <v>199989.08</v>
      </c>
      <c r="J358" s="336">
        <f t="shared" si="36"/>
        <v>199989.08</v>
      </c>
      <c r="K358" s="546">
        <f t="shared" si="31"/>
        <v>0</v>
      </c>
      <c r="L358" s="502"/>
      <c r="M358" s="231"/>
      <c r="N358" s="11" t="s">
        <v>243</v>
      </c>
      <c r="O358" s="341"/>
      <c r="P358" s="339"/>
    </row>
    <row r="359" spans="1:19" s="325" customFormat="1" ht="33" hidden="1">
      <c r="A359" s="333" t="s">
        <v>2158</v>
      </c>
      <c r="B359" s="334" t="s">
        <v>1014</v>
      </c>
      <c r="C359" s="335" t="s">
        <v>1015</v>
      </c>
      <c r="D359" s="336">
        <v>19</v>
      </c>
      <c r="E359" s="336">
        <f>估驗單!F352</f>
        <v>19</v>
      </c>
      <c r="F359" s="390">
        <f t="shared" si="34"/>
        <v>0</v>
      </c>
      <c r="G359" s="336">
        <v>179990.18</v>
      </c>
      <c r="H359" s="336"/>
      <c r="I359" s="336">
        <f t="shared" si="35"/>
        <v>3419813.42</v>
      </c>
      <c r="J359" s="336">
        <f t="shared" si="36"/>
        <v>3419813.42</v>
      </c>
      <c r="K359" s="546">
        <f t="shared" si="31"/>
        <v>0</v>
      </c>
      <c r="L359" s="502"/>
      <c r="M359" s="234"/>
      <c r="N359" s="11" t="s">
        <v>243</v>
      </c>
      <c r="O359" s="341" t="s">
        <v>2964</v>
      </c>
      <c r="P359" s="770" t="s">
        <v>3049</v>
      </c>
      <c r="Q359" s="325" t="s">
        <v>2949</v>
      </c>
    </row>
    <row r="360" spans="1:19" s="325" customFormat="1" ht="33" hidden="1">
      <c r="A360" s="333" t="s">
        <v>2159</v>
      </c>
      <c r="B360" s="334" t="s">
        <v>1017</v>
      </c>
      <c r="C360" s="335" t="s">
        <v>4</v>
      </c>
      <c r="D360" s="336">
        <v>1</v>
      </c>
      <c r="E360" s="336">
        <f>估驗單!F353</f>
        <v>1</v>
      </c>
      <c r="F360" s="390">
        <f t="shared" si="34"/>
        <v>0</v>
      </c>
      <c r="G360" s="336">
        <v>205971.45</v>
      </c>
      <c r="H360" s="336"/>
      <c r="I360" s="336">
        <f t="shared" si="35"/>
        <v>205971.45</v>
      </c>
      <c r="J360" s="336">
        <f t="shared" si="36"/>
        <v>205971.45</v>
      </c>
      <c r="K360" s="546">
        <f t="shared" si="31"/>
        <v>0</v>
      </c>
      <c r="L360" s="502"/>
      <c r="M360" s="231"/>
      <c r="N360" s="11" t="s">
        <v>243</v>
      </c>
      <c r="O360" s="341"/>
      <c r="P360" s="339"/>
    </row>
    <row r="361" spans="1:19" s="325" customFormat="1" ht="33" hidden="1">
      <c r="A361" s="333" t="s">
        <v>2160</v>
      </c>
      <c r="B361" s="334" t="s">
        <v>1019</v>
      </c>
      <c r="C361" s="335" t="s">
        <v>4</v>
      </c>
      <c r="D361" s="336">
        <v>1</v>
      </c>
      <c r="E361" s="336">
        <f>估驗單!F354</f>
        <v>1</v>
      </c>
      <c r="F361" s="390">
        <f t="shared" si="34"/>
        <v>0</v>
      </c>
      <c r="G361" s="336">
        <v>2424867.7599999998</v>
      </c>
      <c r="H361" s="336"/>
      <c r="I361" s="336">
        <f t="shared" si="35"/>
        <v>2424867.7599999998</v>
      </c>
      <c r="J361" s="336">
        <f t="shared" si="36"/>
        <v>2424867.7599999998</v>
      </c>
      <c r="K361" s="546">
        <f t="shared" si="31"/>
        <v>0</v>
      </c>
      <c r="L361" s="502"/>
      <c r="M361" s="231"/>
      <c r="N361" s="11" t="s">
        <v>243</v>
      </c>
      <c r="O361" s="341"/>
      <c r="P361" s="339"/>
    </row>
    <row r="362" spans="1:19" s="325" customFormat="1" ht="33" hidden="1">
      <c r="A362" s="333" t="s">
        <v>2161</v>
      </c>
      <c r="B362" s="334" t="s">
        <v>1021</v>
      </c>
      <c r="C362" s="335" t="s">
        <v>4</v>
      </c>
      <c r="D362" s="336">
        <v>1</v>
      </c>
      <c r="E362" s="336">
        <f>估驗單!F355</f>
        <v>1</v>
      </c>
      <c r="F362" s="390">
        <f t="shared" si="34"/>
        <v>0</v>
      </c>
      <c r="G362" s="336">
        <v>349980.91</v>
      </c>
      <c r="H362" s="336"/>
      <c r="I362" s="336">
        <f t="shared" si="35"/>
        <v>349980.91</v>
      </c>
      <c r="J362" s="336">
        <f t="shared" si="36"/>
        <v>349980.91</v>
      </c>
      <c r="K362" s="546">
        <f t="shared" si="31"/>
        <v>0</v>
      </c>
      <c r="L362" s="502"/>
      <c r="M362" s="231"/>
      <c r="N362" s="11" t="s">
        <v>243</v>
      </c>
      <c r="O362" s="341"/>
      <c r="P362" s="339"/>
    </row>
    <row r="363" spans="1:19" s="375" customFormat="1" ht="33" hidden="1">
      <c r="A363" s="343" t="s">
        <v>2162</v>
      </c>
      <c r="B363" s="344" t="s">
        <v>1534</v>
      </c>
      <c r="C363" s="345" t="s">
        <v>13</v>
      </c>
      <c r="D363" s="340">
        <v>464</v>
      </c>
      <c r="E363" s="336">
        <f>估驗單!F356</f>
        <v>464</v>
      </c>
      <c r="F363" s="390">
        <f t="shared" si="34"/>
        <v>0</v>
      </c>
      <c r="G363" s="340">
        <v>15384.09</v>
      </c>
      <c r="H363" s="340"/>
      <c r="I363" s="336">
        <f t="shared" si="35"/>
        <v>7138217.7599999998</v>
      </c>
      <c r="J363" s="336">
        <f t="shared" si="36"/>
        <v>7138217.7599999998</v>
      </c>
      <c r="K363" s="546">
        <f t="shared" si="31"/>
        <v>0</v>
      </c>
      <c r="L363" s="502"/>
      <c r="M363" s="346"/>
      <c r="N363" s="347" t="s">
        <v>243</v>
      </c>
      <c r="O363" s="354"/>
      <c r="P363" s="349"/>
    </row>
    <row r="364" spans="1:19" s="368" customFormat="1" ht="28.5" hidden="1" customHeight="1">
      <c r="A364" s="333">
        <v>10</v>
      </c>
      <c r="B364" s="334" t="s">
        <v>2437</v>
      </c>
      <c r="C364" s="335" t="s">
        <v>2353</v>
      </c>
      <c r="D364" s="336">
        <v>2</v>
      </c>
      <c r="E364" s="336">
        <f>估驗單!F357</f>
        <v>2</v>
      </c>
      <c r="F364" s="390">
        <f t="shared" si="34"/>
        <v>0</v>
      </c>
      <c r="G364" s="336">
        <v>60994.76</v>
      </c>
      <c r="H364" s="336"/>
      <c r="I364" s="336">
        <f t="shared" si="35"/>
        <v>121989.52</v>
      </c>
      <c r="J364" s="336">
        <f t="shared" si="36"/>
        <v>121989.52</v>
      </c>
      <c r="K364" s="546">
        <f t="shared" si="31"/>
        <v>0</v>
      </c>
      <c r="L364" s="502"/>
      <c r="M364" s="231"/>
      <c r="N364" s="11"/>
      <c r="O364" s="364"/>
      <c r="P364" s="373"/>
      <c r="Q364" s="342"/>
    </row>
    <row r="365" spans="1:19" s="368" customFormat="1" ht="28.5" hidden="1" customHeight="1">
      <c r="A365" s="333">
        <v>11</v>
      </c>
      <c r="B365" s="428" t="s">
        <v>2567</v>
      </c>
      <c r="C365" s="429" t="s">
        <v>16</v>
      </c>
      <c r="D365" s="430">
        <v>129</v>
      </c>
      <c r="E365" s="430">
        <v>129</v>
      </c>
      <c r="F365" s="431"/>
      <c r="G365" s="500">
        <v>1159.8599999999999</v>
      </c>
      <c r="H365" s="500"/>
      <c r="I365" s="336">
        <f t="shared" si="35"/>
        <v>149621.94</v>
      </c>
      <c r="J365" s="336">
        <f t="shared" si="36"/>
        <v>149621.94</v>
      </c>
      <c r="K365" s="546">
        <f t="shared" si="31"/>
        <v>0</v>
      </c>
      <c r="L365" s="536"/>
      <c r="M365" s="432"/>
      <c r="N365" s="11"/>
      <c r="O365" s="364"/>
      <c r="P365" s="373"/>
      <c r="Q365" s="342"/>
    </row>
    <row r="366" spans="1:19" s="368" customFormat="1" ht="28.5" hidden="1" customHeight="1">
      <c r="A366" s="333">
        <v>12</v>
      </c>
      <c r="B366" s="428" t="s">
        <v>2568</v>
      </c>
      <c r="C366" s="429" t="s">
        <v>16</v>
      </c>
      <c r="D366" s="430">
        <v>282</v>
      </c>
      <c r="E366" s="430">
        <v>282</v>
      </c>
      <c r="F366" s="431"/>
      <c r="G366" s="501">
        <v>689.92</v>
      </c>
      <c r="H366" s="501"/>
      <c r="I366" s="336">
        <f t="shared" si="35"/>
        <v>194557.44</v>
      </c>
      <c r="J366" s="336">
        <f t="shared" si="36"/>
        <v>194557.44</v>
      </c>
      <c r="K366" s="546">
        <f t="shared" si="31"/>
        <v>0</v>
      </c>
      <c r="L366" s="536"/>
      <c r="M366" s="432"/>
      <c r="N366" s="11"/>
      <c r="O366" s="364"/>
      <c r="P366" s="373"/>
      <c r="Q366" s="342"/>
    </row>
    <row r="367" spans="1:19" s="368" customFormat="1" ht="28.5" hidden="1" customHeight="1">
      <c r="A367" s="333">
        <v>13</v>
      </c>
      <c r="B367" s="428" t="s">
        <v>2569</v>
      </c>
      <c r="C367" s="429" t="s">
        <v>16</v>
      </c>
      <c r="D367" s="430">
        <v>214.5</v>
      </c>
      <c r="E367" s="430">
        <v>214.5</v>
      </c>
      <c r="F367" s="431"/>
      <c r="G367" s="501">
        <v>899.89</v>
      </c>
      <c r="H367" s="501"/>
      <c r="I367" s="336">
        <f t="shared" si="35"/>
        <v>193026.41</v>
      </c>
      <c r="J367" s="336">
        <f t="shared" si="36"/>
        <v>193026.41</v>
      </c>
      <c r="K367" s="546">
        <f t="shared" si="31"/>
        <v>0</v>
      </c>
      <c r="L367" s="536"/>
      <c r="M367" s="432"/>
      <c r="N367" s="11"/>
      <c r="O367" s="364"/>
      <c r="P367" s="373"/>
      <c r="Q367" s="342"/>
    </row>
    <row r="368" spans="1:19" s="368" customFormat="1" ht="28.5" hidden="1" customHeight="1">
      <c r="A368" s="333">
        <v>14</v>
      </c>
      <c r="B368" s="428" t="s">
        <v>2570</v>
      </c>
      <c r="C368" s="429" t="s">
        <v>16</v>
      </c>
      <c r="D368" s="430">
        <v>47</v>
      </c>
      <c r="E368" s="430">
        <v>47</v>
      </c>
      <c r="F368" s="431"/>
      <c r="G368" s="501">
        <v>1499.82</v>
      </c>
      <c r="H368" s="501"/>
      <c r="I368" s="336">
        <f t="shared" si="35"/>
        <v>70491.539999999994</v>
      </c>
      <c r="J368" s="336">
        <f t="shared" si="36"/>
        <v>70491.539999999994</v>
      </c>
      <c r="K368" s="546">
        <f t="shared" si="31"/>
        <v>0</v>
      </c>
      <c r="L368" s="536"/>
      <c r="M368" s="432"/>
      <c r="N368" s="11"/>
      <c r="O368" s="364"/>
      <c r="P368" s="373"/>
      <c r="Q368" s="342"/>
    </row>
    <row r="369" spans="1:17" s="368" customFormat="1" ht="28.5" hidden="1" customHeight="1">
      <c r="A369" s="333">
        <v>15</v>
      </c>
      <c r="B369" s="428" t="s">
        <v>2571</v>
      </c>
      <c r="C369" s="429" t="s">
        <v>16</v>
      </c>
      <c r="D369" s="430">
        <v>73</v>
      </c>
      <c r="E369" s="430">
        <v>73</v>
      </c>
      <c r="F369" s="431"/>
      <c r="G369" s="501">
        <v>1419.83</v>
      </c>
      <c r="H369" s="501"/>
      <c r="I369" s="336">
        <f t="shared" si="35"/>
        <v>103647.59</v>
      </c>
      <c r="J369" s="336">
        <f t="shared" si="36"/>
        <v>103647.59</v>
      </c>
      <c r="K369" s="546">
        <f t="shared" si="31"/>
        <v>0</v>
      </c>
      <c r="L369" s="536"/>
      <c r="M369" s="432"/>
      <c r="N369" s="11"/>
      <c r="O369" s="364"/>
      <c r="P369" s="373"/>
      <c r="Q369" s="342"/>
    </row>
    <row r="370" spans="1:17" s="368" customFormat="1" ht="28.5" hidden="1" customHeight="1">
      <c r="A370" s="333">
        <v>16</v>
      </c>
      <c r="B370" s="428" t="s">
        <v>2572</v>
      </c>
      <c r="C370" s="429" t="s">
        <v>16</v>
      </c>
      <c r="D370" s="430">
        <v>174</v>
      </c>
      <c r="E370" s="430">
        <v>174</v>
      </c>
      <c r="F370" s="431"/>
      <c r="G370" s="501">
        <v>771.9</v>
      </c>
      <c r="H370" s="501"/>
      <c r="I370" s="336">
        <f t="shared" si="35"/>
        <v>134310.6</v>
      </c>
      <c r="J370" s="336">
        <f t="shared" si="36"/>
        <v>134310.6</v>
      </c>
      <c r="K370" s="546">
        <f t="shared" si="31"/>
        <v>0</v>
      </c>
      <c r="L370" s="536"/>
      <c r="M370" s="432"/>
      <c r="N370" s="11"/>
      <c r="O370" s="364"/>
      <c r="P370" s="373"/>
      <c r="Q370" s="342"/>
    </row>
    <row r="371" spans="1:17" s="368" customFormat="1" ht="28.5" hidden="1" customHeight="1">
      <c r="A371" s="333">
        <v>17</v>
      </c>
      <c r="B371" s="428" t="s">
        <v>2573</v>
      </c>
      <c r="C371" s="429" t="s">
        <v>16</v>
      </c>
      <c r="D371" s="430">
        <v>1695</v>
      </c>
      <c r="E371" s="430">
        <v>1695</v>
      </c>
      <c r="F371" s="431"/>
      <c r="G371" s="501">
        <v>400.95</v>
      </c>
      <c r="H371" s="501"/>
      <c r="I371" s="336">
        <f t="shared" si="35"/>
        <v>679610.25</v>
      </c>
      <c r="J371" s="336">
        <f t="shared" si="36"/>
        <v>679610.25</v>
      </c>
      <c r="K371" s="546">
        <f t="shared" si="31"/>
        <v>0</v>
      </c>
      <c r="L371" s="536"/>
      <c r="M371" s="432"/>
      <c r="N371" s="11"/>
      <c r="O371" s="364"/>
      <c r="P371" s="373"/>
      <c r="Q371" s="342"/>
    </row>
    <row r="372" spans="1:17" s="368" customFormat="1" ht="28.5" hidden="1" customHeight="1">
      <c r="A372" s="333">
        <v>18</v>
      </c>
      <c r="B372" s="428" t="s">
        <v>2574</v>
      </c>
      <c r="C372" s="429" t="s">
        <v>16</v>
      </c>
      <c r="D372" s="430">
        <v>310</v>
      </c>
      <c r="E372" s="430">
        <v>310</v>
      </c>
      <c r="F372" s="431"/>
      <c r="G372" s="501">
        <v>280.97000000000003</v>
      </c>
      <c r="H372" s="501"/>
      <c r="I372" s="336">
        <f t="shared" si="35"/>
        <v>87100.7</v>
      </c>
      <c r="J372" s="336">
        <f t="shared" si="36"/>
        <v>87100.7</v>
      </c>
      <c r="K372" s="546">
        <f t="shared" si="31"/>
        <v>0</v>
      </c>
      <c r="L372" s="536"/>
      <c r="M372" s="432"/>
      <c r="N372" s="11"/>
      <c r="O372" s="364"/>
      <c r="P372" s="373"/>
      <c r="Q372" s="342"/>
    </row>
    <row r="373" spans="1:17" s="368" customFormat="1" ht="28.5" hidden="1" customHeight="1">
      <c r="A373" s="333">
        <v>19</v>
      </c>
      <c r="B373" s="428" t="s">
        <v>2575</v>
      </c>
      <c r="C373" s="429" t="s">
        <v>16</v>
      </c>
      <c r="D373" s="430">
        <v>723.5</v>
      </c>
      <c r="E373" s="430">
        <v>723.5</v>
      </c>
      <c r="F373" s="431"/>
      <c r="G373" s="501">
        <v>800.9</v>
      </c>
      <c r="H373" s="501"/>
      <c r="I373" s="336">
        <f t="shared" si="35"/>
        <v>579451.15</v>
      </c>
      <c r="J373" s="336">
        <f t="shared" si="36"/>
        <v>579451.15</v>
      </c>
      <c r="K373" s="546">
        <f t="shared" si="31"/>
        <v>0</v>
      </c>
      <c r="L373" s="536"/>
      <c r="M373" s="432"/>
      <c r="N373" s="11"/>
      <c r="O373" s="364"/>
      <c r="P373" s="373"/>
      <c r="Q373" s="342"/>
    </row>
    <row r="374" spans="1:17" s="368" customFormat="1" ht="28.5" hidden="1" customHeight="1">
      <c r="A374" s="333">
        <v>20</v>
      </c>
      <c r="B374" s="428" t="s">
        <v>2576</v>
      </c>
      <c r="C374" s="429" t="s">
        <v>16</v>
      </c>
      <c r="D374" s="430">
        <v>122</v>
      </c>
      <c r="E374" s="430">
        <v>122</v>
      </c>
      <c r="F374" s="431"/>
      <c r="G374" s="501">
        <v>561.92999999999995</v>
      </c>
      <c r="H374" s="501"/>
      <c r="I374" s="336">
        <f t="shared" si="35"/>
        <v>68555.460000000006</v>
      </c>
      <c r="J374" s="336">
        <f t="shared" si="36"/>
        <v>68555.460000000006</v>
      </c>
      <c r="K374" s="546">
        <f t="shared" si="31"/>
        <v>0</v>
      </c>
      <c r="L374" s="536"/>
      <c r="M374" s="432"/>
      <c r="N374" s="11"/>
      <c r="O374" s="364"/>
      <c r="P374" s="373"/>
      <c r="Q374" s="342"/>
    </row>
    <row r="375" spans="1:17" s="368" customFormat="1" ht="28.5" hidden="1" customHeight="1">
      <c r="A375" s="333">
        <v>21</v>
      </c>
      <c r="B375" s="428" t="s">
        <v>2577</v>
      </c>
      <c r="C375" s="429" t="s">
        <v>16</v>
      </c>
      <c r="D375" s="430">
        <v>421</v>
      </c>
      <c r="E375" s="430">
        <v>421</v>
      </c>
      <c r="F375" s="431"/>
      <c r="G375" s="501">
        <v>519.94000000000005</v>
      </c>
      <c r="H375" s="501"/>
      <c r="I375" s="336">
        <f t="shared" si="35"/>
        <v>218894.74</v>
      </c>
      <c r="J375" s="336">
        <f t="shared" si="36"/>
        <v>218894.74</v>
      </c>
      <c r="K375" s="546">
        <f t="shared" si="31"/>
        <v>0</v>
      </c>
      <c r="L375" s="536"/>
      <c r="M375" s="432"/>
      <c r="N375" s="11"/>
      <c r="O375" s="364"/>
      <c r="P375" s="373"/>
      <c r="Q375" s="342"/>
    </row>
    <row r="376" spans="1:17" s="368" customFormat="1" ht="28.5" hidden="1" customHeight="1">
      <c r="A376" s="333">
        <v>22</v>
      </c>
      <c r="B376" s="428" t="s">
        <v>2578</v>
      </c>
      <c r="C376" s="429" t="s">
        <v>16</v>
      </c>
      <c r="D376" s="430">
        <v>28</v>
      </c>
      <c r="E376" s="430">
        <v>28</v>
      </c>
      <c r="F376" s="431"/>
      <c r="G376" s="501">
        <v>1579.81</v>
      </c>
      <c r="H376" s="501"/>
      <c r="I376" s="336">
        <f t="shared" si="35"/>
        <v>44234.68</v>
      </c>
      <c r="J376" s="336">
        <f t="shared" si="36"/>
        <v>44234.68</v>
      </c>
      <c r="K376" s="546">
        <f t="shared" si="31"/>
        <v>0</v>
      </c>
      <c r="L376" s="536"/>
      <c r="M376" s="432"/>
      <c r="N376" s="11"/>
      <c r="O376" s="364"/>
      <c r="P376" s="373"/>
      <c r="Q376" s="342"/>
    </row>
    <row r="377" spans="1:17" s="368" customFormat="1" ht="28.5" hidden="1" customHeight="1">
      <c r="A377" s="333">
        <v>23</v>
      </c>
      <c r="B377" s="428" t="s">
        <v>2579</v>
      </c>
      <c r="C377" s="429" t="s">
        <v>16</v>
      </c>
      <c r="D377" s="430">
        <v>442.5</v>
      </c>
      <c r="E377" s="430">
        <v>442.5</v>
      </c>
      <c r="F377" s="431"/>
      <c r="G377" s="501">
        <v>209.97</v>
      </c>
      <c r="H377" s="501"/>
      <c r="I377" s="336">
        <f t="shared" si="35"/>
        <v>92911.73</v>
      </c>
      <c r="J377" s="336">
        <f t="shared" si="36"/>
        <v>92911.73</v>
      </c>
      <c r="K377" s="546">
        <f t="shared" si="31"/>
        <v>0</v>
      </c>
      <c r="L377" s="536"/>
      <c r="M377" s="432"/>
      <c r="N377" s="11"/>
      <c r="O377" s="364"/>
      <c r="P377" s="373"/>
      <c r="Q377" s="342"/>
    </row>
    <row r="378" spans="1:17" s="368" customFormat="1" ht="28.5" hidden="1" customHeight="1">
      <c r="A378" s="333">
        <v>24</v>
      </c>
      <c r="B378" s="428" t="s">
        <v>2580</v>
      </c>
      <c r="C378" s="429" t="s">
        <v>14</v>
      </c>
      <c r="D378" s="430">
        <v>2</v>
      </c>
      <c r="E378" s="430">
        <v>2</v>
      </c>
      <c r="F378" s="431"/>
      <c r="G378" s="501">
        <v>10798.67</v>
      </c>
      <c r="H378" s="501"/>
      <c r="I378" s="336">
        <f t="shared" si="35"/>
        <v>21597.34</v>
      </c>
      <c r="J378" s="336">
        <f t="shared" si="36"/>
        <v>21597.34</v>
      </c>
      <c r="K378" s="546">
        <f t="shared" si="31"/>
        <v>0</v>
      </c>
      <c r="L378" s="536"/>
      <c r="M378" s="432"/>
      <c r="N378" s="11"/>
      <c r="O378" s="364"/>
      <c r="P378" s="373"/>
      <c r="Q378" s="342"/>
    </row>
    <row r="379" spans="1:17" s="368" customFormat="1" ht="28.5" hidden="1" customHeight="1">
      <c r="A379" s="333">
        <v>25</v>
      </c>
      <c r="B379" s="428" t="s">
        <v>2581</v>
      </c>
      <c r="C379" s="429" t="s">
        <v>14</v>
      </c>
      <c r="D379" s="430">
        <v>12</v>
      </c>
      <c r="E379" s="430">
        <v>12</v>
      </c>
      <c r="F379" s="431"/>
      <c r="G379" s="501">
        <v>7249.11</v>
      </c>
      <c r="H379" s="501"/>
      <c r="I379" s="336">
        <f t="shared" si="35"/>
        <v>86989.32</v>
      </c>
      <c r="J379" s="336">
        <f t="shared" si="36"/>
        <v>86989.32</v>
      </c>
      <c r="K379" s="546">
        <f t="shared" si="31"/>
        <v>0</v>
      </c>
      <c r="L379" s="536"/>
      <c r="M379" s="432"/>
      <c r="N379" s="11"/>
      <c r="O379" s="364"/>
      <c r="P379" s="373"/>
      <c r="Q379" s="342"/>
    </row>
    <row r="380" spans="1:17" s="325" customFormat="1" ht="33">
      <c r="A380" s="406" t="s">
        <v>2252</v>
      </c>
      <c r="B380" s="407" t="s">
        <v>25</v>
      </c>
      <c r="C380" s="408" t="s">
        <v>4</v>
      </c>
      <c r="D380" s="409"/>
      <c r="E380" s="409">
        <f>估驗單!F373</f>
        <v>0</v>
      </c>
      <c r="F380" s="410">
        <f t="shared" si="34"/>
        <v>0</v>
      </c>
      <c r="G380" s="409">
        <f>I380</f>
        <v>3537274.3800000008</v>
      </c>
      <c r="H380" s="409"/>
      <c r="I380" s="411">
        <f>SUM(I381:I419)</f>
        <v>3537274.3800000008</v>
      </c>
      <c r="J380" s="411">
        <f>SUM(J381:J419)</f>
        <v>3537274.3800000008</v>
      </c>
      <c r="K380" s="541">
        <f>SUM(K381:K419)</f>
        <v>0</v>
      </c>
      <c r="L380" s="454">
        <f>SUM(L381:L419)</f>
        <v>0</v>
      </c>
      <c r="M380" s="288" t="s">
        <v>242</v>
      </c>
      <c r="N380" s="11" t="s">
        <v>243</v>
      </c>
      <c r="O380" s="785">
        <f>K380+L380</f>
        <v>0</v>
      </c>
      <c r="P380" s="339"/>
    </row>
    <row r="381" spans="1:17" s="325" customFormat="1" ht="42.75" hidden="1">
      <c r="A381" s="333" t="s">
        <v>2154</v>
      </c>
      <c r="B381" s="334" t="s">
        <v>1023</v>
      </c>
      <c r="C381" s="335" t="s">
        <v>7</v>
      </c>
      <c r="D381" s="336">
        <v>295</v>
      </c>
      <c r="E381" s="336">
        <f>估驗單!F374</f>
        <v>295</v>
      </c>
      <c r="F381" s="390">
        <f t="shared" si="34"/>
        <v>0</v>
      </c>
      <c r="G381" s="336">
        <v>299.98</v>
      </c>
      <c r="H381" s="336"/>
      <c r="I381" s="336">
        <f t="shared" ref="I381:I419" si="37">ROUND(D381*G381,2)</f>
        <v>88494.1</v>
      </c>
      <c r="J381" s="336">
        <f t="shared" ref="J381:J419" si="38">ROUND(E381*G381,2)</f>
        <v>88494.1</v>
      </c>
      <c r="K381" s="546">
        <f t="shared" si="31"/>
        <v>0</v>
      </c>
      <c r="L381" s="502"/>
      <c r="M381" s="231" t="s">
        <v>242</v>
      </c>
      <c r="N381" s="11" t="s">
        <v>243</v>
      </c>
      <c r="O381" s="341"/>
      <c r="P381" s="339"/>
    </row>
    <row r="382" spans="1:17" s="325" customFormat="1" ht="42.75" hidden="1">
      <c r="A382" s="333" t="s">
        <v>2155</v>
      </c>
      <c r="B382" s="334" t="s">
        <v>1025</v>
      </c>
      <c r="C382" s="335" t="s">
        <v>15</v>
      </c>
      <c r="D382" s="336">
        <v>59</v>
      </c>
      <c r="E382" s="336">
        <f>估驗單!F375</f>
        <v>59</v>
      </c>
      <c r="F382" s="390">
        <f t="shared" si="34"/>
        <v>0</v>
      </c>
      <c r="G382" s="336">
        <v>2999.84</v>
      </c>
      <c r="H382" s="336"/>
      <c r="I382" s="336">
        <f t="shared" si="37"/>
        <v>176990.56</v>
      </c>
      <c r="J382" s="336">
        <f t="shared" si="38"/>
        <v>176990.56</v>
      </c>
      <c r="K382" s="546">
        <f t="shared" si="31"/>
        <v>0</v>
      </c>
      <c r="L382" s="502"/>
      <c r="M382" s="231"/>
      <c r="N382" s="11" t="s">
        <v>243</v>
      </c>
      <c r="O382" s="341"/>
      <c r="P382" s="339"/>
    </row>
    <row r="383" spans="1:17" s="325" customFormat="1" ht="33" hidden="1">
      <c r="A383" s="333" t="s">
        <v>2156</v>
      </c>
      <c r="B383" s="334" t="s">
        <v>1027</v>
      </c>
      <c r="C383" s="335" t="s">
        <v>15</v>
      </c>
      <c r="D383" s="336">
        <v>59</v>
      </c>
      <c r="E383" s="336">
        <f>估驗單!F376</f>
        <v>59</v>
      </c>
      <c r="F383" s="390">
        <f t="shared" si="34"/>
        <v>0</v>
      </c>
      <c r="G383" s="336">
        <v>149.99</v>
      </c>
      <c r="H383" s="336"/>
      <c r="I383" s="336">
        <f t="shared" si="37"/>
        <v>8849.41</v>
      </c>
      <c r="J383" s="336">
        <f t="shared" si="38"/>
        <v>8849.41</v>
      </c>
      <c r="K383" s="546">
        <f t="shared" si="31"/>
        <v>0</v>
      </c>
      <c r="L383" s="502"/>
      <c r="M383" s="231"/>
      <c r="N383" s="11" t="s">
        <v>243</v>
      </c>
      <c r="O383" s="341"/>
      <c r="P383" s="339"/>
    </row>
    <row r="384" spans="1:17" s="325" customFormat="1" ht="42.75" hidden="1">
      <c r="A384" s="333" t="s">
        <v>2157</v>
      </c>
      <c r="B384" s="334" t="s">
        <v>1029</v>
      </c>
      <c r="C384" s="335" t="s">
        <v>1030</v>
      </c>
      <c r="D384" s="336">
        <v>9</v>
      </c>
      <c r="E384" s="336">
        <f>估驗單!F377</f>
        <v>9</v>
      </c>
      <c r="F384" s="390">
        <f t="shared" si="34"/>
        <v>0</v>
      </c>
      <c r="G384" s="336">
        <v>1199.93</v>
      </c>
      <c r="H384" s="336"/>
      <c r="I384" s="336">
        <f t="shared" si="37"/>
        <v>10799.37</v>
      </c>
      <c r="J384" s="336">
        <f t="shared" si="38"/>
        <v>10799.37</v>
      </c>
      <c r="K384" s="546">
        <f t="shared" si="31"/>
        <v>0</v>
      </c>
      <c r="L384" s="502"/>
      <c r="M384" s="231"/>
      <c r="N384" s="11" t="s">
        <v>243</v>
      </c>
      <c r="O384" s="341"/>
      <c r="P384" s="339"/>
    </row>
    <row r="385" spans="1:16" s="325" customFormat="1" ht="42.75" hidden="1">
      <c r="A385" s="333" t="s">
        <v>2158</v>
      </c>
      <c r="B385" s="334" t="s">
        <v>1032</v>
      </c>
      <c r="C385" s="335" t="s">
        <v>15</v>
      </c>
      <c r="D385" s="336">
        <v>22</v>
      </c>
      <c r="E385" s="336">
        <f>估驗單!F378</f>
        <v>22</v>
      </c>
      <c r="F385" s="390">
        <f t="shared" si="34"/>
        <v>0</v>
      </c>
      <c r="G385" s="336">
        <v>649.96</v>
      </c>
      <c r="H385" s="336"/>
      <c r="I385" s="336">
        <f t="shared" si="37"/>
        <v>14299.12</v>
      </c>
      <c r="J385" s="336">
        <f t="shared" si="38"/>
        <v>14299.12</v>
      </c>
      <c r="K385" s="546">
        <f t="shared" si="31"/>
        <v>0</v>
      </c>
      <c r="L385" s="502"/>
      <c r="M385" s="231"/>
      <c r="N385" s="11" t="s">
        <v>243</v>
      </c>
      <c r="O385" s="341"/>
      <c r="P385" s="339"/>
    </row>
    <row r="386" spans="1:16" s="325" customFormat="1" ht="42.75" hidden="1">
      <c r="A386" s="333" t="s">
        <v>2159</v>
      </c>
      <c r="B386" s="334" t="s">
        <v>1034</v>
      </c>
      <c r="C386" s="335" t="s">
        <v>15</v>
      </c>
      <c r="D386" s="336">
        <v>22</v>
      </c>
      <c r="E386" s="336">
        <f>估驗單!F379</f>
        <v>22</v>
      </c>
      <c r="F386" s="390">
        <f t="shared" si="34"/>
        <v>0</v>
      </c>
      <c r="G386" s="336">
        <v>1299.93</v>
      </c>
      <c r="H386" s="336"/>
      <c r="I386" s="336">
        <f t="shared" si="37"/>
        <v>28598.46</v>
      </c>
      <c r="J386" s="336">
        <f t="shared" si="38"/>
        <v>28598.46</v>
      </c>
      <c r="K386" s="546">
        <f t="shared" si="31"/>
        <v>0</v>
      </c>
      <c r="L386" s="502"/>
      <c r="M386" s="231"/>
      <c r="N386" s="11" t="s">
        <v>243</v>
      </c>
      <c r="O386" s="341"/>
      <c r="P386" s="339"/>
    </row>
    <row r="387" spans="1:16" s="325" customFormat="1" ht="42.75" hidden="1">
      <c r="A387" s="333" t="s">
        <v>2160</v>
      </c>
      <c r="B387" s="334" t="s">
        <v>1036</v>
      </c>
      <c r="C387" s="335" t="s">
        <v>15</v>
      </c>
      <c r="D387" s="336">
        <v>5</v>
      </c>
      <c r="E387" s="336">
        <f>估驗單!F380</f>
        <v>5</v>
      </c>
      <c r="F387" s="390">
        <f t="shared" si="34"/>
        <v>0</v>
      </c>
      <c r="G387" s="336">
        <v>3499.81</v>
      </c>
      <c r="H387" s="336"/>
      <c r="I387" s="336">
        <f t="shared" si="37"/>
        <v>17499.05</v>
      </c>
      <c r="J387" s="336">
        <f t="shared" si="38"/>
        <v>17499.05</v>
      </c>
      <c r="K387" s="546">
        <f t="shared" si="31"/>
        <v>0</v>
      </c>
      <c r="L387" s="502"/>
      <c r="M387" s="231" t="s">
        <v>242</v>
      </c>
      <c r="N387" s="11" t="s">
        <v>243</v>
      </c>
      <c r="O387" s="341"/>
      <c r="P387" s="339"/>
    </row>
    <row r="388" spans="1:16" s="325" customFormat="1" ht="42.75" hidden="1">
      <c r="A388" s="333" t="s">
        <v>2161</v>
      </c>
      <c r="B388" s="334" t="s">
        <v>1038</v>
      </c>
      <c r="C388" s="335" t="s">
        <v>15</v>
      </c>
      <c r="D388" s="336">
        <v>5</v>
      </c>
      <c r="E388" s="336">
        <f>估驗單!F381</f>
        <v>5</v>
      </c>
      <c r="F388" s="390">
        <f t="shared" si="34"/>
        <v>0</v>
      </c>
      <c r="G388" s="336">
        <v>699.96</v>
      </c>
      <c r="H388" s="336"/>
      <c r="I388" s="336">
        <f t="shared" si="37"/>
        <v>3499.8</v>
      </c>
      <c r="J388" s="336">
        <f t="shared" si="38"/>
        <v>3499.8</v>
      </c>
      <c r="K388" s="546">
        <f t="shared" si="31"/>
        <v>0</v>
      </c>
      <c r="L388" s="502"/>
      <c r="M388" s="231" t="s">
        <v>242</v>
      </c>
      <c r="N388" s="11" t="s">
        <v>243</v>
      </c>
      <c r="O388" s="341"/>
      <c r="P388" s="339"/>
    </row>
    <row r="389" spans="1:16" s="325" customFormat="1" ht="42.75" hidden="1">
      <c r="A389" s="333" t="s">
        <v>2162</v>
      </c>
      <c r="B389" s="334" t="s">
        <v>1040</v>
      </c>
      <c r="C389" s="335" t="s">
        <v>14</v>
      </c>
      <c r="D389" s="336">
        <v>1</v>
      </c>
      <c r="E389" s="336">
        <f>估驗單!F382</f>
        <v>1</v>
      </c>
      <c r="F389" s="390">
        <f t="shared" si="34"/>
        <v>0</v>
      </c>
      <c r="G389" s="336">
        <v>14999.18</v>
      </c>
      <c r="H389" s="336"/>
      <c r="I389" s="336">
        <f t="shared" si="37"/>
        <v>14999.18</v>
      </c>
      <c r="J389" s="336">
        <f t="shared" si="38"/>
        <v>14999.18</v>
      </c>
      <c r="K389" s="546">
        <f t="shared" si="31"/>
        <v>0</v>
      </c>
      <c r="L389" s="502"/>
      <c r="M389" s="231" t="s">
        <v>242</v>
      </c>
      <c r="N389" s="11" t="s">
        <v>243</v>
      </c>
      <c r="O389" s="341"/>
      <c r="P389" s="339"/>
    </row>
    <row r="390" spans="1:16" s="325" customFormat="1" ht="42.75" hidden="1">
      <c r="A390" s="333" t="s">
        <v>2163</v>
      </c>
      <c r="B390" s="334" t="s">
        <v>1043</v>
      </c>
      <c r="C390" s="335" t="s">
        <v>15</v>
      </c>
      <c r="D390" s="336">
        <v>1</v>
      </c>
      <c r="E390" s="336">
        <f>估驗單!F383</f>
        <v>1</v>
      </c>
      <c r="F390" s="390">
        <f t="shared" si="34"/>
        <v>0</v>
      </c>
      <c r="G390" s="336">
        <v>5999.67</v>
      </c>
      <c r="H390" s="336"/>
      <c r="I390" s="336">
        <f t="shared" si="37"/>
        <v>5999.67</v>
      </c>
      <c r="J390" s="336">
        <f t="shared" si="38"/>
        <v>5999.67</v>
      </c>
      <c r="K390" s="546">
        <f t="shared" si="31"/>
        <v>0</v>
      </c>
      <c r="L390" s="502"/>
      <c r="M390" s="231"/>
      <c r="N390" s="11" t="s">
        <v>243</v>
      </c>
      <c r="O390" s="341"/>
      <c r="P390" s="339"/>
    </row>
    <row r="391" spans="1:16" s="325" customFormat="1" ht="71.25" hidden="1">
      <c r="A391" s="333" t="s">
        <v>2164</v>
      </c>
      <c r="B391" s="334" t="s">
        <v>1046</v>
      </c>
      <c r="C391" s="335" t="s">
        <v>15</v>
      </c>
      <c r="D391" s="336">
        <v>1</v>
      </c>
      <c r="E391" s="336">
        <f>估驗單!F384</f>
        <v>1</v>
      </c>
      <c r="F391" s="390">
        <f t="shared" si="34"/>
        <v>0</v>
      </c>
      <c r="G391" s="336">
        <v>49497.3</v>
      </c>
      <c r="H391" s="336"/>
      <c r="I391" s="336">
        <f t="shared" si="37"/>
        <v>49497.3</v>
      </c>
      <c r="J391" s="336">
        <f t="shared" si="38"/>
        <v>49497.3</v>
      </c>
      <c r="K391" s="546">
        <f t="shared" si="31"/>
        <v>0</v>
      </c>
      <c r="L391" s="502"/>
      <c r="M391" s="231" t="s">
        <v>242</v>
      </c>
      <c r="N391" s="11" t="s">
        <v>243</v>
      </c>
      <c r="O391" s="341"/>
      <c r="P391" s="339"/>
    </row>
    <row r="392" spans="1:16" s="325" customFormat="1" ht="42.75" hidden="1">
      <c r="A392" s="333" t="s">
        <v>2165</v>
      </c>
      <c r="B392" s="334" t="s">
        <v>1049</v>
      </c>
      <c r="C392" s="335" t="s">
        <v>15</v>
      </c>
      <c r="D392" s="336">
        <v>6</v>
      </c>
      <c r="E392" s="336">
        <f>估驗單!F385</f>
        <v>6</v>
      </c>
      <c r="F392" s="390">
        <f t="shared" si="34"/>
        <v>0</v>
      </c>
      <c r="G392" s="336">
        <v>2999.84</v>
      </c>
      <c r="H392" s="336"/>
      <c r="I392" s="336">
        <f t="shared" si="37"/>
        <v>17999.04</v>
      </c>
      <c r="J392" s="336">
        <f t="shared" si="38"/>
        <v>17999.04</v>
      </c>
      <c r="K392" s="546">
        <f t="shared" si="31"/>
        <v>0</v>
      </c>
      <c r="L392" s="502"/>
      <c r="M392" s="231" t="s">
        <v>242</v>
      </c>
      <c r="N392" s="11" t="s">
        <v>243</v>
      </c>
      <c r="O392" s="341"/>
      <c r="P392" s="339"/>
    </row>
    <row r="393" spans="1:16" s="325" customFormat="1" ht="33" hidden="1">
      <c r="A393" s="333" t="s">
        <v>2166</v>
      </c>
      <c r="B393" s="334" t="s">
        <v>1052</v>
      </c>
      <c r="C393" s="335" t="s">
        <v>14</v>
      </c>
      <c r="D393" s="336">
        <v>75</v>
      </c>
      <c r="E393" s="336">
        <f>估驗單!F386</f>
        <v>75</v>
      </c>
      <c r="F393" s="390">
        <f t="shared" si="34"/>
        <v>0</v>
      </c>
      <c r="G393" s="336">
        <v>11999.35</v>
      </c>
      <c r="H393" s="336"/>
      <c r="I393" s="336">
        <f t="shared" si="37"/>
        <v>899951.25</v>
      </c>
      <c r="J393" s="336">
        <f t="shared" si="38"/>
        <v>899951.25</v>
      </c>
      <c r="K393" s="546">
        <f t="shared" si="31"/>
        <v>0</v>
      </c>
      <c r="L393" s="502"/>
      <c r="M393" s="231" t="s">
        <v>242</v>
      </c>
      <c r="N393" s="11" t="s">
        <v>243</v>
      </c>
      <c r="O393" s="341"/>
      <c r="P393" s="339"/>
    </row>
    <row r="394" spans="1:16" s="325" customFormat="1" ht="33" hidden="1">
      <c r="A394" s="333" t="s">
        <v>2167</v>
      </c>
      <c r="B394" s="334" t="s">
        <v>1055</v>
      </c>
      <c r="C394" s="335" t="s">
        <v>1007</v>
      </c>
      <c r="D394" s="336">
        <v>75</v>
      </c>
      <c r="E394" s="336">
        <f>估驗單!F387</f>
        <v>75</v>
      </c>
      <c r="F394" s="390">
        <f t="shared" si="34"/>
        <v>0</v>
      </c>
      <c r="G394" s="336">
        <v>1499.92</v>
      </c>
      <c r="H394" s="336"/>
      <c r="I394" s="336">
        <f t="shared" si="37"/>
        <v>112494</v>
      </c>
      <c r="J394" s="336">
        <f t="shared" si="38"/>
        <v>112494</v>
      </c>
      <c r="K394" s="546">
        <f t="shared" si="31"/>
        <v>0</v>
      </c>
      <c r="L394" s="502"/>
      <c r="M394" s="231" t="s">
        <v>242</v>
      </c>
      <c r="N394" s="11" t="s">
        <v>243</v>
      </c>
      <c r="O394" s="341"/>
      <c r="P394" s="339"/>
    </row>
    <row r="395" spans="1:16" s="325" customFormat="1" ht="42.75" hidden="1">
      <c r="A395" s="333" t="s">
        <v>2168</v>
      </c>
      <c r="B395" s="334" t="s">
        <v>1058</v>
      </c>
      <c r="C395" s="335" t="s">
        <v>15</v>
      </c>
      <c r="D395" s="336">
        <v>1</v>
      </c>
      <c r="E395" s="336">
        <f>估驗單!F388</f>
        <v>1</v>
      </c>
      <c r="F395" s="390">
        <f t="shared" si="34"/>
        <v>0</v>
      </c>
      <c r="G395" s="336">
        <v>11999.35</v>
      </c>
      <c r="H395" s="336"/>
      <c r="I395" s="336">
        <f t="shared" si="37"/>
        <v>11999.35</v>
      </c>
      <c r="J395" s="336">
        <f t="shared" si="38"/>
        <v>11999.35</v>
      </c>
      <c r="K395" s="546">
        <f t="shared" si="31"/>
        <v>0</v>
      </c>
      <c r="L395" s="502"/>
      <c r="M395" s="231"/>
      <c r="N395" s="11" t="s">
        <v>243</v>
      </c>
      <c r="O395" s="341"/>
      <c r="P395" s="339"/>
    </row>
    <row r="396" spans="1:16" s="325" customFormat="1" ht="33" hidden="1">
      <c r="A396" s="333" t="s">
        <v>2169</v>
      </c>
      <c r="B396" s="334" t="s">
        <v>1061</v>
      </c>
      <c r="C396" s="335" t="s">
        <v>15</v>
      </c>
      <c r="D396" s="336">
        <v>1</v>
      </c>
      <c r="E396" s="336">
        <f>估驗單!F389</f>
        <v>1</v>
      </c>
      <c r="F396" s="390">
        <f t="shared" si="34"/>
        <v>0</v>
      </c>
      <c r="G396" s="336">
        <v>1999.89</v>
      </c>
      <c r="H396" s="336"/>
      <c r="I396" s="336">
        <f t="shared" si="37"/>
        <v>1999.89</v>
      </c>
      <c r="J396" s="336">
        <f t="shared" si="38"/>
        <v>1999.89</v>
      </c>
      <c r="K396" s="546">
        <f t="shared" si="31"/>
        <v>0</v>
      </c>
      <c r="L396" s="502"/>
      <c r="M396" s="231"/>
      <c r="N396" s="11" t="s">
        <v>243</v>
      </c>
      <c r="O396" s="341"/>
      <c r="P396" s="339"/>
    </row>
    <row r="397" spans="1:16" s="325" customFormat="1" ht="42.75" hidden="1">
      <c r="A397" s="333" t="s">
        <v>2170</v>
      </c>
      <c r="B397" s="334" t="s">
        <v>1064</v>
      </c>
      <c r="C397" s="335" t="s">
        <v>15</v>
      </c>
      <c r="D397" s="336">
        <v>11</v>
      </c>
      <c r="E397" s="336">
        <f>估驗單!F390</f>
        <v>11</v>
      </c>
      <c r="F397" s="390">
        <f t="shared" si="34"/>
        <v>0</v>
      </c>
      <c r="G397" s="336">
        <v>2999.84</v>
      </c>
      <c r="H397" s="336"/>
      <c r="I397" s="336">
        <f t="shared" si="37"/>
        <v>32998.239999999998</v>
      </c>
      <c r="J397" s="336">
        <f t="shared" si="38"/>
        <v>32998.239999999998</v>
      </c>
      <c r="K397" s="546">
        <f t="shared" ref="K397:K460" si="39">J397-I397</f>
        <v>0</v>
      </c>
      <c r="L397" s="502"/>
      <c r="M397" s="231"/>
      <c r="N397" s="11" t="s">
        <v>243</v>
      </c>
      <c r="O397" s="341"/>
      <c r="P397" s="339"/>
    </row>
    <row r="398" spans="1:16" s="325" customFormat="1" ht="42.75" hidden="1">
      <c r="A398" s="333" t="s">
        <v>2171</v>
      </c>
      <c r="B398" s="334" t="s">
        <v>1067</v>
      </c>
      <c r="C398" s="335" t="s">
        <v>15</v>
      </c>
      <c r="D398" s="336">
        <v>3</v>
      </c>
      <c r="E398" s="336">
        <f>估驗單!F391</f>
        <v>3</v>
      </c>
      <c r="F398" s="390">
        <f t="shared" si="34"/>
        <v>0</v>
      </c>
      <c r="G398" s="336">
        <v>1399.92</v>
      </c>
      <c r="H398" s="336"/>
      <c r="I398" s="336">
        <f t="shared" si="37"/>
        <v>4199.76</v>
      </c>
      <c r="J398" s="336">
        <f t="shared" si="38"/>
        <v>4199.76</v>
      </c>
      <c r="K398" s="546">
        <f t="shared" si="39"/>
        <v>0</v>
      </c>
      <c r="L398" s="502"/>
      <c r="M398" s="231"/>
      <c r="N398" s="11" t="s">
        <v>243</v>
      </c>
      <c r="O398" s="341"/>
      <c r="P398" s="339"/>
    </row>
    <row r="399" spans="1:16" s="325" customFormat="1" ht="42.75" hidden="1">
      <c r="A399" s="333" t="s">
        <v>2172</v>
      </c>
      <c r="B399" s="334" t="s">
        <v>1070</v>
      </c>
      <c r="C399" s="335" t="s">
        <v>14</v>
      </c>
      <c r="D399" s="336">
        <v>5</v>
      </c>
      <c r="E399" s="336">
        <f>估驗單!F392</f>
        <v>5</v>
      </c>
      <c r="F399" s="390">
        <f t="shared" si="34"/>
        <v>0</v>
      </c>
      <c r="G399" s="336">
        <v>17999.02</v>
      </c>
      <c r="H399" s="336"/>
      <c r="I399" s="336">
        <f t="shared" si="37"/>
        <v>89995.1</v>
      </c>
      <c r="J399" s="336">
        <f t="shared" si="38"/>
        <v>89995.1</v>
      </c>
      <c r="K399" s="546">
        <f t="shared" si="39"/>
        <v>0</v>
      </c>
      <c r="L399" s="502"/>
      <c r="M399" s="231"/>
      <c r="N399" s="11" t="s">
        <v>243</v>
      </c>
      <c r="O399" s="341"/>
      <c r="P399" s="339"/>
    </row>
    <row r="400" spans="1:16" s="325" customFormat="1" ht="33" hidden="1">
      <c r="A400" s="333" t="s">
        <v>2173</v>
      </c>
      <c r="B400" s="334" t="s">
        <v>1073</v>
      </c>
      <c r="C400" s="335" t="s">
        <v>14</v>
      </c>
      <c r="D400" s="336">
        <v>1</v>
      </c>
      <c r="E400" s="336">
        <f>估驗單!F393</f>
        <v>1</v>
      </c>
      <c r="F400" s="390">
        <f t="shared" si="34"/>
        <v>0</v>
      </c>
      <c r="G400" s="336">
        <v>8999.51</v>
      </c>
      <c r="H400" s="336"/>
      <c r="I400" s="336">
        <f t="shared" si="37"/>
        <v>8999.51</v>
      </c>
      <c r="J400" s="336">
        <f t="shared" si="38"/>
        <v>8999.51</v>
      </c>
      <c r="K400" s="546">
        <f t="shared" si="39"/>
        <v>0</v>
      </c>
      <c r="L400" s="502"/>
      <c r="M400" s="231"/>
      <c r="N400" s="11" t="s">
        <v>243</v>
      </c>
      <c r="O400" s="341"/>
      <c r="P400" s="339"/>
    </row>
    <row r="401" spans="1:17" s="325" customFormat="1" ht="33" hidden="1">
      <c r="A401" s="333" t="s">
        <v>2174</v>
      </c>
      <c r="B401" s="334" t="s">
        <v>1076</v>
      </c>
      <c r="C401" s="335" t="s">
        <v>15</v>
      </c>
      <c r="D401" s="336">
        <v>2</v>
      </c>
      <c r="E401" s="336">
        <f>估驗單!F394</f>
        <v>2</v>
      </c>
      <c r="F401" s="390">
        <f t="shared" si="34"/>
        <v>0</v>
      </c>
      <c r="G401" s="336">
        <v>5999.67</v>
      </c>
      <c r="H401" s="336"/>
      <c r="I401" s="336">
        <f t="shared" si="37"/>
        <v>11999.34</v>
      </c>
      <c r="J401" s="336">
        <f t="shared" si="38"/>
        <v>11999.34</v>
      </c>
      <c r="K401" s="546">
        <f t="shared" si="39"/>
        <v>0</v>
      </c>
      <c r="L401" s="502"/>
      <c r="M401" s="231"/>
      <c r="N401" s="11" t="s">
        <v>243</v>
      </c>
      <c r="O401" s="341"/>
      <c r="P401" s="339"/>
    </row>
    <row r="402" spans="1:17" s="325" customFormat="1" ht="33" hidden="1">
      <c r="A402" s="333" t="s">
        <v>2175</v>
      </c>
      <c r="B402" s="334" t="s">
        <v>1079</v>
      </c>
      <c r="C402" s="335" t="s">
        <v>14</v>
      </c>
      <c r="D402" s="336">
        <v>1</v>
      </c>
      <c r="E402" s="336">
        <f>估驗單!F395</f>
        <v>1</v>
      </c>
      <c r="F402" s="390">
        <f t="shared" si="34"/>
        <v>0</v>
      </c>
      <c r="G402" s="336">
        <v>2499.86</v>
      </c>
      <c r="H402" s="336"/>
      <c r="I402" s="336">
        <f t="shared" si="37"/>
        <v>2499.86</v>
      </c>
      <c r="J402" s="336">
        <f t="shared" si="38"/>
        <v>2499.86</v>
      </c>
      <c r="K402" s="546">
        <f t="shared" si="39"/>
        <v>0</v>
      </c>
      <c r="L402" s="502"/>
      <c r="M402" s="231"/>
      <c r="N402" s="11" t="s">
        <v>243</v>
      </c>
      <c r="O402" s="341"/>
      <c r="P402" s="339"/>
    </row>
    <row r="403" spans="1:17" s="325" customFormat="1" ht="33" hidden="1">
      <c r="A403" s="333" t="s">
        <v>2177</v>
      </c>
      <c r="B403" s="334" t="s">
        <v>1082</v>
      </c>
      <c r="C403" s="335" t="s">
        <v>14</v>
      </c>
      <c r="D403" s="336">
        <v>1</v>
      </c>
      <c r="E403" s="336">
        <f>估驗單!F396</f>
        <v>1</v>
      </c>
      <c r="F403" s="390">
        <f t="shared" si="34"/>
        <v>0</v>
      </c>
      <c r="G403" s="336">
        <v>2499.86</v>
      </c>
      <c r="H403" s="336"/>
      <c r="I403" s="336">
        <f t="shared" si="37"/>
        <v>2499.86</v>
      </c>
      <c r="J403" s="336">
        <f t="shared" si="38"/>
        <v>2499.86</v>
      </c>
      <c r="K403" s="546">
        <f t="shared" si="39"/>
        <v>0</v>
      </c>
      <c r="L403" s="502"/>
      <c r="M403" s="231"/>
      <c r="N403" s="11" t="s">
        <v>243</v>
      </c>
      <c r="O403" s="341"/>
      <c r="P403" s="339"/>
    </row>
    <row r="404" spans="1:17" s="325" customFormat="1" ht="42.75" hidden="1">
      <c r="A404" s="333" t="s">
        <v>2178</v>
      </c>
      <c r="B404" s="334" t="s">
        <v>1085</v>
      </c>
      <c r="C404" s="335" t="s">
        <v>15</v>
      </c>
      <c r="D404" s="336">
        <v>4</v>
      </c>
      <c r="E404" s="336">
        <f>估驗單!F397</f>
        <v>4</v>
      </c>
      <c r="F404" s="390">
        <f t="shared" si="34"/>
        <v>0</v>
      </c>
      <c r="G404" s="336">
        <v>2999.84</v>
      </c>
      <c r="H404" s="336"/>
      <c r="I404" s="336">
        <f t="shared" si="37"/>
        <v>11999.36</v>
      </c>
      <c r="J404" s="336">
        <f t="shared" si="38"/>
        <v>11999.36</v>
      </c>
      <c r="K404" s="546">
        <f t="shared" si="39"/>
        <v>0</v>
      </c>
      <c r="L404" s="502"/>
      <c r="M404" s="231"/>
      <c r="N404" s="11" t="s">
        <v>243</v>
      </c>
      <c r="O404" s="341"/>
      <c r="P404" s="339"/>
    </row>
    <row r="405" spans="1:17" s="325" customFormat="1" ht="57" hidden="1">
      <c r="A405" s="333" t="s">
        <v>2179</v>
      </c>
      <c r="B405" s="334" t="s">
        <v>1088</v>
      </c>
      <c r="C405" s="335" t="s">
        <v>15</v>
      </c>
      <c r="D405" s="336">
        <v>2</v>
      </c>
      <c r="E405" s="336">
        <f>估驗單!F398</f>
        <v>2</v>
      </c>
      <c r="F405" s="390">
        <f t="shared" si="34"/>
        <v>0</v>
      </c>
      <c r="G405" s="336">
        <v>19998.91</v>
      </c>
      <c r="H405" s="336"/>
      <c r="I405" s="336">
        <f t="shared" si="37"/>
        <v>39997.82</v>
      </c>
      <c r="J405" s="336">
        <f t="shared" si="38"/>
        <v>39997.82</v>
      </c>
      <c r="K405" s="546">
        <f t="shared" si="39"/>
        <v>0</v>
      </c>
      <c r="L405" s="502"/>
      <c r="M405" s="231"/>
      <c r="N405" s="11" t="s">
        <v>243</v>
      </c>
      <c r="O405" s="341"/>
      <c r="P405" s="339"/>
    </row>
    <row r="406" spans="1:17" s="325" customFormat="1" ht="42.75" hidden="1">
      <c r="A406" s="333" t="s">
        <v>2181</v>
      </c>
      <c r="B406" s="334" t="s">
        <v>1091</v>
      </c>
      <c r="C406" s="335" t="s">
        <v>14</v>
      </c>
      <c r="D406" s="336">
        <v>1</v>
      </c>
      <c r="E406" s="336">
        <f>估驗單!F399</f>
        <v>1</v>
      </c>
      <c r="F406" s="390">
        <f t="shared" si="34"/>
        <v>0</v>
      </c>
      <c r="G406" s="336">
        <v>14999.18</v>
      </c>
      <c r="H406" s="336"/>
      <c r="I406" s="336">
        <f t="shared" si="37"/>
        <v>14999.18</v>
      </c>
      <c r="J406" s="336">
        <f t="shared" si="38"/>
        <v>14999.18</v>
      </c>
      <c r="K406" s="546">
        <f t="shared" si="39"/>
        <v>0</v>
      </c>
      <c r="L406" s="502"/>
      <c r="M406" s="231"/>
      <c r="N406" s="11" t="s">
        <v>243</v>
      </c>
      <c r="O406" s="341"/>
      <c r="P406" s="339"/>
    </row>
    <row r="407" spans="1:17" s="325" customFormat="1" ht="42.75" hidden="1">
      <c r="A407" s="333" t="s">
        <v>2182</v>
      </c>
      <c r="B407" s="334" t="s">
        <v>1094</v>
      </c>
      <c r="C407" s="335" t="s">
        <v>1095</v>
      </c>
      <c r="D407" s="336">
        <v>3</v>
      </c>
      <c r="E407" s="336">
        <f>估驗單!F400</f>
        <v>3</v>
      </c>
      <c r="F407" s="390">
        <f t="shared" si="34"/>
        <v>0</v>
      </c>
      <c r="G407" s="336">
        <v>1299.93</v>
      </c>
      <c r="H407" s="336"/>
      <c r="I407" s="336">
        <f t="shared" si="37"/>
        <v>3899.79</v>
      </c>
      <c r="J407" s="336">
        <f t="shared" si="38"/>
        <v>3899.79</v>
      </c>
      <c r="K407" s="546">
        <f t="shared" si="39"/>
        <v>0</v>
      </c>
      <c r="L407" s="502"/>
      <c r="M407" s="231"/>
      <c r="N407" s="11" t="s">
        <v>243</v>
      </c>
      <c r="O407" s="341"/>
      <c r="P407" s="339"/>
    </row>
    <row r="408" spans="1:17" s="325" customFormat="1" ht="33" hidden="1">
      <c r="A408" s="333" t="s">
        <v>2183</v>
      </c>
      <c r="B408" s="334" t="s">
        <v>1098</v>
      </c>
      <c r="C408" s="335" t="s">
        <v>1095</v>
      </c>
      <c r="D408" s="336">
        <v>4</v>
      </c>
      <c r="E408" s="336">
        <f>估驗單!F401</f>
        <v>4</v>
      </c>
      <c r="F408" s="390">
        <f t="shared" si="34"/>
        <v>0</v>
      </c>
      <c r="G408" s="336">
        <v>999.95</v>
      </c>
      <c r="H408" s="336"/>
      <c r="I408" s="336">
        <f t="shared" si="37"/>
        <v>3999.8</v>
      </c>
      <c r="J408" s="336">
        <f t="shared" si="38"/>
        <v>3999.8</v>
      </c>
      <c r="K408" s="546">
        <f t="shared" si="39"/>
        <v>0</v>
      </c>
      <c r="L408" s="502"/>
      <c r="M408" s="231"/>
      <c r="N408" s="11" t="s">
        <v>243</v>
      </c>
      <c r="O408" s="341"/>
      <c r="P408" s="339"/>
    </row>
    <row r="409" spans="1:17" s="325" customFormat="1" ht="33" hidden="1">
      <c r="A409" s="333" t="s">
        <v>2184</v>
      </c>
      <c r="B409" s="334" t="s">
        <v>1101</v>
      </c>
      <c r="C409" s="335" t="s">
        <v>15</v>
      </c>
      <c r="D409" s="336">
        <v>2</v>
      </c>
      <c r="E409" s="336">
        <f>估驗單!F402</f>
        <v>2</v>
      </c>
      <c r="F409" s="390">
        <f t="shared" si="34"/>
        <v>0</v>
      </c>
      <c r="G409" s="336">
        <v>8999.51</v>
      </c>
      <c r="H409" s="336"/>
      <c r="I409" s="336">
        <f t="shared" si="37"/>
        <v>17999.02</v>
      </c>
      <c r="J409" s="336">
        <f t="shared" si="38"/>
        <v>17999.02</v>
      </c>
      <c r="K409" s="546">
        <f t="shared" si="39"/>
        <v>0</v>
      </c>
      <c r="L409" s="502"/>
      <c r="M409" s="231"/>
      <c r="N409" s="11" t="s">
        <v>243</v>
      </c>
      <c r="O409" s="341"/>
      <c r="P409" s="339"/>
    </row>
    <row r="410" spans="1:17" s="325" customFormat="1" ht="42.75" hidden="1">
      <c r="A410" s="333" t="s">
        <v>2185</v>
      </c>
      <c r="B410" s="334" t="s">
        <v>1104</v>
      </c>
      <c r="C410" s="335" t="s">
        <v>15</v>
      </c>
      <c r="D410" s="336">
        <v>4</v>
      </c>
      <c r="E410" s="336">
        <f>估驗單!F403</f>
        <v>4</v>
      </c>
      <c r="F410" s="390">
        <f t="shared" si="34"/>
        <v>0</v>
      </c>
      <c r="G410" s="336">
        <v>4199.7700000000004</v>
      </c>
      <c r="H410" s="336"/>
      <c r="I410" s="336">
        <f t="shared" si="37"/>
        <v>16799.080000000002</v>
      </c>
      <c r="J410" s="336">
        <f t="shared" si="38"/>
        <v>16799.080000000002</v>
      </c>
      <c r="K410" s="546">
        <f t="shared" si="39"/>
        <v>0</v>
      </c>
      <c r="L410" s="502"/>
      <c r="M410" s="231"/>
      <c r="N410" s="11" t="s">
        <v>243</v>
      </c>
      <c r="O410" s="341"/>
      <c r="P410" s="339"/>
    </row>
    <row r="411" spans="1:17" ht="33" hidden="1">
      <c r="A411" s="333" t="s">
        <v>2186</v>
      </c>
      <c r="B411" s="334" t="s">
        <v>1107</v>
      </c>
      <c r="C411" s="335" t="s">
        <v>14</v>
      </c>
      <c r="D411" s="336">
        <v>2</v>
      </c>
      <c r="E411" s="336">
        <f>估驗單!F404</f>
        <v>2</v>
      </c>
      <c r="F411" s="390">
        <f t="shared" si="34"/>
        <v>0</v>
      </c>
      <c r="G411" s="336">
        <v>999.95</v>
      </c>
      <c r="H411" s="336"/>
      <c r="I411" s="336">
        <f t="shared" si="37"/>
        <v>1999.9</v>
      </c>
      <c r="J411" s="336">
        <f t="shared" si="38"/>
        <v>1999.9</v>
      </c>
      <c r="K411" s="546">
        <f t="shared" si="39"/>
        <v>0</v>
      </c>
      <c r="L411" s="502"/>
      <c r="M411" s="231"/>
      <c r="N411" s="11" t="s">
        <v>243</v>
      </c>
      <c r="O411" s="341"/>
      <c r="P411" s="339"/>
    </row>
    <row r="412" spans="1:17" ht="33" hidden="1">
      <c r="A412" s="333" t="s">
        <v>2187</v>
      </c>
      <c r="B412" s="334" t="s">
        <v>224</v>
      </c>
      <c r="C412" s="335" t="s">
        <v>15</v>
      </c>
      <c r="D412" s="336">
        <v>12</v>
      </c>
      <c r="E412" s="336">
        <f>估驗單!F405</f>
        <v>12</v>
      </c>
      <c r="F412" s="390">
        <f t="shared" si="34"/>
        <v>0</v>
      </c>
      <c r="G412" s="336">
        <v>4499.75</v>
      </c>
      <c r="H412" s="336"/>
      <c r="I412" s="336">
        <f t="shared" si="37"/>
        <v>53997</v>
      </c>
      <c r="J412" s="336">
        <f t="shared" si="38"/>
        <v>53997</v>
      </c>
      <c r="K412" s="546">
        <f t="shared" si="39"/>
        <v>0</v>
      </c>
      <c r="L412" s="502"/>
      <c r="M412" s="231"/>
      <c r="N412" s="11" t="s">
        <v>243</v>
      </c>
      <c r="O412" s="341"/>
      <c r="P412" s="339"/>
    </row>
    <row r="413" spans="1:17" ht="33" hidden="1">
      <c r="A413" s="333" t="s">
        <v>2188</v>
      </c>
      <c r="B413" s="334" t="s">
        <v>1112</v>
      </c>
      <c r="C413" s="335" t="s">
        <v>15</v>
      </c>
      <c r="D413" s="336">
        <v>2</v>
      </c>
      <c r="E413" s="336">
        <f>估驗單!F406</f>
        <v>2</v>
      </c>
      <c r="F413" s="390">
        <f t="shared" si="34"/>
        <v>0</v>
      </c>
      <c r="G413" s="336">
        <v>636265.30000000005</v>
      </c>
      <c r="H413" s="336"/>
      <c r="I413" s="336">
        <f t="shared" si="37"/>
        <v>1272530.6000000001</v>
      </c>
      <c r="J413" s="336">
        <f t="shared" si="38"/>
        <v>1272530.6000000001</v>
      </c>
      <c r="K413" s="546">
        <f t="shared" si="39"/>
        <v>0</v>
      </c>
      <c r="L413" s="502"/>
      <c r="M413" s="231"/>
      <c r="N413" s="11" t="s">
        <v>243</v>
      </c>
      <c r="O413" s="341"/>
      <c r="P413" s="339"/>
    </row>
    <row r="414" spans="1:17" ht="42.75" hidden="1">
      <c r="A414" s="333" t="s">
        <v>2189</v>
      </c>
      <c r="B414" s="334" t="s">
        <v>1115</v>
      </c>
      <c r="C414" s="335" t="s">
        <v>1116</v>
      </c>
      <c r="D414" s="336">
        <v>4</v>
      </c>
      <c r="E414" s="336">
        <f>估驗單!F407</f>
        <v>4</v>
      </c>
      <c r="F414" s="390">
        <f t="shared" si="34"/>
        <v>0</v>
      </c>
      <c r="G414" s="336">
        <v>1999.89</v>
      </c>
      <c r="H414" s="336"/>
      <c r="I414" s="336">
        <f t="shared" si="37"/>
        <v>7999.56</v>
      </c>
      <c r="J414" s="336">
        <f t="shared" si="38"/>
        <v>7999.56</v>
      </c>
      <c r="K414" s="546">
        <f t="shared" si="39"/>
        <v>0</v>
      </c>
      <c r="L414" s="502"/>
      <c r="M414" s="231"/>
      <c r="N414" s="11" t="s">
        <v>243</v>
      </c>
      <c r="O414" s="341"/>
      <c r="P414" s="339"/>
    </row>
    <row r="415" spans="1:17" ht="33" hidden="1">
      <c r="A415" s="333" t="s">
        <v>2190</v>
      </c>
      <c r="B415" s="334" t="s">
        <v>1542</v>
      </c>
      <c r="C415" s="335" t="s">
        <v>15</v>
      </c>
      <c r="D415" s="336">
        <v>1</v>
      </c>
      <c r="E415" s="336">
        <f>估驗單!F408</f>
        <v>1</v>
      </c>
      <c r="F415" s="390">
        <f t="shared" si="34"/>
        <v>0</v>
      </c>
      <c r="G415" s="336">
        <v>119722.49</v>
      </c>
      <c r="H415" s="336"/>
      <c r="I415" s="336">
        <f t="shared" si="37"/>
        <v>119722.49</v>
      </c>
      <c r="J415" s="336">
        <f t="shared" si="38"/>
        <v>119722.49</v>
      </c>
      <c r="K415" s="546">
        <f t="shared" si="39"/>
        <v>0</v>
      </c>
      <c r="L415" s="502"/>
      <c r="M415" s="231"/>
      <c r="N415" s="11" t="s">
        <v>243</v>
      </c>
      <c r="O415" s="341"/>
      <c r="P415" s="339"/>
    </row>
    <row r="416" spans="1:17" s="352" customFormat="1" ht="33" hidden="1">
      <c r="A416" s="343">
        <v>36</v>
      </c>
      <c r="B416" s="344" t="s">
        <v>2441</v>
      </c>
      <c r="C416" s="345" t="s">
        <v>2353</v>
      </c>
      <c r="D416" s="340">
        <v>1</v>
      </c>
      <c r="E416" s="336">
        <f>估驗單!F409</f>
        <v>1</v>
      </c>
      <c r="F416" s="390">
        <f t="shared" si="34"/>
        <v>0</v>
      </c>
      <c r="G416" s="340">
        <v>74993.56</v>
      </c>
      <c r="H416" s="340"/>
      <c r="I416" s="336">
        <f t="shared" si="37"/>
        <v>74993.56</v>
      </c>
      <c r="J416" s="336">
        <f t="shared" si="38"/>
        <v>74993.56</v>
      </c>
      <c r="K416" s="546">
        <f t="shared" si="39"/>
        <v>0</v>
      </c>
      <c r="L416" s="502"/>
      <c r="M416" s="350"/>
      <c r="N416" s="347" t="s">
        <v>243</v>
      </c>
      <c r="O416" s="348"/>
      <c r="P416" s="349"/>
      <c r="Q416" s="362"/>
    </row>
    <row r="417" spans="1:21" s="352" customFormat="1" ht="42.75" hidden="1">
      <c r="A417" s="423">
        <v>37</v>
      </c>
      <c r="B417" s="424" t="s">
        <v>1546</v>
      </c>
      <c r="C417" s="425" t="s">
        <v>15</v>
      </c>
      <c r="D417" s="419">
        <v>2</v>
      </c>
      <c r="E417" s="419">
        <f>估驗單!F410</f>
        <v>2</v>
      </c>
      <c r="F417" s="426">
        <f t="shared" si="34"/>
        <v>0</v>
      </c>
      <c r="G417" s="419">
        <v>83492.83</v>
      </c>
      <c r="H417" s="419"/>
      <c r="I417" s="336">
        <f t="shared" si="37"/>
        <v>166985.66</v>
      </c>
      <c r="J417" s="336">
        <f t="shared" si="38"/>
        <v>166985.66</v>
      </c>
      <c r="K417" s="546">
        <f t="shared" si="39"/>
        <v>0</v>
      </c>
      <c r="L417" s="502"/>
      <c r="M417" s="376"/>
      <c r="N417" s="357"/>
      <c r="O417" s="377"/>
      <c r="P417" s="360"/>
      <c r="Q417" s="353"/>
    </row>
    <row r="418" spans="1:21" s="352" customFormat="1" ht="42.75" hidden="1">
      <c r="A418" s="423">
        <v>38</v>
      </c>
      <c r="B418" s="424" t="s">
        <v>1548</v>
      </c>
      <c r="C418" s="425" t="s">
        <v>15</v>
      </c>
      <c r="D418" s="419">
        <v>1</v>
      </c>
      <c r="E418" s="419">
        <f>估驗單!F411</f>
        <v>1</v>
      </c>
      <c r="F418" s="426">
        <f t="shared" si="34"/>
        <v>0</v>
      </c>
      <c r="G418" s="419">
        <v>76193.42</v>
      </c>
      <c r="H418" s="419"/>
      <c r="I418" s="336">
        <f t="shared" si="37"/>
        <v>76193.42</v>
      </c>
      <c r="J418" s="336">
        <f t="shared" si="38"/>
        <v>76193.42</v>
      </c>
      <c r="K418" s="546">
        <f t="shared" si="39"/>
        <v>0</v>
      </c>
      <c r="L418" s="502"/>
      <c r="M418" s="376"/>
      <c r="N418" s="357"/>
      <c r="O418" s="377"/>
      <c r="P418" s="360"/>
      <c r="Q418" s="353"/>
    </row>
    <row r="419" spans="1:21" s="352" customFormat="1" ht="28.5" hidden="1">
      <c r="A419" s="423">
        <v>39</v>
      </c>
      <c r="B419" s="424" t="s">
        <v>1550</v>
      </c>
      <c r="C419" s="425" t="s">
        <v>15</v>
      </c>
      <c r="D419" s="419">
        <v>2</v>
      </c>
      <c r="E419" s="419">
        <f>估驗單!F412</f>
        <v>2</v>
      </c>
      <c r="F419" s="426">
        <f t="shared" si="34"/>
        <v>0</v>
      </c>
      <c r="G419" s="419">
        <v>17998.46</v>
      </c>
      <c r="H419" s="419"/>
      <c r="I419" s="336">
        <f t="shared" si="37"/>
        <v>35996.92</v>
      </c>
      <c r="J419" s="336">
        <f t="shared" si="38"/>
        <v>35996.92</v>
      </c>
      <c r="K419" s="546">
        <f t="shared" si="39"/>
        <v>0</v>
      </c>
      <c r="L419" s="502"/>
      <c r="M419" s="376"/>
      <c r="N419" s="357"/>
      <c r="O419" s="377"/>
      <c r="P419" s="360"/>
      <c r="Q419" s="353"/>
    </row>
    <row r="420" spans="1:21" ht="33">
      <c r="A420" s="406" t="s">
        <v>2253</v>
      </c>
      <c r="B420" s="407" t="s">
        <v>1118</v>
      </c>
      <c r="C420" s="408" t="s">
        <v>4</v>
      </c>
      <c r="D420" s="409"/>
      <c r="E420" s="409"/>
      <c r="F420" s="410">
        <f t="shared" si="34"/>
        <v>0</v>
      </c>
      <c r="G420" s="409">
        <f>I420</f>
        <v>3983954.6799999997</v>
      </c>
      <c r="H420" s="409"/>
      <c r="I420" s="409">
        <f>SUM(I421:I423)</f>
        <v>3983954.6799999997</v>
      </c>
      <c r="J420" s="409">
        <f>SUM(J421:J423)</f>
        <v>3983954.6799999997</v>
      </c>
      <c r="K420" s="542">
        <f>SUM(K421:K423)</f>
        <v>0</v>
      </c>
      <c r="L420" s="534"/>
      <c r="M420" s="288"/>
      <c r="N420" s="11" t="s">
        <v>243</v>
      </c>
      <c r="O420" s="785">
        <f>K420+L420</f>
        <v>0</v>
      </c>
      <c r="P420" s="339"/>
    </row>
    <row r="421" spans="1:21" ht="33" hidden="1">
      <c r="A421" s="333" t="s">
        <v>2154</v>
      </c>
      <c r="B421" s="334" t="s">
        <v>26</v>
      </c>
      <c r="C421" s="335" t="s">
        <v>20</v>
      </c>
      <c r="D421" s="336">
        <v>48</v>
      </c>
      <c r="E421" s="336">
        <f>估驗單!F414</f>
        <v>48</v>
      </c>
      <c r="F421" s="390">
        <f t="shared" si="34"/>
        <v>0</v>
      </c>
      <c r="G421" s="336">
        <v>13067.55</v>
      </c>
      <c r="H421" s="336"/>
      <c r="I421" s="336">
        <f>ROUND(D421*G421,2)</f>
        <v>627242.4</v>
      </c>
      <c r="J421" s="336">
        <f>ROUND(E421*G421,2)</f>
        <v>627242.4</v>
      </c>
      <c r="K421" s="546">
        <f t="shared" si="39"/>
        <v>0</v>
      </c>
      <c r="L421" s="502"/>
      <c r="M421" s="231"/>
      <c r="N421" s="11" t="s">
        <v>243</v>
      </c>
      <c r="O421" s="341"/>
      <c r="P421" s="339"/>
    </row>
    <row r="422" spans="1:21" ht="33" hidden="1">
      <c r="A422" s="333" t="s">
        <v>2155</v>
      </c>
      <c r="B422" s="334" t="s">
        <v>27</v>
      </c>
      <c r="C422" s="335" t="s">
        <v>21</v>
      </c>
      <c r="D422" s="336">
        <v>28448</v>
      </c>
      <c r="E422" s="336">
        <f>估驗單!F415</f>
        <v>28448</v>
      </c>
      <c r="F422" s="390">
        <f t="shared" si="34"/>
        <v>0</v>
      </c>
      <c r="G422" s="336">
        <v>54.56</v>
      </c>
      <c r="H422" s="336"/>
      <c r="I422" s="336">
        <f>ROUND(D422*G422,2)</f>
        <v>1552122.8799999999</v>
      </c>
      <c r="J422" s="336">
        <f>ROUND(E422*G422,2)</f>
        <v>1552122.8799999999</v>
      </c>
      <c r="K422" s="546">
        <f t="shared" si="39"/>
        <v>0</v>
      </c>
      <c r="L422" s="502"/>
      <c r="M422" s="231"/>
      <c r="N422" s="11" t="s">
        <v>243</v>
      </c>
      <c r="O422" s="341"/>
      <c r="P422" s="339"/>
      <c r="Q422" s="362"/>
      <c r="S422" s="378" t="s">
        <v>2447</v>
      </c>
      <c r="U422" s="379"/>
    </row>
    <row r="423" spans="1:21" s="363" customFormat="1" ht="33" hidden="1">
      <c r="A423" s="343" t="s">
        <v>2156</v>
      </c>
      <c r="B423" s="344" t="s">
        <v>1553</v>
      </c>
      <c r="C423" s="345" t="s">
        <v>2448</v>
      </c>
      <c r="D423" s="340">
        <v>1570</v>
      </c>
      <c r="E423" s="336">
        <f>估驗單!F416</f>
        <v>1570</v>
      </c>
      <c r="F423" s="390">
        <f t="shared" si="34"/>
        <v>0</v>
      </c>
      <c r="G423" s="340">
        <v>1149.42</v>
      </c>
      <c r="H423" s="340"/>
      <c r="I423" s="336">
        <f>ROUND(D423*G423,2)</f>
        <v>1804589.4</v>
      </c>
      <c r="J423" s="336">
        <f>ROUND(E423*G423,2)</f>
        <v>1804589.4</v>
      </c>
      <c r="K423" s="546">
        <f t="shared" si="39"/>
        <v>0</v>
      </c>
      <c r="L423" s="502"/>
      <c r="M423" s="346"/>
      <c r="N423" s="347" t="s">
        <v>243</v>
      </c>
      <c r="O423" s="354"/>
      <c r="P423" s="349"/>
      <c r="Q423" s="358"/>
    </row>
    <row r="424" spans="1:21" ht="33">
      <c r="A424" s="406" t="s">
        <v>2254</v>
      </c>
      <c r="B424" s="407" t="s">
        <v>1121</v>
      </c>
      <c r="C424" s="408" t="s">
        <v>4</v>
      </c>
      <c r="D424" s="409"/>
      <c r="E424" s="409"/>
      <c r="F424" s="410">
        <f t="shared" si="34"/>
        <v>0</v>
      </c>
      <c r="G424" s="409">
        <f>I424</f>
        <v>10146417.939999999</v>
      </c>
      <c r="H424" s="409"/>
      <c r="I424" s="411">
        <f>SUM(I425:I443)</f>
        <v>10146417.939999999</v>
      </c>
      <c r="J424" s="411">
        <f>SUM(J425:J443)</f>
        <v>10761887.789999999</v>
      </c>
      <c r="K424" s="541">
        <f>SUM(K425:K443)</f>
        <v>615469.85</v>
      </c>
      <c r="L424" s="454">
        <f>SUM(L425:L442)</f>
        <v>0</v>
      </c>
      <c r="M424" s="288"/>
      <c r="N424" s="11" t="s">
        <v>243</v>
      </c>
      <c r="O424" s="785">
        <f>K424+L424</f>
        <v>615469.85</v>
      </c>
      <c r="P424" s="339"/>
    </row>
    <row r="425" spans="1:21" ht="33" hidden="1">
      <c r="A425" s="333" t="s">
        <v>2154</v>
      </c>
      <c r="B425" s="334" t="s">
        <v>1122</v>
      </c>
      <c r="C425" s="335" t="s">
        <v>8</v>
      </c>
      <c r="D425" s="336">
        <v>1294.97</v>
      </c>
      <c r="E425" s="336">
        <f>估驗單!F418</f>
        <v>1294.97</v>
      </c>
      <c r="F425" s="390">
        <f t="shared" si="34"/>
        <v>0</v>
      </c>
      <c r="G425" s="336">
        <v>3662.03</v>
      </c>
      <c r="H425" s="336"/>
      <c r="I425" s="336">
        <f t="shared" ref="I425:I443" si="40">ROUND(D425*G425,2)</f>
        <v>4742218.99</v>
      </c>
      <c r="J425" s="336">
        <f t="shared" ref="J425:J443" si="41">ROUND(E425*G425,2)</f>
        <v>4742218.99</v>
      </c>
      <c r="K425" s="546">
        <f t="shared" si="39"/>
        <v>0</v>
      </c>
      <c r="L425" s="502"/>
      <c r="M425" s="231"/>
      <c r="N425" s="11" t="s">
        <v>243</v>
      </c>
      <c r="O425" s="341"/>
      <c r="P425" s="339"/>
    </row>
    <row r="426" spans="1:21" ht="33" hidden="1">
      <c r="A426" s="333" t="s">
        <v>2155</v>
      </c>
      <c r="B426" s="334" t="s">
        <v>1124</v>
      </c>
      <c r="C426" s="335" t="s">
        <v>13</v>
      </c>
      <c r="D426" s="336">
        <v>1840.93</v>
      </c>
      <c r="E426" s="336">
        <f>估驗單!F419</f>
        <v>1840.93</v>
      </c>
      <c r="F426" s="390">
        <f t="shared" si="34"/>
        <v>0</v>
      </c>
      <c r="G426" s="336">
        <v>352.98</v>
      </c>
      <c r="H426" s="336"/>
      <c r="I426" s="336">
        <f t="shared" si="40"/>
        <v>649811.47</v>
      </c>
      <c r="J426" s="336">
        <f t="shared" si="41"/>
        <v>649811.47</v>
      </c>
      <c r="K426" s="546">
        <f t="shared" si="39"/>
        <v>0</v>
      </c>
      <c r="L426" s="502"/>
      <c r="M426" s="231"/>
      <c r="N426" s="11" t="s">
        <v>243</v>
      </c>
      <c r="O426" s="341"/>
      <c r="P426" s="339"/>
    </row>
    <row r="427" spans="1:21" ht="33" hidden="1">
      <c r="A427" s="333" t="s">
        <v>2156</v>
      </c>
      <c r="B427" s="334" t="s">
        <v>32</v>
      </c>
      <c r="C427" s="335" t="s">
        <v>7</v>
      </c>
      <c r="D427" s="336">
        <v>59</v>
      </c>
      <c r="E427" s="336">
        <f>估驗單!F420</f>
        <v>59</v>
      </c>
      <c r="F427" s="390">
        <f t="shared" si="34"/>
        <v>0</v>
      </c>
      <c r="G427" s="336">
        <v>217.01</v>
      </c>
      <c r="H427" s="336"/>
      <c r="I427" s="336">
        <f t="shared" si="40"/>
        <v>12803.59</v>
      </c>
      <c r="J427" s="336">
        <f t="shared" si="41"/>
        <v>12803.59</v>
      </c>
      <c r="K427" s="546">
        <f t="shared" si="39"/>
        <v>0</v>
      </c>
      <c r="L427" s="502"/>
      <c r="M427" s="231"/>
      <c r="N427" s="11" t="s">
        <v>243</v>
      </c>
      <c r="O427" s="341"/>
      <c r="P427" s="339"/>
    </row>
    <row r="428" spans="1:21" ht="33" hidden="1">
      <c r="A428" s="333" t="s">
        <v>2157</v>
      </c>
      <c r="B428" s="334" t="s">
        <v>33</v>
      </c>
      <c r="C428" s="335" t="s">
        <v>5</v>
      </c>
      <c r="D428" s="336">
        <v>30</v>
      </c>
      <c r="E428" s="336">
        <f>估驗單!F421</f>
        <v>30</v>
      </c>
      <c r="F428" s="390">
        <f t="shared" ref="F428:F471" si="42">E428-D428</f>
        <v>0</v>
      </c>
      <c r="G428" s="336">
        <v>50</v>
      </c>
      <c r="H428" s="336"/>
      <c r="I428" s="336">
        <f t="shared" si="40"/>
        <v>1500</v>
      </c>
      <c r="J428" s="336">
        <f t="shared" si="41"/>
        <v>1500</v>
      </c>
      <c r="K428" s="546">
        <f t="shared" si="39"/>
        <v>0</v>
      </c>
      <c r="L428" s="502"/>
      <c r="M428" s="231"/>
      <c r="N428" s="11" t="s">
        <v>243</v>
      </c>
      <c r="O428" s="341"/>
      <c r="P428" s="339"/>
    </row>
    <row r="429" spans="1:21" ht="33" hidden="1">
      <c r="A429" s="333" t="s">
        <v>2158</v>
      </c>
      <c r="B429" s="334" t="s">
        <v>1128</v>
      </c>
      <c r="C429" s="335" t="s">
        <v>0</v>
      </c>
      <c r="D429" s="336">
        <v>19</v>
      </c>
      <c r="E429" s="336">
        <f>估驗單!F422</f>
        <v>19</v>
      </c>
      <c r="F429" s="390">
        <f t="shared" si="42"/>
        <v>0</v>
      </c>
      <c r="G429" s="336">
        <v>1900.88</v>
      </c>
      <c r="H429" s="336"/>
      <c r="I429" s="336">
        <f t="shared" si="40"/>
        <v>36116.720000000001</v>
      </c>
      <c r="J429" s="336">
        <f t="shared" si="41"/>
        <v>36116.720000000001</v>
      </c>
      <c r="K429" s="546">
        <f t="shared" si="39"/>
        <v>0</v>
      </c>
      <c r="L429" s="502"/>
      <c r="M429" s="231"/>
      <c r="N429" s="11" t="s">
        <v>243</v>
      </c>
      <c r="O429" s="341"/>
      <c r="P429" s="339"/>
    </row>
    <row r="430" spans="1:21" ht="33" hidden="1">
      <c r="A430" s="333" t="s">
        <v>2159</v>
      </c>
      <c r="B430" s="334" t="s">
        <v>1130</v>
      </c>
      <c r="C430" s="335" t="s">
        <v>0</v>
      </c>
      <c r="D430" s="336">
        <v>10</v>
      </c>
      <c r="E430" s="336">
        <f>估驗單!F423</f>
        <v>10</v>
      </c>
      <c r="F430" s="390">
        <f t="shared" si="42"/>
        <v>0</v>
      </c>
      <c r="G430" s="336">
        <v>1230.67</v>
      </c>
      <c r="H430" s="336"/>
      <c r="I430" s="336">
        <f t="shared" si="40"/>
        <v>12306.7</v>
      </c>
      <c r="J430" s="336">
        <f t="shared" si="41"/>
        <v>12306.7</v>
      </c>
      <c r="K430" s="546">
        <f t="shared" si="39"/>
        <v>0</v>
      </c>
      <c r="L430" s="502"/>
      <c r="M430" s="231"/>
      <c r="N430" s="11" t="s">
        <v>243</v>
      </c>
      <c r="O430" s="341"/>
      <c r="P430" s="339"/>
    </row>
    <row r="431" spans="1:21" ht="33" hidden="1">
      <c r="A431" s="333" t="s">
        <v>2160</v>
      </c>
      <c r="B431" s="334" t="s">
        <v>30</v>
      </c>
      <c r="C431" s="335" t="s">
        <v>0</v>
      </c>
      <c r="D431" s="336">
        <v>577</v>
      </c>
      <c r="E431" s="336">
        <f>估驗單!F424</f>
        <v>577</v>
      </c>
      <c r="F431" s="390">
        <f t="shared" si="42"/>
        <v>0</v>
      </c>
      <c r="G431" s="336">
        <v>1666.03</v>
      </c>
      <c r="H431" s="336"/>
      <c r="I431" s="336">
        <f t="shared" si="40"/>
        <v>961299.31</v>
      </c>
      <c r="J431" s="336">
        <f t="shared" si="41"/>
        <v>961299.31</v>
      </c>
      <c r="K431" s="546">
        <f t="shared" si="39"/>
        <v>0</v>
      </c>
      <c r="L431" s="502"/>
      <c r="M431" s="231" t="s">
        <v>242</v>
      </c>
      <c r="N431" s="11" t="s">
        <v>243</v>
      </c>
      <c r="O431" s="341"/>
      <c r="P431" s="339"/>
    </row>
    <row r="432" spans="1:21" ht="33" hidden="1">
      <c r="A432" s="503" t="s">
        <v>2161</v>
      </c>
      <c r="B432" s="504" t="s">
        <v>1133</v>
      </c>
      <c r="C432" s="505" t="s">
        <v>0</v>
      </c>
      <c r="D432" s="506">
        <v>2</v>
      </c>
      <c r="E432" s="506">
        <f>估驗單!F425</f>
        <v>3</v>
      </c>
      <c r="F432" s="507">
        <f t="shared" si="42"/>
        <v>1</v>
      </c>
      <c r="G432" s="506">
        <v>48510.35</v>
      </c>
      <c r="H432" s="506"/>
      <c r="I432" s="506">
        <f t="shared" si="40"/>
        <v>97020.7</v>
      </c>
      <c r="J432" s="506">
        <f t="shared" si="41"/>
        <v>145531.04999999999</v>
      </c>
      <c r="K432" s="547">
        <f t="shared" si="39"/>
        <v>48510.349999999991</v>
      </c>
      <c r="L432" s="510"/>
      <c r="M432" s="508" t="s">
        <v>242</v>
      </c>
      <c r="N432" s="11" t="s">
        <v>243</v>
      </c>
      <c r="O432" s="341" t="s">
        <v>3031</v>
      </c>
      <c r="P432" s="339"/>
      <c r="Q432" s="293" t="s">
        <v>2948</v>
      </c>
    </row>
    <row r="433" spans="1:17" ht="33" hidden="1">
      <c r="A433" s="333" t="s">
        <v>2162</v>
      </c>
      <c r="B433" s="334" t="s">
        <v>28</v>
      </c>
      <c r="C433" s="335" t="s">
        <v>22</v>
      </c>
      <c r="D433" s="336">
        <v>19</v>
      </c>
      <c r="E433" s="336">
        <f>估驗單!F426</f>
        <v>19</v>
      </c>
      <c r="F433" s="390">
        <f t="shared" si="42"/>
        <v>0</v>
      </c>
      <c r="G433" s="336">
        <v>587.07000000000005</v>
      </c>
      <c r="H433" s="336"/>
      <c r="I433" s="336">
        <f t="shared" si="40"/>
        <v>11154.33</v>
      </c>
      <c r="J433" s="336">
        <f t="shared" si="41"/>
        <v>11154.33</v>
      </c>
      <c r="K433" s="546">
        <f t="shared" si="39"/>
        <v>0</v>
      </c>
      <c r="L433" s="502"/>
      <c r="M433" s="231"/>
      <c r="N433" s="11" t="s">
        <v>243</v>
      </c>
      <c r="O433" s="341"/>
      <c r="P433" s="339"/>
    </row>
    <row r="434" spans="1:17" ht="33" hidden="1">
      <c r="A434" s="333" t="s">
        <v>2163</v>
      </c>
      <c r="B434" s="334" t="s">
        <v>1136</v>
      </c>
      <c r="C434" s="335" t="s">
        <v>7</v>
      </c>
      <c r="D434" s="336">
        <v>19</v>
      </c>
      <c r="E434" s="336">
        <f>估驗單!F427</f>
        <v>19</v>
      </c>
      <c r="F434" s="390">
        <f t="shared" si="42"/>
        <v>0</v>
      </c>
      <c r="G434" s="336">
        <v>664.14</v>
      </c>
      <c r="H434" s="336"/>
      <c r="I434" s="336">
        <f t="shared" si="40"/>
        <v>12618.66</v>
      </c>
      <c r="J434" s="336">
        <f t="shared" si="41"/>
        <v>12618.66</v>
      </c>
      <c r="K434" s="546">
        <f t="shared" si="39"/>
        <v>0</v>
      </c>
      <c r="L434" s="502"/>
      <c r="M434" s="231" t="s">
        <v>242</v>
      </c>
      <c r="N434" s="11" t="s">
        <v>243</v>
      </c>
      <c r="O434" s="341"/>
      <c r="P434" s="339"/>
    </row>
    <row r="435" spans="1:17" ht="33" hidden="1">
      <c r="A435" s="333" t="s">
        <v>2164</v>
      </c>
      <c r="B435" s="334" t="s">
        <v>1138</v>
      </c>
      <c r="C435" s="335" t="s">
        <v>1139</v>
      </c>
      <c r="D435" s="336">
        <v>2</v>
      </c>
      <c r="E435" s="336">
        <f>估驗單!F428</f>
        <v>2</v>
      </c>
      <c r="F435" s="390">
        <f t="shared" si="42"/>
        <v>0</v>
      </c>
      <c r="G435" s="336">
        <v>9999.4500000000007</v>
      </c>
      <c r="H435" s="336"/>
      <c r="I435" s="336">
        <f t="shared" si="40"/>
        <v>19998.900000000001</v>
      </c>
      <c r="J435" s="336">
        <f t="shared" si="41"/>
        <v>19998.900000000001</v>
      </c>
      <c r="K435" s="546">
        <f t="shared" si="39"/>
        <v>0</v>
      </c>
      <c r="L435" s="502"/>
      <c r="M435" s="231" t="s">
        <v>242</v>
      </c>
      <c r="N435" s="11" t="s">
        <v>243</v>
      </c>
      <c r="O435" s="341"/>
      <c r="P435" s="339"/>
    </row>
    <row r="436" spans="1:17" ht="33" hidden="1">
      <c r="A436" s="333" t="s">
        <v>2165</v>
      </c>
      <c r="B436" s="334" t="s">
        <v>1142</v>
      </c>
      <c r="C436" s="335" t="s">
        <v>8</v>
      </c>
      <c r="D436" s="336">
        <v>698.15</v>
      </c>
      <c r="E436" s="336">
        <f>估驗單!F429</f>
        <v>698.15</v>
      </c>
      <c r="F436" s="390">
        <f t="shared" si="42"/>
        <v>0</v>
      </c>
      <c r="G436" s="336">
        <v>209.99</v>
      </c>
      <c r="H436" s="336"/>
      <c r="I436" s="336">
        <f t="shared" si="40"/>
        <v>146604.51999999999</v>
      </c>
      <c r="J436" s="336">
        <f t="shared" si="41"/>
        <v>146604.51999999999</v>
      </c>
      <c r="K436" s="546">
        <f t="shared" si="39"/>
        <v>0</v>
      </c>
      <c r="L436" s="502"/>
      <c r="M436" s="231"/>
      <c r="N436" s="11" t="s">
        <v>243</v>
      </c>
      <c r="O436" s="341"/>
      <c r="P436" s="339"/>
    </row>
    <row r="437" spans="1:17" ht="33" hidden="1">
      <c r="A437" s="333" t="s">
        <v>2166</v>
      </c>
      <c r="B437" s="334" t="s">
        <v>1145</v>
      </c>
      <c r="C437" s="335" t="s">
        <v>8</v>
      </c>
      <c r="D437" s="336">
        <v>2498.77</v>
      </c>
      <c r="E437" s="336">
        <f>估驗單!F430</f>
        <v>2498.77</v>
      </c>
      <c r="F437" s="390">
        <f t="shared" si="42"/>
        <v>0</v>
      </c>
      <c r="G437" s="336">
        <v>299.98</v>
      </c>
      <c r="H437" s="336"/>
      <c r="I437" s="336">
        <f t="shared" si="40"/>
        <v>749581.02</v>
      </c>
      <c r="J437" s="336">
        <f t="shared" si="41"/>
        <v>749581.02</v>
      </c>
      <c r="K437" s="546">
        <f t="shared" si="39"/>
        <v>0</v>
      </c>
      <c r="L437" s="502"/>
      <c r="M437" s="231" t="s">
        <v>242</v>
      </c>
      <c r="N437" s="11" t="s">
        <v>243</v>
      </c>
      <c r="O437" s="341"/>
      <c r="P437" s="339"/>
    </row>
    <row r="438" spans="1:17" ht="33" hidden="1">
      <c r="A438" s="333" t="s">
        <v>2167</v>
      </c>
      <c r="B438" s="334" t="s">
        <v>1148</v>
      </c>
      <c r="C438" s="335" t="s">
        <v>8</v>
      </c>
      <c r="D438" s="336">
        <v>1396.3</v>
      </c>
      <c r="E438" s="336">
        <f>估驗單!F431</f>
        <v>1396.3</v>
      </c>
      <c r="F438" s="390">
        <f t="shared" si="42"/>
        <v>0</v>
      </c>
      <c r="G438" s="336">
        <v>199.99</v>
      </c>
      <c r="H438" s="336"/>
      <c r="I438" s="336">
        <f t="shared" si="40"/>
        <v>279246.03999999998</v>
      </c>
      <c r="J438" s="336">
        <f t="shared" si="41"/>
        <v>279246.03999999998</v>
      </c>
      <c r="K438" s="546">
        <f t="shared" si="39"/>
        <v>0</v>
      </c>
      <c r="L438" s="502"/>
      <c r="M438" s="231" t="s">
        <v>242</v>
      </c>
      <c r="N438" s="11" t="s">
        <v>243</v>
      </c>
      <c r="O438" s="341"/>
      <c r="P438" s="339"/>
    </row>
    <row r="439" spans="1:17" ht="33" hidden="1">
      <c r="A439" s="333" t="s">
        <v>2168</v>
      </c>
      <c r="B439" s="334" t="s">
        <v>1151</v>
      </c>
      <c r="C439" s="335" t="s">
        <v>4</v>
      </c>
      <c r="D439" s="336">
        <v>1</v>
      </c>
      <c r="E439" s="336">
        <f>估驗單!F432</f>
        <v>1</v>
      </c>
      <c r="F439" s="390">
        <f t="shared" si="42"/>
        <v>0</v>
      </c>
      <c r="G439" s="336">
        <v>21835.68</v>
      </c>
      <c r="H439" s="336"/>
      <c r="I439" s="336">
        <f t="shared" si="40"/>
        <v>21835.68</v>
      </c>
      <c r="J439" s="336">
        <f t="shared" si="41"/>
        <v>21835.68</v>
      </c>
      <c r="K439" s="546">
        <f t="shared" si="39"/>
        <v>0</v>
      </c>
      <c r="L439" s="502"/>
      <c r="M439" s="231" t="s">
        <v>242</v>
      </c>
      <c r="N439" s="11" t="s">
        <v>243</v>
      </c>
      <c r="O439" s="341"/>
      <c r="P439" s="339"/>
    </row>
    <row r="440" spans="1:17" ht="33" hidden="1">
      <c r="A440" s="333" t="s">
        <v>2169</v>
      </c>
      <c r="B440" s="334" t="s">
        <v>1556</v>
      </c>
      <c r="C440" s="335" t="s">
        <v>8</v>
      </c>
      <c r="D440" s="336">
        <v>355</v>
      </c>
      <c r="E440" s="336">
        <f>估驗單!F433</f>
        <v>355</v>
      </c>
      <c r="F440" s="390">
        <f t="shared" si="42"/>
        <v>0</v>
      </c>
      <c r="G440" s="336">
        <v>1859.79</v>
      </c>
      <c r="H440" s="336"/>
      <c r="I440" s="336">
        <f t="shared" si="40"/>
        <v>660225.44999999995</v>
      </c>
      <c r="J440" s="336">
        <f t="shared" si="41"/>
        <v>660225.44999999995</v>
      </c>
      <c r="K440" s="546">
        <f t="shared" si="39"/>
        <v>0</v>
      </c>
      <c r="L440" s="502"/>
      <c r="M440" s="231"/>
      <c r="N440" s="11" t="s">
        <v>243</v>
      </c>
      <c r="O440" s="341"/>
      <c r="P440" s="339"/>
    </row>
    <row r="441" spans="1:17" s="352" customFormat="1" ht="33" hidden="1">
      <c r="A441" s="343">
        <v>17</v>
      </c>
      <c r="B441" s="344" t="s">
        <v>29</v>
      </c>
      <c r="C441" s="345" t="s">
        <v>8</v>
      </c>
      <c r="D441" s="340">
        <v>465</v>
      </c>
      <c r="E441" s="336">
        <f>估驗單!F434</f>
        <v>465</v>
      </c>
      <c r="F441" s="390">
        <f t="shared" si="42"/>
        <v>0</v>
      </c>
      <c r="G441" s="340">
        <v>293.70999999999998</v>
      </c>
      <c r="H441" s="340"/>
      <c r="I441" s="336">
        <f t="shared" si="40"/>
        <v>136575.15</v>
      </c>
      <c r="J441" s="336">
        <f t="shared" si="41"/>
        <v>136575.15</v>
      </c>
      <c r="K441" s="546">
        <f t="shared" si="39"/>
        <v>0</v>
      </c>
      <c r="L441" s="502"/>
      <c r="M441" s="346"/>
      <c r="N441" s="347" t="s">
        <v>243</v>
      </c>
      <c r="O441" s="348"/>
      <c r="P441" s="349"/>
      <c r="Q441" s="342"/>
    </row>
    <row r="442" spans="1:17" s="352" customFormat="1" ht="67.5" hidden="1">
      <c r="A442" s="512" t="s">
        <v>2171</v>
      </c>
      <c r="B442" s="513" t="s">
        <v>2459</v>
      </c>
      <c r="C442" s="514" t="s">
        <v>16</v>
      </c>
      <c r="D442" s="515">
        <v>4920</v>
      </c>
      <c r="E442" s="506">
        <f>估驗單!F435</f>
        <v>6945</v>
      </c>
      <c r="F442" s="507">
        <f t="shared" si="42"/>
        <v>2025</v>
      </c>
      <c r="G442" s="515">
        <v>279.98</v>
      </c>
      <c r="H442" s="515"/>
      <c r="I442" s="506">
        <f t="shared" si="40"/>
        <v>1377501.6</v>
      </c>
      <c r="J442" s="506">
        <f t="shared" si="41"/>
        <v>1944461.1</v>
      </c>
      <c r="K442" s="547">
        <f t="shared" si="39"/>
        <v>566959.5</v>
      </c>
      <c r="L442" s="510"/>
      <c r="M442" s="528"/>
      <c r="N442" s="347" t="s">
        <v>243</v>
      </c>
      <c r="O442" s="348" t="s">
        <v>3051</v>
      </c>
      <c r="P442" s="349" t="s">
        <v>3054</v>
      </c>
      <c r="Q442" s="325" t="s">
        <v>3050</v>
      </c>
    </row>
    <row r="443" spans="1:17" s="352" customFormat="1" ht="28.5" hidden="1" customHeight="1">
      <c r="A443" s="495">
        <v>19</v>
      </c>
      <c r="B443" s="496" t="s">
        <v>2585</v>
      </c>
      <c r="C443" s="497" t="s">
        <v>4</v>
      </c>
      <c r="D443" s="498">
        <v>1</v>
      </c>
      <c r="E443" s="430">
        <v>1</v>
      </c>
      <c r="F443" s="431"/>
      <c r="G443" s="498">
        <v>217999.11</v>
      </c>
      <c r="H443" s="498"/>
      <c r="I443" s="336">
        <f t="shared" si="40"/>
        <v>217999.11</v>
      </c>
      <c r="J443" s="336">
        <f t="shared" si="41"/>
        <v>217999.11</v>
      </c>
      <c r="K443" s="546">
        <f t="shared" si="39"/>
        <v>0</v>
      </c>
      <c r="L443" s="536"/>
      <c r="M443" s="499"/>
      <c r="N443" s="347"/>
      <c r="O443" s="348"/>
      <c r="P443" s="349"/>
      <c r="Q443" s="342"/>
    </row>
    <row r="444" spans="1:17" ht="33">
      <c r="A444" s="406" t="s">
        <v>2255</v>
      </c>
      <c r="B444" s="407" t="s">
        <v>34</v>
      </c>
      <c r="C444" s="408" t="s">
        <v>4</v>
      </c>
      <c r="D444" s="409"/>
      <c r="E444" s="409"/>
      <c r="F444" s="410">
        <f t="shared" si="42"/>
        <v>0</v>
      </c>
      <c r="G444" s="409">
        <f>I444</f>
        <v>3112577.47</v>
      </c>
      <c r="H444" s="409"/>
      <c r="I444" s="409">
        <f>SUM(I445:I463)</f>
        <v>3112577.47</v>
      </c>
      <c r="J444" s="409">
        <f>SUM(J445:J463)</f>
        <v>3112577.47</v>
      </c>
      <c r="K444" s="542">
        <f>SUM(K445:K463)</f>
        <v>0</v>
      </c>
      <c r="L444" s="452">
        <f>SUM(L445:L463)</f>
        <v>0</v>
      </c>
      <c r="M444" s="288"/>
      <c r="N444" s="11" t="s">
        <v>243</v>
      </c>
      <c r="O444" s="785">
        <f>K444+L444</f>
        <v>0</v>
      </c>
      <c r="P444" s="339"/>
    </row>
    <row r="445" spans="1:17" ht="33" hidden="1">
      <c r="A445" s="333" t="s">
        <v>2154</v>
      </c>
      <c r="B445" s="334" t="s">
        <v>146</v>
      </c>
      <c r="C445" s="335" t="s">
        <v>1007</v>
      </c>
      <c r="D445" s="336">
        <v>10</v>
      </c>
      <c r="E445" s="336">
        <f>估驗單!F438</f>
        <v>10</v>
      </c>
      <c r="F445" s="390">
        <f t="shared" si="42"/>
        <v>0</v>
      </c>
      <c r="G445" s="336">
        <v>770</v>
      </c>
      <c r="H445" s="336"/>
      <c r="I445" s="336">
        <f t="shared" ref="I445:I463" si="43">ROUND(D445*G445,2)</f>
        <v>7700</v>
      </c>
      <c r="J445" s="336">
        <f t="shared" ref="J445:J463" si="44">ROUND(E445*G445,2)</f>
        <v>7700</v>
      </c>
      <c r="K445" s="546">
        <f t="shared" si="39"/>
        <v>0</v>
      </c>
      <c r="L445" s="502"/>
      <c r="M445" s="231" t="s">
        <v>242</v>
      </c>
      <c r="N445" s="11" t="s">
        <v>243</v>
      </c>
      <c r="O445" s="341"/>
      <c r="P445" s="339"/>
    </row>
    <row r="446" spans="1:17" ht="33" hidden="1">
      <c r="A446" s="333" t="s">
        <v>2155</v>
      </c>
      <c r="B446" s="334" t="s">
        <v>145</v>
      </c>
      <c r="C446" s="335" t="s">
        <v>1</v>
      </c>
      <c r="D446" s="336">
        <v>100</v>
      </c>
      <c r="E446" s="336">
        <f>估驗單!F439</f>
        <v>100</v>
      </c>
      <c r="F446" s="390">
        <f t="shared" si="42"/>
        <v>0</v>
      </c>
      <c r="G446" s="336">
        <v>201</v>
      </c>
      <c r="H446" s="336"/>
      <c r="I446" s="336">
        <f t="shared" si="43"/>
        <v>20100</v>
      </c>
      <c r="J446" s="336">
        <f t="shared" si="44"/>
        <v>20100</v>
      </c>
      <c r="K446" s="546">
        <f t="shared" si="39"/>
        <v>0</v>
      </c>
      <c r="L446" s="502"/>
      <c r="M446" s="231" t="s">
        <v>242</v>
      </c>
      <c r="N446" s="11" t="s">
        <v>243</v>
      </c>
      <c r="O446" s="341"/>
      <c r="P446" s="339"/>
    </row>
    <row r="447" spans="1:17" ht="33" hidden="1">
      <c r="A447" s="333" t="s">
        <v>2156</v>
      </c>
      <c r="B447" s="334" t="s">
        <v>144</v>
      </c>
      <c r="C447" s="335" t="s">
        <v>9</v>
      </c>
      <c r="D447" s="336">
        <v>50</v>
      </c>
      <c r="E447" s="336">
        <f>估驗單!F440</f>
        <v>50</v>
      </c>
      <c r="F447" s="390">
        <f t="shared" si="42"/>
        <v>0</v>
      </c>
      <c r="G447" s="336">
        <v>300</v>
      </c>
      <c r="H447" s="336"/>
      <c r="I447" s="336">
        <f t="shared" si="43"/>
        <v>15000</v>
      </c>
      <c r="J447" s="336">
        <f t="shared" si="44"/>
        <v>15000</v>
      </c>
      <c r="K447" s="546">
        <f t="shared" si="39"/>
        <v>0</v>
      </c>
      <c r="L447" s="502"/>
      <c r="M447" s="231" t="s">
        <v>242</v>
      </c>
      <c r="N447" s="11" t="s">
        <v>243</v>
      </c>
      <c r="O447" s="341"/>
      <c r="P447" s="339"/>
    </row>
    <row r="448" spans="1:17" s="325" customFormat="1" ht="33" hidden="1">
      <c r="A448" s="333" t="s">
        <v>2157</v>
      </c>
      <c r="B448" s="334" t="s">
        <v>35</v>
      </c>
      <c r="C448" s="335" t="s">
        <v>15</v>
      </c>
      <c r="D448" s="336">
        <v>75</v>
      </c>
      <c r="E448" s="336">
        <f>估驗單!F441</f>
        <v>75</v>
      </c>
      <c r="F448" s="390">
        <f t="shared" si="42"/>
        <v>0</v>
      </c>
      <c r="G448" s="336">
        <v>650</v>
      </c>
      <c r="H448" s="336"/>
      <c r="I448" s="336">
        <f t="shared" si="43"/>
        <v>48750</v>
      </c>
      <c r="J448" s="336">
        <f t="shared" si="44"/>
        <v>48750</v>
      </c>
      <c r="K448" s="546">
        <f t="shared" si="39"/>
        <v>0</v>
      </c>
      <c r="L448" s="502"/>
      <c r="M448" s="231" t="s">
        <v>242</v>
      </c>
      <c r="N448" s="11" t="s">
        <v>243</v>
      </c>
      <c r="O448" s="341"/>
      <c r="P448" s="339"/>
    </row>
    <row r="449" spans="1:16" s="325" customFormat="1" ht="33" hidden="1">
      <c r="A449" s="333" t="s">
        <v>2158</v>
      </c>
      <c r="B449" s="334" t="s">
        <v>2479</v>
      </c>
      <c r="C449" s="335" t="s">
        <v>3</v>
      </c>
      <c r="D449" s="336">
        <v>200</v>
      </c>
      <c r="E449" s="336">
        <f>估驗單!F442</f>
        <v>200</v>
      </c>
      <c r="F449" s="390">
        <f t="shared" si="42"/>
        <v>0</v>
      </c>
      <c r="G449" s="336">
        <v>28</v>
      </c>
      <c r="H449" s="336"/>
      <c r="I449" s="336">
        <f t="shared" si="43"/>
        <v>5600</v>
      </c>
      <c r="J449" s="336">
        <f t="shared" si="44"/>
        <v>5600</v>
      </c>
      <c r="K449" s="546">
        <f t="shared" si="39"/>
        <v>0</v>
      </c>
      <c r="L449" s="502"/>
      <c r="M449" s="231"/>
      <c r="N449" s="11" t="s">
        <v>243</v>
      </c>
      <c r="O449" s="341"/>
      <c r="P449" s="339"/>
    </row>
    <row r="450" spans="1:16" s="325" customFormat="1" ht="33" hidden="1">
      <c r="A450" s="333" t="s">
        <v>2159</v>
      </c>
      <c r="B450" s="334" t="s">
        <v>36</v>
      </c>
      <c r="C450" s="335" t="s">
        <v>3</v>
      </c>
      <c r="D450" s="336">
        <v>100</v>
      </c>
      <c r="E450" s="336">
        <f>估驗單!F443</f>
        <v>100</v>
      </c>
      <c r="F450" s="390">
        <f t="shared" si="42"/>
        <v>0</v>
      </c>
      <c r="G450" s="336">
        <v>500</v>
      </c>
      <c r="H450" s="336"/>
      <c r="I450" s="336">
        <f t="shared" si="43"/>
        <v>50000</v>
      </c>
      <c r="J450" s="336">
        <f t="shared" si="44"/>
        <v>50000</v>
      </c>
      <c r="K450" s="546">
        <f t="shared" si="39"/>
        <v>0</v>
      </c>
      <c r="L450" s="502"/>
      <c r="M450" s="231" t="s">
        <v>242</v>
      </c>
      <c r="N450" s="11" t="s">
        <v>243</v>
      </c>
      <c r="O450" s="341"/>
      <c r="P450" s="339"/>
    </row>
    <row r="451" spans="1:16" s="325" customFormat="1" ht="33" hidden="1">
      <c r="A451" s="333" t="s">
        <v>2160</v>
      </c>
      <c r="B451" s="334" t="s">
        <v>2478</v>
      </c>
      <c r="C451" s="335" t="s">
        <v>18</v>
      </c>
      <c r="D451" s="336">
        <v>75</v>
      </c>
      <c r="E451" s="336">
        <f>估驗單!F444</f>
        <v>75</v>
      </c>
      <c r="F451" s="418">
        <f t="shared" si="42"/>
        <v>0</v>
      </c>
      <c r="G451" s="336">
        <v>280</v>
      </c>
      <c r="H451" s="336"/>
      <c r="I451" s="336">
        <f t="shared" si="43"/>
        <v>21000</v>
      </c>
      <c r="J451" s="336">
        <f t="shared" si="44"/>
        <v>21000</v>
      </c>
      <c r="K451" s="546">
        <f t="shared" si="39"/>
        <v>0</v>
      </c>
      <c r="L451" s="453"/>
      <c r="M451" s="231" t="s">
        <v>242</v>
      </c>
      <c r="N451" s="11" t="s">
        <v>243</v>
      </c>
      <c r="O451" s="341"/>
      <c r="P451" s="339"/>
    </row>
    <row r="452" spans="1:16" s="325" customFormat="1" ht="42.75" hidden="1">
      <c r="A452" s="333" t="s">
        <v>2161</v>
      </c>
      <c r="B452" s="334" t="s">
        <v>37</v>
      </c>
      <c r="C452" s="335" t="s">
        <v>18</v>
      </c>
      <c r="D452" s="336">
        <v>50</v>
      </c>
      <c r="E452" s="336">
        <f>估驗單!F445</f>
        <v>50</v>
      </c>
      <c r="F452" s="390">
        <f t="shared" si="42"/>
        <v>0</v>
      </c>
      <c r="G452" s="336">
        <v>350</v>
      </c>
      <c r="H452" s="336"/>
      <c r="I452" s="336">
        <f t="shared" si="43"/>
        <v>17500</v>
      </c>
      <c r="J452" s="336">
        <f t="shared" si="44"/>
        <v>17500</v>
      </c>
      <c r="K452" s="546">
        <f t="shared" si="39"/>
        <v>0</v>
      </c>
      <c r="L452" s="502"/>
      <c r="M452" s="231" t="s">
        <v>242</v>
      </c>
      <c r="N452" s="11" t="s">
        <v>243</v>
      </c>
      <c r="O452" s="341"/>
      <c r="P452" s="339"/>
    </row>
    <row r="453" spans="1:16" s="325" customFormat="1" ht="33" hidden="1">
      <c r="A453" s="333" t="s">
        <v>2162</v>
      </c>
      <c r="B453" s="334" t="s">
        <v>1162</v>
      </c>
      <c r="C453" s="335" t="s">
        <v>15</v>
      </c>
      <c r="D453" s="336">
        <v>10</v>
      </c>
      <c r="E453" s="336">
        <f>估驗單!F446</f>
        <v>10</v>
      </c>
      <c r="F453" s="390">
        <f t="shared" si="42"/>
        <v>0</v>
      </c>
      <c r="G453" s="336">
        <v>560</v>
      </c>
      <c r="H453" s="336"/>
      <c r="I453" s="336">
        <f t="shared" si="43"/>
        <v>5600</v>
      </c>
      <c r="J453" s="336">
        <f t="shared" si="44"/>
        <v>5600</v>
      </c>
      <c r="K453" s="546">
        <f t="shared" si="39"/>
        <v>0</v>
      </c>
      <c r="L453" s="502"/>
      <c r="M453" s="231" t="s">
        <v>242</v>
      </c>
      <c r="N453" s="11" t="s">
        <v>243</v>
      </c>
      <c r="O453" s="341"/>
      <c r="P453" s="339"/>
    </row>
    <row r="454" spans="1:16" s="325" customFormat="1" ht="33" hidden="1">
      <c r="A454" s="333" t="s">
        <v>2163</v>
      </c>
      <c r="B454" s="334" t="s">
        <v>38</v>
      </c>
      <c r="C454" s="335" t="s">
        <v>7</v>
      </c>
      <c r="D454" s="336">
        <v>4</v>
      </c>
      <c r="E454" s="336">
        <f>估驗單!F447</f>
        <v>4</v>
      </c>
      <c r="F454" s="390">
        <f t="shared" si="42"/>
        <v>0</v>
      </c>
      <c r="G454" s="336">
        <v>250</v>
      </c>
      <c r="H454" s="336"/>
      <c r="I454" s="336">
        <f t="shared" si="43"/>
        <v>1000</v>
      </c>
      <c r="J454" s="336">
        <f t="shared" si="44"/>
        <v>1000</v>
      </c>
      <c r="K454" s="546">
        <f t="shared" si="39"/>
        <v>0</v>
      </c>
      <c r="L454" s="502"/>
      <c r="M454" s="231" t="s">
        <v>242</v>
      </c>
      <c r="N454" s="11" t="s">
        <v>243</v>
      </c>
      <c r="O454" s="341"/>
      <c r="P454" s="339"/>
    </row>
    <row r="455" spans="1:16" s="325" customFormat="1" ht="33" hidden="1">
      <c r="A455" s="333" t="s">
        <v>2164</v>
      </c>
      <c r="B455" s="334" t="s">
        <v>1165</v>
      </c>
      <c r="C455" s="335" t="s">
        <v>15</v>
      </c>
      <c r="D455" s="336">
        <v>5</v>
      </c>
      <c r="E455" s="336">
        <f>估驗單!F448</f>
        <v>5</v>
      </c>
      <c r="F455" s="390">
        <f t="shared" si="42"/>
        <v>0</v>
      </c>
      <c r="G455" s="336">
        <v>8300</v>
      </c>
      <c r="H455" s="336"/>
      <c r="I455" s="336">
        <f t="shared" si="43"/>
        <v>41500</v>
      </c>
      <c r="J455" s="336">
        <f t="shared" si="44"/>
        <v>41500</v>
      </c>
      <c r="K455" s="546">
        <f t="shared" si="39"/>
        <v>0</v>
      </c>
      <c r="L455" s="502"/>
      <c r="M455" s="231" t="s">
        <v>242</v>
      </c>
      <c r="N455" s="11" t="s">
        <v>243</v>
      </c>
      <c r="O455" s="341"/>
      <c r="P455" s="339"/>
    </row>
    <row r="456" spans="1:16" s="325" customFormat="1" ht="33" hidden="1">
      <c r="A456" s="333" t="s">
        <v>2165</v>
      </c>
      <c r="B456" s="334" t="s">
        <v>1168</v>
      </c>
      <c r="C456" s="335" t="s">
        <v>15</v>
      </c>
      <c r="D456" s="336">
        <v>5</v>
      </c>
      <c r="E456" s="336">
        <f>估驗單!F449</f>
        <v>5</v>
      </c>
      <c r="F456" s="390">
        <f t="shared" si="42"/>
        <v>0</v>
      </c>
      <c r="G456" s="336">
        <v>1160</v>
      </c>
      <c r="H456" s="336"/>
      <c r="I456" s="336">
        <f t="shared" si="43"/>
        <v>5800</v>
      </c>
      <c r="J456" s="336">
        <f t="shared" si="44"/>
        <v>5800</v>
      </c>
      <c r="K456" s="546">
        <f t="shared" si="39"/>
        <v>0</v>
      </c>
      <c r="L456" s="502"/>
      <c r="M456" s="231" t="s">
        <v>242</v>
      </c>
      <c r="N456" s="11" t="s">
        <v>243</v>
      </c>
      <c r="O456" s="341"/>
      <c r="P456" s="339"/>
    </row>
    <row r="457" spans="1:16" s="325" customFormat="1" ht="33" hidden="1">
      <c r="A457" s="333" t="s">
        <v>2166</v>
      </c>
      <c r="B457" s="334" t="s">
        <v>1171</v>
      </c>
      <c r="C457" s="335" t="s">
        <v>15</v>
      </c>
      <c r="D457" s="336">
        <v>5</v>
      </c>
      <c r="E457" s="336">
        <f>估驗單!F450</f>
        <v>5</v>
      </c>
      <c r="F457" s="390">
        <f t="shared" si="42"/>
        <v>0</v>
      </c>
      <c r="G457" s="336">
        <v>600</v>
      </c>
      <c r="H457" s="336"/>
      <c r="I457" s="336">
        <f t="shared" si="43"/>
        <v>3000</v>
      </c>
      <c r="J457" s="336">
        <f t="shared" si="44"/>
        <v>3000</v>
      </c>
      <c r="K457" s="546">
        <f t="shared" si="39"/>
        <v>0</v>
      </c>
      <c r="L457" s="502"/>
      <c r="M457" s="231" t="s">
        <v>242</v>
      </c>
      <c r="N457" s="11" t="s">
        <v>243</v>
      </c>
      <c r="O457" s="341"/>
      <c r="P457" s="339"/>
    </row>
    <row r="458" spans="1:16" s="325" customFormat="1" ht="33" hidden="1">
      <c r="A458" s="333" t="s">
        <v>2167</v>
      </c>
      <c r="B458" s="334" t="s">
        <v>1174</v>
      </c>
      <c r="C458" s="335" t="s">
        <v>15</v>
      </c>
      <c r="D458" s="336">
        <v>5</v>
      </c>
      <c r="E458" s="336">
        <f>估驗單!F451</f>
        <v>5</v>
      </c>
      <c r="F458" s="390">
        <f t="shared" si="42"/>
        <v>0</v>
      </c>
      <c r="G458" s="336">
        <v>1800</v>
      </c>
      <c r="H458" s="336"/>
      <c r="I458" s="336">
        <f t="shared" si="43"/>
        <v>9000</v>
      </c>
      <c r="J458" s="336">
        <f t="shared" si="44"/>
        <v>9000</v>
      </c>
      <c r="K458" s="546">
        <f t="shared" si="39"/>
        <v>0</v>
      </c>
      <c r="L458" s="502"/>
      <c r="M458" s="231" t="s">
        <v>242</v>
      </c>
      <c r="N458" s="11" t="s">
        <v>243</v>
      </c>
      <c r="O458" s="341"/>
      <c r="P458" s="339"/>
    </row>
    <row r="459" spans="1:16" s="325" customFormat="1" ht="33" hidden="1">
      <c r="A459" s="333" t="s">
        <v>2168</v>
      </c>
      <c r="B459" s="334" t="s">
        <v>1177</v>
      </c>
      <c r="C459" s="335" t="s">
        <v>15</v>
      </c>
      <c r="D459" s="336">
        <v>80</v>
      </c>
      <c r="E459" s="336">
        <f>估驗單!F452</f>
        <v>80</v>
      </c>
      <c r="F459" s="390">
        <f t="shared" si="42"/>
        <v>0</v>
      </c>
      <c r="G459" s="336">
        <v>2200</v>
      </c>
      <c r="H459" s="336"/>
      <c r="I459" s="336">
        <f t="shared" si="43"/>
        <v>176000</v>
      </c>
      <c r="J459" s="336">
        <f t="shared" si="44"/>
        <v>176000</v>
      </c>
      <c r="K459" s="546">
        <f t="shared" si="39"/>
        <v>0</v>
      </c>
      <c r="L459" s="502"/>
      <c r="M459" s="231" t="s">
        <v>242</v>
      </c>
      <c r="N459" s="11" t="s">
        <v>243</v>
      </c>
      <c r="O459" s="341"/>
      <c r="P459" s="339"/>
    </row>
    <row r="460" spans="1:16" s="325" customFormat="1" ht="33" hidden="1">
      <c r="A460" s="333" t="s">
        <v>2169</v>
      </c>
      <c r="B460" s="334" t="s">
        <v>39</v>
      </c>
      <c r="C460" s="335" t="s">
        <v>4</v>
      </c>
      <c r="D460" s="336">
        <v>1</v>
      </c>
      <c r="E460" s="336">
        <f>估驗單!F453</f>
        <v>1</v>
      </c>
      <c r="F460" s="390">
        <f t="shared" si="42"/>
        <v>0</v>
      </c>
      <c r="G460" s="336">
        <v>232697.98</v>
      </c>
      <c r="H460" s="336"/>
      <c r="I460" s="336">
        <f t="shared" si="43"/>
        <v>232697.98</v>
      </c>
      <c r="J460" s="336">
        <f t="shared" si="44"/>
        <v>232697.98</v>
      </c>
      <c r="K460" s="546">
        <f t="shared" si="39"/>
        <v>0</v>
      </c>
      <c r="L460" s="502"/>
      <c r="M460" s="231" t="s">
        <v>242</v>
      </c>
      <c r="N460" s="11" t="s">
        <v>243</v>
      </c>
      <c r="O460" s="341"/>
      <c r="P460" s="339"/>
    </row>
    <row r="461" spans="1:16" s="325" customFormat="1" ht="33" hidden="1">
      <c r="A461" s="333" t="s">
        <v>2170</v>
      </c>
      <c r="B461" s="334" t="s">
        <v>1182</v>
      </c>
      <c r="C461" s="335" t="s">
        <v>8</v>
      </c>
      <c r="D461" s="336">
        <v>5000</v>
      </c>
      <c r="E461" s="336">
        <f>估驗單!F454</f>
        <v>5000</v>
      </c>
      <c r="F461" s="390">
        <f t="shared" si="42"/>
        <v>0</v>
      </c>
      <c r="G461" s="336">
        <v>13</v>
      </c>
      <c r="H461" s="336"/>
      <c r="I461" s="336">
        <f t="shared" si="43"/>
        <v>65000</v>
      </c>
      <c r="J461" s="336">
        <f t="shared" si="44"/>
        <v>65000</v>
      </c>
      <c r="K461" s="546">
        <f t="shared" ref="K461:K467" si="45">J461-I461</f>
        <v>0</v>
      </c>
      <c r="L461" s="502"/>
      <c r="M461" s="231" t="s">
        <v>242</v>
      </c>
      <c r="N461" s="11" t="s">
        <v>243</v>
      </c>
      <c r="O461" s="341"/>
      <c r="P461" s="339"/>
    </row>
    <row r="462" spans="1:16" s="325" customFormat="1" ht="33" hidden="1">
      <c r="A462" s="333" t="s">
        <v>2171</v>
      </c>
      <c r="B462" s="334" t="s">
        <v>225</v>
      </c>
      <c r="C462" s="335" t="s">
        <v>226</v>
      </c>
      <c r="D462" s="336">
        <v>48</v>
      </c>
      <c r="E462" s="336">
        <f>估驗單!F455</f>
        <v>48</v>
      </c>
      <c r="F462" s="390">
        <f t="shared" si="42"/>
        <v>0</v>
      </c>
      <c r="G462" s="336">
        <v>47468</v>
      </c>
      <c r="H462" s="336"/>
      <c r="I462" s="336">
        <f t="shared" si="43"/>
        <v>2278464</v>
      </c>
      <c r="J462" s="336">
        <f t="shared" si="44"/>
        <v>2278464</v>
      </c>
      <c r="K462" s="546">
        <f t="shared" si="45"/>
        <v>0</v>
      </c>
      <c r="L462" s="502"/>
      <c r="M462" s="231"/>
      <c r="N462" s="11" t="s">
        <v>243</v>
      </c>
      <c r="O462" s="341"/>
      <c r="P462" s="339"/>
    </row>
    <row r="463" spans="1:16" s="325" customFormat="1" ht="33" hidden="1">
      <c r="A463" s="333" t="s">
        <v>2172</v>
      </c>
      <c r="B463" s="334" t="s">
        <v>1187</v>
      </c>
      <c r="C463" s="335" t="s">
        <v>4</v>
      </c>
      <c r="D463" s="336">
        <v>1</v>
      </c>
      <c r="E463" s="336">
        <f>估驗單!F456</f>
        <v>1</v>
      </c>
      <c r="F463" s="390">
        <f t="shared" si="42"/>
        <v>0</v>
      </c>
      <c r="G463" s="336">
        <v>108865.49</v>
      </c>
      <c r="H463" s="336"/>
      <c r="I463" s="336">
        <f t="shared" si="43"/>
        <v>108865.49</v>
      </c>
      <c r="J463" s="336">
        <f t="shared" si="44"/>
        <v>108865.49</v>
      </c>
      <c r="K463" s="546">
        <f t="shared" si="45"/>
        <v>0</v>
      </c>
      <c r="L463" s="502"/>
      <c r="M463" s="231"/>
      <c r="N463" s="11" t="s">
        <v>243</v>
      </c>
      <c r="O463" s="341"/>
      <c r="P463" s="339"/>
    </row>
    <row r="464" spans="1:16" s="325" customFormat="1" ht="33">
      <c r="A464" s="406" t="s">
        <v>2256</v>
      </c>
      <c r="B464" s="407" t="s">
        <v>227</v>
      </c>
      <c r="C464" s="408" t="s">
        <v>4</v>
      </c>
      <c r="D464" s="409"/>
      <c r="E464" s="409"/>
      <c r="F464" s="410">
        <f t="shared" si="42"/>
        <v>0</v>
      </c>
      <c r="G464" s="409">
        <f>I464</f>
        <v>2769229.16</v>
      </c>
      <c r="H464" s="409"/>
      <c r="I464" s="409">
        <f>SUM(I465:I466)</f>
        <v>2769229.16</v>
      </c>
      <c r="J464" s="409">
        <f>SUM(J465:J466)</f>
        <v>2769229.16</v>
      </c>
      <c r="K464" s="542">
        <f>SUM(K465:K466)</f>
        <v>0</v>
      </c>
      <c r="L464" s="534">
        <f>SUM(L465:L466)</f>
        <v>0</v>
      </c>
      <c r="M464" s="288"/>
      <c r="N464" s="11" t="s">
        <v>243</v>
      </c>
      <c r="O464" s="785">
        <f>K464+L464</f>
        <v>0</v>
      </c>
      <c r="P464" s="339"/>
    </row>
    <row r="465" spans="1:17" s="325" customFormat="1" ht="33" hidden="1">
      <c r="A465" s="333" t="s">
        <v>2154</v>
      </c>
      <c r="B465" s="334" t="s">
        <v>228</v>
      </c>
      <c r="C465" s="335" t="s">
        <v>226</v>
      </c>
      <c r="D465" s="336">
        <v>48</v>
      </c>
      <c r="E465" s="336">
        <f>估驗單!F458</f>
        <v>48</v>
      </c>
      <c r="F465" s="390">
        <f t="shared" si="42"/>
        <v>0</v>
      </c>
      <c r="G465" s="336">
        <v>47468</v>
      </c>
      <c r="H465" s="336"/>
      <c r="I465" s="336">
        <f>ROUND(D465*G465,2)</f>
        <v>2278464</v>
      </c>
      <c r="J465" s="336">
        <f>ROUND(E465*G465,2)</f>
        <v>2278464</v>
      </c>
      <c r="K465" s="546">
        <f t="shared" si="45"/>
        <v>0</v>
      </c>
      <c r="L465" s="502"/>
      <c r="M465" s="231"/>
      <c r="N465" s="11" t="s">
        <v>243</v>
      </c>
      <c r="O465" s="341"/>
      <c r="P465" s="339"/>
    </row>
    <row r="466" spans="1:17" s="325" customFormat="1" ht="33" hidden="1">
      <c r="A466" s="333" t="s">
        <v>2155</v>
      </c>
      <c r="B466" s="334" t="s">
        <v>1193</v>
      </c>
      <c r="C466" s="335" t="s">
        <v>4</v>
      </c>
      <c r="D466" s="336">
        <v>1</v>
      </c>
      <c r="E466" s="336">
        <f>估驗單!F459</f>
        <v>1</v>
      </c>
      <c r="F466" s="390">
        <f t="shared" si="42"/>
        <v>0</v>
      </c>
      <c r="G466" s="336">
        <v>490765.16</v>
      </c>
      <c r="H466" s="336"/>
      <c r="I466" s="336">
        <f>ROUND(D466*G466,2)</f>
        <v>490765.16</v>
      </c>
      <c r="J466" s="336">
        <f>ROUND(E466*G466,2)</f>
        <v>490765.16</v>
      </c>
      <c r="K466" s="546">
        <f t="shared" si="45"/>
        <v>0</v>
      </c>
      <c r="L466" s="502"/>
      <c r="M466" s="231"/>
      <c r="N466" s="11" t="s">
        <v>243</v>
      </c>
      <c r="O466" s="341"/>
      <c r="P466" s="339"/>
    </row>
    <row r="467" spans="1:17" s="325" customFormat="1" ht="33">
      <c r="A467" s="503" t="s">
        <v>2257</v>
      </c>
      <c r="B467" s="504" t="s">
        <v>1196</v>
      </c>
      <c r="C467" s="505" t="s">
        <v>4</v>
      </c>
      <c r="D467" s="506">
        <v>1</v>
      </c>
      <c r="E467" s="506">
        <f>估驗單!F460</f>
        <v>1</v>
      </c>
      <c r="F467" s="507">
        <f t="shared" si="42"/>
        <v>0</v>
      </c>
      <c r="G467" s="506">
        <f>I467</f>
        <v>30205923.059999999</v>
      </c>
      <c r="H467" s="506"/>
      <c r="I467" s="530">
        <v>30205923.059999999</v>
      </c>
      <c r="J467" s="506">
        <f>ROUND((J10+J354+J380+J420+J424+J444+J464)*10.94944113%,2)</f>
        <v>31652494.359999999</v>
      </c>
      <c r="K467" s="547">
        <f t="shared" si="45"/>
        <v>1446571.3000000007</v>
      </c>
      <c r="L467" s="510"/>
      <c r="M467" s="508" t="s">
        <v>2258</v>
      </c>
      <c r="N467" s="11" t="s">
        <v>243</v>
      </c>
      <c r="O467" s="785">
        <f>K467+L467</f>
        <v>1446571.3000000007</v>
      </c>
      <c r="P467" s="339"/>
      <c r="Q467" s="325" t="s">
        <v>3055</v>
      </c>
    </row>
    <row r="468" spans="1:17" s="325" customFormat="1" ht="99.75">
      <c r="A468" s="406" t="s">
        <v>2259</v>
      </c>
      <c r="B468" s="407" t="s">
        <v>1199</v>
      </c>
      <c r="C468" s="408" t="s">
        <v>4</v>
      </c>
      <c r="D468" s="409">
        <v>1</v>
      </c>
      <c r="E468" s="409">
        <f>估驗單!F461</f>
        <v>1</v>
      </c>
      <c r="F468" s="410">
        <f t="shared" si="42"/>
        <v>0</v>
      </c>
      <c r="G468" s="409">
        <v>1987650</v>
      </c>
      <c r="H468" s="409"/>
      <c r="I468" s="409">
        <f>I469</f>
        <v>1987650</v>
      </c>
      <c r="J468" s="409">
        <f>J469</f>
        <v>2736750</v>
      </c>
      <c r="K468" s="542">
        <f>K469</f>
        <v>749100</v>
      </c>
      <c r="L468" s="534"/>
      <c r="M468" s="288" t="s">
        <v>1200</v>
      </c>
      <c r="N468" s="11" t="s">
        <v>243</v>
      </c>
      <c r="O468" s="785">
        <f>K468+L468</f>
        <v>749100</v>
      </c>
      <c r="P468" s="339"/>
    </row>
    <row r="469" spans="1:17" s="325" customFormat="1" ht="33">
      <c r="A469" s="503" t="s">
        <v>2154</v>
      </c>
      <c r="B469" s="504" t="s">
        <v>1199</v>
      </c>
      <c r="C469" s="505" t="s">
        <v>6</v>
      </c>
      <c r="D469" s="506">
        <v>13251</v>
      </c>
      <c r="E469" s="506">
        <f>估驗單!F462</f>
        <v>18245</v>
      </c>
      <c r="F469" s="507">
        <f t="shared" si="42"/>
        <v>4994</v>
      </c>
      <c r="G469" s="506">
        <v>150</v>
      </c>
      <c r="H469" s="506"/>
      <c r="I469" s="506">
        <v>1987650</v>
      </c>
      <c r="J469" s="506">
        <f>ROUND(E469*G469,2)</f>
        <v>2736750</v>
      </c>
      <c r="K469" s="760">
        <f>J469-I469</f>
        <v>749100</v>
      </c>
      <c r="L469" s="510"/>
      <c r="M469" s="508" t="s">
        <v>242</v>
      </c>
      <c r="N469" s="11" t="s">
        <v>243</v>
      </c>
      <c r="O469" s="785">
        <f>K469+L469</f>
        <v>749100</v>
      </c>
      <c r="P469" s="339"/>
      <c r="Q469" s="325" t="s">
        <v>3057</v>
      </c>
    </row>
    <row r="470" spans="1:17" s="325" customFormat="1" ht="114">
      <c r="A470" s="406" t="s">
        <v>2260</v>
      </c>
      <c r="B470" s="407" t="s">
        <v>1204</v>
      </c>
      <c r="C470" s="408" t="s">
        <v>4</v>
      </c>
      <c r="D470" s="409">
        <v>1</v>
      </c>
      <c r="E470" s="409">
        <v>1</v>
      </c>
      <c r="F470" s="410">
        <f t="shared" si="42"/>
        <v>0</v>
      </c>
      <c r="G470" s="409">
        <v>179691.68</v>
      </c>
      <c r="H470" s="409"/>
      <c r="I470" s="409">
        <v>179691.68</v>
      </c>
      <c r="J470" s="409">
        <f>ROUND(E470*G470,2)</f>
        <v>179691.68</v>
      </c>
      <c r="K470" s="542"/>
      <c r="L470" s="534"/>
      <c r="M470" s="288" t="s">
        <v>1205</v>
      </c>
      <c r="N470" s="11" t="s">
        <v>243</v>
      </c>
      <c r="O470" s="785">
        <f>K470+L470</f>
        <v>0</v>
      </c>
      <c r="P470" s="339"/>
    </row>
    <row r="471" spans="1:17" s="325" customFormat="1" ht="33" hidden="1">
      <c r="A471" s="427" t="s">
        <v>2154</v>
      </c>
      <c r="B471" s="428" t="s">
        <v>1207</v>
      </c>
      <c r="C471" s="429" t="s">
        <v>13</v>
      </c>
      <c r="D471" s="430">
        <v>3208.78</v>
      </c>
      <c r="E471" s="430">
        <f>估驗單!F464</f>
        <v>3208.78</v>
      </c>
      <c r="F471" s="390">
        <f t="shared" si="42"/>
        <v>0</v>
      </c>
      <c r="G471" s="430">
        <v>56</v>
      </c>
      <c r="H471" s="430"/>
      <c r="I471" s="430">
        <v>179691.68</v>
      </c>
      <c r="J471" s="336">
        <f>ROUND(E471*G471,2)</f>
        <v>179691.68</v>
      </c>
      <c r="K471" s="544"/>
      <c r="L471" s="502"/>
      <c r="M471" s="432" t="s">
        <v>242</v>
      </c>
      <c r="N471" s="11" t="s">
        <v>243</v>
      </c>
      <c r="O471" s="380"/>
      <c r="P471" s="381"/>
    </row>
  </sheetData>
  <autoFilter ref="A1:S471" xr:uid="{D9F590A5-EAF2-4232-9163-FCD42A28AF33}">
    <filterColumn colId="1">
      <filters>
        <filter val="下水道工程"/>
        <filter val="土建景觀工程"/>
        <filter val="工地環境保護費"/>
        <filter val="工程費"/>
        <filter val="台北港土方管理費"/>
        <filter val="安全設施與交通維持費"/>
        <filter val="自主品管費"/>
        <filter val="材料試驗費"/>
        <filter val="河川工程"/>
        <filter val="植栽工程"/>
        <filter val="發包工程費"/>
        <filter val="稅什費（含保險費）"/>
        <filter val="項目名稱"/>
        <filter val="道路及附屬工程"/>
        <filter val="電氣設備工程"/>
        <filter val="鄰房現況鑑定（含稅）"/>
        <filter val="整備工程"/>
        <filter val="橋梁工程"/>
        <filter val="臨時動員及圍排水設施費"/>
        <filter val="職業安全衛生費"/>
        <filter val="雜項工程費"/>
      </filters>
    </filterColumn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28">
    <mergeCell ref="L4:M4"/>
    <mergeCell ref="C1:K1"/>
    <mergeCell ref="A2:B2"/>
    <mergeCell ref="C2:K2"/>
    <mergeCell ref="A3:J3"/>
    <mergeCell ref="L3:M3"/>
    <mergeCell ref="L7:L8"/>
    <mergeCell ref="A5:I5"/>
    <mergeCell ref="L5:M5"/>
    <mergeCell ref="A6:I6"/>
    <mergeCell ref="L6:M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M7:M8"/>
    <mergeCell ref="O7:O8"/>
    <mergeCell ref="P7:P8"/>
    <mergeCell ref="Q7:Q8"/>
    <mergeCell ref="O122:O125"/>
    <mergeCell ref="Q122:Q125"/>
  </mergeCells>
  <phoneticPr fontId="1" type="noConversion"/>
  <printOptions horizontalCentered="1"/>
  <pageMargins left="0.51181102362204722" right="0.51181102362204722" top="0.15748031496062992" bottom="0.15748031496062992" header="0.31496062992125984" footer="0.31496062992125984"/>
  <pageSetup paperSize="9" scale="80" orientation="landscape" r:id="rId1"/>
  <colBreaks count="1" manualBreakCount="1">
    <brk id="13" max="470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F2C3-D130-436E-A225-7BB7EAA66C52}">
  <dimension ref="A1:O671"/>
  <sheetViews>
    <sheetView view="pageBreakPreview" zoomScale="93" zoomScaleNormal="100" zoomScaleSheetLayoutView="93" workbookViewId="0">
      <pane ySplit="5" topLeftCell="A76" activePane="bottomLeft" state="frozen"/>
      <selection activeCell="P201" sqref="P201"/>
      <selection pane="bottomLeft" activeCell="F81" sqref="F81"/>
    </sheetView>
  </sheetViews>
  <sheetFormatPr defaultColWidth="10.28515625" defaultRowHeight="21"/>
  <cols>
    <col min="1" max="1" width="6" style="78" customWidth="1"/>
    <col min="2" max="2" width="22.42578125" style="78" customWidth="1"/>
    <col min="3" max="3" width="6.28515625" style="78" customWidth="1"/>
    <col min="4" max="5" width="14.28515625" style="33" customWidth="1"/>
    <col min="6" max="6" width="38.140625" style="27" customWidth="1"/>
    <col min="7" max="7" width="55.5703125" style="27" customWidth="1"/>
    <col min="8" max="8" width="14.28515625" style="29" customWidth="1"/>
    <col min="9" max="9" width="16.28515625" style="29" customWidth="1"/>
    <col min="10" max="10" width="15.28515625" style="25" customWidth="1"/>
    <col min="11" max="11" width="16.85546875" style="433" customWidth="1"/>
    <col min="12" max="12" width="3" style="29" customWidth="1"/>
    <col min="13" max="13" width="17" style="170" customWidth="1"/>
    <col min="14" max="14" width="17.42578125" style="25" customWidth="1"/>
    <col min="15" max="15" width="17.140625" style="30" customWidth="1"/>
    <col min="16" max="257" width="10.28515625" style="30"/>
    <col min="258" max="258" width="6" style="30" customWidth="1"/>
    <col min="259" max="259" width="30" style="30" customWidth="1"/>
    <col min="260" max="260" width="6.28515625" style="30" customWidth="1"/>
    <col min="261" max="261" width="9.5703125" style="30" customWidth="1"/>
    <col min="262" max="263" width="12.42578125" style="30" customWidth="1"/>
    <col min="264" max="264" width="17.42578125" style="30" customWidth="1"/>
    <col min="265" max="265" width="0.85546875" style="30" customWidth="1"/>
    <col min="266" max="267" width="0.7109375" style="30" customWidth="1"/>
    <col min="268" max="268" width="0.5703125" style="30" customWidth="1"/>
    <col min="269" max="513" width="10.28515625" style="30"/>
    <col min="514" max="514" width="6" style="30" customWidth="1"/>
    <col min="515" max="515" width="30" style="30" customWidth="1"/>
    <col min="516" max="516" width="6.28515625" style="30" customWidth="1"/>
    <col min="517" max="517" width="9.5703125" style="30" customWidth="1"/>
    <col min="518" max="519" width="12.42578125" style="30" customWidth="1"/>
    <col min="520" max="520" width="17.42578125" style="30" customWidth="1"/>
    <col min="521" max="521" width="0.85546875" style="30" customWidth="1"/>
    <col min="522" max="523" width="0.7109375" style="30" customWidth="1"/>
    <col min="524" max="524" width="0.5703125" style="30" customWidth="1"/>
    <col min="525" max="769" width="10.28515625" style="30"/>
    <col min="770" max="770" width="6" style="30" customWidth="1"/>
    <col min="771" max="771" width="30" style="30" customWidth="1"/>
    <col min="772" max="772" width="6.28515625" style="30" customWidth="1"/>
    <col min="773" max="773" width="9.5703125" style="30" customWidth="1"/>
    <col min="774" max="775" width="12.42578125" style="30" customWidth="1"/>
    <col min="776" max="776" width="17.42578125" style="30" customWidth="1"/>
    <col min="777" max="777" width="0.85546875" style="30" customWidth="1"/>
    <col min="778" max="779" width="0.7109375" style="30" customWidth="1"/>
    <col min="780" max="780" width="0.5703125" style="30" customWidth="1"/>
    <col min="781" max="1025" width="10.28515625" style="30"/>
    <col min="1026" max="1026" width="6" style="30" customWidth="1"/>
    <col min="1027" max="1027" width="30" style="30" customWidth="1"/>
    <col min="1028" max="1028" width="6.28515625" style="30" customWidth="1"/>
    <col min="1029" max="1029" width="9.5703125" style="30" customWidth="1"/>
    <col min="1030" max="1031" width="12.42578125" style="30" customWidth="1"/>
    <col min="1032" max="1032" width="17.42578125" style="30" customWidth="1"/>
    <col min="1033" max="1033" width="0.85546875" style="30" customWidth="1"/>
    <col min="1034" max="1035" width="0.7109375" style="30" customWidth="1"/>
    <col min="1036" max="1036" width="0.5703125" style="30" customWidth="1"/>
    <col min="1037" max="1281" width="10.28515625" style="30"/>
    <col min="1282" max="1282" width="6" style="30" customWidth="1"/>
    <col min="1283" max="1283" width="30" style="30" customWidth="1"/>
    <col min="1284" max="1284" width="6.28515625" style="30" customWidth="1"/>
    <col min="1285" max="1285" width="9.5703125" style="30" customWidth="1"/>
    <col min="1286" max="1287" width="12.42578125" style="30" customWidth="1"/>
    <col min="1288" max="1288" width="17.42578125" style="30" customWidth="1"/>
    <col min="1289" max="1289" width="0.85546875" style="30" customWidth="1"/>
    <col min="1290" max="1291" width="0.7109375" style="30" customWidth="1"/>
    <col min="1292" max="1292" width="0.5703125" style="30" customWidth="1"/>
    <col min="1293" max="1537" width="10.28515625" style="30"/>
    <col min="1538" max="1538" width="6" style="30" customWidth="1"/>
    <col min="1539" max="1539" width="30" style="30" customWidth="1"/>
    <col min="1540" max="1540" width="6.28515625" style="30" customWidth="1"/>
    <col min="1541" max="1541" width="9.5703125" style="30" customWidth="1"/>
    <col min="1542" max="1543" width="12.42578125" style="30" customWidth="1"/>
    <col min="1544" max="1544" width="17.42578125" style="30" customWidth="1"/>
    <col min="1545" max="1545" width="0.85546875" style="30" customWidth="1"/>
    <col min="1546" max="1547" width="0.7109375" style="30" customWidth="1"/>
    <col min="1548" max="1548" width="0.5703125" style="30" customWidth="1"/>
    <col min="1549" max="1793" width="10.28515625" style="30"/>
    <col min="1794" max="1794" width="6" style="30" customWidth="1"/>
    <col min="1795" max="1795" width="30" style="30" customWidth="1"/>
    <col min="1796" max="1796" width="6.28515625" style="30" customWidth="1"/>
    <col min="1797" max="1797" width="9.5703125" style="30" customWidth="1"/>
    <col min="1798" max="1799" width="12.42578125" style="30" customWidth="1"/>
    <col min="1800" max="1800" width="17.42578125" style="30" customWidth="1"/>
    <col min="1801" max="1801" width="0.85546875" style="30" customWidth="1"/>
    <col min="1802" max="1803" width="0.7109375" style="30" customWidth="1"/>
    <col min="1804" max="1804" width="0.5703125" style="30" customWidth="1"/>
    <col min="1805" max="2049" width="10.28515625" style="30"/>
    <col min="2050" max="2050" width="6" style="30" customWidth="1"/>
    <col min="2051" max="2051" width="30" style="30" customWidth="1"/>
    <col min="2052" max="2052" width="6.28515625" style="30" customWidth="1"/>
    <col min="2053" max="2053" width="9.5703125" style="30" customWidth="1"/>
    <col min="2054" max="2055" width="12.42578125" style="30" customWidth="1"/>
    <col min="2056" max="2056" width="17.42578125" style="30" customWidth="1"/>
    <col min="2057" max="2057" width="0.85546875" style="30" customWidth="1"/>
    <col min="2058" max="2059" width="0.7109375" style="30" customWidth="1"/>
    <col min="2060" max="2060" width="0.5703125" style="30" customWidth="1"/>
    <col min="2061" max="2305" width="10.28515625" style="30"/>
    <col min="2306" max="2306" width="6" style="30" customWidth="1"/>
    <col min="2307" max="2307" width="30" style="30" customWidth="1"/>
    <col min="2308" max="2308" width="6.28515625" style="30" customWidth="1"/>
    <col min="2309" max="2309" width="9.5703125" style="30" customWidth="1"/>
    <col min="2310" max="2311" width="12.42578125" style="30" customWidth="1"/>
    <col min="2312" max="2312" width="17.42578125" style="30" customWidth="1"/>
    <col min="2313" max="2313" width="0.85546875" style="30" customWidth="1"/>
    <col min="2314" max="2315" width="0.7109375" style="30" customWidth="1"/>
    <col min="2316" max="2316" width="0.5703125" style="30" customWidth="1"/>
    <col min="2317" max="2561" width="10.28515625" style="30"/>
    <col min="2562" max="2562" width="6" style="30" customWidth="1"/>
    <col min="2563" max="2563" width="30" style="30" customWidth="1"/>
    <col min="2564" max="2564" width="6.28515625" style="30" customWidth="1"/>
    <col min="2565" max="2565" width="9.5703125" style="30" customWidth="1"/>
    <col min="2566" max="2567" width="12.42578125" style="30" customWidth="1"/>
    <col min="2568" max="2568" width="17.42578125" style="30" customWidth="1"/>
    <col min="2569" max="2569" width="0.85546875" style="30" customWidth="1"/>
    <col min="2570" max="2571" width="0.7109375" style="30" customWidth="1"/>
    <col min="2572" max="2572" width="0.5703125" style="30" customWidth="1"/>
    <col min="2573" max="2817" width="10.28515625" style="30"/>
    <col min="2818" max="2818" width="6" style="30" customWidth="1"/>
    <col min="2819" max="2819" width="30" style="30" customWidth="1"/>
    <col min="2820" max="2820" width="6.28515625" style="30" customWidth="1"/>
    <col min="2821" max="2821" width="9.5703125" style="30" customWidth="1"/>
    <col min="2822" max="2823" width="12.42578125" style="30" customWidth="1"/>
    <col min="2824" max="2824" width="17.42578125" style="30" customWidth="1"/>
    <col min="2825" max="2825" width="0.85546875" style="30" customWidth="1"/>
    <col min="2826" max="2827" width="0.7109375" style="30" customWidth="1"/>
    <col min="2828" max="2828" width="0.5703125" style="30" customWidth="1"/>
    <col min="2829" max="3073" width="10.28515625" style="30"/>
    <col min="3074" max="3074" width="6" style="30" customWidth="1"/>
    <col min="3075" max="3075" width="30" style="30" customWidth="1"/>
    <col min="3076" max="3076" width="6.28515625" style="30" customWidth="1"/>
    <col min="3077" max="3077" width="9.5703125" style="30" customWidth="1"/>
    <col min="3078" max="3079" width="12.42578125" style="30" customWidth="1"/>
    <col min="3080" max="3080" width="17.42578125" style="30" customWidth="1"/>
    <col min="3081" max="3081" width="0.85546875" style="30" customWidth="1"/>
    <col min="3082" max="3083" width="0.7109375" style="30" customWidth="1"/>
    <col min="3084" max="3084" width="0.5703125" style="30" customWidth="1"/>
    <col min="3085" max="3329" width="10.28515625" style="30"/>
    <col min="3330" max="3330" width="6" style="30" customWidth="1"/>
    <col min="3331" max="3331" width="30" style="30" customWidth="1"/>
    <col min="3332" max="3332" width="6.28515625" style="30" customWidth="1"/>
    <col min="3333" max="3333" width="9.5703125" style="30" customWidth="1"/>
    <col min="3334" max="3335" width="12.42578125" style="30" customWidth="1"/>
    <col min="3336" max="3336" width="17.42578125" style="30" customWidth="1"/>
    <col min="3337" max="3337" width="0.85546875" style="30" customWidth="1"/>
    <col min="3338" max="3339" width="0.7109375" style="30" customWidth="1"/>
    <col min="3340" max="3340" width="0.5703125" style="30" customWidth="1"/>
    <col min="3341" max="3585" width="10.28515625" style="30"/>
    <col min="3586" max="3586" width="6" style="30" customWidth="1"/>
    <col min="3587" max="3587" width="30" style="30" customWidth="1"/>
    <col min="3588" max="3588" width="6.28515625" style="30" customWidth="1"/>
    <col min="3589" max="3589" width="9.5703125" style="30" customWidth="1"/>
    <col min="3590" max="3591" width="12.42578125" style="30" customWidth="1"/>
    <col min="3592" max="3592" width="17.42578125" style="30" customWidth="1"/>
    <col min="3593" max="3593" width="0.85546875" style="30" customWidth="1"/>
    <col min="3594" max="3595" width="0.7109375" style="30" customWidth="1"/>
    <col min="3596" max="3596" width="0.5703125" style="30" customWidth="1"/>
    <col min="3597" max="3841" width="10.28515625" style="30"/>
    <col min="3842" max="3842" width="6" style="30" customWidth="1"/>
    <col min="3843" max="3843" width="30" style="30" customWidth="1"/>
    <col min="3844" max="3844" width="6.28515625" style="30" customWidth="1"/>
    <col min="3845" max="3845" width="9.5703125" style="30" customWidth="1"/>
    <col min="3846" max="3847" width="12.42578125" style="30" customWidth="1"/>
    <col min="3848" max="3848" width="17.42578125" style="30" customWidth="1"/>
    <col min="3849" max="3849" width="0.85546875" style="30" customWidth="1"/>
    <col min="3850" max="3851" width="0.7109375" style="30" customWidth="1"/>
    <col min="3852" max="3852" width="0.5703125" style="30" customWidth="1"/>
    <col min="3853" max="4097" width="10.28515625" style="30"/>
    <col min="4098" max="4098" width="6" style="30" customWidth="1"/>
    <col min="4099" max="4099" width="30" style="30" customWidth="1"/>
    <col min="4100" max="4100" width="6.28515625" style="30" customWidth="1"/>
    <col min="4101" max="4101" width="9.5703125" style="30" customWidth="1"/>
    <col min="4102" max="4103" width="12.42578125" style="30" customWidth="1"/>
    <col min="4104" max="4104" width="17.42578125" style="30" customWidth="1"/>
    <col min="4105" max="4105" width="0.85546875" style="30" customWidth="1"/>
    <col min="4106" max="4107" width="0.7109375" style="30" customWidth="1"/>
    <col min="4108" max="4108" width="0.5703125" style="30" customWidth="1"/>
    <col min="4109" max="4353" width="10.28515625" style="30"/>
    <col min="4354" max="4354" width="6" style="30" customWidth="1"/>
    <col min="4355" max="4355" width="30" style="30" customWidth="1"/>
    <col min="4356" max="4356" width="6.28515625" style="30" customWidth="1"/>
    <col min="4357" max="4357" width="9.5703125" style="30" customWidth="1"/>
    <col min="4358" max="4359" width="12.42578125" style="30" customWidth="1"/>
    <col min="4360" max="4360" width="17.42578125" style="30" customWidth="1"/>
    <col min="4361" max="4361" width="0.85546875" style="30" customWidth="1"/>
    <col min="4362" max="4363" width="0.7109375" style="30" customWidth="1"/>
    <col min="4364" max="4364" width="0.5703125" style="30" customWidth="1"/>
    <col min="4365" max="4609" width="10.28515625" style="30"/>
    <col min="4610" max="4610" width="6" style="30" customWidth="1"/>
    <col min="4611" max="4611" width="30" style="30" customWidth="1"/>
    <col min="4612" max="4612" width="6.28515625" style="30" customWidth="1"/>
    <col min="4613" max="4613" width="9.5703125" style="30" customWidth="1"/>
    <col min="4614" max="4615" width="12.42578125" style="30" customWidth="1"/>
    <col min="4616" max="4616" width="17.42578125" style="30" customWidth="1"/>
    <col min="4617" max="4617" width="0.85546875" style="30" customWidth="1"/>
    <col min="4618" max="4619" width="0.7109375" style="30" customWidth="1"/>
    <col min="4620" max="4620" width="0.5703125" style="30" customWidth="1"/>
    <col min="4621" max="4865" width="10.28515625" style="30"/>
    <col min="4866" max="4866" width="6" style="30" customWidth="1"/>
    <col min="4867" max="4867" width="30" style="30" customWidth="1"/>
    <col min="4868" max="4868" width="6.28515625" style="30" customWidth="1"/>
    <col min="4869" max="4869" width="9.5703125" style="30" customWidth="1"/>
    <col min="4870" max="4871" width="12.42578125" style="30" customWidth="1"/>
    <col min="4872" max="4872" width="17.42578125" style="30" customWidth="1"/>
    <col min="4873" max="4873" width="0.85546875" style="30" customWidth="1"/>
    <col min="4874" max="4875" width="0.7109375" style="30" customWidth="1"/>
    <col min="4876" max="4876" width="0.5703125" style="30" customWidth="1"/>
    <col min="4877" max="5121" width="10.28515625" style="30"/>
    <col min="5122" max="5122" width="6" style="30" customWidth="1"/>
    <col min="5123" max="5123" width="30" style="30" customWidth="1"/>
    <col min="5124" max="5124" width="6.28515625" style="30" customWidth="1"/>
    <col min="5125" max="5125" width="9.5703125" style="30" customWidth="1"/>
    <col min="5126" max="5127" width="12.42578125" style="30" customWidth="1"/>
    <col min="5128" max="5128" width="17.42578125" style="30" customWidth="1"/>
    <col min="5129" max="5129" width="0.85546875" style="30" customWidth="1"/>
    <col min="5130" max="5131" width="0.7109375" style="30" customWidth="1"/>
    <col min="5132" max="5132" width="0.5703125" style="30" customWidth="1"/>
    <col min="5133" max="5377" width="10.28515625" style="30"/>
    <col min="5378" max="5378" width="6" style="30" customWidth="1"/>
    <col min="5379" max="5379" width="30" style="30" customWidth="1"/>
    <col min="5380" max="5380" width="6.28515625" style="30" customWidth="1"/>
    <col min="5381" max="5381" width="9.5703125" style="30" customWidth="1"/>
    <col min="5382" max="5383" width="12.42578125" style="30" customWidth="1"/>
    <col min="5384" max="5384" width="17.42578125" style="30" customWidth="1"/>
    <col min="5385" max="5385" width="0.85546875" style="30" customWidth="1"/>
    <col min="5386" max="5387" width="0.7109375" style="30" customWidth="1"/>
    <col min="5388" max="5388" width="0.5703125" style="30" customWidth="1"/>
    <col min="5389" max="5633" width="10.28515625" style="30"/>
    <col min="5634" max="5634" width="6" style="30" customWidth="1"/>
    <col min="5635" max="5635" width="30" style="30" customWidth="1"/>
    <col min="5636" max="5636" width="6.28515625" style="30" customWidth="1"/>
    <col min="5637" max="5637" width="9.5703125" style="30" customWidth="1"/>
    <col min="5638" max="5639" width="12.42578125" style="30" customWidth="1"/>
    <col min="5640" max="5640" width="17.42578125" style="30" customWidth="1"/>
    <col min="5641" max="5641" width="0.85546875" style="30" customWidth="1"/>
    <col min="5642" max="5643" width="0.7109375" style="30" customWidth="1"/>
    <col min="5644" max="5644" width="0.5703125" style="30" customWidth="1"/>
    <col min="5645" max="5889" width="10.28515625" style="30"/>
    <col min="5890" max="5890" width="6" style="30" customWidth="1"/>
    <col min="5891" max="5891" width="30" style="30" customWidth="1"/>
    <col min="5892" max="5892" width="6.28515625" style="30" customWidth="1"/>
    <col min="5893" max="5893" width="9.5703125" style="30" customWidth="1"/>
    <col min="5894" max="5895" width="12.42578125" style="30" customWidth="1"/>
    <col min="5896" max="5896" width="17.42578125" style="30" customWidth="1"/>
    <col min="5897" max="5897" width="0.85546875" style="30" customWidth="1"/>
    <col min="5898" max="5899" width="0.7109375" style="30" customWidth="1"/>
    <col min="5900" max="5900" width="0.5703125" style="30" customWidth="1"/>
    <col min="5901" max="6145" width="10.28515625" style="30"/>
    <col min="6146" max="6146" width="6" style="30" customWidth="1"/>
    <col min="6147" max="6147" width="30" style="30" customWidth="1"/>
    <col min="6148" max="6148" width="6.28515625" style="30" customWidth="1"/>
    <col min="6149" max="6149" width="9.5703125" style="30" customWidth="1"/>
    <col min="6150" max="6151" width="12.42578125" style="30" customWidth="1"/>
    <col min="6152" max="6152" width="17.42578125" style="30" customWidth="1"/>
    <col min="6153" max="6153" width="0.85546875" style="30" customWidth="1"/>
    <col min="6154" max="6155" width="0.7109375" style="30" customWidth="1"/>
    <col min="6156" max="6156" width="0.5703125" style="30" customWidth="1"/>
    <col min="6157" max="6401" width="10.28515625" style="30"/>
    <col min="6402" max="6402" width="6" style="30" customWidth="1"/>
    <col min="6403" max="6403" width="30" style="30" customWidth="1"/>
    <col min="6404" max="6404" width="6.28515625" style="30" customWidth="1"/>
    <col min="6405" max="6405" width="9.5703125" style="30" customWidth="1"/>
    <col min="6406" max="6407" width="12.42578125" style="30" customWidth="1"/>
    <col min="6408" max="6408" width="17.42578125" style="30" customWidth="1"/>
    <col min="6409" max="6409" width="0.85546875" style="30" customWidth="1"/>
    <col min="6410" max="6411" width="0.7109375" style="30" customWidth="1"/>
    <col min="6412" max="6412" width="0.5703125" style="30" customWidth="1"/>
    <col min="6413" max="6657" width="10.28515625" style="30"/>
    <col min="6658" max="6658" width="6" style="30" customWidth="1"/>
    <col min="6659" max="6659" width="30" style="30" customWidth="1"/>
    <col min="6660" max="6660" width="6.28515625" style="30" customWidth="1"/>
    <col min="6661" max="6661" width="9.5703125" style="30" customWidth="1"/>
    <col min="6662" max="6663" width="12.42578125" style="30" customWidth="1"/>
    <col min="6664" max="6664" width="17.42578125" style="30" customWidth="1"/>
    <col min="6665" max="6665" width="0.85546875" style="30" customWidth="1"/>
    <col min="6666" max="6667" width="0.7109375" style="30" customWidth="1"/>
    <col min="6668" max="6668" width="0.5703125" style="30" customWidth="1"/>
    <col min="6669" max="6913" width="10.28515625" style="30"/>
    <col min="6914" max="6914" width="6" style="30" customWidth="1"/>
    <col min="6915" max="6915" width="30" style="30" customWidth="1"/>
    <col min="6916" max="6916" width="6.28515625" style="30" customWidth="1"/>
    <col min="6917" max="6917" width="9.5703125" style="30" customWidth="1"/>
    <col min="6918" max="6919" width="12.42578125" style="30" customWidth="1"/>
    <col min="6920" max="6920" width="17.42578125" style="30" customWidth="1"/>
    <col min="6921" max="6921" width="0.85546875" style="30" customWidth="1"/>
    <col min="6922" max="6923" width="0.7109375" style="30" customWidth="1"/>
    <col min="6924" max="6924" width="0.5703125" style="30" customWidth="1"/>
    <col min="6925" max="7169" width="10.28515625" style="30"/>
    <col min="7170" max="7170" width="6" style="30" customWidth="1"/>
    <col min="7171" max="7171" width="30" style="30" customWidth="1"/>
    <col min="7172" max="7172" width="6.28515625" style="30" customWidth="1"/>
    <col min="7173" max="7173" width="9.5703125" style="30" customWidth="1"/>
    <col min="7174" max="7175" width="12.42578125" style="30" customWidth="1"/>
    <col min="7176" max="7176" width="17.42578125" style="30" customWidth="1"/>
    <col min="7177" max="7177" width="0.85546875" style="30" customWidth="1"/>
    <col min="7178" max="7179" width="0.7109375" style="30" customWidth="1"/>
    <col min="7180" max="7180" width="0.5703125" style="30" customWidth="1"/>
    <col min="7181" max="7425" width="10.28515625" style="30"/>
    <col min="7426" max="7426" width="6" style="30" customWidth="1"/>
    <col min="7427" max="7427" width="30" style="30" customWidth="1"/>
    <col min="7428" max="7428" width="6.28515625" style="30" customWidth="1"/>
    <col min="7429" max="7429" width="9.5703125" style="30" customWidth="1"/>
    <col min="7430" max="7431" width="12.42578125" style="30" customWidth="1"/>
    <col min="7432" max="7432" width="17.42578125" style="30" customWidth="1"/>
    <col min="7433" max="7433" width="0.85546875" style="30" customWidth="1"/>
    <col min="7434" max="7435" width="0.7109375" style="30" customWidth="1"/>
    <col min="7436" max="7436" width="0.5703125" style="30" customWidth="1"/>
    <col min="7437" max="7681" width="10.28515625" style="30"/>
    <col min="7682" max="7682" width="6" style="30" customWidth="1"/>
    <col min="7683" max="7683" width="30" style="30" customWidth="1"/>
    <col min="7684" max="7684" width="6.28515625" style="30" customWidth="1"/>
    <col min="7685" max="7685" width="9.5703125" style="30" customWidth="1"/>
    <col min="7686" max="7687" width="12.42578125" style="30" customWidth="1"/>
    <col min="7688" max="7688" width="17.42578125" style="30" customWidth="1"/>
    <col min="7689" max="7689" width="0.85546875" style="30" customWidth="1"/>
    <col min="7690" max="7691" width="0.7109375" style="30" customWidth="1"/>
    <col min="7692" max="7692" width="0.5703125" style="30" customWidth="1"/>
    <col min="7693" max="7937" width="10.28515625" style="30"/>
    <col min="7938" max="7938" width="6" style="30" customWidth="1"/>
    <col min="7939" max="7939" width="30" style="30" customWidth="1"/>
    <col min="7940" max="7940" width="6.28515625" style="30" customWidth="1"/>
    <col min="7941" max="7941" width="9.5703125" style="30" customWidth="1"/>
    <col min="7942" max="7943" width="12.42578125" style="30" customWidth="1"/>
    <col min="7944" max="7944" width="17.42578125" style="30" customWidth="1"/>
    <col min="7945" max="7945" width="0.85546875" style="30" customWidth="1"/>
    <col min="7946" max="7947" width="0.7109375" style="30" customWidth="1"/>
    <col min="7948" max="7948" width="0.5703125" style="30" customWidth="1"/>
    <col min="7949" max="8193" width="10.28515625" style="30"/>
    <col min="8194" max="8194" width="6" style="30" customWidth="1"/>
    <col min="8195" max="8195" width="30" style="30" customWidth="1"/>
    <col min="8196" max="8196" width="6.28515625" style="30" customWidth="1"/>
    <col min="8197" max="8197" width="9.5703125" style="30" customWidth="1"/>
    <col min="8198" max="8199" width="12.42578125" style="30" customWidth="1"/>
    <col min="8200" max="8200" width="17.42578125" style="30" customWidth="1"/>
    <col min="8201" max="8201" width="0.85546875" style="30" customWidth="1"/>
    <col min="8202" max="8203" width="0.7109375" style="30" customWidth="1"/>
    <col min="8204" max="8204" width="0.5703125" style="30" customWidth="1"/>
    <col min="8205" max="8449" width="10.28515625" style="30"/>
    <col min="8450" max="8450" width="6" style="30" customWidth="1"/>
    <col min="8451" max="8451" width="30" style="30" customWidth="1"/>
    <col min="8452" max="8452" width="6.28515625" style="30" customWidth="1"/>
    <col min="8453" max="8453" width="9.5703125" style="30" customWidth="1"/>
    <col min="8454" max="8455" width="12.42578125" style="30" customWidth="1"/>
    <col min="8456" max="8456" width="17.42578125" style="30" customWidth="1"/>
    <col min="8457" max="8457" width="0.85546875" style="30" customWidth="1"/>
    <col min="8458" max="8459" width="0.7109375" style="30" customWidth="1"/>
    <col min="8460" max="8460" width="0.5703125" style="30" customWidth="1"/>
    <col min="8461" max="8705" width="10.28515625" style="30"/>
    <col min="8706" max="8706" width="6" style="30" customWidth="1"/>
    <col min="8707" max="8707" width="30" style="30" customWidth="1"/>
    <col min="8708" max="8708" width="6.28515625" style="30" customWidth="1"/>
    <col min="8709" max="8709" width="9.5703125" style="30" customWidth="1"/>
    <col min="8710" max="8711" width="12.42578125" style="30" customWidth="1"/>
    <col min="8712" max="8712" width="17.42578125" style="30" customWidth="1"/>
    <col min="8713" max="8713" width="0.85546875" style="30" customWidth="1"/>
    <col min="8714" max="8715" width="0.7109375" style="30" customWidth="1"/>
    <col min="8716" max="8716" width="0.5703125" style="30" customWidth="1"/>
    <col min="8717" max="8961" width="10.28515625" style="30"/>
    <col min="8962" max="8962" width="6" style="30" customWidth="1"/>
    <col min="8963" max="8963" width="30" style="30" customWidth="1"/>
    <col min="8964" max="8964" width="6.28515625" style="30" customWidth="1"/>
    <col min="8965" max="8965" width="9.5703125" style="30" customWidth="1"/>
    <col min="8966" max="8967" width="12.42578125" style="30" customWidth="1"/>
    <col min="8968" max="8968" width="17.42578125" style="30" customWidth="1"/>
    <col min="8969" max="8969" width="0.85546875" style="30" customWidth="1"/>
    <col min="8970" max="8971" width="0.7109375" style="30" customWidth="1"/>
    <col min="8972" max="8972" width="0.5703125" style="30" customWidth="1"/>
    <col min="8973" max="9217" width="10.28515625" style="30"/>
    <col min="9218" max="9218" width="6" style="30" customWidth="1"/>
    <col min="9219" max="9219" width="30" style="30" customWidth="1"/>
    <col min="9220" max="9220" width="6.28515625" style="30" customWidth="1"/>
    <col min="9221" max="9221" width="9.5703125" style="30" customWidth="1"/>
    <col min="9222" max="9223" width="12.42578125" style="30" customWidth="1"/>
    <col min="9224" max="9224" width="17.42578125" style="30" customWidth="1"/>
    <col min="9225" max="9225" width="0.85546875" style="30" customWidth="1"/>
    <col min="9226" max="9227" width="0.7109375" style="30" customWidth="1"/>
    <col min="9228" max="9228" width="0.5703125" style="30" customWidth="1"/>
    <col min="9229" max="9473" width="10.28515625" style="30"/>
    <col min="9474" max="9474" width="6" style="30" customWidth="1"/>
    <col min="9475" max="9475" width="30" style="30" customWidth="1"/>
    <col min="9476" max="9476" width="6.28515625" style="30" customWidth="1"/>
    <col min="9477" max="9477" width="9.5703125" style="30" customWidth="1"/>
    <col min="9478" max="9479" width="12.42578125" style="30" customWidth="1"/>
    <col min="9480" max="9480" width="17.42578125" style="30" customWidth="1"/>
    <col min="9481" max="9481" width="0.85546875" style="30" customWidth="1"/>
    <col min="9482" max="9483" width="0.7109375" style="30" customWidth="1"/>
    <col min="9484" max="9484" width="0.5703125" style="30" customWidth="1"/>
    <col min="9485" max="9729" width="10.28515625" style="30"/>
    <col min="9730" max="9730" width="6" style="30" customWidth="1"/>
    <col min="9731" max="9731" width="30" style="30" customWidth="1"/>
    <col min="9732" max="9732" width="6.28515625" style="30" customWidth="1"/>
    <col min="9733" max="9733" width="9.5703125" style="30" customWidth="1"/>
    <col min="9734" max="9735" width="12.42578125" style="30" customWidth="1"/>
    <col min="9736" max="9736" width="17.42578125" style="30" customWidth="1"/>
    <col min="9737" max="9737" width="0.85546875" style="30" customWidth="1"/>
    <col min="9738" max="9739" width="0.7109375" style="30" customWidth="1"/>
    <col min="9740" max="9740" width="0.5703125" style="30" customWidth="1"/>
    <col min="9741" max="9985" width="10.28515625" style="30"/>
    <col min="9986" max="9986" width="6" style="30" customWidth="1"/>
    <col min="9987" max="9987" width="30" style="30" customWidth="1"/>
    <col min="9988" max="9988" width="6.28515625" style="30" customWidth="1"/>
    <col min="9989" max="9989" width="9.5703125" style="30" customWidth="1"/>
    <col min="9990" max="9991" width="12.42578125" style="30" customWidth="1"/>
    <col min="9992" max="9992" width="17.42578125" style="30" customWidth="1"/>
    <col min="9993" max="9993" width="0.85546875" style="30" customWidth="1"/>
    <col min="9994" max="9995" width="0.7109375" style="30" customWidth="1"/>
    <col min="9996" max="9996" width="0.5703125" style="30" customWidth="1"/>
    <col min="9997" max="10241" width="10.28515625" style="30"/>
    <col min="10242" max="10242" width="6" style="30" customWidth="1"/>
    <col min="10243" max="10243" width="30" style="30" customWidth="1"/>
    <col min="10244" max="10244" width="6.28515625" style="30" customWidth="1"/>
    <col min="10245" max="10245" width="9.5703125" style="30" customWidth="1"/>
    <col min="10246" max="10247" width="12.42578125" style="30" customWidth="1"/>
    <col min="10248" max="10248" width="17.42578125" style="30" customWidth="1"/>
    <col min="10249" max="10249" width="0.85546875" style="30" customWidth="1"/>
    <col min="10250" max="10251" width="0.7109375" style="30" customWidth="1"/>
    <col min="10252" max="10252" width="0.5703125" style="30" customWidth="1"/>
    <col min="10253" max="10497" width="10.28515625" style="30"/>
    <col min="10498" max="10498" width="6" style="30" customWidth="1"/>
    <col min="10499" max="10499" width="30" style="30" customWidth="1"/>
    <col min="10500" max="10500" width="6.28515625" style="30" customWidth="1"/>
    <col min="10501" max="10501" width="9.5703125" style="30" customWidth="1"/>
    <col min="10502" max="10503" width="12.42578125" style="30" customWidth="1"/>
    <col min="10504" max="10504" width="17.42578125" style="30" customWidth="1"/>
    <col min="10505" max="10505" width="0.85546875" style="30" customWidth="1"/>
    <col min="10506" max="10507" width="0.7109375" style="30" customWidth="1"/>
    <col min="10508" max="10508" width="0.5703125" style="30" customWidth="1"/>
    <col min="10509" max="10753" width="10.28515625" style="30"/>
    <col min="10754" max="10754" width="6" style="30" customWidth="1"/>
    <col min="10755" max="10755" width="30" style="30" customWidth="1"/>
    <col min="10756" max="10756" width="6.28515625" style="30" customWidth="1"/>
    <col min="10757" max="10757" width="9.5703125" style="30" customWidth="1"/>
    <col min="10758" max="10759" width="12.42578125" style="30" customWidth="1"/>
    <col min="10760" max="10760" width="17.42578125" style="30" customWidth="1"/>
    <col min="10761" max="10761" width="0.85546875" style="30" customWidth="1"/>
    <col min="10762" max="10763" width="0.7109375" style="30" customWidth="1"/>
    <col min="10764" max="10764" width="0.5703125" style="30" customWidth="1"/>
    <col min="10765" max="11009" width="10.28515625" style="30"/>
    <col min="11010" max="11010" width="6" style="30" customWidth="1"/>
    <col min="11011" max="11011" width="30" style="30" customWidth="1"/>
    <col min="11012" max="11012" width="6.28515625" style="30" customWidth="1"/>
    <col min="11013" max="11013" width="9.5703125" style="30" customWidth="1"/>
    <col min="11014" max="11015" width="12.42578125" style="30" customWidth="1"/>
    <col min="11016" max="11016" width="17.42578125" style="30" customWidth="1"/>
    <col min="11017" max="11017" width="0.85546875" style="30" customWidth="1"/>
    <col min="11018" max="11019" width="0.7109375" style="30" customWidth="1"/>
    <col min="11020" max="11020" width="0.5703125" style="30" customWidth="1"/>
    <col min="11021" max="11265" width="10.28515625" style="30"/>
    <col min="11266" max="11266" width="6" style="30" customWidth="1"/>
    <col min="11267" max="11267" width="30" style="30" customWidth="1"/>
    <col min="11268" max="11268" width="6.28515625" style="30" customWidth="1"/>
    <col min="11269" max="11269" width="9.5703125" style="30" customWidth="1"/>
    <col min="11270" max="11271" width="12.42578125" style="30" customWidth="1"/>
    <col min="11272" max="11272" width="17.42578125" style="30" customWidth="1"/>
    <col min="11273" max="11273" width="0.85546875" style="30" customWidth="1"/>
    <col min="11274" max="11275" width="0.7109375" style="30" customWidth="1"/>
    <col min="11276" max="11276" width="0.5703125" style="30" customWidth="1"/>
    <col min="11277" max="11521" width="10.28515625" style="30"/>
    <col min="11522" max="11522" width="6" style="30" customWidth="1"/>
    <col min="11523" max="11523" width="30" style="30" customWidth="1"/>
    <col min="11524" max="11524" width="6.28515625" style="30" customWidth="1"/>
    <col min="11525" max="11525" width="9.5703125" style="30" customWidth="1"/>
    <col min="11526" max="11527" width="12.42578125" style="30" customWidth="1"/>
    <col min="11528" max="11528" width="17.42578125" style="30" customWidth="1"/>
    <col min="11529" max="11529" width="0.85546875" style="30" customWidth="1"/>
    <col min="11530" max="11531" width="0.7109375" style="30" customWidth="1"/>
    <col min="11532" max="11532" width="0.5703125" style="30" customWidth="1"/>
    <col min="11533" max="11777" width="10.28515625" style="30"/>
    <col min="11778" max="11778" width="6" style="30" customWidth="1"/>
    <col min="11779" max="11779" width="30" style="30" customWidth="1"/>
    <col min="11780" max="11780" width="6.28515625" style="30" customWidth="1"/>
    <col min="11781" max="11781" width="9.5703125" style="30" customWidth="1"/>
    <col min="11782" max="11783" width="12.42578125" style="30" customWidth="1"/>
    <col min="11784" max="11784" width="17.42578125" style="30" customWidth="1"/>
    <col min="11785" max="11785" width="0.85546875" style="30" customWidth="1"/>
    <col min="11786" max="11787" width="0.7109375" style="30" customWidth="1"/>
    <col min="11788" max="11788" width="0.5703125" style="30" customWidth="1"/>
    <col min="11789" max="12033" width="10.28515625" style="30"/>
    <col min="12034" max="12034" width="6" style="30" customWidth="1"/>
    <col min="12035" max="12035" width="30" style="30" customWidth="1"/>
    <col min="12036" max="12036" width="6.28515625" style="30" customWidth="1"/>
    <col min="12037" max="12037" width="9.5703125" style="30" customWidth="1"/>
    <col min="12038" max="12039" width="12.42578125" style="30" customWidth="1"/>
    <col min="12040" max="12040" width="17.42578125" style="30" customWidth="1"/>
    <col min="12041" max="12041" width="0.85546875" style="30" customWidth="1"/>
    <col min="12042" max="12043" width="0.7109375" style="30" customWidth="1"/>
    <col min="12044" max="12044" width="0.5703125" style="30" customWidth="1"/>
    <col min="12045" max="12289" width="10.28515625" style="30"/>
    <col min="12290" max="12290" width="6" style="30" customWidth="1"/>
    <col min="12291" max="12291" width="30" style="30" customWidth="1"/>
    <col min="12292" max="12292" width="6.28515625" style="30" customWidth="1"/>
    <col min="12293" max="12293" width="9.5703125" style="30" customWidth="1"/>
    <col min="12294" max="12295" width="12.42578125" style="30" customWidth="1"/>
    <col min="12296" max="12296" width="17.42578125" style="30" customWidth="1"/>
    <col min="12297" max="12297" width="0.85546875" style="30" customWidth="1"/>
    <col min="12298" max="12299" width="0.7109375" style="30" customWidth="1"/>
    <col min="12300" max="12300" width="0.5703125" style="30" customWidth="1"/>
    <col min="12301" max="12545" width="10.28515625" style="30"/>
    <col min="12546" max="12546" width="6" style="30" customWidth="1"/>
    <col min="12547" max="12547" width="30" style="30" customWidth="1"/>
    <col min="12548" max="12548" width="6.28515625" style="30" customWidth="1"/>
    <col min="12549" max="12549" width="9.5703125" style="30" customWidth="1"/>
    <col min="12550" max="12551" width="12.42578125" style="30" customWidth="1"/>
    <col min="12552" max="12552" width="17.42578125" style="30" customWidth="1"/>
    <col min="12553" max="12553" width="0.85546875" style="30" customWidth="1"/>
    <col min="12554" max="12555" width="0.7109375" style="30" customWidth="1"/>
    <col min="12556" max="12556" width="0.5703125" style="30" customWidth="1"/>
    <col min="12557" max="12801" width="10.28515625" style="30"/>
    <col min="12802" max="12802" width="6" style="30" customWidth="1"/>
    <col min="12803" max="12803" width="30" style="30" customWidth="1"/>
    <col min="12804" max="12804" width="6.28515625" style="30" customWidth="1"/>
    <col min="12805" max="12805" width="9.5703125" style="30" customWidth="1"/>
    <col min="12806" max="12807" width="12.42578125" style="30" customWidth="1"/>
    <col min="12808" max="12808" width="17.42578125" style="30" customWidth="1"/>
    <col min="12809" max="12809" width="0.85546875" style="30" customWidth="1"/>
    <col min="12810" max="12811" width="0.7109375" style="30" customWidth="1"/>
    <col min="12812" max="12812" width="0.5703125" style="30" customWidth="1"/>
    <col min="12813" max="13057" width="10.28515625" style="30"/>
    <col min="13058" max="13058" width="6" style="30" customWidth="1"/>
    <col min="13059" max="13059" width="30" style="30" customWidth="1"/>
    <col min="13060" max="13060" width="6.28515625" style="30" customWidth="1"/>
    <col min="13061" max="13061" width="9.5703125" style="30" customWidth="1"/>
    <col min="13062" max="13063" width="12.42578125" style="30" customWidth="1"/>
    <col min="13064" max="13064" width="17.42578125" style="30" customWidth="1"/>
    <col min="13065" max="13065" width="0.85546875" style="30" customWidth="1"/>
    <col min="13066" max="13067" width="0.7109375" style="30" customWidth="1"/>
    <col min="13068" max="13068" width="0.5703125" style="30" customWidth="1"/>
    <col min="13069" max="13313" width="10.28515625" style="30"/>
    <col min="13314" max="13314" width="6" style="30" customWidth="1"/>
    <col min="13315" max="13315" width="30" style="30" customWidth="1"/>
    <col min="13316" max="13316" width="6.28515625" style="30" customWidth="1"/>
    <col min="13317" max="13317" width="9.5703125" style="30" customWidth="1"/>
    <col min="13318" max="13319" width="12.42578125" style="30" customWidth="1"/>
    <col min="13320" max="13320" width="17.42578125" style="30" customWidth="1"/>
    <col min="13321" max="13321" width="0.85546875" style="30" customWidth="1"/>
    <col min="13322" max="13323" width="0.7109375" style="30" customWidth="1"/>
    <col min="13324" max="13324" width="0.5703125" style="30" customWidth="1"/>
    <col min="13325" max="13569" width="10.28515625" style="30"/>
    <col min="13570" max="13570" width="6" style="30" customWidth="1"/>
    <col min="13571" max="13571" width="30" style="30" customWidth="1"/>
    <col min="13572" max="13572" width="6.28515625" style="30" customWidth="1"/>
    <col min="13573" max="13573" width="9.5703125" style="30" customWidth="1"/>
    <col min="13574" max="13575" width="12.42578125" style="30" customWidth="1"/>
    <col min="13576" max="13576" width="17.42578125" style="30" customWidth="1"/>
    <col min="13577" max="13577" width="0.85546875" style="30" customWidth="1"/>
    <col min="13578" max="13579" width="0.7109375" style="30" customWidth="1"/>
    <col min="13580" max="13580" width="0.5703125" style="30" customWidth="1"/>
    <col min="13581" max="13825" width="10.28515625" style="30"/>
    <col min="13826" max="13826" width="6" style="30" customWidth="1"/>
    <col min="13827" max="13827" width="30" style="30" customWidth="1"/>
    <col min="13828" max="13828" width="6.28515625" style="30" customWidth="1"/>
    <col min="13829" max="13829" width="9.5703125" style="30" customWidth="1"/>
    <col min="13830" max="13831" width="12.42578125" style="30" customWidth="1"/>
    <col min="13832" max="13832" width="17.42578125" style="30" customWidth="1"/>
    <col min="13833" max="13833" width="0.85546875" style="30" customWidth="1"/>
    <col min="13834" max="13835" width="0.7109375" style="30" customWidth="1"/>
    <col min="13836" max="13836" width="0.5703125" style="30" customWidth="1"/>
    <col min="13837" max="14081" width="10.28515625" style="30"/>
    <col min="14082" max="14082" width="6" style="30" customWidth="1"/>
    <col min="14083" max="14083" width="30" style="30" customWidth="1"/>
    <col min="14084" max="14084" width="6.28515625" style="30" customWidth="1"/>
    <col min="14085" max="14085" width="9.5703125" style="30" customWidth="1"/>
    <col min="14086" max="14087" width="12.42578125" style="30" customWidth="1"/>
    <col min="14088" max="14088" width="17.42578125" style="30" customWidth="1"/>
    <col min="14089" max="14089" width="0.85546875" style="30" customWidth="1"/>
    <col min="14090" max="14091" width="0.7109375" style="30" customWidth="1"/>
    <col min="14092" max="14092" width="0.5703125" style="30" customWidth="1"/>
    <col min="14093" max="14337" width="10.28515625" style="30"/>
    <col min="14338" max="14338" width="6" style="30" customWidth="1"/>
    <col min="14339" max="14339" width="30" style="30" customWidth="1"/>
    <col min="14340" max="14340" width="6.28515625" style="30" customWidth="1"/>
    <col min="14341" max="14341" width="9.5703125" style="30" customWidth="1"/>
    <col min="14342" max="14343" width="12.42578125" style="30" customWidth="1"/>
    <col min="14344" max="14344" width="17.42578125" style="30" customWidth="1"/>
    <col min="14345" max="14345" width="0.85546875" style="30" customWidth="1"/>
    <col min="14346" max="14347" width="0.7109375" style="30" customWidth="1"/>
    <col min="14348" max="14348" width="0.5703125" style="30" customWidth="1"/>
    <col min="14349" max="14593" width="10.28515625" style="30"/>
    <col min="14594" max="14594" width="6" style="30" customWidth="1"/>
    <col min="14595" max="14595" width="30" style="30" customWidth="1"/>
    <col min="14596" max="14596" width="6.28515625" style="30" customWidth="1"/>
    <col min="14597" max="14597" width="9.5703125" style="30" customWidth="1"/>
    <col min="14598" max="14599" width="12.42578125" style="30" customWidth="1"/>
    <col min="14600" max="14600" width="17.42578125" style="30" customWidth="1"/>
    <col min="14601" max="14601" width="0.85546875" style="30" customWidth="1"/>
    <col min="14602" max="14603" width="0.7109375" style="30" customWidth="1"/>
    <col min="14604" max="14604" width="0.5703125" style="30" customWidth="1"/>
    <col min="14605" max="14849" width="10.28515625" style="30"/>
    <col min="14850" max="14850" width="6" style="30" customWidth="1"/>
    <col min="14851" max="14851" width="30" style="30" customWidth="1"/>
    <col min="14852" max="14852" width="6.28515625" style="30" customWidth="1"/>
    <col min="14853" max="14853" width="9.5703125" style="30" customWidth="1"/>
    <col min="14854" max="14855" width="12.42578125" style="30" customWidth="1"/>
    <col min="14856" max="14856" width="17.42578125" style="30" customWidth="1"/>
    <col min="14857" max="14857" width="0.85546875" style="30" customWidth="1"/>
    <col min="14858" max="14859" width="0.7109375" style="30" customWidth="1"/>
    <col min="14860" max="14860" width="0.5703125" style="30" customWidth="1"/>
    <col min="14861" max="15105" width="10.28515625" style="30"/>
    <col min="15106" max="15106" width="6" style="30" customWidth="1"/>
    <col min="15107" max="15107" width="30" style="30" customWidth="1"/>
    <col min="15108" max="15108" width="6.28515625" style="30" customWidth="1"/>
    <col min="15109" max="15109" width="9.5703125" style="30" customWidth="1"/>
    <col min="15110" max="15111" width="12.42578125" style="30" customWidth="1"/>
    <col min="15112" max="15112" width="17.42578125" style="30" customWidth="1"/>
    <col min="15113" max="15113" width="0.85546875" style="30" customWidth="1"/>
    <col min="15114" max="15115" width="0.7109375" style="30" customWidth="1"/>
    <col min="15116" max="15116" width="0.5703125" style="30" customWidth="1"/>
    <col min="15117" max="15361" width="10.28515625" style="30"/>
    <col min="15362" max="15362" width="6" style="30" customWidth="1"/>
    <col min="15363" max="15363" width="30" style="30" customWidth="1"/>
    <col min="15364" max="15364" width="6.28515625" style="30" customWidth="1"/>
    <col min="15365" max="15365" width="9.5703125" style="30" customWidth="1"/>
    <col min="15366" max="15367" width="12.42578125" style="30" customWidth="1"/>
    <col min="15368" max="15368" width="17.42578125" style="30" customWidth="1"/>
    <col min="15369" max="15369" width="0.85546875" style="30" customWidth="1"/>
    <col min="15370" max="15371" width="0.7109375" style="30" customWidth="1"/>
    <col min="15372" max="15372" width="0.5703125" style="30" customWidth="1"/>
    <col min="15373" max="15617" width="10.28515625" style="30"/>
    <col min="15618" max="15618" width="6" style="30" customWidth="1"/>
    <col min="15619" max="15619" width="30" style="30" customWidth="1"/>
    <col min="15620" max="15620" width="6.28515625" style="30" customWidth="1"/>
    <col min="15621" max="15621" width="9.5703125" style="30" customWidth="1"/>
    <col min="15622" max="15623" width="12.42578125" style="30" customWidth="1"/>
    <col min="15624" max="15624" width="17.42578125" style="30" customWidth="1"/>
    <col min="15625" max="15625" width="0.85546875" style="30" customWidth="1"/>
    <col min="15626" max="15627" width="0.7109375" style="30" customWidth="1"/>
    <col min="15628" max="15628" width="0.5703125" style="30" customWidth="1"/>
    <col min="15629" max="15873" width="10.28515625" style="30"/>
    <col min="15874" max="15874" width="6" style="30" customWidth="1"/>
    <col min="15875" max="15875" width="30" style="30" customWidth="1"/>
    <col min="15876" max="15876" width="6.28515625" style="30" customWidth="1"/>
    <col min="15877" max="15877" width="9.5703125" style="30" customWidth="1"/>
    <col min="15878" max="15879" width="12.42578125" style="30" customWidth="1"/>
    <col min="15880" max="15880" width="17.42578125" style="30" customWidth="1"/>
    <col min="15881" max="15881" width="0.85546875" style="30" customWidth="1"/>
    <col min="15882" max="15883" width="0.7109375" style="30" customWidth="1"/>
    <col min="15884" max="15884" width="0.5703125" style="30" customWidth="1"/>
    <col min="15885" max="16129" width="10.28515625" style="30"/>
    <col min="16130" max="16130" width="6" style="30" customWidth="1"/>
    <col min="16131" max="16131" width="30" style="30" customWidth="1"/>
    <col min="16132" max="16132" width="6.28515625" style="30" customWidth="1"/>
    <col min="16133" max="16133" width="9.5703125" style="30" customWidth="1"/>
    <col min="16134" max="16135" width="12.42578125" style="30" customWidth="1"/>
    <col min="16136" max="16136" width="17.42578125" style="30" customWidth="1"/>
    <col min="16137" max="16137" width="0.85546875" style="30" customWidth="1"/>
    <col min="16138" max="16139" width="0.7109375" style="30" customWidth="1"/>
    <col min="16140" max="16140" width="0.5703125" style="30" customWidth="1"/>
    <col min="16141" max="16384" width="10.28515625" style="30"/>
  </cols>
  <sheetData>
    <row r="1" spans="1:14" s="26" customFormat="1" ht="15.75" customHeight="1">
      <c r="A1" s="21" t="s">
        <v>230</v>
      </c>
      <c r="B1" s="21"/>
      <c r="C1" s="21"/>
      <c r="D1" s="21"/>
      <c r="E1" s="21"/>
      <c r="F1" s="22"/>
      <c r="G1" s="22"/>
      <c r="H1" s="21"/>
      <c r="I1" s="23"/>
      <c r="J1" s="276"/>
      <c r="K1" s="433"/>
      <c r="L1" s="24"/>
      <c r="M1" s="169"/>
      <c r="N1" s="25"/>
    </row>
    <row r="2" spans="1:14" s="26" customFormat="1" ht="15.75" customHeight="1">
      <c r="A2" s="21" t="s">
        <v>207</v>
      </c>
      <c r="B2" s="21"/>
      <c r="C2" s="21"/>
      <c r="D2" s="21"/>
      <c r="E2" s="21"/>
      <c r="F2" s="22"/>
      <c r="G2" s="22"/>
      <c r="H2" s="21"/>
      <c r="I2" s="23"/>
      <c r="J2" s="276"/>
      <c r="K2" s="433"/>
      <c r="L2" s="24"/>
      <c r="M2" s="169"/>
      <c r="N2" s="25"/>
    </row>
    <row r="3" spans="1:14" ht="13.5" customHeight="1">
      <c r="A3" s="1000" t="s">
        <v>232</v>
      </c>
      <c r="B3" s="1000"/>
      <c r="C3" s="1000"/>
      <c r="D3" s="1000"/>
      <c r="E3" s="1000"/>
      <c r="F3" s="1000"/>
      <c r="H3" s="27"/>
      <c r="I3" s="28"/>
    </row>
    <row r="4" spans="1:14" s="2" customFormat="1" ht="13.5" customHeight="1">
      <c r="A4" s="31" t="s">
        <v>1213</v>
      </c>
      <c r="B4" s="31"/>
      <c r="C4" s="32"/>
      <c r="D4" s="33"/>
      <c r="E4" s="33"/>
      <c r="F4" s="34" t="s">
        <v>1214</v>
      </c>
      <c r="G4" s="34"/>
      <c r="H4" s="29"/>
      <c r="J4" s="277" t="s">
        <v>2999</v>
      </c>
      <c r="K4" s="434"/>
      <c r="M4" s="171"/>
      <c r="N4" s="35"/>
    </row>
    <row r="5" spans="1:14" s="43" customFormat="1" ht="30" customHeight="1">
      <c r="A5" s="36" t="s">
        <v>235</v>
      </c>
      <c r="B5" s="37" t="s">
        <v>1577</v>
      </c>
      <c r="C5" s="37" t="s">
        <v>237</v>
      </c>
      <c r="D5" s="37" t="s">
        <v>1439</v>
      </c>
      <c r="E5" s="38" t="s">
        <v>1438</v>
      </c>
      <c r="F5" s="39" t="s">
        <v>221</v>
      </c>
      <c r="G5" s="39"/>
      <c r="H5" s="172" t="s">
        <v>1738</v>
      </c>
      <c r="I5" s="190" t="s">
        <v>1910</v>
      </c>
      <c r="J5" s="278" t="s">
        <v>1911</v>
      </c>
      <c r="K5" s="433"/>
      <c r="L5" s="42"/>
      <c r="M5" s="173"/>
      <c r="N5" s="35"/>
    </row>
    <row r="6" spans="1:14" ht="21.95" customHeight="1">
      <c r="A6" s="6" t="s">
        <v>10</v>
      </c>
      <c r="B6" s="7" t="s">
        <v>12</v>
      </c>
      <c r="C6" s="8" t="s">
        <v>4</v>
      </c>
      <c r="D6" s="44">
        <v>1</v>
      </c>
      <c r="E6" s="44"/>
      <c r="F6" s="45"/>
      <c r="G6" s="45"/>
      <c r="H6" s="44" t="s">
        <v>242</v>
      </c>
      <c r="I6" s="191" t="s">
        <v>243</v>
      </c>
      <c r="J6" s="200"/>
    </row>
    <row r="7" spans="1:14" ht="21.95" customHeight="1">
      <c r="A7" s="6" t="s">
        <v>206</v>
      </c>
      <c r="B7" s="7" t="s">
        <v>2</v>
      </c>
      <c r="C7" s="8" t="s">
        <v>4</v>
      </c>
      <c r="D7" s="44">
        <v>1</v>
      </c>
      <c r="E7" s="44"/>
      <c r="F7" s="45"/>
      <c r="G7" s="45"/>
      <c r="H7" s="44" t="s">
        <v>242</v>
      </c>
      <c r="I7" s="191" t="s">
        <v>243</v>
      </c>
      <c r="J7" s="200"/>
    </row>
    <row r="8" spans="1:14" ht="21.95" customHeight="1">
      <c r="A8" s="6" t="s">
        <v>40</v>
      </c>
      <c r="B8" s="7" t="s">
        <v>244</v>
      </c>
      <c r="C8" s="8" t="s">
        <v>4</v>
      </c>
      <c r="D8" s="44">
        <v>1</v>
      </c>
      <c r="E8" s="44"/>
      <c r="F8" s="45"/>
      <c r="G8" s="45"/>
      <c r="H8" s="44" t="s">
        <v>242</v>
      </c>
      <c r="I8" s="191" t="s">
        <v>243</v>
      </c>
      <c r="J8" s="200"/>
    </row>
    <row r="9" spans="1:14" ht="33" customHeight="1">
      <c r="A9" s="12" t="s">
        <v>41</v>
      </c>
      <c r="B9" s="10" t="s">
        <v>1215</v>
      </c>
      <c r="C9" s="8" t="s">
        <v>6</v>
      </c>
      <c r="D9" s="44">
        <v>720.24</v>
      </c>
      <c r="E9" s="44"/>
      <c r="F9" s="45" t="s">
        <v>1246</v>
      </c>
      <c r="G9" s="47" t="s">
        <v>1239</v>
      </c>
      <c r="H9" s="44">
        <f>(290*2*0.15*0.2+12*5*0.15*0.2)+(53*2*0.15*0.2+3*4*0.14*0.2)</f>
        <v>22.716000000000001</v>
      </c>
      <c r="I9" s="192">
        <f>SUM(H9:H15)</f>
        <v>715.67400000000009</v>
      </c>
      <c r="J9" s="200" t="s">
        <v>2123</v>
      </c>
      <c r="N9" s="49"/>
    </row>
    <row r="10" spans="1:14">
      <c r="A10" s="12"/>
      <c r="B10" s="10"/>
      <c r="C10" s="8"/>
      <c r="D10" s="44"/>
      <c r="E10" s="44"/>
      <c r="F10" s="45" t="s">
        <v>1233</v>
      </c>
      <c r="G10" s="47" t="s">
        <v>1238</v>
      </c>
      <c r="H10" s="44">
        <f>27.2*10.5*0.25</f>
        <v>71.399999999999991</v>
      </c>
      <c r="I10" s="192"/>
      <c r="J10" s="200"/>
      <c r="N10" s="49"/>
    </row>
    <row r="11" spans="1:14" ht="16.5" customHeight="1">
      <c r="A11" s="12"/>
      <c r="B11" s="10"/>
      <c r="C11" s="8"/>
      <c r="D11" s="44"/>
      <c r="E11" s="44"/>
      <c r="F11" s="45" t="s">
        <v>1231</v>
      </c>
      <c r="G11" s="47" t="s">
        <v>1237</v>
      </c>
      <c r="H11" s="44">
        <f>11.5*(7.5+4.5)/2*0.23</f>
        <v>15.870000000000001</v>
      </c>
      <c r="I11" s="191"/>
      <c r="J11" s="200"/>
      <c r="N11" s="49"/>
    </row>
    <row r="12" spans="1:14" ht="32.25" customHeight="1">
      <c r="A12" s="12"/>
      <c r="B12" s="10"/>
      <c r="C12" s="8"/>
      <c r="D12" s="44"/>
      <c r="E12" s="44"/>
      <c r="F12" s="80" t="s">
        <v>3140</v>
      </c>
      <c r="G12" s="807" t="s">
        <v>3143</v>
      </c>
      <c r="H12" s="44">
        <f>(77.5+169.3+170.9+49.4)*0.2</f>
        <v>93.420000000000016</v>
      </c>
      <c r="I12" s="191"/>
      <c r="J12" s="200"/>
      <c r="N12" s="49"/>
    </row>
    <row r="13" spans="1:14" ht="16.5" customHeight="1">
      <c r="A13" s="12"/>
      <c r="B13" s="10"/>
      <c r="C13" s="8"/>
      <c r="D13" s="44"/>
      <c r="E13" s="44"/>
      <c r="F13" s="45" t="s">
        <v>1240</v>
      </c>
      <c r="G13" s="47" t="s">
        <v>1241</v>
      </c>
      <c r="H13" s="44">
        <f>10.8*(7.5+9.5)/2*0.22</f>
        <v>20.196000000000002</v>
      </c>
      <c r="I13" s="191"/>
      <c r="J13" s="200"/>
      <c r="N13" s="49"/>
    </row>
    <row r="14" spans="1:14" ht="16.5" customHeight="1">
      <c r="A14" s="226"/>
      <c r="B14" s="231"/>
      <c r="C14" s="228"/>
      <c r="D14" s="229"/>
      <c r="E14" s="229"/>
      <c r="F14" s="230" t="s">
        <v>3142</v>
      </c>
      <c r="G14" s="806" t="s">
        <v>3141</v>
      </c>
      <c r="H14" s="229">
        <f>(605.74+547.65+571.09+245.16+490.72)*0.2</f>
        <v>492.07200000000006</v>
      </c>
      <c r="I14" s="241"/>
      <c r="J14" s="92"/>
      <c r="N14" s="49"/>
    </row>
    <row r="15" spans="1:14" ht="16.5" customHeight="1">
      <c r="A15" s="12"/>
      <c r="B15" s="10"/>
      <c r="C15" s="8"/>
      <c r="D15" s="44"/>
      <c r="E15" s="44"/>
      <c r="F15" s="45"/>
      <c r="G15" s="47"/>
      <c r="H15" s="44"/>
      <c r="I15" s="191"/>
      <c r="J15" s="200"/>
      <c r="N15" s="49"/>
    </row>
    <row r="16" spans="1:14" ht="36" customHeight="1">
      <c r="A16" s="12" t="s">
        <v>42</v>
      </c>
      <c r="B16" s="10" t="s">
        <v>1611</v>
      </c>
      <c r="C16" s="8" t="s">
        <v>6</v>
      </c>
      <c r="D16" s="44">
        <v>4813.4399999999996</v>
      </c>
      <c r="E16" s="44"/>
      <c r="F16" s="45" t="s">
        <v>1273</v>
      </c>
      <c r="G16" s="47" t="s">
        <v>1232</v>
      </c>
      <c r="H16" s="44">
        <f>(1.2*0.5*8*39)+(1.2*0.5*8*7)</f>
        <v>220.79999999999998</v>
      </c>
      <c r="I16" s="192">
        <f>SUM(H16:H32)</f>
        <v>4091.1705088000003</v>
      </c>
      <c r="J16" s="200" t="s">
        <v>2123</v>
      </c>
      <c r="N16" s="49"/>
    </row>
    <row r="17" spans="1:14" ht="52.5" customHeight="1">
      <c r="A17" s="12"/>
      <c r="B17" s="7"/>
      <c r="C17" s="8"/>
      <c r="D17" s="44"/>
      <c r="E17" s="44"/>
      <c r="F17" s="45" t="s">
        <v>1244</v>
      </c>
      <c r="G17" s="47" t="s">
        <v>1262</v>
      </c>
      <c r="H17" s="44">
        <f>((27.2*10.3*0.3+0.3*1.1*27.2*2)+(13.2*1.25*0.6*7*2)+(6.8*1.25*0.5*7)+(((1.9+0.8)/2*1.2*7.8)+1.9*2.5*1.2)+((1.25*1.25*3.14*3.6)))</f>
        <v>306.34850000000006</v>
      </c>
      <c r="I17" s="191"/>
      <c r="J17" s="200"/>
      <c r="N17" s="49"/>
    </row>
    <row r="18" spans="1:14" ht="33" customHeight="1">
      <c r="A18" s="12"/>
      <c r="B18" s="7"/>
      <c r="C18" s="8"/>
      <c r="D18" s="44"/>
      <c r="E18" s="44"/>
      <c r="F18" s="45" t="s">
        <v>1245</v>
      </c>
      <c r="G18" s="52" t="s">
        <v>1263</v>
      </c>
      <c r="H18" s="44">
        <f>(10.3*1.8*4.2+10.3*1.8*2.8)*2+(10.3*2.8*1.8)*2+((60.65*(3.9+2.2)/2*0.55)+(10.3*3.9*0.6))</f>
        <v>489.22637500000008</v>
      </c>
      <c r="I18" s="191"/>
      <c r="J18" s="200"/>
      <c r="N18" s="49"/>
    </row>
    <row r="19" spans="1:14" ht="33" customHeight="1">
      <c r="A19" s="12"/>
      <c r="B19" s="7"/>
      <c r="C19" s="8"/>
      <c r="D19" s="44"/>
      <c r="E19" s="44"/>
      <c r="F19" s="45" t="s">
        <v>1243</v>
      </c>
      <c r="G19" s="47" t="s">
        <v>1277</v>
      </c>
      <c r="H19" s="44">
        <f>((3.75*(0.3+0.6)/2*63.7)+(5.5*0.85*63.7))+(26.8*7*0.6+18.5*7*0.35)</f>
        <v>563.17624999999998</v>
      </c>
      <c r="I19" s="191"/>
      <c r="J19" s="200"/>
      <c r="N19" s="49"/>
    </row>
    <row r="20" spans="1:14" ht="33" customHeight="1">
      <c r="A20" s="12"/>
      <c r="B20" s="7"/>
      <c r="C20" s="8"/>
      <c r="D20" s="44"/>
      <c r="E20" s="44"/>
      <c r="F20" s="45" t="s">
        <v>1242</v>
      </c>
      <c r="G20" s="47" t="s">
        <v>1266</v>
      </c>
      <c r="H20" s="44">
        <f>((19.3*0.52*0.8*4)+(19.3*7.2*0.3)+(6.8*2.2*0.8*2)+(9.5*3*0.8+9.5*1.8*0.3)+(17.8*0.55*2.8*2))</f>
        <v>180.49320000000003</v>
      </c>
      <c r="I20" s="191"/>
      <c r="J20" s="200"/>
      <c r="N20" s="49"/>
    </row>
    <row r="21" spans="1:14" ht="33" customHeight="1">
      <c r="A21" s="12"/>
      <c r="B21" s="7"/>
      <c r="C21" s="8"/>
      <c r="D21" s="44"/>
      <c r="E21" s="44"/>
      <c r="F21" s="45" t="s">
        <v>1248</v>
      </c>
      <c r="G21" s="45" t="s">
        <v>1249</v>
      </c>
      <c r="H21" s="44">
        <f>((0.9*0.25*80)+(1.25*0.25*263)+(1.15*0.2*263+0.5*0.5*1.05*31))</f>
        <v>168.815</v>
      </c>
      <c r="I21" s="191"/>
      <c r="J21" s="200"/>
      <c r="N21" s="49"/>
    </row>
    <row r="22" spans="1:14" ht="16.5" customHeight="1">
      <c r="A22" s="12"/>
      <c r="B22" s="7"/>
      <c r="C22" s="8"/>
      <c r="D22" s="44"/>
      <c r="E22" s="44"/>
      <c r="F22" s="45" t="s">
        <v>1274</v>
      </c>
      <c r="G22" s="45" t="s">
        <v>1247</v>
      </c>
      <c r="H22" s="44">
        <f>((1.1*0.8-(0.04*0.04*3.14*6))*263+(1.15*5))</f>
        <v>229.26212800000005</v>
      </c>
      <c r="I22" s="191"/>
      <c r="J22" s="200"/>
      <c r="N22" s="49"/>
    </row>
    <row r="23" spans="1:14" ht="16.5" customHeight="1">
      <c r="A23" s="12"/>
      <c r="B23" s="7"/>
      <c r="C23" s="8"/>
      <c r="D23" s="44"/>
      <c r="E23" s="44"/>
      <c r="F23" s="45" t="s">
        <v>1276</v>
      </c>
      <c r="G23" s="45" t="s">
        <v>1275</v>
      </c>
      <c r="H23" s="44">
        <f>((2.1*2.4)-(1.5*1.75))*25.7+(2.1*1.25*0.6)</f>
        <v>63.640500000000003</v>
      </c>
      <c r="I23" s="191"/>
      <c r="J23" s="200"/>
      <c r="N23" s="49"/>
    </row>
    <row r="24" spans="1:14" ht="16.5" customHeight="1">
      <c r="A24" s="12"/>
      <c r="B24" s="7"/>
      <c r="C24" s="8"/>
      <c r="D24" s="44"/>
      <c r="E24" s="44"/>
      <c r="F24" s="45" t="s">
        <v>1250</v>
      </c>
      <c r="G24" s="45" t="s">
        <v>1265</v>
      </c>
      <c r="H24" s="44">
        <f>((3.75*(0.3+0.6)/2*35.65)+(5.5*0.85*35.65))</f>
        <v>226.82312499999998</v>
      </c>
      <c r="I24" s="191"/>
      <c r="J24" s="200"/>
      <c r="N24" s="49"/>
    </row>
    <row r="25" spans="1:14" ht="33" customHeight="1">
      <c r="A25" s="12"/>
      <c r="B25" s="7"/>
      <c r="C25" s="8"/>
      <c r="D25" s="44"/>
      <c r="E25" s="44"/>
      <c r="F25" s="45" t="s">
        <v>1251</v>
      </c>
      <c r="G25" s="45" t="s">
        <v>1253</v>
      </c>
      <c r="H25" s="44">
        <f>((3.75*(0.3+0.6)/2*6.7)+(2.1*0.6*18.7)+(0.35*1.5*18.7)+(0.35*3.75*3.2))</f>
        <v>48.885749999999994</v>
      </c>
      <c r="I25" s="191"/>
      <c r="J25" s="200"/>
      <c r="N25" s="49"/>
    </row>
    <row r="26" spans="1:14" ht="16.5" customHeight="1">
      <c r="A26" s="12"/>
      <c r="B26" s="7"/>
      <c r="C26" s="8"/>
      <c r="D26" s="44"/>
      <c r="E26" s="44"/>
      <c r="F26" s="45" t="s">
        <v>1257</v>
      </c>
      <c r="G26" s="45" t="s">
        <v>1254</v>
      </c>
      <c r="H26" s="44">
        <f>(277.6*0.525)</f>
        <v>145.74</v>
      </c>
      <c r="I26" s="191"/>
      <c r="J26" s="200"/>
      <c r="N26" s="49"/>
    </row>
    <row r="27" spans="1:14" ht="33" customHeight="1">
      <c r="A27" s="12"/>
      <c r="B27" s="7"/>
      <c r="C27" s="8"/>
      <c r="D27" s="44"/>
      <c r="E27" s="44"/>
      <c r="F27" s="45" t="s">
        <v>1252</v>
      </c>
      <c r="G27" s="45" t="s">
        <v>1264</v>
      </c>
      <c r="H27" s="44">
        <f>(1.1*0.35*196.3)+((0.38*0.38*3.14-0.3*0.3*3.14)*196.3)+2.85*2</f>
        <v>114.80668080000002</v>
      </c>
      <c r="I27" s="191"/>
      <c r="J27" s="200"/>
      <c r="N27" s="49"/>
    </row>
    <row r="28" spans="1:14" ht="16.5" customHeight="1">
      <c r="A28" s="12"/>
      <c r="B28" s="7"/>
      <c r="C28" s="8"/>
      <c r="D28" s="44"/>
      <c r="E28" s="44"/>
      <c r="F28" s="45" t="s">
        <v>1261</v>
      </c>
      <c r="G28" s="50" t="s">
        <v>1260</v>
      </c>
      <c r="H28" s="44">
        <f>(401.1+1104.5+1276+169.3+767.7+52.1)*0.3</f>
        <v>1131.21</v>
      </c>
      <c r="I28" s="191"/>
      <c r="J28" s="200"/>
      <c r="N28" s="49"/>
    </row>
    <row r="29" spans="1:14" ht="16.5" customHeight="1">
      <c r="A29" s="12"/>
      <c r="B29" s="7"/>
      <c r="C29" s="8"/>
      <c r="D29" s="44"/>
      <c r="E29" s="44"/>
      <c r="F29" s="45" t="s">
        <v>1258</v>
      </c>
      <c r="G29" s="50" t="s">
        <v>1259</v>
      </c>
      <c r="H29" s="44">
        <f>(77.5+169.3+170.9+49.4)*0.25</f>
        <v>116.77500000000001</v>
      </c>
      <c r="I29" s="191"/>
      <c r="J29" s="200"/>
      <c r="N29" s="49"/>
    </row>
    <row r="30" spans="1:14" ht="33" customHeight="1">
      <c r="A30" s="12"/>
      <c r="B30" s="7"/>
      <c r="C30" s="8"/>
      <c r="D30" s="44"/>
      <c r="E30" s="44"/>
      <c r="F30" s="45" t="s">
        <v>1267</v>
      </c>
      <c r="G30" s="50" t="s">
        <v>1268</v>
      </c>
      <c r="H30" s="44">
        <f>((112.1+241.1+229.5+0+60.8+0)*0.033)+((3+8+5.7+2.9)*0.5*0.75)</f>
        <v>28.585500000000003</v>
      </c>
      <c r="I30" s="191"/>
      <c r="J30" s="200"/>
      <c r="N30" s="49"/>
    </row>
    <row r="31" spans="1:14" ht="16.5" customHeight="1">
      <c r="A31" s="12"/>
      <c r="B31" s="7"/>
      <c r="C31" s="8"/>
      <c r="D31" s="44"/>
      <c r="E31" s="44"/>
      <c r="F31" s="45" t="s">
        <v>1271</v>
      </c>
      <c r="G31" s="45" t="s">
        <v>1272</v>
      </c>
      <c r="H31" s="44">
        <f>(0.8*(0.75+0.35)/2*18.2)+(0.8*0.8*1.45*7)</f>
        <v>14.504000000000001</v>
      </c>
      <c r="I31" s="191"/>
      <c r="J31" s="200"/>
      <c r="N31" s="49"/>
    </row>
    <row r="32" spans="1:14" ht="33" customHeight="1">
      <c r="A32" s="12"/>
      <c r="B32" s="7"/>
      <c r="C32" s="8"/>
      <c r="D32" s="44"/>
      <c r="E32" s="44"/>
      <c r="F32" s="45" t="s">
        <v>1269</v>
      </c>
      <c r="G32" s="45" t="s">
        <v>1270</v>
      </c>
      <c r="H32" s="44">
        <f>(0.25*1.65*39)+((3.5*(0.3+0.6)/2*5.6)+(2.1*0.6*2.3))+(6.2*5.3*0.35+2.1*2.2*0.6)</f>
        <v>42.078499999999991</v>
      </c>
      <c r="I32" s="191"/>
      <c r="J32" s="200"/>
      <c r="N32" s="49"/>
    </row>
    <row r="33" spans="1:14" ht="16.5" customHeight="1">
      <c r="A33" s="12"/>
      <c r="B33" s="7"/>
      <c r="C33" s="8"/>
      <c r="D33" s="44"/>
      <c r="E33" s="44"/>
      <c r="F33" s="45"/>
      <c r="G33" s="45"/>
      <c r="H33" s="44"/>
      <c r="I33" s="191"/>
      <c r="J33" s="200"/>
      <c r="N33" s="49"/>
    </row>
    <row r="34" spans="1:14" ht="16.5" customHeight="1">
      <c r="A34" s="12"/>
      <c r="B34" s="7"/>
      <c r="C34" s="8"/>
      <c r="D34" s="44"/>
      <c r="E34" s="44"/>
      <c r="F34" s="45"/>
      <c r="G34" s="45"/>
      <c r="H34" s="44"/>
      <c r="I34" s="191"/>
      <c r="J34" s="200"/>
      <c r="N34" s="49"/>
    </row>
    <row r="35" spans="1:14" ht="16.5" customHeight="1">
      <c r="A35" s="12"/>
      <c r="B35" s="7"/>
      <c r="C35" s="8"/>
      <c r="D35" s="44"/>
      <c r="E35" s="44"/>
      <c r="F35" s="45"/>
      <c r="G35" s="45"/>
      <c r="H35" s="44"/>
      <c r="I35" s="191"/>
      <c r="J35" s="200"/>
      <c r="N35" s="49"/>
    </row>
    <row r="36" spans="1:14" ht="30.75" customHeight="1">
      <c r="A36" s="12" t="s">
        <v>43</v>
      </c>
      <c r="B36" s="7" t="s">
        <v>249</v>
      </c>
      <c r="C36" s="8" t="s">
        <v>8</v>
      </c>
      <c r="D36" s="44">
        <v>1743</v>
      </c>
      <c r="E36" s="44"/>
      <c r="F36" s="45" t="s">
        <v>1235</v>
      </c>
      <c r="G36" s="47" t="s">
        <v>1236</v>
      </c>
      <c r="H36" s="44">
        <f>(27.2*16+10.5*6)+(1.25*6*12*5)+(2.3*6*7*2)+(3.8*6+5.2*8)+(2.5*3.14*6)</f>
        <v>1252.9000000000001</v>
      </c>
      <c r="I36" s="192">
        <f>H36+H37</f>
        <v>1747.3000000000002</v>
      </c>
      <c r="J36" s="279">
        <f>I36-D36</f>
        <v>4.3000000000001819</v>
      </c>
      <c r="K36" s="434" t="s">
        <v>2483</v>
      </c>
      <c r="N36" s="49"/>
    </row>
    <row r="37" spans="1:14" ht="16.5" customHeight="1">
      <c r="A37" s="12"/>
      <c r="B37" s="7"/>
      <c r="C37" s="8"/>
      <c r="D37" s="44"/>
      <c r="E37" s="44"/>
      <c r="F37" s="45" t="s">
        <v>1281</v>
      </c>
      <c r="G37" s="47" t="s">
        <v>1280</v>
      </c>
      <c r="H37" s="44">
        <f>18*12+8.5*4+(1.1*6*12*3+0.8)+(3*2)</f>
        <v>494.40000000000003</v>
      </c>
      <c r="I37" s="191"/>
      <c r="J37" s="200"/>
      <c r="N37" s="49"/>
    </row>
    <row r="38" spans="1:14" ht="16.5" customHeight="1">
      <c r="A38" s="12"/>
      <c r="B38" s="7"/>
      <c r="C38" s="8"/>
      <c r="D38" s="44"/>
      <c r="E38" s="44"/>
      <c r="F38" s="45"/>
      <c r="G38" s="47"/>
      <c r="H38" s="44"/>
      <c r="I38" s="191"/>
      <c r="J38" s="200"/>
      <c r="N38" s="49"/>
    </row>
    <row r="39" spans="1:14" ht="38.25" customHeight="1">
      <c r="A39" s="12" t="s">
        <v>44</v>
      </c>
      <c r="B39" s="53" t="s">
        <v>229</v>
      </c>
      <c r="C39" s="8" t="s">
        <v>23</v>
      </c>
      <c r="D39" s="44">
        <v>26370</v>
      </c>
      <c r="E39" s="44">
        <v>28009.56</v>
      </c>
      <c r="F39" s="45" t="s">
        <v>1278</v>
      </c>
      <c r="G39" s="51" t="s">
        <v>1278</v>
      </c>
      <c r="H39" s="54">
        <v>26370</v>
      </c>
      <c r="I39" s="192">
        <f>E39</f>
        <v>28009.56</v>
      </c>
      <c r="J39" s="279">
        <f>SUM(H39:H42)-I39</f>
        <v>-513.92329599999721</v>
      </c>
      <c r="N39" s="49"/>
    </row>
    <row r="40" spans="1:14" ht="33" customHeight="1">
      <c r="A40" s="12"/>
      <c r="B40" s="7"/>
      <c r="C40" s="8"/>
      <c r="D40" s="44"/>
      <c r="E40" s="44"/>
      <c r="F40" s="45" t="s">
        <v>1286</v>
      </c>
      <c r="G40" s="47" t="s">
        <v>1287</v>
      </c>
      <c r="H40" s="44">
        <f>((5*6*6.5*2)+(13*3.5*6.8)+(3.2*8.5*1.6))+((747.2+149.44))</f>
        <v>1639.56</v>
      </c>
      <c r="I40" s="191"/>
      <c r="J40" s="200"/>
      <c r="N40" s="49"/>
    </row>
    <row r="41" spans="1:14" ht="16.5" customHeight="1">
      <c r="A41" s="12"/>
      <c r="B41" s="7"/>
      <c r="C41" s="8"/>
      <c r="D41" s="44"/>
      <c r="E41" s="44"/>
      <c r="F41" s="50" t="s">
        <v>2896</v>
      </c>
      <c r="G41" s="51" t="s">
        <v>2987</v>
      </c>
      <c r="H41" s="54">
        <f>-(280-60)*7.35*0.3</f>
        <v>-485.09999999999997</v>
      </c>
      <c r="I41" s="191"/>
      <c r="J41" s="200"/>
      <c r="N41" s="49"/>
    </row>
    <row r="42" spans="1:14" ht="16.5" customHeight="1">
      <c r="A42" s="12"/>
      <c r="B42" s="7"/>
      <c r="C42" s="8"/>
      <c r="D42" s="44"/>
      <c r="E42" s="44"/>
      <c r="F42" s="748" t="s">
        <v>2985</v>
      </c>
      <c r="G42" s="763" t="s">
        <v>2986</v>
      </c>
      <c r="H42" s="54">
        <f>-(0.32*0.32*3.14*36+0.25*0.25*3.14*59.2+3.1+2.53)</f>
        <v>-28.823296000000006</v>
      </c>
      <c r="I42" s="191"/>
      <c r="J42" s="200"/>
      <c r="N42" s="49"/>
    </row>
    <row r="43" spans="1:14" ht="16.5" customHeight="1">
      <c r="A43" s="269"/>
      <c r="B43" s="270"/>
      <c r="C43" s="271"/>
      <c r="D43" s="272"/>
      <c r="E43" s="272"/>
      <c r="F43" s="272"/>
      <c r="G43" s="761"/>
      <c r="H43" s="548"/>
      <c r="I43" s="274"/>
      <c r="J43" s="92"/>
      <c r="N43" s="49"/>
    </row>
    <row r="44" spans="1:14" ht="33">
      <c r="A44" s="12" t="s">
        <v>45</v>
      </c>
      <c r="B44" s="10" t="s">
        <v>252</v>
      </c>
      <c r="C44" s="8" t="s">
        <v>6</v>
      </c>
      <c r="D44" s="44">
        <v>4726.67</v>
      </c>
      <c r="E44" s="44"/>
      <c r="F44" s="45" t="s">
        <v>1284</v>
      </c>
      <c r="G44" s="45" t="s">
        <v>1285</v>
      </c>
      <c r="H44" s="44">
        <f>(7.5*55*0.24)+(9.6*37*0.25)+(7.1*243*0.24)</f>
        <v>601.87199999999996</v>
      </c>
      <c r="I44" s="192">
        <f>H44+H45</f>
        <v>601.87199999999996</v>
      </c>
      <c r="J44" s="200" t="s">
        <v>2123</v>
      </c>
      <c r="N44" s="49"/>
    </row>
    <row r="45" spans="1:14">
      <c r="A45" s="12"/>
      <c r="B45" s="7"/>
      <c r="C45" s="8"/>
      <c r="D45" s="44"/>
      <c r="E45" s="44"/>
      <c r="F45" s="45"/>
      <c r="G45" s="45"/>
      <c r="H45" s="44"/>
      <c r="I45" s="191"/>
      <c r="J45" s="200"/>
      <c r="M45" s="30"/>
      <c r="N45" s="49"/>
    </row>
    <row r="46" spans="1:14">
      <c r="A46" s="12"/>
      <c r="B46" s="7"/>
      <c r="C46" s="8"/>
      <c r="D46" s="44"/>
      <c r="E46" s="44"/>
      <c r="F46" s="45"/>
      <c r="G46" s="45"/>
      <c r="H46" s="44"/>
      <c r="I46" s="191"/>
      <c r="J46" s="200"/>
      <c r="M46" s="30"/>
      <c r="N46" s="49"/>
    </row>
    <row r="47" spans="1:14">
      <c r="A47" s="12" t="s">
        <v>254</v>
      </c>
      <c r="B47" s="7" t="s">
        <v>255</v>
      </c>
      <c r="C47" s="8" t="s">
        <v>6</v>
      </c>
      <c r="D47" s="44">
        <v>13120</v>
      </c>
      <c r="E47" s="44"/>
      <c r="F47" s="45"/>
      <c r="G47" s="45" t="s">
        <v>2907</v>
      </c>
      <c r="H47" s="44">
        <f>ROUND(9083/0.9*1.3,0)</f>
        <v>13120</v>
      </c>
      <c r="I47" s="192">
        <f>D47</f>
        <v>13120</v>
      </c>
      <c r="J47" s="279">
        <f>SUM(H47:H53)-D47</f>
        <v>2647.2226084999984</v>
      </c>
      <c r="N47" s="49"/>
    </row>
    <row r="48" spans="1:14" ht="33">
      <c r="A48" s="226"/>
      <c r="B48" s="227"/>
      <c r="C48" s="228"/>
      <c r="D48" s="229"/>
      <c r="E48" s="229"/>
      <c r="F48" s="45" t="s">
        <v>2897</v>
      </c>
      <c r="G48" s="230" t="s">
        <v>2898</v>
      </c>
      <c r="H48" s="229">
        <f>((5*6*6.5*2)+(13*3.5*6.8)+(3.2*8.5*1.6))+((747.2+149.44))</f>
        <v>1639.56</v>
      </c>
      <c r="I48" s="191"/>
      <c r="J48" s="200"/>
      <c r="N48" s="49"/>
    </row>
    <row r="49" spans="1:14">
      <c r="A49" s="269"/>
      <c r="B49" s="270"/>
      <c r="C49" s="271"/>
      <c r="D49" s="272"/>
      <c r="E49" s="272"/>
      <c r="F49" s="273" t="s">
        <v>2905</v>
      </c>
      <c r="G49" s="273" t="s">
        <v>2906</v>
      </c>
      <c r="H49" s="272">
        <f>3.6*2/2*24.3</f>
        <v>87.48</v>
      </c>
      <c r="I49" s="274"/>
      <c r="J49" s="92"/>
      <c r="N49" s="49"/>
    </row>
    <row r="50" spans="1:14">
      <c r="A50" s="226"/>
      <c r="B50" s="227"/>
      <c r="C50" s="228"/>
      <c r="D50" s="229"/>
      <c r="E50" s="229"/>
      <c r="F50" s="230" t="s">
        <v>2899</v>
      </c>
      <c r="G50" s="230" t="s">
        <v>2900</v>
      </c>
      <c r="H50" s="229">
        <f>(5.46*7.42/2-5.46*3.71/2)*50</f>
        <v>506.41499999999996</v>
      </c>
      <c r="I50" s="191"/>
      <c r="J50" s="200"/>
      <c r="N50" s="49"/>
    </row>
    <row r="51" spans="1:14">
      <c r="A51" s="269"/>
      <c r="B51" s="270"/>
      <c r="C51" s="271"/>
      <c r="D51" s="272"/>
      <c r="E51" s="272"/>
      <c r="F51" s="749" t="s">
        <v>2692</v>
      </c>
      <c r="G51" s="273" t="s">
        <v>2901</v>
      </c>
      <c r="H51" s="272">
        <v>331.5</v>
      </c>
      <c r="I51" s="274"/>
      <c r="J51" s="92"/>
      <c r="N51" s="49"/>
    </row>
    <row r="52" spans="1:14">
      <c r="A52" s="12"/>
      <c r="B52" s="7"/>
      <c r="C52" s="8"/>
      <c r="D52" s="44"/>
      <c r="E52" s="44"/>
      <c r="F52" s="750" t="s">
        <v>2902</v>
      </c>
      <c r="G52" s="45" t="s">
        <v>2903</v>
      </c>
      <c r="H52" s="44">
        <f>(3.9625*21.55-1*1)*0.7</f>
        <v>59.074312499999998</v>
      </c>
      <c r="I52" s="191"/>
      <c r="J52" s="200"/>
      <c r="N52" s="49"/>
    </row>
    <row r="53" spans="1:14">
      <c r="A53" s="269"/>
      <c r="B53" s="270"/>
      <c r="C53" s="271"/>
      <c r="D53" s="272"/>
      <c r="E53" s="272"/>
      <c r="F53" s="748" t="s">
        <v>2908</v>
      </c>
      <c r="G53" s="51" t="s">
        <v>2909</v>
      </c>
      <c r="H53" s="54">
        <f>(0.32*0.32*3.14*36+0.25*0.25*3.14*59.2)</f>
        <v>23.193296000000004</v>
      </c>
      <c r="I53" s="274"/>
      <c r="J53" s="92"/>
      <c r="N53" s="49"/>
    </row>
    <row r="54" spans="1:14" ht="29.25" customHeight="1">
      <c r="A54" s="12" t="s">
        <v>257</v>
      </c>
      <c r="B54" s="7" t="s">
        <v>258</v>
      </c>
      <c r="C54" s="8" t="s">
        <v>23</v>
      </c>
      <c r="D54" s="44">
        <v>13251</v>
      </c>
      <c r="E54" s="44"/>
      <c r="F54" s="45" t="s">
        <v>1283</v>
      </c>
      <c r="G54" s="45">
        <v>13251</v>
      </c>
      <c r="H54" s="44">
        <v>13251</v>
      </c>
      <c r="I54" s="192">
        <f>ROUND(SUM(H54:H57),0)</f>
        <v>18245</v>
      </c>
      <c r="J54" s="279">
        <f>I54-D54</f>
        <v>4994</v>
      </c>
      <c r="K54" s="747">
        <f>I54-D54</f>
        <v>4994</v>
      </c>
      <c r="N54" s="49"/>
    </row>
    <row r="55" spans="1:14" ht="29.25" customHeight="1">
      <c r="A55" s="269"/>
      <c r="B55" s="270"/>
      <c r="C55" s="271"/>
      <c r="D55" s="272"/>
      <c r="E55" s="272" t="s">
        <v>3020</v>
      </c>
      <c r="F55" s="273" t="s">
        <v>3001</v>
      </c>
      <c r="G55" s="273" t="s">
        <v>3003</v>
      </c>
      <c r="H55" s="272">
        <f>4813.44-212</f>
        <v>4601.4399999999996</v>
      </c>
      <c r="I55" s="287"/>
      <c r="J55" s="92"/>
      <c r="N55" s="49"/>
    </row>
    <row r="56" spans="1:14" ht="29.25" customHeight="1">
      <c r="A56" s="269"/>
      <c r="B56" s="270"/>
      <c r="C56" s="271"/>
      <c r="D56" s="272"/>
      <c r="E56" s="272" t="s">
        <v>3021</v>
      </c>
      <c r="F56" s="273" t="s">
        <v>3011</v>
      </c>
      <c r="G56" s="273" t="s">
        <v>3012</v>
      </c>
      <c r="H56" s="272">
        <f>ROUND(0.3*0.3*3.14*10*57.108,2)</f>
        <v>161.38999999999999</v>
      </c>
      <c r="I56" s="287"/>
      <c r="J56" s="92"/>
      <c r="N56" s="49"/>
    </row>
    <row r="57" spans="1:14" ht="29.25" customHeight="1">
      <c r="A57" s="269"/>
      <c r="B57" s="270"/>
      <c r="C57" s="271"/>
      <c r="D57" s="272"/>
      <c r="E57" s="272" t="s">
        <v>3022</v>
      </c>
      <c r="F57" s="10" t="s">
        <v>205</v>
      </c>
      <c r="G57" s="273">
        <v>231.09</v>
      </c>
      <c r="H57" s="272">
        <v>231.09</v>
      </c>
      <c r="I57" s="287"/>
      <c r="J57" s="92"/>
      <c r="N57" s="49"/>
    </row>
    <row r="58" spans="1:14" ht="29.25" customHeight="1">
      <c r="A58" s="269"/>
      <c r="B58" s="270"/>
      <c r="C58" s="271"/>
      <c r="D58" s="272"/>
      <c r="E58" s="272" t="s">
        <v>3023</v>
      </c>
      <c r="F58" s="273" t="s">
        <v>3014</v>
      </c>
      <c r="G58" s="273" t="s">
        <v>3015</v>
      </c>
      <c r="H58" s="272">
        <f>ROUND(322/30*35,2)</f>
        <v>375.67</v>
      </c>
      <c r="I58" s="287"/>
      <c r="J58" s="92"/>
      <c r="N58" s="49"/>
    </row>
    <row r="59" spans="1:14" ht="33">
      <c r="A59" s="12" t="s">
        <v>260</v>
      </c>
      <c r="B59" s="10" t="s">
        <v>3000</v>
      </c>
      <c r="C59" s="8" t="s">
        <v>6</v>
      </c>
      <c r="D59" s="44">
        <v>4601.4399999999996</v>
      </c>
      <c r="E59" s="44"/>
      <c r="F59" s="45" t="s">
        <v>3004</v>
      </c>
      <c r="G59" s="50" t="s">
        <v>3002</v>
      </c>
      <c r="H59" s="44">
        <f>4813.44-212</f>
        <v>4601.4399999999996</v>
      </c>
      <c r="I59" s="765" t="s">
        <v>3005</v>
      </c>
      <c r="J59" s="200"/>
      <c r="K59" s="433" t="s">
        <v>2483</v>
      </c>
      <c r="N59" s="49"/>
    </row>
    <row r="60" spans="1:14" ht="57">
      <c r="A60" s="12" t="s">
        <v>263</v>
      </c>
      <c r="B60" s="10" t="s">
        <v>264</v>
      </c>
      <c r="C60" s="8" t="s">
        <v>13</v>
      </c>
      <c r="D60" s="44">
        <v>2588.5</v>
      </c>
      <c r="E60" s="44"/>
      <c r="F60" s="45"/>
      <c r="G60" s="45"/>
      <c r="H60" s="44"/>
      <c r="I60" s="191" t="s">
        <v>243</v>
      </c>
      <c r="J60" s="200" t="s">
        <v>2123</v>
      </c>
      <c r="N60" s="49"/>
    </row>
    <row r="61" spans="1:14">
      <c r="A61" s="12"/>
      <c r="B61" s="7"/>
      <c r="C61" s="8"/>
      <c r="D61" s="44"/>
      <c r="E61" s="44"/>
      <c r="F61" s="45"/>
      <c r="G61" s="45"/>
      <c r="H61" s="44"/>
      <c r="I61" s="191"/>
      <c r="J61" s="200"/>
      <c r="N61" s="49"/>
    </row>
    <row r="62" spans="1:14" ht="42.75">
      <c r="A62" s="12" t="s">
        <v>266</v>
      </c>
      <c r="B62" s="10" t="s">
        <v>267</v>
      </c>
      <c r="C62" s="8" t="s">
        <v>13</v>
      </c>
      <c r="D62" s="44">
        <v>9177</v>
      </c>
      <c r="E62" s="44"/>
      <c r="F62" s="45" t="s">
        <v>1284</v>
      </c>
      <c r="G62" s="45" t="s">
        <v>1297</v>
      </c>
      <c r="H62" s="44">
        <f>(7.5*55*2.5)+(9.6*37*2.5)+(7.1*243*2.5)</f>
        <v>6232.5</v>
      </c>
      <c r="I62" s="192"/>
      <c r="J62" s="200" t="s">
        <v>2123</v>
      </c>
      <c r="N62" s="49"/>
    </row>
    <row r="63" spans="1:14">
      <c r="A63" s="12"/>
      <c r="B63" s="7"/>
      <c r="C63" s="8"/>
      <c r="D63" s="44"/>
      <c r="E63" s="44"/>
      <c r="F63" s="45"/>
      <c r="G63" s="45"/>
      <c r="H63" s="44"/>
      <c r="I63" s="192"/>
      <c r="J63" s="200"/>
      <c r="N63" s="49"/>
    </row>
    <row r="64" spans="1:14" ht="42.75">
      <c r="A64" s="12" t="s">
        <v>269</v>
      </c>
      <c r="B64" s="10" t="s">
        <v>270</v>
      </c>
      <c r="C64" s="8" t="s">
        <v>8</v>
      </c>
      <c r="D64" s="44">
        <v>162.5</v>
      </c>
      <c r="E64" s="44"/>
      <c r="F64" s="45" t="s">
        <v>1298</v>
      </c>
      <c r="G64" s="45" t="s">
        <v>1299</v>
      </c>
      <c r="H64" s="44">
        <f>(27.9+9.6+7.5+7.1)</f>
        <v>52.1</v>
      </c>
      <c r="I64" s="192"/>
      <c r="J64" s="200" t="s">
        <v>2123</v>
      </c>
      <c r="N64" s="49"/>
    </row>
    <row r="65" spans="1:14">
      <c r="A65" s="12"/>
      <c r="B65" s="7"/>
      <c r="C65" s="8"/>
      <c r="D65" s="44"/>
      <c r="E65" s="44"/>
      <c r="F65" s="45"/>
      <c r="G65" s="45"/>
      <c r="H65" s="44"/>
      <c r="I65" s="192"/>
      <c r="J65" s="200"/>
      <c r="M65" s="30"/>
      <c r="N65" s="49"/>
    </row>
    <row r="66" spans="1:14" ht="28.5">
      <c r="A66" s="12" t="s">
        <v>272</v>
      </c>
      <c r="B66" s="10" t="s">
        <v>273</v>
      </c>
      <c r="C66" s="8" t="s">
        <v>13</v>
      </c>
      <c r="D66" s="44">
        <v>5217.7</v>
      </c>
      <c r="E66" s="44"/>
      <c r="F66" s="50" t="s">
        <v>1437</v>
      </c>
      <c r="G66" s="50" t="s">
        <v>1300</v>
      </c>
      <c r="H66" s="44">
        <v>3637</v>
      </c>
      <c r="I66" s="192"/>
      <c r="J66" s="200" t="s">
        <v>2123</v>
      </c>
      <c r="N66" s="49"/>
    </row>
    <row r="67" spans="1:14">
      <c r="A67" s="12"/>
      <c r="B67" s="7"/>
      <c r="C67" s="8"/>
      <c r="D67" s="44"/>
      <c r="E67" s="44"/>
      <c r="F67" s="45"/>
      <c r="G67" s="45"/>
      <c r="H67" s="44"/>
      <c r="I67" s="192"/>
      <c r="J67" s="200"/>
      <c r="M67" s="30"/>
      <c r="N67" s="49"/>
    </row>
    <row r="68" spans="1:14" ht="31.5">
      <c r="A68" s="12" t="s">
        <v>275</v>
      </c>
      <c r="B68" s="7" t="s">
        <v>276</v>
      </c>
      <c r="C68" s="8" t="s">
        <v>6</v>
      </c>
      <c r="D68" s="44">
        <v>782.66</v>
      </c>
      <c r="E68" s="44"/>
      <c r="F68" s="45" t="s">
        <v>1282</v>
      </c>
      <c r="G68" s="45" t="s">
        <v>1913</v>
      </c>
      <c r="H68" s="44">
        <f>27*4</f>
        <v>108</v>
      </c>
      <c r="I68" s="192"/>
      <c r="J68" s="200" t="s">
        <v>2123</v>
      </c>
      <c r="N68" s="49"/>
    </row>
    <row r="69" spans="1:14" ht="33">
      <c r="A69" s="12" t="s">
        <v>278</v>
      </c>
      <c r="B69" s="7" t="s">
        <v>279</v>
      </c>
      <c r="C69" s="8" t="s">
        <v>14</v>
      </c>
      <c r="D69" s="44">
        <v>425</v>
      </c>
      <c r="E69" s="44"/>
      <c r="F69" s="45" t="s">
        <v>1301</v>
      </c>
      <c r="G69" s="45">
        <v>425</v>
      </c>
      <c r="H69" s="44">
        <v>425</v>
      </c>
      <c r="I69" s="192"/>
      <c r="J69" s="200"/>
      <c r="N69" s="49"/>
    </row>
    <row r="70" spans="1:14" ht="51.75" customHeight="1">
      <c r="A70" s="12" t="s">
        <v>281</v>
      </c>
      <c r="B70" s="10" t="s">
        <v>282</v>
      </c>
      <c r="C70" s="8" t="s">
        <v>8</v>
      </c>
      <c r="D70" s="44">
        <v>255.5</v>
      </c>
      <c r="E70" s="44"/>
      <c r="F70" s="45" t="s">
        <v>1302</v>
      </c>
      <c r="G70" s="45" t="s">
        <v>1303</v>
      </c>
      <c r="H70" s="44">
        <f>35+(55-0.5*7)+(27*8+6.5+5.3)</f>
        <v>314.3</v>
      </c>
      <c r="I70" s="192">
        <f>H70+H71</f>
        <v>415.08000000000004</v>
      </c>
      <c r="J70" s="279">
        <f>I70-D70</f>
        <v>159.58000000000004</v>
      </c>
      <c r="K70" s="436" t="s">
        <v>2484</v>
      </c>
      <c r="N70" s="49"/>
    </row>
    <row r="71" spans="1:14">
      <c r="A71" s="12"/>
      <c r="B71" s="7"/>
      <c r="C71" s="8"/>
      <c r="D71" s="44"/>
      <c r="E71" s="44"/>
      <c r="F71" s="45" t="s">
        <v>2889</v>
      </c>
      <c r="G71" s="45" t="s">
        <v>2888</v>
      </c>
      <c r="H71" s="44">
        <f>34.27+66.51</f>
        <v>100.78</v>
      </c>
      <c r="I71" s="191"/>
      <c r="J71" s="200"/>
      <c r="K71" s="747">
        <f>H70-D70</f>
        <v>58.800000000000011</v>
      </c>
      <c r="N71" s="49"/>
    </row>
    <row r="72" spans="1:14">
      <c r="A72" s="12"/>
      <c r="B72" s="7"/>
      <c r="C72" s="8"/>
      <c r="D72" s="44"/>
      <c r="E72" s="44"/>
      <c r="F72" s="45"/>
      <c r="G72" s="45"/>
      <c r="H72" s="44"/>
      <c r="I72" s="191"/>
      <c r="J72" s="200"/>
      <c r="N72" s="49"/>
    </row>
    <row r="73" spans="1:14" ht="31.5">
      <c r="A73" s="12" t="s">
        <v>284</v>
      </c>
      <c r="B73" s="7" t="s">
        <v>285</v>
      </c>
      <c r="C73" s="8" t="s">
        <v>286</v>
      </c>
      <c r="D73" s="44">
        <v>2204</v>
      </c>
      <c r="E73" s="44"/>
      <c r="F73" s="45" t="s">
        <v>1282</v>
      </c>
      <c r="G73" s="45" t="s">
        <v>1914</v>
      </c>
      <c r="H73" s="44">
        <v>2107</v>
      </c>
      <c r="I73" s="192"/>
      <c r="J73" s="200" t="s">
        <v>2123</v>
      </c>
      <c r="N73" s="49"/>
    </row>
    <row r="74" spans="1:14" ht="33">
      <c r="A74" s="12" t="s">
        <v>288</v>
      </c>
      <c r="B74" s="7" t="s">
        <v>289</v>
      </c>
      <c r="C74" s="8" t="s">
        <v>290</v>
      </c>
      <c r="D74" s="44">
        <v>66</v>
      </c>
      <c r="E74" s="44"/>
      <c r="F74" s="45" t="s">
        <v>1304</v>
      </c>
      <c r="G74" s="45" t="s">
        <v>1305</v>
      </c>
      <c r="H74" s="44">
        <f>9+12+22*2</f>
        <v>65</v>
      </c>
      <c r="I74" s="192"/>
      <c r="J74" s="200" t="s">
        <v>2123</v>
      </c>
      <c r="N74" s="49"/>
    </row>
    <row r="75" spans="1:14">
      <c r="A75" s="12" t="s">
        <v>292</v>
      </c>
      <c r="B75" s="7" t="s">
        <v>293</v>
      </c>
      <c r="C75" s="8" t="s">
        <v>0</v>
      </c>
      <c r="D75" s="44">
        <v>18</v>
      </c>
      <c r="E75" s="44"/>
      <c r="F75" s="45"/>
      <c r="G75" s="45" t="s">
        <v>1306</v>
      </c>
      <c r="H75" s="44">
        <v>18</v>
      </c>
      <c r="I75" s="192"/>
      <c r="J75" s="200"/>
      <c r="N75" s="49"/>
    </row>
    <row r="76" spans="1:14">
      <c r="A76" s="12" t="s">
        <v>295</v>
      </c>
      <c r="B76" s="7" t="s">
        <v>296</v>
      </c>
      <c r="C76" s="8" t="s">
        <v>0</v>
      </c>
      <c r="D76" s="44">
        <v>4</v>
      </c>
      <c r="E76" s="44"/>
      <c r="F76" s="45"/>
      <c r="G76" s="45" t="s">
        <v>1912</v>
      </c>
      <c r="H76" s="44">
        <v>4</v>
      </c>
      <c r="I76" s="192"/>
      <c r="J76" s="200"/>
      <c r="N76" s="49"/>
    </row>
    <row r="77" spans="1:14">
      <c r="A77" s="12" t="s">
        <v>298</v>
      </c>
      <c r="B77" s="7" t="s">
        <v>299</v>
      </c>
      <c r="C77" s="8" t="s">
        <v>0</v>
      </c>
      <c r="D77" s="44">
        <v>20</v>
      </c>
      <c r="E77" s="44"/>
      <c r="F77" s="45" t="s">
        <v>1230</v>
      </c>
      <c r="G77" s="45">
        <v>20</v>
      </c>
      <c r="H77" s="44">
        <v>20</v>
      </c>
      <c r="I77" s="192"/>
      <c r="J77" s="200"/>
      <c r="N77" s="49"/>
    </row>
    <row r="78" spans="1:14">
      <c r="A78" s="12" t="s">
        <v>301</v>
      </c>
      <c r="B78" s="7" t="s">
        <v>302</v>
      </c>
      <c r="C78" s="8" t="s">
        <v>0</v>
      </c>
      <c r="D78" s="44">
        <v>15</v>
      </c>
      <c r="E78" s="44"/>
      <c r="F78" s="45" t="s">
        <v>1307</v>
      </c>
      <c r="G78" s="45" t="s">
        <v>1915</v>
      </c>
      <c r="H78" s="44">
        <f>6+3+4+1+1</f>
        <v>15</v>
      </c>
      <c r="I78" s="192"/>
      <c r="J78" s="200"/>
      <c r="N78" s="49"/>
    </row>
    <row r="79" spans="1:14">
      <c r="A79" s="12"/>
      <c r="B79" s="7"/>
      <c r="C79" s="8"/>
      <c r="D79" s="44"/>
      <c r="E79" s="44"/>
      <c r="F79" s="45"/>
      <c r="G79" s="45"/>
      <c r="H79" s="44"/>
      <c r="I79" s="191"/>
      <c r="J79" s="200"/>
      <c r="N79" s="49"/>
    </row>
    <row r="80" spans="1:14" ht="28.5">
      <c r="A80" s="12" t="s">
        <v>304</v>
      </c>
      <c r="B80" s="10" t="s">
        <v>1308</v>
      </c>
      <c r="C80" s="8" t="s">
        <v>4</v>
      </c>
      <c r="D80" s="44">
        <v>1</v>
      </c>
      <c r="E80" s="44"/>
      <c r="F80" s="45" t="s">
        <v>1309</v>
      </c>
      <c r="G80" s="45">
        <v>1</v>
      </c>
      <c r="H80" s="44">
        <v>1</v>
      </c>
      <c r="I80" s="192"/>
      <c r="J80" s="200"/>
      <c r="N80" s="49"/>
    </row>
    <row r="81" spans="1:14" ht="42.75">
      <c r="A81" s="12" t="s">
        <v>307</v>
      </c>
      <c r="B81" s="10" t="s">
        <v>31</v>
      </c>
      <c r="C81" s="8" t="s">
        <v>16</v>
      </c>
      <c r="D81" s="44">
        <v>30800</v>
      </c>
      <c r="E81" s="44"/>
      <c r="F81" s="45" t="s">
        <v>1310</v>
      </c>
      <c r="G81" s="45" t="s">
        <v>1916</v>
      </c>
      <c r="H81" s="44">
        <f>16568.5+3104.5+1440+240</f>
        <v>21353</v>
      </c>
      <c r="I81" s="192"/>
      <c r="J81" s="200" t="s">
        <v>2123</v>
      </c>
      <c r="K81" s="433">
        <f>710*16*3</f>
        <v>34080</v>
      </c>
      <c r="M81" s="170">
        <f>30800/730</f>
        <v>42.19178082191781</v>
      </c>
      <c r="N81" s="49"/>
    </row>
    <row r="82" spans="1:14" ht="28.5">
      <c r="A82" s="12" t="s">
        <v>1311</v>
      </c>
      <c r="B82" s="10" t="s">
        <v>1312</v>
      </c>
      <c r="C82" s="8" t="s">
        <v>13</v>
      </c>
      <c r="D82" s="44"/>
      <c r="E82" s="44">
        <v>2150</v>
      </c>
      <c r="F82" s="45" t="s">
        <v>1317</v>
      </c>
      <c r="G82" s="45">
        <v>2150</v>
      </c>
      <c r="H82" s="44">
        <v>2150</v>
      </c>
      <c r="I82" s="192"/>
      <c r="J82" s="200"/>
      <c r="N82" s="49"/>
    </row>
    <row r="83" spans="1:14">
      <c r="A83" s="12" t="s">
        <v>1313</v>
      </c>
      <c r="B83" s="7" t="s">
        <v>1314</v>
      </c>
      <c r="C83" s="8" t="s">
        <v>1315</v>
      </c>
      <c r="D83" s="44"/>
      <c r="E83" s="44">
        <v>111</v>
      </c>
      <c r="F83" s="80" t="s">
        <v>1316</v>
      </c>
      <c r="G83" s="80" t="s">
        <v>1917</v>
      </c>
      <c r="H83" s="44">
        <v>101</v>
      </c>
      <c r="I83" s="192"/>
      <c r="J83" s="200" t="s">
        <v>2123</v>
      </c>
      <c r="N83" s="49"/>
    </row>
    <row r="84" spans="1:14" ht="33">
      <c r="A84" s="6" t="s">
        <v>46</v>
      </c>
      <c r="B84" s="7" t="s">
        <v>309</v>
      </c>
      <c r="C84" s="8" t="s">
        <v>4</v>
      </c>
      <c r="D84" s="44">
        <v>1</v>
      </c>
      <c r="E84" s="44"/>
      <c r="F84" s="45"/>
      <c r="G84" s="50" t="s">
        <v>2124</v>
      </c>
      <c r="H84" s="44"/>
      <c r="I84" s="191" t="s">
        <v>243</v>
      </c>
      <c r="J84" s="200" t="s">
        <v>2123</v>
      </c>
      <c r="N84" s="49"/>
    </row>
    <row r="85" spans="1:14" ht="33">
      <c r="A85" s="12" t="s">
        <v>47</v>
      </c>
      <c r="B85" s="7" t="s">
        <v>310</v>
      </c>
      <c r="C85" s="8" t="s">
        <v>223</v>
      </c>
      <c r="D85" s="44">
        <v>1887.64</v>
      </c>
      <c r="E85" s="44"/>
      <c r="F85" s="45"/>
      <c r="G85" s="45"/>
      <c r="H85" s="44"/>
      <c r="I85" s="191" t="s">
        <v>243</v>
      </c>
      <c r="J85" s="200"/>
      <c r="N85" s="49"/>
    </row>
    <row r="86" spans="1:14" ht="33">
      <c r="A86" s="12" t="s">
        <v>48</v>
      </c>
      <c r="B86" s="10" t="s">
        <v>312</v>
      </c>
      <c r="C86" s="8" t="s">
        <v>223</v>
      </c>
      <c r="D86" s="44">
        <v>402.21</v>
      </c>
      <c r="E86" s="44"/>
      <c r="F86" s="45"/>
      <c r="G86" s="45"/>
      <c r="H86" s="44"/>
      <c r="I86" s="191" t="s">
        <v>243</v>
      </c>
      <c r="J86" s="200"/>
      <c r="N86" s="49"/>
    </row>
    <row r="87" spans="1:14" ht="36.75" customHeight="1">
      <c r="A87" s="12" t="s">
        <v>49</v>
      </c>
      <c r="B87" s="7" t="s">
        <v>192</v>
      </c>
      <c r="C87" s="8" t="s">
        <v>17</v>
      </c>
      <c r="D87" s="44">
        <v>18865.759999999998</v>
      </c>
      <c r="E87" s="44"/>
      <c r="F87" s="80" t="s">
        <v>1925</v>
      </c>
      <c r="G87" s="45" t="s">
        <v>1781</v>
      </c>
      <c r="H87" s="44">
        <f>(1.65*236*2+6*60*2+3.95*236+2.9*236+6*282)*0.994</f>
        <v>4778.5555999999997</v>
      </c>
      <c r="I87" s="192">
        <f>H87+H88</f>
        <v>6449.3155999999999</v>
      </c>
      <c r="J87" s="200"/>
      <c r="N87" s="49"/>
    </row>
    <row r="88" spans="1:14" ht="21.95" customHeight="1">
      <c r="A88" s="226"/>
      <c r="B88" s="227"/>
      <c r="C88" s="228"/>
      <c r="D88" s="229"/>
      <c r="E88" s="229"/>
      <c r="F88" s="27" t="s">
        <v>3113</v>
      </c>
      <c r="G88" s="230" t="s">
        <v>3114</v>
      </c>
      <c r="H88" s="229">
        <f>39*42.84</f>
        <v>1670.7600000000002</v>
      </c>
      <c r="I88" s="191"/>
      <c r="J88" s="200"/>
      <c r="N88" s="49"/>
    </row>
    <row r="89" spans="1:14" ht="28.5">
      <c r="A89" s="12" t="s">
        <v>50</v>
      </c>
      <c r="B89" s="10" t="s">
        <v>315</v>
      </c>
      <c r="C89" s="8" t="s">
        <v>6</v>
      </c>
      <c r="D89" s="44">
        <v>107.91</v>
      </c>
      <c r="E89" s="44"/>
      <c r="F89" s="80" t="s">
        <v>1925</v>
      </c>
      <c r="G89" s="45" t="s">
        <v>1742</v>
      </c>
      <c r="H89" s="44">
        <f>1.35*35.2*0.1</f>
        <v>4.7520000000000016</v>
      </c>
      <c r="I89" s="192">
        <f>H89</f>
        <v>4.7520000000000016</v>
      </c>
      <c r="J89" s="200"/>
      <c r="N89" s="49"/>
    </row>
    <row r="90" spans="1:14">
      <c r="A90" s="226"/>
      <c r="B90" s="231"/>
      <c r="C90" s="228"/>
      <c r="D90" s="229"/>
      <c r="E90" s="229"/>
      <c r="F90" s="232"/>
      <c r="G90" s="230"/>
      <c r="H90" s="229"/>
      <c r="I90" s="191"/>
      <c r="J90" s="200"/>
      <c r="N90" s="49"/>
    </row>
    <row r="91" spans="1:14" ht="28.5">
      <c r="A91" s="12" t="s">
        <v>51</v>
      </c>
      <c r="B91" s="10" t="s">
        <v>24</v>
      </c>
      <c r="C91" s="8" t="s">
        <v>6</v>
      </c>
      <c r="D91" s="44">
        <v>564.01</v>
      </c>
      <c r="E91" s="44"/>
      <c r="F91" s="80" t="s">
        <v>1925</v>
      </c>
      <c r="G91" s="56" t="s">
        <v>1752</v>
      </c>
      <c r="H91" s="44">
        <f>(1.35+2.05)*35.2*0.3+0.8*0.35*35.2</f>
        <v>45.760000000000005</v>
      </c>
      <c r="I91" s="192">
        <f>SUM(H91:H94)</f>
        <v>94.179399999999987</v>
      </c>
      <c r="J91" s="200"/>
      <c r="N91" s="49"/>
    </row>
    <row r="92" spans="1:14">
      <c r="A92" s="226"/>
      <c r="B92" s="231"/>
      <c r="C92" s="228"/>
      <c r="D92" s="229"/>
      <c r="E92" s="229"/>
      <c r="F92" s="232" t="s">
        <v>2696</v>
      </c>
      <c r="G92" s="233" t="s">
        <v>2697</v>
      </c>
      <c r="H92" s="229">
        <f>0.3*0.4*(57.6+24.85)</f>
        <v>9.8940000000000001</v>
      </c>
      <c r="I92" s="191"/>
      <c r="J92" s="200"/>
      <c r="N92" s="49"/>
    </row>
    <row r="93" spans="1:14">
      <c r="A93" s="226"/>
      <c r="B93" s="231"/>
      <c r="C93" s="228"/>
      <c r="D93" s="229"/>
      <c r="E93" s="229"/>
      <c r="F93" s="232" t="s">
        <v>3134</v>
      </c>
      <c r="G93" s="233" t="s">
        <v>3138</v>
      </c>
      <c r="H93" s="229">
        <f>0.3*0.3*(510.51-57.6-24.85)</f>
        <v>38.525399999999991</v>
      </c>
      <c r="I93" s="241"/>
      <c r="J93" s="92"/>
      <c r="N93" s="49"/>
    </row>
    <row r="94" spans="1:14">
      <c r="A94" s="226"/>
      <c r="B94" s="231"/>
      <c r="C94" s="228"/>
      <c r="D94" s="229"/>
      <c r="E94" s="229"/>
      <c r="F94" s="232"/>
      <c r="G94" s="233"/>
      <c r="H94" s="229"/>
      <c r="I94" s="191"/>
      <c r="J94" s="200"/>
      <c r="N94" s="49"/>
    </row>
    <row r="95" spans="1:14" ht="21.95" customHeight="1">
      <c r="A95" s="12" t="s">
        <v>52</v>
      </c>
      <c r="B95" s="7" t="s">
        <v>193</v>
      </c>
      <c r="C95" s="8" t="s">
        <v>13</v>
      </c>
      <c r="D95" s="44">
        <v>1926.87</v>
      </c>
      <c r="E95" s="44"/>
      <c r="F95" s="80" t="s">
        <v>1925</v>
      </c>
      <c r="G95" s="56" t="s">
        <v>1918</v>
      </c>
      <c r="H95" s="44">
        <f>(0.3+2.35+0.5+0.35+2.7)*35.2</f>
        <v>218.24000000000004</v>
      </c>
      <c r="I95" s="192">
        <f>SUM(H95:H98)</f>
        <v>624.33600000000001</v>
      </c>
      <c r="J95" s="200"/>
      <c r="N95" s="49"/>
    </row>
    <row r="96" spans="1:14" ht="28.5" customHeight="1">
      <c r="A96" s="286"/>
      <c r="B96" s="251"/>
      <c r="C96" s="252"/>
      <c r="D96" s="108"/>
      <c r="E96" s="108"/>
      <c r="F96" s="465" t="s">
        <v>2524</v>
      </c>
      <c r="G96" s="576" t="s">
        <v>2525</v>
      </c>
      <c r="H96" s="577">
        <f>(0.24+0.95)*2*(18.2+16)+0.4*(0.24+0.95)*4</f>
        <v>83.3</v>
      </c>
      <c r="I96" s="578"/>
      <c r="J96" s="579"/>
      <c r="N96" s="49"/>
    </row>
    <row r="97" spans="1:15" ht="28.5" customHeight="1">
      <c r="A97" s="794"/>
      <c r="B97" s="795"/>
      <c r="C97" s="796"/>
      <c r="D97" s="797"/>
      <c r="E97" s="797"/>
      <c r="F97" s="798" t="s">
        <v>2696</v>
      </c>
      <c r="G97" s="582" t="s">
        <v>2698</v>
      </c>
      <c r="H97" s="585">
        <f>0.4*2*(57.6+24.85)</f>
        <v>65.960000000000008</v>
      </c>
      <c r="I97" s="583"/>
      <c r="J97" s="584"/>
      <c r="N97" s="49"/>
    </row>
    <row r="98" spans="1:15" ht="28.5" customHeight="1">
      <c r="A98" s="800"/>
      <c r="B98" s="801"/>
      <c r="C98" s="802"/>
      <c r="D98" s="803"/>
      <c r="E98" s="803"/>
      <c r="F98" s="232" t="s">
        <v>3134</v>
      </c>
      <c r="G98" s="792" t="s">
        <v>3137</v>
      </c>
      <c r="H98" s="793">
        <f>0.3*2*(510.51-57.6-24.85)</f>
        <v>256.83599999999996</v>
      </c>
      <c r="I98" s="583"/>
      <c r="J98" s="584"/>
      <c r="N98" s="49"/>
    </row>
    <row r="99" spans="1:15" ht="45.75" customHeight="1">
      <c r="A99" s="261" t="s">
        <v>53</v>
      </c>
      <c r="B99" s="262" t="s">
        <v>319</v>
      </c>
      <c r="C99" s="263" t="s">
        <v>13</v>
      </c>
      <c r="D99" s="264">
        <v>301.33</v>
      </c>
      <c r="E99" s="264"/>
      <c r="F99" s="799" t="s">
        <v>2137</v>
      </c>
      <c r="G99" s="265"/>
      <c r="H99" s="264"/>
      <c r="I99" s="580" t="s">
        <v>243</v>
      </c>
      <c r="J99" s="581"/>
      <c r="N99" s="49"/>
    </row>
    <row r="100" spans="1:15" ht="21.95" customHeight="1">
      <c r="A100" s="12" t="s">
        <v>54</v>
      </c>
      <c r="B100" s="7" t="s">
        <v>3110</v>
      </c>
      <c r="C100" s="8" t="s">
        <v>17</v>
      </c>
      <c r="D100" s="44">
        <v>5991.34</v>
      </c>
      <c r="E100" s="44"/>
      <c r="F100" s="45"/>
      <c r="G100" s="45"/>
      <c r="H100" s="44">
        <v>5991.34</v>
      </c>
      <c r="I100" s="192">
        <f>SUM(H100:H105)</f>
        <v>32931.474399999999</v>
      </c>
      <c r="J100" s="279">
        <f>I100-D100</f>
        <v>26940.134399999999</v>
      </c>
      <c r="K100" s="433" t="s">
        <v>2994</v>
      </c>
      <c r="M100" s="791" t="s">
        <v>3132</v>
      </c>
      <c r="N100" s="804" t="s">
        <v>3136</v>
      </c>
      <c r="O100" s="805">
        <f>M102+M103+M105</f>
        <v>510.50999999999993</v>
      </c>
    </row>
    <row r="101" spans="1:15" ht="29.25" customHeight="1">
      <c r="A101" s="269"/>
      <c r="B101" s="270"/>
      <c r="C101" s="271"/>
      <c r="D101" s="548" t="s">
        <v>2633</v>
      </c>
      <c r="E101" s="272"/>
      <c r="F101" s="783" t="s">
        <v>2634</v>
      </c>
      <c r="G101" s="783" t="s">
        <v>3108</v>
      </c>
      <c r="H101" s="784">
        <f>(18.25+16+3.25)*26.12</f>
        <v>979.5</v>
      </c>
      <c r="I101" s="287"/>
      <c r="J101" s="92"/>
      <c r="K101" s="433">
        <f>6.35*4+0.53*9+6.61*1</f>
        <v>36.78</v>
      </c>
      <c r="M101" s="170">
        <f>18.25+16+3.25</f>
        <v>37.5</v>
      </c>
      <c r="N101" s="49"/>
    </row>
    <row r="102" spans="1:15" ht="33" customHeight="1">
      <c r="A102" s="269"/>
      <c r="B102" s="270"/>
      <c r="C102" s="271"/>
      <c r="D102" s="548" t="s">
        <v>2633</v>
      </c>
      <c r="E102" s="272"/>
      <c r="F102" s="783" t="s">
        <v>3107</v>
      </c>
      <c r="G102" s="783" t="s">
        <v>3133</v>
      </c>
      <c r="H102" s="784">
        <f>(3.5+2.4*2+21.7+24.85+57.6+7.1+1.68+14.8)*49.44</f>
        <v>6725.3231999999998</v>
      </c>
      <c r="I102" s="274"/>
      <c r="J102" s="92"/>
      <c r="K102" s="433">
        <f>(3.5+2.4*2+21.7+24.85+57.6+7.1+1.68+14.8)</f>
        <v>136.03</v>
      </c>
      <c r="M102" s="170">
        <f>3.5+2.4*2+21.7+24.85+57.6+7.1+1.68+14.8</f>
        <v>136.03</v>
      </c>
      <c r="N102" s="49"/>
    </row>
    <row r="103" spans="1:15" ht="33" customHeight="1">
      <c r="A103" s="269"/>
      <c r="B103" s="270"/>
      <c r="C103" s="271"/>
      <c r="D103" s="548" t="s">
        <v>2635</v>
      </c>
      <c r="E103" s="272"/>
      <c r="F103" s="783" t="s">
        <v>3112</v>
      </c>
      <c r="G103" s="783" t="s">
        <v>3111</v>
      </c>
      <c r="H103" s="784">
        <f>(34.27+66.51+240)*49.44</f>
        <v>16848.163199999999</v>
      </c>
      <c r="I103" s="274"/>
      <c r="J103" s="92"/>
      <c r="K103" s="433">
        <f>34.27+66.51+240</f>
        <v>340.78</v>
      </c>
      <c r="M103" s="170">
        <f>34.27+66.51+240</f>
        <v>340.78</v>
      </c>
      <c r="N103" s="49"/>
    </row>
    <row r="104" spans="1:15" ht="21.95" customHeight="1">
      <c r="A104" s="269"/>
      <c r="B104" s="270"/>
      <c r="C104" s="271"/>
      <c r="D104" s="548" t="s">
        <v>2633</v>
      </c>
      <c r="E104" s="272"/>
      <c r="F104" s="783" t="s">
        <v>2636</v>
      </c>
      <c r="G104" s="783" t="s">
        <v>3105</v>
      </c>
      <c r="H104" s="784">
        <f>(21.65+17.75)*18.3</f>
        <v>721.02</v>
      </c>
      <c r="I104" s="274"/>
      <c r="J104" s="92"/>
      <c r="K104" s="433">
        <f>(1.8+2.34)*2+1.4*8+3.144*2</f>
        <v>25.767999999999997</v>
      </c>
      <c r="M104" s="170">
        <f>21.65+17.75</f>
        <v>39.4</v>
      </c>
      <c r="N104" s="49"/>
    </row>
    <row r="105" spans="1:15" ht="21.95" customHeight="1">
      <c r="A105" s="226"/>
      <c r="B105" s="227"/>
      <c r="C105" s="228"/>
      <c r="D105" s="548" t="s">
        <v>2635</v>
      </c>
      <c r="E105" s="229"/>
      <c r="F105" s="789" t="s">
        <v>3124</v>
      </c>
      <c r="G105" s="789" t="s">
        <v>3125</v>
      </c>
      <c r="H105" s="790">
        <f>33.7*49.44</f>
        <v>1666.1280000000002</v>
      </c>
      <c r="I105" s="241"/>
      <c r="J105" s="92"/>
      <c r="M105" s="170">
        <f>33.7</f>
        <v>33.700000000000003</v>
      </c>
      <c r="N105" s="49" t="s">
        <v>3135</v>
      </c>
    </row>
    <row r="106" spans="1:15" ht="47.25">
      <c r="A106" s="12" t="s">
        <v>55</v>
      </c>
      <c r="B106" s="7" t="s">
        <v>323</v>
      </c>
      <c r="C106" s="8" t="s">
        <v>17</v>
      </c>
      <c r="D106" s="44">
        <v>5991.34</v>
      </c>
      <c r="E106" s="44"/>
      <c r="F106" s="50"/>
      <c r="G106" s="50"/>
      <c r="H106" s="79">
        <v>5991.34</v>
      </c>
      <c r="I106" s="192">
        <f>SUM(H106:H111)</f>
        <v>32931.474399999999</v>
      </c>
      <c r="J106" s="279">
        <f>I106-D106</f>
        <v>26940.134399999999</v>
      </c>
      <c r="K106" s="433" t="s">
        <v>2994</v>
      </c>
      <c r="N106" s="49"/>
    </row>
    <row r="107" spans="1:15">
      <c r="A107" s="269"/>
      <c r="B107" s="270"/>
      <c r="C107" s="271"/>
      <c r="D107" s="548" t="s">
        <v>2633</v>
      </c>
      <c r="E107" s="272"/>
      <c r="F107" s="783" t="s">
        <v>2634</v>
      </c>
      <c r="G107" s="783" t="s">
        <v>3108</v>
      </c>
      <c r="H107" s="784">
        <f>(18.25+16+3.25)*26.12</f>
        <v>979.5</v>
      </c>
      <c r="I107" s="274"/>
      <c r="J107" s="92"/>
      <c r="N107" s="49"/>
    </row>
    <row r="108" spans="1:15" ht="33">
      <c r="A108" s="269"/>
      <c r="B108" s="270"/>
      <c r="C108" s="271"/>
      <c r="D108" s="548" t="s">
        <v>2633</v>
      </c>
      <c r="E108" s="272"/>
      <c r="F108" s="783" t="s">
        <v>3107</v>
      </c>
      <c r="G108" s="783" t="s">
        <v>3106</v>
      </c>
      <c r="H108" s="784">
        <f>(3.5+2.4*2+21.7+24.85+57.6+7.1+1.68+14.8)*49.44</f>
        <v>6725.3231999999998</v>
      </c>
      <c r="I108" s="274"/>
      <c r="J108" s="92"/>
      <c r="N108" s="49"/>
    </row>
    <row r="109" spans="1:15">
      <c r="A109" s="269"/>
      <c r="B109" s="270"/>
      <c r="C109" s="271"/>
      <c r="D109" s="548" t="s">
        <v>2635</v>
      </c>
      <c r="E109" s="272"/>
      <c r="F109" s="783" t="s">
        <v>3112</v>
      </c>
      <c r="G109" s="783" t="s">
        <v>3111</v>
      </c>
      <c r="H109" s="784">
        <f>(34.27+66.51+240)*49.44</f>
        <v>16848.163199999999</v>
      </c>
      <c r="I109" s="274"/>
      <c r="J109" s="92"/>
      <c r="N109" s="49"/>
    </row>
    <row r="110" spans="1:15">
      <c r="A110" s="269"/>
      <c r="B110" s="270"/>
      <c r="C110" s="271"/>
      <c r="D110" s="548" t="s">
        <v>2633</v>
      </c>
      <c r="E110" s="272"/>
      <c r="F110" s="783" t="s">
        <v>2636</v>
      </c>
      <c r="G110" s="783" t="s">
        <v>3105</v>
      </c>
      <c r="H110" s="784">
        <f>(21.65+17.75)*18.3</f>
        <v>721.02</v>
      </c>
      <c r="I110" s="274"/>
      <c r="J110" s="92"/>
      <c r="N110" s="49"/>
    </row>
    <row r="111" spans="1:15">
      <c r="A111" s="226"/>
      <c r="B111" s="227"/>
      <c r="C111" s="228"/>
      <c r="D111" s="548" t="s">
        <v>2635</v>
      </c>
      <c r="E111" s="229"/>
      <c r="F111" s="789" t="s">
        <v>3124</v>
      </c>
      <c r="G111" s="789" t="s">
        <v>3125</v>
      </c>
      <c r="H111" s="790">
        <f>33.7*49.44</f>
        <v>1666.1280000000002</v>
      </c>
      <c r="I111" s="241"/>
      <c r="J111" s="92"/>
      <c r="N111" s="49"/>
    </row>
    <row r="112" spans="1:15" ht="45">
      <c r="A112" s="12" t="s">
        <v>56</v>
      </c>
      <c r="B112" s="53" t="s">
        <v>325</v>
      </c>
      <c r="C112" s="8" t="s">
        <v>17</v>
      </c>
      <c r="D112" s="44">
        <v>1180.03</v>
      </c>
      <c r="E112" s="44"/>
      <c r="F112" s="45"/>
      <c r="G112" s="45"/>
      <c r="H112" s="44"/>
      <c r="I112" s="191" t="s">
        <v>243</v>
      </c>
      <c r="J112" s="200"/>
      <c r="N112" s="49"/>
    </row>
    <row r="113" spans="1:14" ht="21.95" customHeight="1">
      <c r="A113" s="12" t="s">
        <v>57</v>
      </c>
      <c r="B113" s="7" t="s">
        <v>327</v>
      </c>
      <c r="C113" s="8" t="s">
        <v>13</v>
      </c>
      <c r="D113" s="44">
        <v>3879.21</v>
      </c>
      <c r="E113" s="44"/>
      <c r="F113" s="45"/>
      <c r="G113" s="45"/>
      <c r="H113" s="44"/>
      <c r="I113" s="191" t="s">
        <v>243</v>
      </c>
      <c r="J113" s="200"/>
      <c r="N113" s="49"/>
    </row>
    <row r="114" spans="1:14" ht="33">
      <c r="A114" s="12" t="s">
        <v>58</v>
      </c>
      <c r="B114" s="10" t="s">
        <v>329</v>
      </c>
      <c r="C114" s="8" t="s">
        <v>13</v>
      </c>
      <c r="D114" s="44">
        <v>462.9</v>
      </c>
      <c r="E114" s="44"/>
      <c r="F114" s="45"/>
      <c r="G114" s="45"/>
      <c r="H114" s="44"/>
      <c r="I114" s="191" t="s">
        <v>243</v>
      </c>
      <c r="J114" s="200"/>
      <c r="N114" s="49"/>
    </row>
    <row r="115" spans="1:14" ht="21.95" customHeight="1">
      <c r="A115" s="12" t="s">
        <v>59</v>
      </c>
      <c r="B115" s="7" t="s">
        <v>331</v>
      </c>
      <c r="C115" s="8" t="s">
        <v>13</v>
      </c>
      <c r="D115" s="44">
        <v>5.09</v>
      </c>
      <c r="E115" s="44"/>
      <c r="F115" s="45"/>
      <c r="G115" s="45" t="s">
        <v>2513</v>
      </c>
      <c r="H115" s="44">
        <f>59.03+161.99+5.09+5.09+31.2+17.9</f>
        <v>280.3</v>
      </c>
      <c r="I115" s="191" t="s">
        <v>243</v>
      </c>
      <c r="J115" s="279">
        <f>H115-D115</f>
        <v>275.21000000000004</v>
      </c>
      <c r="K115" s="433" t="s">
        <v>2892</v>
      </c>
      <c r="N115" s="49"/>
    </row>
    <row r="116" spans="1:14" ht="21.95" customHeight="1">
      <c r="A116" s="12" t="s">
        <v>60</v>
      </c>
      <c r="B116" s="7" t="s">
        <v>333</v>
      </c>
      <c r="C116" s="8" t="s">
        <v>13</v>
      </c>
      <c r="D116" s="44">
        <v>18.760000000000002</v>
      </c>
      <c r="E116" s="44"/>
      <c r="F116" s="45"/>
      <c r="G116" s="45"/>
      <c r="H116" s="44"/>
      <c r="I116" s="191" t="s">
        <v>243</v>
      </c>
      <c r="J116" s="200"/>
      <c r="N116" s="49"/>
    </row>
    <row r="117" spans="1:14" ht="21.95" customHeight="1">
      <c r="A117" s="12" t="s">
        <v>61</v>
      </c>
      <c r="B117" s="7" t="s">
        <v>335</v>
      </c>
      <c r="C117" s="8" t="s">
        <v>13</v>
      </c>
      <c r="D117" s="44">
        <v>118.92</v>
      </c>
      <c r="E117" s="44"/>
      <c r="F117" s="45"/>
      <c r="G117" s="45"/>
      <c r="H117" s="44"/>
      <c r="I117" s="191" t="s">
        <v>243</v>
      </c>
      <c r="J117" s="200"/>
      <c r="N117" s="49"/>
    </row>
    <row r="118" spans="1:14" ht="21.95" customHeight="1">
      <c r="A118" s="12" t="s">
        <v>62</v>
      </c>
      <c r="B118" s="7" t="s">
        <v>337</v>
      </c>
      <c r="C118" s="8" t="s">
        <v>13</v>
      </c>
      <c r="D118" s="44">
        <v>173.3</v>
      </c>
      <c r="E118" s="44"/>
      <c r="F118" s="45"/>
      <c r="G118" s="45"/>
      <c r="H118" s="44"/>
      <c r="I118" s="191" t="s">
        <v>243</v>
      </c>
      <c r="J118" s="200"/>
      <c r="N118" s="49"/>
    </row>
    <row r="119" spans="1:14" ht="21.95" customHeight="1">
      <c r="A119" s="12" t="s">
        <v>63</v>
      </c>
      <c r="B119" s="7" t="s">
        <v>339</v>
      </c>
      <c r="C119" s="8" t="s">
        <v>0</v>
      </c>
      <c r="D119" s="44">
        <v>1</v>
      </c>
      <c r="E119" s="44"/>
      <c r="F119" s="45"/>
      <c r="G119" s="45"/>
      <c r="H119" s="44"/>
      <c r="I119" s="191" t="s">
        <v>243</v>
      </c>
      <c r="J119" s="200"/>
      <c r="N119" s="49"/>
    </row>
    <row r="120" spans="1:14" ht="21.95" customHeight="1">
      <c r="A120" s="12" t="s">
        <v>64</v>
      </c>
      <c r="B120" s="7" t="s">
        <v>341</v>
      </c>
      <c r="C120" s="8" t="s">
        <v>223</v>
      </c>
      <c r="D120" s="44">
        <v>156.68</v>
      </c>
      <c r="E120" s="44"/>
      <c r="F120" s="45"/>
      <c r="G120" s="45"/>
      <c r="H120" s="44"/>
      <c r="I120" s="191" t="s">
        <v>243</v>
      </c>
      <c r="J120" s="200"/>
      <c r="N120" s="49"/>
    </row>
    <row r="121" spans="1:14" ht="21.95" customHeight="1">
      <c r="A121" s="12" t="s">
        <v>65</v>
      </c>
      <c r="B121" s="7" t="s">
        <v>343</v>
      </c>
      <c r="C121" s="8" t="s">
        <v>8</v>
      </c>
      <c r="D121" s="44">
        <v>689.86</v>
      </c>
      <c r="E121" s="44"/>
      <c r="F121" s="45"/>
      <c r="G121" s="45"/>
      <c r="H121" s="44"/>
      <c r="I121" s="191" t="s">
        <v>243</v>
      </c>
      <c r="J121" s="200"/>
      <c r="N121" s="49"/>
    </row>
    <row r="122" spans="1:14" ht="21.95" customHeight="1">
      <c r="A122" s="12" t="s">
        <v>66</v>
      </c>
      <c r="B122" s="7" t="s">
        <v>345</v>
      </c>
      <c r="C122" s="8" t="s">
        <v>8</v>
      </c>
      <c r="D122" s="44">
        <v>12.91</v>
      </c>
      <c r="E122" s="44"/>
      <c r="F122" s="45"/>
      <c r="G122" s="45"/>
      <c r="H122" s="44"/>
      <c r="I122" s="191" t="s">
        <v>243</v>
      </c>
      <c r="J122" s="200"/>
      <c r="N122" s="49"/>
    </row>
    <row r="123" spans="1:14" ht="21.95" customHeight="1">
      <c r="A123" s="12" t="s">
        <v>67</v>
      </c>
      <c r="B123" s="7" t="s">
        <v>347</v>
      </c>
      <c r="C123" s="8" t="s">
        <v>8</v>
      </c>
      <c r="D123" s="44">
        <v>56.09</v>
      </c>
      <c r="E123" s="44"/>
      <c r="F123" s="45"/>
      <c r="G123" s="45"/>
      <c r="H123" s="44"/>
      <c r="I123" s="191" t="s">
        <v>243</v>
      </c>
      <c r="J123" s="200"/>
      <c r="N123" s="49"/>
    </row>
    <row r="124" spans="1:14" ht="21.95" customHeight="1">
      <c r="A124" s="12" t="s">
        <v>68</v>
      </c>
      <c r="B124" s="7" t="s">
        <v>349</v>
      </c>
      <c r="C124" s="8" t="s">
        <v>8</v>
      </c>
      <c r="D124" s="44">
        <v>656.91</v>
      </c>
      <c r="E124" s="44"/>
      <c r="F124" s="45"/>
      <c r="G124" s="45"/>
      <c r="H124" s="44"/>
      <c r="I124" s="191" t="s">
        <v>243</v>
      </c>
      <c r="J124" s="200"/>
      <c r="N124" s="49"/>
    </row>
    <row r="125" spans="1:14" ht="21.95" customHeight="1">
      <c r="A125" s="12" t="s">
        <v>69</v>
      </c>
      <c r="B125" s="7" t="s">
        <v>351</v>
      </c>
      <c r="C125" s="8" t="s">
        <v>8</v>
      </c>
      <c r="D125" s="44">
        <v>1254.1300000000001</v>
      </c>
      <c r="E125" s="44"/>
      <c r="F125" s="45"/>
      <c r="G125" s="45"/>
      <c r="H125" s="44"/>
      <c r="I125" s="191" t="s">
        <v>243</v>
      </c>
      <c r="J125" s="200"/>
      <c r="N125" s="49"/>
    </row>
    <row r="126" spans="1:14" ht="21.95" customHeight="1">
      <c r="A126" s="12" t="s">
        <v>70</v>
      </c>
      <c r="B126" s="7" t="s">
        <v>353</v>
      </c>
      <c r="C126" s="8" t="s">
        <v>8</v>
      </c>
      <c r="D126" s="44">
        <v>44.64</v>
      </c>
      <c r="E126" s="44"/>
      <c r="F126" s="45"/>
      <c r="G126" s="45"/>
      <c r="H126" s="44"/>
      <c r="I126" s="191" t="s">
        <v>243</v>
      </c>
      <c r="J126" s="200"/>
      <c r="N126" s="49"/>
    </row>
    <row r="127" spans="1:14" ht="21.95" customHeight="1">
      <c r="A127" s="12" t="s">
        <v>71</v>
      </c>
      <c r="B127" s="7" t="s">
        <v>355</v>
      </c>
      <c r="C127" s="8" t="s">
        <v>8</v>
      </c>
      <c r="D127" s="44">
        <v>142.26</v>
      </c>
      <c r="E127" s="44"/>
      <c r="F127" s="45"/>
      <c r="G127" s="45"/>
      <c r="H127" s="44"/>
      <c r="I127" s="191" t="s">
        <v>243</v>
      </c>
      <c r="J127" s="200"/>
      <c r="N127" s="49"/>
    </row>
    <row r="128" spans="1:14" ht="21.95" customHeight="1">
      <c r="A128" s="12" t="s">
        <v>72</v>
      </c>
      <c r="B128" s="7" t="s">
        <v>357</v>
      </c>
      <c r="C128" s="8" t="s">
        <v>8</v>
      </c>
      <c r="D128" s="44">
        <v>8.5</v>
      </c>
      <c r="E128" s="44"/>
      <c r="F128" s="45"/>
      <c r="G128" s="45"/>
      <c r="H128" s="44"/>
      <c r="I128" s="191" t="s">
        <v>243</v>
      </c>
      <c r="J128" s="200"/>
      <c r="N128" s="49"/>
    </row>
    <row r="129" spans="1:14" ht="21.95" customHeight="1">
      <c r="A129" s="12" t="s">
        <v>73</v>
      </c>
      <c r="B129" s="7" t="s">
        <v>359</v>
      </c>
      <c r="C129" s="8" t="s">
        <v>13</v>
      </c>
      <c r="D129" s="44">
        <v>20.48</v>
      </c>
      <c r="E129" s="44"/>
      <c r="F129" s="45"/>
      <c r="G129" s="45"/>
      <c r="H129" s="44"/>
      <c r="I129" s="191" t="s">
        <v>243</v>
      </c>
      <c r="J129" s="200"/>
      <c r="N129" s="49"/>
    </row>
    <row r="130" spans="1:14" ht="21.95" customHeight="1">
      <c r="A130" s="12" t="s">
        <v>74</v>
      </c>
      <c r="B130" s="7" t="s">
        <v>361</v>
      </c>
      <c r="C130" s="8" t="s">
        <v>8</v>
      </c>
      <c r="D130" s="44">
        <v>56.1</v>
      </c>
      <c r="E130" s="44"/>
      <c r="F130" s="45"/>
      <c r="G130" s="45"/>
      <c r="H130" s="44"/>
      <c r="I130" s="191" t="s">
        <v>243</v>
      </c>
      <c r="J130" s="200"/>
      <c r="N130" s="49"/>
    </row>
    <row r="131" spans="1:14" ht="21.95" customHeight="1">
      <c r="A131" s="12" t="s">
        <v>75</v>
      </c>
      <c r="B131" s="7" t="s">
        <v>363</v>
      </c>
      <c r="C131" s="8" t="s">
        <v>8</v>
      </c>
      <c r="D131" s="44">
        <v>16.600000000000001</v>
      </c>
      <c r="E131" s="44"/>
      <c r="F131" s="45"/>
      <c r="G131" s="45"/>
      <c r="H131" s="44"/>
      <c r="I131" s="191" t="s">
        <v>243</v>
      </c>
      <c r="J131" s="200"/>
      <c r="N131" s="49"/>
    </row>
    <row r="132" spans="1:14" ht="21.95" customHeight="1">
      <c r="A132" s="12" t="s">
        <v>76</v>
      </c>
      <c r="B132" s="7" t="s">
        <v>365</v>
      </c>
      <c r="C132" s="8" t="s">
        <v>8</v>
      </c>
      <c r="D132" s="44">
        <v>2</v>
      </c>
      <c r="E132" s="44"/>
      <c r="F132" s="45"/>
      <c r="G132" s="45"/>
      <c r="H132" s="44"/>
      <c r="I132" s="191" t="s">
        <v>243</v>
      </c>
      <c r="J132" s="200"/>
      <c r="N132" s="49"/>
    </row>
    <row r="133" spans="1:14" ht="21.95" customHeight="1">
      <c r="A133" s="12" t="s">
        <v>215</v>
      </c>
      <c r="B133" s="7" t="s">
        <v>367</v>
      </c>
      <c r="C133" s="8" t="s">
        <v>0</v>
      </c>
      <c r="D133" s="44">
        <v>7</v>
      </c>
      <c r="E133" s="44"/>
      <c r="F133" s="45"/>
      <c r="G133" s="45"/>
      <c r="H133" s="44"/>
      <c r="I133" s="191" t="s">
        <v>243</v>
      </c>
      <c r="J133" s="200"/>
      <c r="N133" s="49"/>
    </row>
    <row r="134" spans="1:14" ht="21.95" customHeight="1">
      <c r="A134" s="12" t="s">
        <v>216</v>
      </c>
      <c r="B134" s="7" t="s">
        <v>369</v>
      </c>
      <c r="C134" s="8" t="s">
        <v>8</v>
      </c>
      <c r="D134" s="44">
        <v>19.2</v>
      </c>
      <c r="E134" s="44"/>
      <c r="F134" s="45"/>
      <c r="G134" s="45"/>
      <c r="H134" s="44"/>
      <c r="I134" s="191" t="s">
        <v>243</v>
      </c>
      <c r="J134" s="200"/>
      <c r="N134" s="49"/>
    </row>
    <row r="135" spans="1:14" ht="21.95" customHeight="1">
      <c r="A135" s="12" t="s">
        <v>371</v>
      </c>
      <c r="B135" s="7" t="s">
        <v>372</v>
      </c>
      <c r="C135" s="8" t="s">
        <v>0</v>
      </c>
      <c r="D135" s="44">
        <v>2</v>
      </c>
      <c r="E135" s="44"/>
      <c r="F135" s="45"/>
      <c r="G135" s="45"/>
      <c r="H135" s="44"/>
      <c r="I135" s="191" t="s">
        <v>243</v>
      </c>
      <c r="J135" s="200"/>
      <c r="N135" s="49"/>
    </row>
    <row r="136" spans="1:14" ht="21.95" customHeight="1">
      <c r="A136" s="12" t="s">
        <v>208</v>
      </c>
      <c r="B136" s="7" t="s">
        <v>374</v>
      </c>
      <c r="C136" s="8" t="s">
        <v>0</v>
      </c>
      <c r="D136" s="44">
        <v>8</v>
      </c>
      <c r="E136" s="44"/>
      <c r="F136" s="45"/>
      <c r="G136" s="45"/>
      <c r="H136" s="44"/>
      <c r="I136" s="191" t="s">
        <v>243</v>
      </c>
      <c r="J136" s="200"/>
      <c r="N136" s="49"/>
    </row>
    <row r="137" spans="1:14" ht="21.95" customHeight="1">
      <c r="A137" s="12" t="s">
        <v>209</v>
      </c>
      <c r="B137" s="7" t="s">
        <v>376</v>
      </c>
      <c r="C137" s="8" t="s">
        <v>0</v>
      </c>
      <c r="D137" s="44">
        <v>3</v>
      </c>
      <c r="E137" s="44"/>
      <c r="F137" s="45"/>
      <c r="G137" s="45"/>
      <c r="H137" s="44"/>
      <c r="I137" s="191" t="s">
        <v>243</v>
      </c>
      <c r="J137" s="200"/>
      <c r="N137" s="49"/>
    </row>
    <row r="138" spans="1:14" ht="21.95" customHeight="1">
      <c r="A138" s="12" t="s">
        <v>210</v>
      </c>
      <c r="B138" s="7" t="s">
        <v>378</v>
      </c>
      <c r="C138" s="8" t="s">
        <v>8</v>
      </c>
      <c r="D138" s="44">
        <v>30.1</v>
      </c>
      <c r="E138" s="44"/>
      <c r="F138" s="45"/>
      <c r="G138" s="45"/>
      <c r="H138" s="44"/>
      <c r="I138" s="191" t="s">
        <v>243</v>
      </c>
      <c r="J138" s="200"/>
      <c r="N138" s="49"/>
    </row>
    <row r="139" spans="1:14" ht="21.95" customHeight="1">
      <c r="A139" s="12" t="s">
        <v>211</v>
      </c>
      <c r="B139" s="7" t="s">
        <v>380</v>
      </c>
      <c r="C139" s="8" t="s">
        <v>8</v>
      </c>
      <c r="D139" s="44">
        <v>31.2</v>
      </c>
      <c r="E139" s="44"/>
      <c r="F139" s="80" t="s">
        <v>1613</v>
      </c>
      <c r="G139" s="80" t="s">
        <v>1919</v>
      </c>
      <c r="H139" s="44">
        <f>23.2+12</f>
        <v>35.200000000000003</v>
      </c>
      <c r="I139" s="192">
        <f>H139</f>
        <v>35.200000000000003</v>
      </c>
      <c r="J139" s="279">
        <f>I139-D139</f>
        <v>4.0000000000000036</v>
      </c>
      <c r="N139" s="49"/>
    </row>
    <row r="140" spans="1:14" ht="21.95" customHeight="1">
      <c r="A140" s="12" t="s">
        <v>382</v>
      </c>
      <c r="B140" s="7" t="s">
        <v>383</v>
      </c>
      <c r="C140" s="8" t="s">
        <v>8</v>
      </c>
      <c r="D140" s="44">
        <v>17.899999999999999</v>
      </c>
      <c r="E140" s="44"/>
      <c r="F140" s="80" t="s">
        <v>1613</v>
      </c>
      <c r="G140" s="80">
        <v>24.3</v>
      </c>
      <c r="H140" s="44">
        <f>G140</f>
        <v>24.3</v>
      </c>
      <c r="I140" s="192">
        <f>H140</f>
        <v>24.3</v>
      </c>
      <c r="J140" s="279">
        <f>I140-D140</f>
        <v>6.4000000000000021</v>
      </c>
      <c r="N140" s="49"/>
    </row>
    <row r="141" spans="1:14" ht="21.95" customHeight="1">
      <c r="A141" s="12" t="s">
        <v>385</v>
      </c>
      <c r="B141" s="7" t="s">
        <v>386</v>
      </c>
      <c r="C141" s="8" t="s">
        <v>8</v>
      </c>
      <c r="D141" s="44">
        <v>19.600000000000001</v>
      </c>
      <c r="E141" s="44"/>
      <c r="F141" s="45"/>
      <c r="G141" s="45"/>
      <c r="H141" s="44"/>
      <c r="I141" s="192"/>
      <c r="J141" s="200"/>
      <c r="N141" s="49"/>
    </row>
    <row r="142" spans="1:14" ht="21.95" customHeight="1">
      <c r="A142" s="12" t="s">
        <v>388</v>
      </c>
      <c r="B142" s="7" t="s">
        <v>389</v>
      </c>
      <c r="C142" s="8" t="s">
        <v>8</v>
      </c>
      <c r="D142" s="44">
        <v>24.9</v>
      </c>
      <c r="E142" s="44"/>
      <c r="F142" s="45"/>
      <c r="G142" s="45"/>
      <c r="H142" s="44"/>
      <c r="I142" s="191" t="s">
        <v>243</v>
      </c>
      <c r="J142" s="200"/>
      <c r="N142" s="49"/>
    </row>
    <row r="143" spans="1:14" ht="21.95" customHeight="1">
      <c r="A143" s="12" t="s">
        <v>391</v>
      </c>
      <c r="B143" s="7" t="s">
        <v>392</v>
      </c>
      <c r="C143" s="8" t="s">
        <v>8</v>
      </c>
      <c r="D143" s="44">
        <v>3.5</v>
      </c>
      <c r="E143" s="44"/>
      <c r="F143" s="45"/>
      <c r="G143" s="45"/>
      <c r="H143" s="44"/>
      <c r="I143" s="191" t="s">
        <v>243</v>
      </c>
      <c r="J143" s="200"/>
      <c r="N143" s="49"/>
    </row>
    <row r="144" spans="1:14" ht="21.95" customHeight="1">
      <c r="A144" s="12" t="s">
        <v>394</v>
      </c>
      <c r="B144" s="7" t="s">
        <v>395</v>
      </c>
      <c r="C144" s="8" t="s">
        <v>0</v>
      </c>
      <c r="D144" s="44">
        <v>1</v>
      </c>
      <c r="E144" s="44"/>
      <c r="F144" s="45"/>
      <c r="G144" s="45"/>
      <c r="H144" s="44"/>
      <c r="I144" s="191" t="s">
        <v>243</v>
      </c>
      <c r="J144" s="200"/>
      <c r="N144" s="49"/>
    </row>
    <row r="145" spans="1:14" ht="21.95" customHeight="1">
      <c r="A145" s="12" t="s">
        <v>397</v>
      </c>
      <c r="B145" s="7" t="s">
        <v>398</v>
      </c>
      <c r="C145" s="8" t="s">
        <v>0</v>
      </c>
      <c r="D145" s="44">
        <v>1</v>
      </c>
      <c r="E145" s="44"/>
      <c r="F145" s="45"/>
      <c r="G145" s="45"/>
      <c r="H145" s="44"/>
      <c r="I145" s="191" t="s">
        <v>243</v>
      </c>
      <c r="J145" s="200"/>
      <c r="N145" s="49"/>
    </row>
    <row r="146" spans="1:14" ht="21.95" customHeight="1">
      <c r="A146" s="12" t="s">
        <v>400</v>
      </c>
      <c r="B146" s="7" t="s">
        <v>401</v>
      </c>
      <c r="C146" s="8" t="s">
        <v>0</v>
      </c>
      <c r="D146" s="44">
        <v>1</v>
      </c>
      <c r="E146" s="44"/>
      <c r="F146" s="45"/>
      <c r="G146" s="45"/>
      <c r="H146" s="44"/>
      <c r="I146" s="191" t="s">
        <v>243</v>
      </c>
      <c r="J146" s="200"/>
      <c r="N146" s="49"/>
    </row>
    <row r="147" spans="1:14" ht="21.95" customHeight="1">
      <c r="A147" s="12" t="s">
        <v>403</v>
      </c>
      <c r="B147" s="7" t="s">
        <v>404</v>
      </c>
      <c r="C147" s="8" t="s">
        <v>0</v>
      </c>
      <c r="D147" s="44">
        <v>1</v>
      </c>
      <c r="E147" s="44"/>
      <c r="F147" s="45"/>
      <c r="G147" s="45"/>
      <c r="H147" s="44"/>
      <c r="I147" s="191" t="s">
        <v>243</v>
      </c>
      <c r="J147" s="200"/>
      <c r="N147" s="49"/>
    </row>
    <row r="148" spans="1:14" ht="21.95" customHeight="1">
      <c r="A148" s="12" t="s">
        <v>406</v>
      </c>
      <c r="B148" s="7" t="s">
        <v>407</v>
      </c>
      <c r="C148" s="8" t="s">
        <v>0</v>
      </c>
      <c r="D148" s="44">
        <v>1</v>
      </c>
      <c r="E148" s="44"/>
      <c r="F148" s="45"/>
      <c r="G148" s="45"/>
      <c r="H148" s="44"/>
      <c r="I148" s="191" t="s">
        <v>243</v>
      </c>
      <c r="J148" s="200"/>
      <c r="N148" s="49"/>
    </row>
    <row r="149" spans="1:14" ht="21.95" customHeight="1">
      <c r="A149" s="12" t="s">
        <v>409</v>
      </c>
      <c r="B149" s="7" t="s">
        <v>410</v>
      </c>
      <c r="C149" s="8" t="s">
        <v>8</v>
      </c>
      <c r="D149" s="44">
        <v>149.5</v>
      </c>
      <c r="E149" s="44"/>
      <c r="F149" s="45"/>
      <c r="G149" s="45"/>
      <c r="H149" s="44"/>
      <c r="I149" s="191" t="s">
        <v>243</v>
      </c>
      <c r="J149" s="200"/>
      <c r="M149" s="170" t="s">
        <v>2101</v>
      </c>
      <c r="N149" s="49"/>
    </row>
    <row r="150" spans="1:14" ht="21.95" customHeight="1">
      <c r="A150" s="12" t="s">
        <v>412</v>
      </c>
      <c r="B150" s="7" t="s">
        <v>413</v>
      </c>
      <c r="C150" s="8" t="s">
        <v>8</v>
      </c>
      <c r="D150" s="44">
        <v>39.299999999999997</v>
      </c>
      <c r="E150" s="44"/>
      <c r="F150" s="45"/>
      <c r="G150" s="45"/>
      <c r="H150" s="44"/>
      <c r="I150" s="191" t="s">
        <v>243</v>
      </c>
      <c r="J150" s="200"/>
      <c r="N150" s="49"/>
    </row>
    <row r="151" spans="1:14" ht="21.95" customHeight="1">
      <c r="A151" s="12" t="s">
        <v>415</v>
      </c>
      <c r="B151" s="7" t="s">
        <v>416</v>
      </c>
      <c r="C151" s="8" t="s">
        <v>8</v>
      </c>
      <c r="D151" s="44">
        <v>51.3</v>
      </c>
      <c r="E151" s="44"/>
      <c r="F151" s="45"/>
      <c r="G151" s="45"/>
      <c r="H151" s="44"/>
      <c r="I151" s="191" t="s">
        <v>243</v>
      </c>
      <c r="J151" s="200"/>
      <c r="N151" s="49"/>
    </row>
    <row r="152" spans="1:14" ht="21.95" customHeight="1">
      <c r="A152" s="12" t="s">
        <v>418</v>
      </c>
      <c r="B152" s="7" t="s">
        <v>419</v>
      </c>
      <c r="C152" s="8" t="s">
        <v>0</v>
      </c>
      <c r="D152" s="44">
        <v>1</v>
      </c>
      <c r="E152" s="44"/>
      <c r="F152" s="45"/>
      <c r="G152" s="45"/>
      <c r="H152" s="44"/>
      <c r="I152" s="191" t="s">
        <v>243</v>
      </c>
      <c r="J152" s="200"/>
      <c r="N152" s="49"/>
    </row>
    <row r="153" spans="1:14" ht="21.95" customHeight="1">
      <c r="A153" s="12" t="s">
        <v>421</v>
      </c>
      <c r="B153" s="7" t="s">
        <v>422</v>
      </c>
      <c r="C153" s="8" t="s">
        <v>0</v>
      </c>
      <c r="D153" s="44">
        <v>2</v>
      </c>
      <c r="E153" s="44"/>
      <c r="F153" s="45"/>
      <c r="G153" s="45"/>
      <c r="H153" s="44"/>
      <c r="I153" s="191" t="s">
        <v>243</v>
      </c>
      <c r="J153" s="200"/>
      <c r="N153" s="49"/>
    </row>
    <row r="154" spans="1:14" ht="21.95" customHeight="1">
      <c r="A154" s="12" t="s">
        <v>424</v>
      </c>
      <c r="B154" s="7" t="s">
        <v>425</v>
      </c>
      <c r="C154" s="8" t="s">
        <v>0</v>
      </c>
      <c r="D154" s="44">
        <v>1</v>
      </c>
      <c r="E154" s="44"/>
      <c r="F154" s="45"/>
      <c r="G154" s="45"/>
      <c r="H154" s="44"/>
      <c r="I154" s="191" t="s">
        <v>243</v>
      </c>
      <c r="J154" s="200"/>
      <c r="N154" s="49"/>
    </row>
    <row r="155" spans="1:14" ht="21.95" customHeight="1">
      <c r="A155" s="12" t="s">
        <v>427</v>
      </c>
      <c r="B155" s="7" t="s">
        <v>428</v>
      </c>
      <c r="C155" s="8" t="s">
        <v>0</v>
      </c>
      <c r="D155" s="44">
        <v>2</v>
      </c>
      <c r="E155" s="44"/>
      <c r="F155" s="45"/>
      <c r="G155" s="45"/>
      <c r="H155" s="44"/>
      <c r="I155" s="191" t="s">
        <v>243</v>
      </c>
      <c r="J155" s="200"/>
      <c r="N155" s="49"/>
    </row>
    <row r="156" spans="1:14" ht="21.95" customHeight="1">
      <c r="A156" s="12" t="s">
        <v>430</v>
      </c>
      <c r="B156" s="7" t="s">
        <v>431</v>
      </c>
      <c r="C156" s="8" t="s">
        <v>0</v>
      </c>
      <c r="D156" s="44">
        <v>2</v>
      </c>
      <c r="E156" s="44"/>
      <c r="F156" s="45"/>
      <c r="G156" s="45"/>
      <c r="H156" s="44"/>
      <c r="I156" s="191" t="s">
        <v>243</v>
      </c>
      <c r="J156" s="200"/>
      <c r="N156" s="49"/>
    </row>
    <row r="157" spans="1:14" ht="21.95" customHeight="1">
      <c r="A157" s="12" t="s">
        <v>433</v>
      </c>
      <c r="B157" s="7" t="s">
        <v>434</v>
      </c>
      <c r="C157" s="8" t="s">
        <v>0</v>
      </c>
      <c r="D157" s="44">
        <v>1</v>
      </c>
      <c r="E157" s="44"/>
      <c r="F157" s="45"/>
      <c r="G157" s="45"/>
      <c r="H157" s="44"/>
      <c r="I157" s="191" t="s">
        <v>243</v>
      </c>
      <c r="J157" s="200"/>
      <c r="N157" s="49"/>
    </row>
    <row r="158" spans="1:14" ht="21.95" customHeight="1">
      <c r="A158" s="12" t="s">
        <v>436</v>
      </c>
      <c r="B158" s="7" t="s">
        <v>437</v>
      </c>
      <c r="C158" s="8" t="s">
        <v>0</v>
      </c>
      <c r="D158" s="44">
        <v>1</v>
      </c>
      <c r="E158" s="44"/>
      <c r="F158" s="45"/>
      <c r="G158" s="45"/>
      <c r="H158" s="44"/>
      <c r="I158" s="191" t="s">
        <v>243</v>
      </c>
      <c r="J158" s="200"/>
      <c r="N158" s="49"/>
    </row>
    <row r="159" spans="1:14" ht="21.95" customHeight="1">
      <c r="A159" s="12" t="s">
        <v>439</v>
      </c>
      <c r="B159" s="7" t="s">
        <v>440</v>
      </c>
      <c r="C159" s="8" t="s">
        <v>0</v>
      </c>
      <c r="D159" s="44">
        <v>1</v>
      </c>
      <c r="E159" s="44"/>
      <c r="F159" s="45"/>
      <c r="G159" s="45"/>
      <c r="H159" s="44"/>
      <c r="I159" s="191" t="s">
        <v>243</v>
      </c>
      <c r="J159" s="200"/>
      <c r="N159" s="49"/>
    </row>
    <row r="160" spans="1:14" ht="21.95" customHeight="1">
      <c r="A160" s="12" t="s">
        <v>442</v>
      </c>
      <c r="B160" s="7" t="s">
        <v>443</v>
      </c>
      <c r="C160" s="8" t="s">
        <v>0</v>
      </c>
      <c r="D160" s="44">
        <v>4</v>
      </c>
      <c r="E160" s="44"/>
      <c r="F160" s="45"/>
      <c r="G160" s="45"/>
      <c r="H160" s="44"/>
      <c r="I160" s="191" t="s">
        <v>243</v>
      </c>
      <c r="J160" s="200"/>
      <c r="N160" s="49"/>
    </row>
    <row r="161" spans="1:14" ht="21.95" customHeight="1">
      <c r="A161" s="12" t="s">
        <v>445</v>
      </c>
      <c r="B161" s="7" t="s">
        <v>446</v>
      </c>
      <c r="C161" s="8" t="s">
        <v>0</v>
      </c>
      <c r="D161" s="44">
        <v>6</v>
      </c>
      <c r="E161" s="44"/>
      <c r="F161" s="45"/>
      <c r="G161" s="45"/>
      <c r="H161" s="44"/>
      <c r="I161" s="191" t="s">
        <v>243</v>
      </c>
      <c r="J161" s="200"/>
      <c r="N161" s="49"/>
    </row>
    <row r="162" spans="1:14" ht="21.95" customHeight="1">
      <c r="A162" s="12" t="s">
        <v>448</v>
      </c>
      <c r="B162" s="7" t="s">
        <v>449</v>
      </c>
      <c r="C162" s="8" t="s">
        <v>0</v>
      </c>
      <c r="D162" s="44">
        <v>1</v>
      </c>
      <c r="E162" s="44"/>
      <c r="F162" s="45"/>
      <c r="G162" s="45"/>
      <c r="H162" s="44"/>
      <c r="I162" s="191" t="s">
        <v>243</v>
      </c>
      <c r="J162" s="200"/>
      <c r="N162" s="49"/>
    </row>
    <row r="163" spans="1:14" ht="21.95" customHeight="1">
      <c r="A163" s="12" t="s">
        <v>451</v>
      </c>
      <c r="B163" s="7" t="s">
        <v>452</v>
      </c>
      <c r="C163" s="8" t="s">
        <v>0</v>
      </c>
      <c r="D163" s="44">
        <v>1</v>
      </c>
      <c r="E163" s="44"/>
      <c r="F163" s="45"/>
      <c r="G163" s="45"/>
      <c r="H163" s="44"/>
      <c r="I163" s="191" t="s">
        <v>243</v>
      </c>
      <c r="J163" s="200"/>
      <c r="N163" s="49"/>
    </row>
    <row r="164" spans="1:14" ht="21.95" customHeight="1">
      <c r="A164" s="12" t="s">
        <v>454</v>
      </c>
      <c r="B164" s="7" t="s">
        <v>455</v>
      </c>
      <c r="C164" s="8" t="s">
        <v>0</v>
      </c>
      <c r="D164" s="44">
        <v>1</v>
      </c>
      <c r="E164" s="44"/>
      <c r="F164" s="45"/>
      <c r="G164" s="45"/>
      <c r="H164" s="44"/>
      <c r="I164" s="191" t="s">
        <v>243</v>
      </c>
      <c r="J164" s="200"/>
      <c r="N164" s="49"/>
    </row>
    <row r="165" spans="1:14" ht="21.95" customHeight="1">
      <c r="A165" s="12" t="s">
        <v>457</v>
      </c>
      <c r="B165" s="7" t="s">
        <v>458</v>
      </c>
      <c r="C165" s="8" t="s">
        <v>0</v>
      </c>
      <c r="D165" s="44">
        <v>1</v>
      </c>
      <c r="E165" s="44"/>
      <c r="F165" s="45"/>
      <c r="G165" s="45"/>
      <c r="H165" s="44"/>
      <c r="I165" s="191" t="s">
        <v>243</v>
      </c>
      <c r="J165" s="200"/>
      <c r="N165" s="49"/>
    </row>
    <row r="166" spans="1:14" ht="21.95" customHeight="1">
      <c r="A166" s="12" t="s">
        <v>460</v>
      </c>
      <c r="B166" s="7" t="s">
        <v>461</v>
      </c>
      <c r="C166" s="8" t="s">
        <v>0</v>
      </c>
      <c r="D166" s="44">
        <v>1</v>
      </c>
      <c r="E166" s="44"/>
      <c r="F166" s="45"/>
      <c r="G166" s="45"/>
      <c r="H166" s="44"/>
      <c r="I166" s="191" t="s">
        <v>243</v>
      </c>
      <c r="J166" s="200"/>
      <c r="N166" s="49"/>
    </row>
    <row r="167" spans="1:14" ht="21.95" customHeight="1">
      <c r="A167" s="12" t="s">
        <v>463</v>
      </c>
      <c r="B167" s="7" t="s">
        <v>464</v>
      </c>
      <c r="C167" s="8" t="s">
        <v>0</v>
      </c>
      <c r="D167" s="44">
        <v>3</v>
      </c>
      <c r="E167" s="44"/>
      <c r="F167" s="45"/>
      <c r="G167" s="45"/>
      <c r="H167" s="44"/>
      <c r="I167" s="191" t="s">
        <v>243</v>
      </c>
      <c r="J167" s="200"/>
      <c r="N167" s="49"/>
    </row>
    <row r="168" spans="1:14" ht="21.95" customHeight="1">
      <c r="A168" s="12" t="s">
        <v>466</v>
      </c>
      <c r="B168" s="7" t="s">
        <v>467</v>
      </c>
      <c r="C168" s="8" t="s">
        <v>0</v>
      </c>
      <c r="D168" s="44">
        <v>7</v>
      </c>
      <c r="E168" s="44"/>
      <c r="F168" s="45"/>
      <c r="G168" s="45"/>
      <c r="H168" s="44"/>
      <c r="I168" s="191" t="s">
        <v>243</v>
      </c>
      <c r="J168" s="200"/>
      <c r="N168" s="49"/>
    </row>
    <row r="169" spans="1:14" ht="21.95" customHeight="1">
      <c r="A169" s="12" t="s">
        <v>469</v>
      </c>
      <c r="B169" s="7" t="s">
        <v>470</v>
      </c>
      <c r="C169" s="8" t="s">
        <v>0</v>
      </c>
      <c r="D169" s="44">
        <v>1</v>
      </c>
      <c r="E169" s="44"/>
      <c r="F169" s="45"/>
      <c r="G169" s="45"/>
      <c r="H169" s="44"/>
      <c r="I169" s="191" t="s">
        <v>243</v>
      </c>
      <c r="J169" s="200"/>
      <c r="N169" s="49"/>
    </row>
    <row r="170" spans="1:14" ht="42.75">
      <c r="A170" s="12" t="s">
        <v>472</v>
      </c>
      <c r="B170" s="10" t="s">
        <v>473</v>
      </c>
      <c r="C170" s="8" t="s">
        <v>13</v>
      </c>
      <c r="D170" s="44">
        <v>759.43</v>
      </c>
      <c r="E170" s="44"/>
      <c r="F170" s="45"/>
      <c r="G170" s="45"/>
      <c r="H170" s="44"/>
      <c r="I170" s="191" t="s">
        <v>243</v>
      </c>
      <c r="J170" s="200"/>
      <c r="N170" s="49"/>
    </row>
    <row r="171" spans="1:14" ht="21.95" customHeight="1">
      <c r="A171" s="12" t="s">
        <v>475</v>
      </c>
      <c r="B171" s="7" t="s">
        <v>476</v>
      </c>
      <c r="C171" s="8" t="s">
        <v>15</v>
      </c>
      <c r="D171" s="44">
        <v>1</v>
      </c>
      <c r="E171" s="44"/>
      <c r="F171" s="45"/>
      <c r="G171" s="45"/>
      <c r="H171" s="44"/>
      <c r="I171" s="191" t="s">
        <v>243</v>
      </c>
      <c r="J171" s="200"/>
      <c r="N171" s="49"/>
    </row>
    <row r="172" spans="1:14" ht="21.95" customHeight="1">
      <c r="A172" s="12" t="s">
        <v>478</v>
      </c>
      <c r="B172" s="7" t="s">
        <v>479</v>
      </c>
      <c r="C172" s="8" t="s">
        <v>15</v>
      </c>
      <c r="D172" s="44">
        <v>3</v>
      </c>
      <c r="E172" s="44"/>
      <c r="F172" s="45"/>
      <c r="G172" s="45"/>
      <c r="H172" s="44"/>
      <c r="I172" s="191" t="s">
        <v>243</v>
      </c>
      <c r="J172" s="200"/>
      <c r="N172" s="49"/>
    </row>
    <row r="173" spans="1:14" ht="39.75" customHeight="1">
      <c r="A173" s="12" t="s">
        <v>481</v>
      </c>
      <c r="B173" s="227" t="s">
        <v>482</v>
      </c>
      <c r="C173" s="228" t="s">
        <v>483</v>
      </c>
      <c r="D173" s="229">
        <v>88.17</v>
      </c>
      <c r="E173" s="229"/>
      <c r="F173" s="230" t="s">
        <v>2276</v>
      </c>
      <c r="G173" s="230" t="s">
        <v>2277</v>
      </c>
      <c r="H173" s="229">
        <f>(12*3234+35*1078+19*336+46*134)/1000</f>
        <v>89.085999999999999</v>
      </c>
      <c r="I173" s="287">
        <f>D173</f>
        <v>88.17</v>
      </c>
      <c r="J173" s="285">
        <f>I173-D173</f>
        <v>0</v>
      </c>
      <c r="K173" s="433" t="s">
        <v>2911</v>
      </c>
      <c r="N173" s="49"/>
    </row>
    <row r="174" spans="1:14" ht="21.95" customHeight="1">
      <c r="A174" s="12" t="s">
        <v>485</v>
      </c>
      <c r="B174" s="227" t="s">
        <v>486</v>
      </c>
      <c r="C174" s="228" t="s">
        <v>0</v>
      </c>
      <c r="D174" s="229">
        <v>25</v>
      </c>
      <c r="E174" s="229"/>
      <c r="F174" s="230"/>
      <c r="G174" s="230"/>
      <c r="H174" s="229"/>
      <c r="I174" s="274"/>
      <c r="J174" s="92"/>
      <c r="N174" s="49"/>
    </row>
    <row r="175" spans="1:14" ht="21.95" customHeight="1">
      <c r="A175" s="12" t="s">
        <v>488</v>
      </c>
      <c r="B175" s="227" t="s">
        <v>489</v>
      </c>
      <c r="C175" s="228" t="s">
        <v>0</v>
      </c>
      <c r="D175" s="229">
        <v>13</v>
      </c>
      <c r="E175" s="229"/>
      <c r="F175" s="230"/>
      <c r="G175" s="230"/>
      <c r="H175" s="229"/>
      <c r="I175" s="274"/>
      <c r="J175" s="92"/>
      <c r="N175" s="49"/>
    </row>
    <row r="176" spans="1:14" ht="21.95" customHeight="1">
      <c r="A176" s="12" t="s">
        <v>491</v>
      </c>
      <c r="B176" s="227" t="s">
        <v>492</v>
      </c>
      <c r="C176" s="228" t="s">
        <v>8</v>
      </c>
      <c r="D176" s="229">
        <v>9.8000000000000007</v>
      </c>
      <c r="E176" s="229"/>
      <c r="F176" s="230"/>
      <c r="G176" s="230"/>
      <c r="H176" s="229"/>
      <c r="I176" s="274"/>
      <c r="J176" s="92"/>
      <c r="N176" s="49"/>
    </row>
    <row r="177" spans="1:14" ht="21.95" customHeight="1">
      <c r="A177" s="12" t="s">
        <v>494</v>
      </c>
      <c r="B177" s="227" t="s">
        <v>495</v>
      </c>
      <c r="C177" s="228" t="s">
        <v>8</v>
      </c>
      <c r="D177" s="229">
        <v>6.2</v>
      </c>
      <c r="E177" s="229"/>
      <c r="F177" s="230"/>
      <c r="G177" s="230"/>
      <c r="H177" s="229"/>
      <c r="I177" s="274"/>
      <c r="J177" s="92"/>
      <c r="N177" s="49"/>
    </row>
    <row r="178" spans="1:14" ht="21.95" customHeight="1">
      <c r="A178" s="12" t="s">
        <v>497</v>
      </c>
      <c r="B178" s="227" t="s">
        <v>498</v>
      </c>
      <c r="C178" s="228" t="s">
        <v>8</v>
      </c>
      <c r="D178" s="229">
        <v>3.3</v>
      </c>
      <c r="E178" s="229"/>
      <c r="F178" s="230"/>
      <c r="G178" s="230"/>
      <c r="H178" s="229"/>
      <c r="I178" s="274"/>
      <c r="J178" s="92"/>
      <c r="N178" s="49"/>
    </row>
    <row r="179" spans="1:14" ht="21.95" customHeight="1">
      <c r="A179" s="12" t="s">
        <v>500</v>
      </c>
      <c r="B179" s="227" t="s">
        <v>501</v>
      </c>
      <c r="C179" s="228" t="s">
        <v>8</v>
      </c>
      <c r="D179" s="229">
        <v>40.6</v>
      </c>
      <c r="E179" s="229"/>
      <c r="F179" s="230"/>
      <c r="G179" s="230"/>
      <c r="H179" s="229"/>
      <c r="I179" s="274"/>
      <c r="J179" s="92"/>
      <c r="N179" s="49"/>
    </row>
    <row r="180" spans="1:14" ht="21.95" customHeight="1">
      <c r="A180" s="12" t="s">
        <v>503</v>
      </c>
      <c r="B180" s="227" t="s">
        <v>504</v>
      </c>
      <c r="C180" s="228" t="s">
        <v>8</v>
      </c>
      <c r="D180" s="229">
        <v>176.7</v>
      </c>
      <c r="E180" s="229"/>
      <c r="F180" s="230"/>
      <c r="G180" s="230"/>
      <c r="H180" s="229"/>
      <c r="I180" s="274"/>
      <c r="J180" s="92"/>
      <c r="N180" s="49"/>
    </row>
    <row r="181" spans="1:14" ht="21.95" customHeight="1">
      <c r="A181" s="12" t="s">
        <v>506</v>
      </c>
      <c r="B181" s="227" t="s">
        <v>507</v>
      </c>
      <c r="C181" s="228" t="s">
        <v>8</v>
      </c>
      <c r="D181" s="229">
        <v>251.7</v>
      </c>
      <c r="E181" s="229"/>
      <c r="F181" s="230"/>
      <c r="G181" s="230"/>
      <c r="H181" s="229"/>
      <c r="I181" s="274"/>
      <c r="J181" s="92"/>
      <c r="N181" s="49"/>
    </row>
    <row r="182" spans="1:14" ht="21.95" customHeight="1">
      <c r="A182" s="12" t="s">
        <v>509</v>
      </c>
      <c r="B182" s="227" t="s">
        <v>510</v>
      </c>
      <c r="C182" s="228" t="s">
        <v>8</v>
      </c>
      <c r="D182" s="229">
        <v>6.8</v>
      </c>
      <c r="E182" s="229"/>
      <c r="F182" s="230"/>
      <c r="G182" s="230"/>
      <c r="H182" s="229"/>
      <c r="I182" s="274"/>
      <c r="J182" s="92"/>
      <c r="N182" s="49"/>
    </row>
    <row r="183" spans="1:14" ht="21.95" customHeight="1">
      <c r="A183" s="12" t="s">
        <v>512</v>
      </c>
      <c r="B183" s="227" t="s">
        <v>513</v>
      </c>
      <c r="C183" s="228" t="s">
        <v>8</v>
      </c>
      <c r="D183" s="229">
        <v>44.2</v>
      </c>
      <c r="E183" s="229"/>
      <c r="F183" s="230"/>
      <c r="G183" s="230"/>
      <c r="H183" s="229"/>
      <c r="I183" s="274"/>
      <c r="J183" s="92"/>
      <c r="N183" s="49"/>
    </row>
    <row r="184" spans="1:14" ht="21.95" customHeight="1">
      <c r="A184" s="12" t="s">
        <v>515</v>
      </c>
      <c r="B184" s="227" t="s">
        <v>516</v>
      </c>
      <c r="C184" s="228" t="s">
        <v>8</v>
      </c>
      <c r="D184" s="229">
        <v>10.7</v>
      </c>
      <c r="E184" s="229"/>
      <c r="F184" s="230"/>
      <c r="G184" s="230"/>
      <c r="H184" s="229"/>
      <c r="I184" s="274"/>
      <c r="J184" s="92"/>
      <c r="N184" s="49"/>
    </row>
    <row r="185" spans="1:14" ht="21.95" customHeight="1">
      <c r="A185" s="12" t="s">
        <v>518</v>
      </c>
      <c r="B185" s="227" t="s">
        <v>519</v>
      </c>
      <c r="C185" s="228" t="s">
        <v>8</v>
      </c>
      <c r="D185" s="229">
        <v>62.5</v>
      </c>
      <c r="E185" s="229"/>
      <c r="F185" s="230"/>
      <c r="G185" s="230"/>
      <c r="H185" s="229"/>
      <c r="I185" s="274"/>
      <c r="J185" s="92"/>
      <c r="N185" s="49"/>
    </row>
    <row r="186" spans="1:14" ht="21.95" customHeight="1">
      <c r="A186" s="12" t="s">
        <v>521</v>
      </c>
      <c r="B186" s="227" t="s">
        <v>522</v>
      </c>
      <c r="C186" s="228" t="s">
        <v>8</v>
      </c>
      <c r="D186" s="229">
        <v>84.8</v>
      </c>
      <c r="E186" s="229"/>
      <c r="F186" s="230"/>
      <c r="G186" s="230"/>
      <c r="H186" s="229"/>
      <c r="I186" s="274"/>
      <c r="J186" s="92"/>
      <c r="N186" s="49"/>
    </row>
    <row r="187" spans="1:14" ht="21.95" customHeight="1">
      <c r="A187" s="12" t="s">
        <v>524</v>
      </c>
      <c r="B187" s="7" t="s">
        <v>525</v>
      </c>
      <c r="C187" s="8" t="s">
        <v>0</v>
      </c>
      <c r="D187" s="44">
        <v>2</v>
      </c>
      <c r="E187" s="44"/>
      <c r="F187" s="51" t="s">
        <v>2133</v>
      </c>
      <c r="G187" s="50" t="s">
        <v>2132</v>
      </c>
      <c r="H187" s="44">
        <v>3</v>
      </c>
      <c r="I187" s="44">
        <v>3</v>
      </c>
      <c r="J187" s="279">
        <f>I187-D187</f>
        <v>1</v>
      </c>
      <c r="N187" s="49"/>
    </row>
    <row r="188" spans="1:14" ht="33">
      <c r="A188" s="6" t="s">
        <v>77</v>
      </c>
      <c r="B188" s="7" t="s">
        <v>527</v>
      </c>
      <c r="C188" s="8" t="s">
        <v>4</v>
      </c>
      <c r="D188" s="44">
        <v>1</v>
      </c>
      <c r="E188" s="44"/>
      <c r="F188" s="45"/>
      <c r="G188" s="45"/>
      <c r="H188" s="44"/>
      <c r="I188" s="191" t="s">
        <v>243</v>
      </c>
      <c r="J188" s="200"/>
      <c r="N188" s="49"/>
    </row>
    <row r="189" spans="1:14" ht="31.5">
      <c r="A189" s="12" t="s">
        <v>78</v>
      </c>
      <c r="B189" s="7" t="s">
        <v>310</v>
      </c>
      <c r="C189" s="8" t="s">
        <v>223</v>
      </c>
      <c r="D189" s="44">
        <v>185.59</v>
      </c>
      <c r="E189" s="44">
        <v>928.51</v>
      </c>
      <c r="F189" s="45" t="s">
        <v>2904</v>
      </c>
      <c r="G189" s="45" t="s">
        <v>1321</v>
      </c>
      <c r="H189" s="44">
        <f>((5*6*6.5*2)+(13*3.5*6.8)+(3.2*8.5*1.6))</f>
        <v>742.92</v>
      </c>
      <c r="I189" s="192"/>
      <c r="J189" s="92" t="s">
        <v>2122</v>
      </c>
      <c r="N189" s="49"/>
    </row>
    <row r="190" spans="1:14" ht="33">
      <c r="A190" s="12"/>
      <c r="B190" s="7"/>
      <c r="C190" s="8"/>
      <c r="D190" s="44"/>
      <c r="E190" s="44"/>
      <c r="F190" s="45" t="s">
        <v>1323</v>
      </c>
      <c r="G190" s="45" t="s">
        <v>1322</v>
      </c>
      <c r="H190" s="44">
        <f>(14.35*0.8*1.25+14.35*0.8*2.75+15*0.8*2.75)+((5.1+1.92)*2*1.25)</f>
        <v>96.47</v>
      </c>
      <c r="I190" s="191"/>
      <c r="J190" s="200"/>
      <c r="N190" s="49"/>
    </row>
    <row r="191" spans="1:14">
      <c r="A191" s="12"/>
      <c r="B191" s="7"/>
      <c r="C191" s="8"/>
      <c r="D191" s="44"/>
      <c r="E191" s="44"/>
      <c r="F191" s="45"/>
      <c r="G191" s="45"/>
      <c r="H191" s="44"/>
      <c r="I191" s="191"/>
      <c r="J191" s="200"/>
      <c r="N191" s="49"/>
    </row>
    <row r="192" spans="1:14" ht="28.5">
      <c r="A192" s="12" t="s">
        <v>79</v>
      </c>
      <c r="B192" s="10" t="s">
        <v>315</v>
      </c>
      <c r="C192" s="8" t="s">
        <v>6</v>
      </c>
      <c r="D192" s="44">
        <v>26.33</v>
      </c>
      <c r="E192" s="44"/>
      <c r="F192" s="45" t="s">
        <v>1325</v>
      </c>
      <c r="G192" s="45" t="s">
        <v>1332</v>
      </c>
      <c r="H192" s="44">
        <f>(15.2*1.9*0.1)+(14.55*1.9*0.1)</f>
        <v>5.6524999999999999</v>
      </c>
      <c r="I192" s="193">
        <f>SUM(H192:H198)</f>
        <v>25.7851</v>
      </c>
      <c r="J192" s="92" t="s">
        <v>2122</v>
      </c>
      <c r="K192" s="435"/>
      <c r="L192" s="25"/>
      <c r="M192" s="174"/>
      <c r="N192" s="49"/>
    </row>
    <row r="193" spans="1:14">
      <c r="A193" s="12"/>
      <c r="B193" s="10"/>
      <c r="C193" s="8"/>
      <c r="D193" s="44"/>
      <c r="E193" s="44"/>
      <c r="F193" s="45" t="s">
        <v>1326</v>
      </c>
      <c r="G193" s="45" t="s">
        <v>1333</v>
      </c>
      <c r="H193" s="44">
        <f>(3.08*4.87*0.1)+(3.7*1.7*0.1)</f>
        <v>2.1289600000000002</v>
      </c>
      <c r="I193" s="191"/>
      <c r="J193" s="200"/>
      <c r="N193" s="49"/>
    </row>
    <row r="194" spans="1:14">
      <c r="A194" s="12"/>
      <c r="B194" s="10"/>
      <c r="C194" s="8"/>
      <c r="D194" s="44"/>
      <c r="E194" s="44"/>
      <c r="F194" s="45" t="s">
        <v>1388</v>
      </c>
      <c r="G194" s="45" t="s">
        <v>1385</v>
      </c>
      <c r="H194" s="44">
        <f>16.2*1.5*0.1</f>
        <v>2.4299999999999997</v>
      </c>
      <c r="I194" s="191"/>
      <c r="J194" s="200"/>
      <c r="N194" s="49"/>
    </row>
    <row r="195" spans="1:14">
      <c r="A195" s="12"/>
      <c r="B195" s="10"/>
      <c r="C195" s="8"/>
      <c r="D195" s="44"/>
      <c r="E195" s="44"/>
      <c r="F195" s="80" t="s">
        <v>2487</v>
      </c>
      <c r="G195" s="45" t="s">
        <v>2488</v>
      </c>
      <c r="H195" s="44">
        <f>2.57*32.6*0.1</f>
        <v>8.3781999999999996</v>
      </c>
      <c r="I195" s="191"/>
      <c r="J195" s="200"/>
      <c r="N195" s="49"/>
    </row>
    <row r="196" spans="1:14" ht="33">
      <c r="A196" s="12"/>
      <c r="B196" s="10"/>
      <c r="C196" s="8"/>
      <c r="D196" s="44"/>
      <c r="E196" s="44"/>
      <c r="F196" s="45" t="s">
        <v>2491</v>
      </c>
      <c r="G196" s="45" t="s">
        <v>2489</v>
      </c>
      <c r="H196" s="44">
        <f>((2.4+2.3)/2*5+(2.3+2.06)/2*16+(1.56+1.7)/2*10.88)*0.1</f>
        <v>6.4364399999999993</v>
      </c>
      <c r="I196" s="191"/>
      <c r="J196" s="200"/>
      <c r="N196" s="49"/>
    </row>
    <row r="197" spans="1:14">
      <c r="A197" s="269"/>
      <c r="B197" s="432"/>
      <c r="C197" s="271"/>
      <c r="D197" s="272"/>
      <c r="E197" s="272"/>
      <c r="F197" s="45" t="s">
        <v>2490</v>
      </c>
      <c r="G197" s="273" t="s">
        <v>2492</v>
      </c>
      <c r="H197" s="272">
        <f>(1.2*2.05+2.7*1.9)*0.1</f>
        <v>0.75900000000000001</v>
      </c>
      <c r="I197" s="274"/>
      <c r="J197" s="92"/>
      <c r="N197" s="49"/>
    </row>
    <row r="198" spans="1:14">
      <c r="A198" s="12"/>
      <c r="B198" s="10"/>
      <c r="C198" s="8"/>
      <c r="D198" s="44"/>
      <c r="E198" s="44"/>
      <c r="F198" s="45"/>
      <c r="G198" s="45"/>
      <c r="H198" s="44"/>
      <c r="I198" s="191"/>
      <c r="J198" s="200"/>
      <c r="N198" s="49"/>
    </row>
    <row r="199" spans="1:14" ht="28.5">
      <c r="A199" s="12" t="s">
        <v>80</v>
      </c>
      <c r="B199" s="10" t="s">
        <v>24</v>
      </c>
      <c r="C199" s="8" t="s">
        <v>6</v>
      </c>
      <c r="D199" s="44">
        <v>36.86</v>
      </c>
      <c r="E199" s="44"/>
      <c r="F199" s="45" t="s">
        <v>2493</v>
      </c>
      <c r="G199" s="45" t="s">
        <v>3130</v>
      </c>
      <c r="H199" s="44">
        <f>(0.367*0.394+(0.367+0.12)*0.394)*1.2*2</f>
        <v>0.80754239999999999</v>
      </c>
      <c r="I199" s="192">
        <f>SUM(H199:H202)</f>
        <v>46.777946950000008</v>
      </c>
      <c r="J199" s="92" t="s">
        <v>2122</v>
      </c>
      <c r="N199" s="49"/>
    </row>
    <row r="200" spans="1:14" ht="72.75" customHeight="1">
      <c r="A200" s="269"/>
      <c r="B200" s="432"/>
      <c r="C200" s="271"/>
      <c r="D200" s="272"/>
      <c r="E200" s="272"/>
      <c r="F200" s="273" t="s">
        <v>3115</v>
      </c>
      <c r="G200" s="273" t="s">
        <v>3131</v>
      </c>
      <c r="H200" s="272">
        <f>(0.3*1*1.84)+(1.84*0.23*(2.2+1.5+2.2))+(0.23*0.45*1.84*4)+(1.5*1.18/2*2*0.23)+(1.84*1.5*0.23)+(1.18*2.07/2*2*0.23)*(0.3*0.15/2*10)+1.5*1.84*0.23+1.5*2.4*0.23</f>
        <v>6.4417445500000019</v>
      </c>
      <c r="I200" s="287"/>
      <c r="J200" s="92"/>
      <c r="N200" s="49"/>
    </row>
    <row r="201" spans="1:14" ht="66" customHeight="1">
      <c r="A201" s="226"/>
      <c r="B201" s="231"/>
      <c r="C201" s="228"/>
      <c r="D201" s="229"/>
      <c r="E201" s="229"/>
      <c r="F201" s="230" t="s">
        <v>3126</v>
      </c>
      <c r="G201" s="230" t="s">
        <v>3129</v>
      </c>
      <c r="H201" s="229">
        <f>0.2*0.45*2.29*5+1.1*2.5*3.62+2.5*3.62*0.2*2+13.5*2.29*0.2+8.88*1.5*0.2+1.74*13.5/2*2*0.2+0.74*8.88/2*2*0.2+2.57*2.28*0.2</f>
        <v>30.636660000000003</v>
      </c>
      <c r="I201" s="249"/>
      <c r="J201" s="92"/>
      <c r="N201" s="49"/>
    </row>
    <row r="202" spans="1:14">
      <c r="A202" s="269"/>
      <c r="B202" s="432"/>
      <c r="C202" s="271"/>
      <c r="D202" s="272"/>
      <c r="E202" s="272"/>
      <c r="F202" s="273" t="s">
        <v>2481</v>
      </c>
      <c r="G202" s="273" t="s">
        <v>2482</v>
      </c>
      <c r="H202" s="272">
        <f>(16+18.2)*2*0.13</f>
        <v>8.8920000000000012</v>
      </c>
      <c r="I202" s="287"/>
      <c r="J202" s="92"/>
      <c r="N202" s="49"/>
    </row>
    <row r="203" spans="1:14">
      <c r="A203" s="269"/>
      <c r="B203" s="432"/>
      <c r="C203" s="271"/>
      <c r="D203" s="272"/>
      <c r="E203" s="272"/>
      <c r="F203" s="273"/>
      <c r="G203" s="273"/>
      <c r="H203" s="272"/>
      <c r="I203" s="287"/>
      <c r="J203" s="92"/>
      <c r="N203" s="49"/>
    </row>
    <row r="204" spans="1:14" ht="49.5">
      <c r="A204" s="12" t="s">
        <v>81</v>
      </c>
      <c r="B204" s="10" t="s">
        <v>528</v>
      </c>
      <c r="C204" s="8" t="s">
        <v>6</v>
      </c>
      <c r="D204" s="44">
        <v>654.83000000000004</v>
      </c>
      <c r="E204" s="44"/>
      <c r="F204" s="45" t="s">
        <v>1330</v>
      </c>
      <c r="G204" s="45" t="s">
        <v>1339</v>
      </c>
      <c r="H204" s="44">
        <f>((14.35+15.2)*1.15*1.5)+((14.35+15.2)*1.5*0.5)+((14.35+15.2)*(0.42*0.3+0.4*0.42/2))+(2.2*0.45*0.75*14)</f>
        <v>89.736749999999986</v>
      </c>
      <c r="I204" s="192">
        <f>SUM(H204:H211)</f>
        <v>288.24886500000002</v>
      </c>
      <c r="J204" s="92" t="s">
        <v>2122</v>
      </c>
      <c r="K204" s="450"/>
      <c r="N204" s="49"/>
    </row>
    <row r="205" spans="1:14" ht="66">
      <c r="A205" s="12"/>
      <c r="B205" s="7"/>
      <c r="C205" s="8"/>
      <c r="D205" s="44"/>
      <c r="E205" s="44"/>
      <c r="F205" s="45" t="s">
        <v>1331</v>
      </c>
      <c r="G205" s="45" t="s">
        <v>3139</v>
      </c>
      <c r="H205" s="44">
        <f>((2.88*4.67*1.15)+(0.5*1*(1.88+1+1.8+2.67)))+((1.5*3.5*1.15)+(0.5*3.5*1)+(0.3*1*2)+(3.5*(0.42*0.3+0.4*0.42/2))+(2.1*0.45*0.75*4)+(0.85*2.27*1.6))</f>
        <v>34.18674</v>
      </c>
      <c r="I205" s="191"/>
      <c r="J205" s="200"/>
      <c r="N205" s="49"/>
    </row>
    <row r="206" spans="1:14" ht="24.75" customHeight="1">
      <c r="A206" s="12"/>
      <c r="B206" s="7"/>
      <c r="C206" s="8"/>
      <c r="D206" s="44"/>
      <c r="E206" s="44"/>
      <c r="F206" s="45" t="s">
        <v>1388</v>
      </c>
      <c r="G206" s="45" t="s">
        <v>1386</v>
      </c>
      <c r="H206" s="44">
        <f>(15.8*0.3*3.45)+(1.2*0.4*15.8)</f>
        <v>23.937000000000001</v>
      </c>
      <c r="I206" s="191"/>
      <c r="J206" s="200"/>
      <c r="N206" s="49"/>
    </row>
    <row r="207" spans="1:14" ht="26.25" customHeight="1">
      <c r="A207" s="239"/>
      <c r="B207" s="178"/>
      <c r="C207" s="179"/>
      <c r="D207" s="180"/>
      <c r="E207" s="180"/>
      <c r="F207" s="302" t="s">
        <v>1996</v>
      </c>
      <c r="G207" s="302" t="s">
        <v>2139</v>
      </c>
      <c r="H207" s="303">
        <f>(2.85*(7.6+6.35)*0.3)+(0.5*(7.6+6.35)*1.5)</f>
        <v>22.389749999999999</v>
      </c>
      <c r="I207" s="192"/>
      <c r="J207" s="200"/>
      <c r="M207" s="174"/>
      <c r="N207" s="49"/>
    </row>
    <row r="208" spans="1:14">
      <c r="A208" s="12"/>
      <c r="B208" s="7"/>
      <c r="C208" s="8"/>
      <c r="D208" s="44"/>
      <c r="E208" s="44"/>
      <c r="F208" s="45" t="s">
        <v>1334</v>
      </c>
      <c r="G208" s="45" t="s">
        <v>1337</v>
      </c>
      <c r="H208" s="44">
        <f>(((16.55+15.7)/2*13.3*0.25)-(12.6*0.6*0.05))</f>
        <v>53.237625000000001</v>
      </c>
      <c r="I208" s="191"/>
      <c r="J208" s="200"/>
      <c r="N208" s="49"/>
    </row>
    <row r="209" spans="1:15">
      <c r="A209" s="12"/>
      <c r="B209" s="7"/>
      <c r="C209" s="8"/>
      <c r="D209" s="44"/>
      <c r="E209" s="44"/>
      <c r="F209" s="80" t="s">
        <v>1335</v>
      </c>
      <c r="G209" s="80" t="s">
        <v>1779</v>
      </c>
      <c r="H209" s="44">
        <f>(16+15.75)*5*0.3</f>
        <v>47.625</v>
      </c>
      <c r="I209" s="191"/>
      <c r="J209" s="200"/>
      <c r="N209" s="49"/>
    </row>
    <row r="210" spans="1:15">
      <c r="A210" s="12"/>
      <c r="B210" s="7"/>
      <c r="C210" s="8"/>
      <c r="D210" s="44"/>
      <c r="E210" s="44"/>
      <c r="F210" s="80" t="s">
        <v>1336</v>
      </c>
      <c r="G210" s="80" t="s">
        <v>1780</v>
      </c>
      <c r="H210" s="44">
        <f>1.2*0.4*(16.87+18.83)</f>
        <v>17.135999999999999</v>
      </c>
      <c r="I210" s="191"/>
      <c r="J210" s="200"/>
      <c r="N210" s="49"/>
    </row>
    <row r="211" spans="1:15">
      <c r="A211" s="12"/>
      <c r="B211" s="7"/>
      <c r="C211" s="8"/>
      <c r="D211" s="44"/>
      <c r="E211" s="44"/>
      <c r="F211" s="45"/>
      <c r="G211" s="45"/>
      <c r="H211" s="44"/>
      <c r="I211" s="191"/>
      <c r="J211" s="200"/>
      <c r="N211" s="49"/>
    </row>
    <row r="212" spans="1:15">
      <c r="A212" s="12" t="s">
        <v>82</v>
      </c>
      <c r="B212" s="7" t="s">
        <v>192</v>
      </c>
      <c r="C212" s="8" t="s">
        <v>17</v>
      </c>
      <c r="D212" s="44">
        <v>6240.88</v>
      </c>
      <c r="E212" s="44"/>
      <c r="F212" s="45" t="s">
        <v>3120</v>
      </c>
      <c r="G212" s="45" t="s">
        <v>3122</v>
      </c>
      <c r="H212" s="44">
        <f>鋼筋!L193</f>
        <v>5837.66</v>
      </c>
      <c r="I212" s="194">
        <f>SUM(H212:H215)</f>
        <v>7921.66</v>
      </c>
      <c r="J212" s="92" t="s">
        <v>2122</v>
      </c>
      <c r="N212" s="49"/>
    </row>
    <row r="213" spans="1:15">
      <c r="A213" s="12"/>
      <c r="B213" s="7"/>
      <c r="C213" s="8"/>
      <c r="D213" s="44"/>
      <c r="E213" s="44"/>
      <c r="F213" s="45" t="s">
        <v>3121</v>
      </c>
      <c r="G213" s="45" t="s">
        <v>3122</v>
      </c>
      <c r="H213" s="44">
        <f>鋼筋!L209</f>
        <v>2084</v>
      </c>
      <c r="I213" s="194"/>
      <c r="J213" s="200"/>
      <c r="N213" s="49"/>
    </row>
    <row r="214" spans="1:15">
      <c r="A214" s="12"/>
      <c r="B214" s="7"/>
      <c r="C214" s="8"/>
      <c r="D214" s="44"/>
      <c r="E214" s="44"/>
      <c r="F214" s="45"/>
      <c r="G214" s="45"/>
      <c r="H214" s="44"/>
      <c r="I214" s="195"/>
      <c r="J214" s="200"/>
      <c r="N214" s="49"/>
    </row>
    <row r="215" spans="1:15">
      <c r="A215" s="12"/>
      <c r="B215" s="7"/>
      <c r="C215" s="8"/>
      <c r="D215" s="44"/>
      <c r="E215" s="44"/>
      <c r="F215" s="45"/>
      <c r="G215" s="45"/>
      <c r="H215" s="44"/>
      <c r="I215" s="195"/>
      <c r="J215" s="200"/>
      <c r="N215" s="49"/>
    </row>
    <row r="216" spans="1:15" ht="16.5">
      <c r="A216" s="12" t="s">
        <v>83</v>
      </c>
      <c r="B216" s="7" t="s">
        <v>530</v>
      </c>
      <c r="C216" s="8" t="s">
        <v>17</v>
      </c>
      <c r="D216" s="44">
        <v>102796.95</v>
      </c>
      <c r="E216" s="44"/>
      <c r="F216" s="45" t="s">
        <v>1330</v>
      </c>
      <c r="G216" s="45" t="s">
        <v>2288</v>
      </c>
      <c r="H216" s="44">
        <f>鋼筋!K56</f>
        <v>19888.163419999997</v>
      </c>
      <c r="I216" s="275">
        <f>SUM(H216:H223)</f>
        <v>57372.191267999995</v>
      </c>
      <c r="J216" s="92" t="s">
        <v>2122</v>
      </c>
      <c r="K216" s="450">
        <f>D216-I216</f>
        <v>45424.758732000002</v>
      </c>
      <c r="M216" s="174"/>
      <c r="N216" s="49"/>
      <c r="O216" s="65"/>
    </row>
    <row r="217" spans="1:15">
      <c r="A217" s="12"/>
      <c r="B217" s="7"/>
      <c r="C217" s="8"/>
      <c r="D217" s="44"/>
      <c r="E217" s="44"/>
      <c r="F217" s="45" t="s">
        <v>1331</v>
      </c>
      <c r="G217" s="45" t="s">
        <v>2289</v>
      </c>
      <c r="H217" s="44">
        <f>鋼筋!M77</f>
        <v>3670.9800480000004</v>
      </c>
      <c r="I217" s="191"/>
      <c r="J217" s="200"/>
      <c r="M217" s="30"/>
      <c r="N217" s="49"/>
    </row>
    <row r="218" spans="1:15" ht="35.25" customHeight="1">
      <c r="A218" s="12"/>
      <c r="B218" s="7"/>
      <c r="C218" s="8"/>
      <c r="D218" s="44"/>
      <c r="E218" s="44"/>
      <c r="F218" s="45" t="s">
        <v>1388</v>
      </c>
      <c r="G218" s="45" t="s">
        <v>2290</v>
      </c>
      <c r="H218" s="44">
        <f>(14.6*36+6.75*80+3.65*80+1.75*80+14.6*12)*1.56+H206*3.2</f>
        <v>2686.1664000000001</v>
      </c>
      <c r="I218" s="191"/>
      <c r="J218" s="200"/>
      <c r="M218" s="30"/>
      <c r="N218" s="49"/>
    </row>
    <row r="219" spans="1:15" ht="49.5">
      <c r="A219" s="12"/>
      <c r="B219" s="7"/>
      <c r="C219" s="8"/>
      <c r="D219" s="44"/>
      <c r="E219" s="44"/>
      <c r="F219" s="45" t="s">
        <v>1334</v>
      </c>
      <c r="G219" s="45" t="s">
        <v>2291</v>
      </c>
      <c r="H219" s="44">
        <f>(11.5*142+5*142+9.85*71+8.35*142+6.85*71)*2.25+((8.5+6.4+5)*105+1.6*250+1.3*215+1.6*630+11*53+9.8*104+8.6*53)*1.56+H208*3.2</f>
        <v>19880.360400000001</v>
      </c>
      <c r="I219" s="191"/>
      <c r="J219" s="200"/>
      <c r="M219" s="30"/>
      <c r="N219" s="49"/>
    </row>
    <row r="220" spans="1:15" ht="49.5">
      <c r="A220" s="12"/>
      <c r="B220" s="7"/>
      <c r="C220" s="8"/>
      <c r="D220" s="44"/>
      <c r="E220" s="44"/>
      <c r="F220" s="56" t="s">
        <v>1335</v>
      </c>
      <c r="G220" s="45" t="s">
        <v>2292</v>
      </c>
      <c r="H220" s="44">
        <f>5.25*107*3.05+(12*34+4.8*34+5.25*54+10*9+8.5*18+7*9)*2.25+(5.25*106*3.05)+(12*34+4.8*34+5.25*53+10*9+8.5*18+7*9)*2.25+47.63*3.2</f>
        <v>8774.4159999999993</v>
      </c>
      <c r="I220" s="191"/>
      <c r="J220" s="279"/>
      <c r="M220" s="30"/>
      <c r="N220" s="49"/>
    </row>
    <row r="221" spans="1:15">
      <c r="A221" s="12"/>
      <c r="B221" s="7"/>
      <c r="C221" s="8"/>
      <c r="D221" s="44"/>
      <c r="E221" s="44"/>
      <c r="F221" s="45" t="s">
        <v>1336</v>
      </c>
      <c r="G221" s="45" t="s">
        <v>2293</v>
      </c>
      <c r="H221" s="44">
        <f>(7*108+3.1*252+0.5*252)*0.994+H210*3.2</f>
        <v>1708.056</v>
      </c>
      <c r="I221" s="191"/>
      <c r="J221" s="200"/>
      <c r="M221" s="30"/>
      <c r="N221" s="49"/>
    </row>
    <row r="222" spans="1:15">
      <c r="A222" s="12"/>
      <c r="B222" s="7"/>
      <c r="C222" s="8"/>
      <c r="D222" s="44"/>
      <c r="E222" s="44"/>
      <c r="F222" s="45" t="s">
        <v>1756</v>
      </c>
      <c r="G222" s="45" t="s">
        <v>1757</v>
      </c>
      <c r="H222" s="44">
        <f>7.95*8*3.05+(9.45+6.15)*4*1.56+1.1*191*2.25</f>
        <v>764.04899999999998</v>
      </c>
      <c r="I222" s="191"/>
      <c r="J222" s="200"/>
      <c r="M222" s="30"/>
      <c r="N222" s="49"/>
    </row>
    <row r="223" spans="1:15">
      <c r="A223" s="12"/>
      <c r="B223" s="7"/>
      <c r="C223" s="8"/>
      <c r="D223" s="44"/>
      <c r="E223" s="44"/>
      <c r="F223" s="45"/>
      <c r="G223" s="45"/>
      <c r="H223" s="44"/>
      <c r="I223" s="191"/>
      <c r="J223" s="200"/>
      <c r="N223" s="49"/>
    </row>
    <row r="224" spans="1:15">
      <c r="A224" s="12" t="s">
        <v>84</v>
      </c>
      <c r="B224" s="7" t="s">
        <v>532</v>
      </c>
      <c r="C224" s="8" t="s">
        <v>13</v>
      </c>
      <c r="D224" s="44">
        <v>223.3</v>
      </c>
      <c r="E224" s="44"/>
      <c r="F224" s="45" t="s">
        <v>2493</v>
      </c>
      <c r="G224" s="45" t="s">
        <v>3128</v>
      </c>
      <c r="H224" s="44">
        <f>0.12*1.2*2+0.394*2*0.24*2+1.2*0.24</f>
        <v>0.95423999999999998</v>
      </c>
      <c r="I224" s="192">
        <f>SUM(H224:H226)</f>
        <v>255.97504000000004</v>
      </c>
      <c r="J224" s="92" t="s">
        <v>2122</v>
      </c>
      <c r="N224" s="49"/>
    </row>
    <row r="225" spans="1:14" ht="69" customHeight="1">
      <c r="A225" s="226"/>
      <c r="B225" s="227"/>
      <c r="C225" s="228"/>
      <c r="D225" s="229"/>
      <c r="E225" s="229"/>
      <c r="F225" s="45" t="s">
        <v>3115</v>
      </c>
      <c r="G225" s="45" t="s">
        <v>3127</v>
      </c>
      <c r="H225" s="44">
        <f>(0.3*(1.84*2+1*2))+(1.8*0.15*12)+(((0.45+1.18)*1.5/2)+(1.18*1.5)+((1.18+2.07)*1.8/2))*2*2+(1.23+1.25+0.4+0.2+1.5)*1.8+0.45*1.84*2*4+1.84*0.2*4</f>
        <v>44.954000000000008</v>
      </c>
      <c r="I225" s="249"/>
      <c r="J225" s="92"/>
      <c r="N225" s="49"/>
    </row>
    <row r="226" spans="1:14" ht="45.75" customHeight="1">
      <c r="A226" s="226"/>
      <c r="B226" s="227"/>
      <c r="C226" s="228"/>
      <c r="D226" s="229"/>
      <c r="E226" s="229"/>
      <c r="F226" s="230" t="s">
        <v>3116</v>
      </c>
      <c r="G226" s="230" t="s">
        <v>3123</v>
      </c>
      <c r="H226" s="229">
        <f>(1.6+2.1)*6/2*2*2+1.6*1.5*2*2+(1.6+1.1)*6/2*2*2+(8.88+2)*0.74*2*2+1.1*3.62*2*2+1.1*2*2*2+3.62*2+2.29*13.5+1.8*8.88+0.45*2.29*2*5+2.29*0.2*5</f>
        <v>210.06680000000003</v>
      </c>
      <c r="I226" s="249"/>
      <c r="J226" s="92"/>
      <c r="N226" s="49"/>
    </row>
    <row r="227" spans="1:14">
      <c r="A227" s="226"/>
      <c r="B227" s="227"/>
      <c r="C227" s="228"/>
      <c r="D227" s="229"/>
      <c r="E227" s="229"/>
      <c r="F227" s="230"/>
      <c r="G227" s="230"/>
      <c r="H227" s="229"/>
      <c r="I227" s="249"/>
      <c r="J227" s="92"/>
      <c r="N227" s="49"/>
    </row>
    <row r="228" spans="1:14" ht="49.5">
      <c r="A228" s="12" t="s">
        <v>85</v>
      </c>
      <c r="B228" s="7" t="s">
        <v>534</v>
      </c>
      <c r="C228" s="8" t="s">
        <v>13</v>
      </c>
      <c r="D228" s="44">
        <v>450.04</v>
      </c>
      <c r="E228" s="44"/>
      <c r="F228" s="45" t="s">
        <v>1330</v>
      </c>
      <c r="G228" s="45" t="s">
        <v>1350</v>
      </c>
      <c r="H228" s="44">
        <f>(15.3+14.35)*(1.15+1.5+2.75+0.1*2)+(1.5*1.15+1.5*0.5+0.42*0.7)*2*2+(0.25*0.6*4)*14+(2.2*0.45*2+0.75*2.2+1.05*0.6)*14</f>
        <v>245.15600000000003</v>
      </c>
      <c r="I228" s="194">
        <f>SUM(H228:H232)</f>
        <v>484.31400000000008</v>
      </c>
      <c r="J228" s="279">
        <f>I228-D228</f>
        <v>34.274000000000058</v>
      </c>
      <c r="K228" s="462" t="s">
        <v>2523</v>
      </c>
      <c r="N228" s="49"/>
    </row>
    <row r="229" spans="1:14" ht="49.5">
      <c r="A229" s="12"/>
      <c r="B229" s="7"/>
      <c r="C229" s="8"/>
      <c r="D229" s="44"/>
      <c r="E229" s="44"/>
      <c r="F229" s="45" t="s">
        <v>1342</v>
      </c>
      <c r="G229" s="56" t="s">
        <v>1352</v>
      </c>
      <c r="H229" s="55">
        <f>(2.38+1.95+0.5+0.5+2.67)*2*1+(0.25*0.6*4)*4+((3.5*2.15)+(3.5*2.35)+1.5*1.15*2+1*0.5*2*0.42*0.7*2)+(2*0.45*2+0.75*2+1.05*0.6)*4</f>
        <v>53.908000000000001</v>
      </c>
      <c r="I229" s="195"/>
      <c r="J229" s="200"/>
      <c r="K229" s="463" t="s">
        <v>2521</v>
      </c>
      <c r="N229" s="49"/>
    </row>
    <row r="230" spans="1:14" ht="33">
      <c r="A230" s="12"/>
      <c r="B230" s="7"/>
      <c r="C230" s="8"/>
      <c r="D230" s="44"/>
      <c r="E230" s="44"/>
      <c r="F230" s="45" t="s">
        <v>1334</v>
      </c>
      <c r="G230" s="45" t="s">
        <v>1348</v>
      </c>
      <c r="H230" s="44">
        <f>(18.6+16.96)/2*(13.3-0.7*7+0.1*14)+(0.2*(18.6+16.96)/2)+(0.25*(15.3+14.5))</f>
        <v>185.25000000000006</v>
      </c>
      <c r="I230" s="195"/>
      <c r="J230" s="200"/>
      <c r="K230" s="463" t="s">
        <v>2522</v>
      </c>
      <c r="N230" s="49"/>
    </row>
    <row r="231" spans="1:14">
      <c r="A231" s="12"/>
      <c r="B231" s="7"/>
      <c r="C231" s="8"/>
      <c r="D231" s="44"/>
      <c r="E231" s="44"/>
      <c r="F231" s="50"/>
      <c r="G231" s="45"/>
      <c r="H231" s="44"/>
      <c r="I231" s="195"/>
      <c r="J231" s="200"/>
      <c r="N231" s="49"/>
    </row>
    <row r="232" spans="1:14">
      <c r="A232" s="12"/>
      <c r="B232" s="7"/>
      <c r="C232" s="8"/>
      <c r="D232" s="44"/>
      <c r="E232" s="44"/>
      <c r="F232" s="45"/>
      <c r="G232" s="45"/>
      <c r="H232" s="44"/>
      <c r="I232" s="195"/>
      <c r="J232" s="200"/>
      <c r="N232" s="49"/>
    </row>
    <row r="233" spans="1:14" ht="33">
      <c r="A233" s="12" t="s">
        <v>86</v>
      </c>
      <c r="B233" s="7" t="s">
        <v>536</v>
      </c>
      <c r="C233" s="8" t="s">
        <v>13</v>
      </c>
      <c r="D233" s="44">
        <v>28.27</v>
      </c>
      <c r="E233" s="44"/>
      <c r="F233" s="45" t="s">
        <v>1349</v>
      </c>
      <c r="G233" s="45" t="s">
        <v>1353</v>
      </c>
      <c r="H233" s="44">
        <f>ROUND((4.67*1.15)*2+(2.88*1.15*2)+(5.05+3.1+3.9+1.9)*2*0.1+(15.7+14.75+1.9*2)*2*0.1,2)</f>
        <v>27.01</v>
      </c>
      <c r="I233" s="194">
        <f>SUM(H233:H236)</f>
        <v>42.534999999999997</v>
      </c>
      <c r="J233" s="279">
        <f>I233-D233</f>
        <v>14.264999999999997</v>
      </c>
      <c r="N233" s="49"/>
    </row>
    <row r="234" spans="1:14">
      <c r="A234" s="12"/>
      <c r="B234" s="7"/>
      <c r="C234" s="8"/>
      <c r="D234" s="44"/>
      <c r="E234" s="44"/>
      <c r="F234" s="45" t="s">
        <v>1737</v>
      </c>
      <c r="G234" s="45" t="s">
        <v>2274</v>
      </c>
      <c r="H234" s="44">
        <f>(5*4+16+15.75)*0.3</f>
        <v>15.524999999999999</v>
      </c>
      <c r="I234" s="191"/>
      <c r="J234" s="200"/>
      <c r="N234" s="49"/>
    </row>
    <row r="235" spans="1:14">
      <c r="A235" s="12"/>
      <c r="B235" s="7"/>
      <c r="C235" s="8"/>
      <c r="D235" s="44"/>
      <c r="E235" s="44"/>
      <c r="F235" s="45"/>
      <c r="G235" s="45"/>
      <c r="H235" s="44"/>
      <c r="I235" s="191"/>
      <c r="J235" s="200"/>
      <c r="L235" s="45"/>
      <c r="M235" s="45"/>
      <c r="N235" s="44"/>
    </row>
    <row r="236" spans="1:14">
      <c r="A236" s="226"/>
      <c r="B236" s="227"/>
      <c r="C236" s="228"/>
      <c r="D236" s="229"/>
      <c r="E236" s="229"/>
      <c r="F236" s="230"/>
      <c r="G236" s="230"/>
      <c r="H236" s="229"/>
      <c r="I236" s="241"/>
      <c r="J236" s="92"/>
      <c r="L236" s="230"/>
      <c r="M236" s="230"/>
      <c r="N236" s="229"/>
    </row>
    <row r="237" spans="1:14" ht="21.95" customHeight="1">
      <c r="A237" s="12" t="s">
        <v>87</v>
      </c>
      <c r="B237" s="7" t="s">
        <v>538</v>
      </c>
      <c r="C237" s="8" t="s">
        <v>539</v>
      </c>
      <c r="D237" s="44">
        <v>25655</v>
      </c>
      <c r="E237" s="44"/>
      <c r="F237" s="45"/>
      <c r="G237" s="45"/>
      <c r="H237" s="44"/>
      <c r="I237" s="191" t="s">
        <v>243</v>
      </c>
      <c r="J237" s="92" t="s">
        <v>2122</v>
      </c>
      <c r="N237" s="49"/>
    </row>
    <row r="238" spans="1:14" ht="21.95" customHeight="1">
      <c r="A238" s="12" t="s">
        <v>541</v>
      </c>
      <c r="B238" s="7" t="s">
        <v>321</v>
      </c>
      <c r="C238" s="8" t="s">
        <v>17</v>
      </c>
      <c r="D238" s="44">
        <v>3691</v>
      </c>
      <c r="E238" s="44"/>
      <c r="F238" s="45"/>
      <c r="G238" s="45"/>
      <c r="H238" s="44"/>
      <c r="I238" s="191" t="s">
        <v>243</v>
      </c>
      <c r="J238" s="92" t="s">
        <v>2122</v>
      </c>
      <c r="N238" s="49"/>
    </row>
    <row r="239" spans="1:14" ht="33">
      <c r="A239" s="12" t="s">
        <v>88</v>
      </c>
      <c r="B239" s="10" t="s">
        <v>323</v>
      </c>
      <c r="C239" s="8" t="s">
        <v>17</v>
      </c>
      <c r="D239" s="44">
        <v>3691</v>
      </c>
      <c r="E239" s="44"/>
      <c r="F239" s="45"/>
      <c r="G239" s="45"/>
      <c r="H239" s="44"/>
      <c r="I239" s="191" t="s">
        <v>243</v>
      </c>
      <c r="J239" s="92" t="s">
        <v>2122</v>
      </c>
      <c r="N239" s="49"/>
    </row>
    <row r="240" spans="1:14" ht="33">
      <c r="A240" s="12" t="s">
        <v>89</v>
      </c>
      <c r="B240" s="10" t="s">
        <v>542</v>
      </c>
      <c r="C240" s="8" t="s">
        <v>17</v>
      </c>
      <c r="D240" s="44">
        <v>2162</v>
      </c>
      <c r="E240" s="44"/>
      <c r="F240" s="45"/>
      <c r="G240" s="45"/>
      <c r="H240" s="44"/>
      <c r="I240" s="191" t="s">
        <v>243</v>
      </c>
      <c r="J240" s="92" t="s">
        <v>2122</v>
      </c>
      <c r="N240" s="49"/>
    </row>
    <row r="241" spans="1:14" ht="42.75">
      <c r="A241" s="12" t="s">
        <v>90</v>
      </c>
      <c r="B241" s="10" t="s">
        <v>544</v>
      </c>
      <c r="C241" s="8" t="s">
        <v>13</v>
      </c>
      <c r="D241" s="44">
        <v>99.7</v>
      </c>
      <c r="E241" s="44"/>
      <c r="F241" s="45"/>
      <c r="G241" s="45"/>
      <c r="H241" s="44"/>
      <c r="I241" s="191" t="s">
        <v>243</v>
      </c>
      <c r="J241" s="92" t="s">
        <v>2122</v>
      </c>
      <c r="N241" s="49"/>
    </row>
    <row r="242" spans="1:14" ht="71.25">
      <c r="A242" s="12" t="s">
        <v>91</v>
      </c>
      <c r="B242" s="10" t="s">
        <v>325</v>
      </c>
      <c r="C242" s="8" t="s">
        <v>17</v>
      </c>
      <c r="D242" s="44">
        <v>95900</v>
      </c>
      <c r="E242" s="44"/>
      <c r="F242" s="45" t="s">
        <v>1234</v>
      </c>
      <c r="G242" s="56" t="s">
        <v>1358</v>
      </c>
      <c r="H242" s="55">
        <v>47258</v>
      </c>
      <c r="I242" s="192">
        <f>H242+H243</f>
        <v>96604.35</v>
      </c>
      <c r="J242" s="279">
        <f>96604.35-D242</f>
        <v>704.35000000000582</v>
      </c>
      <c r="N242" s="49"/>
    </row>
    <row r="243" spans="1:14">
      <c r="A243" s="12"/>
      <c r="B243" s="7"/>
      <c r="C243" s="8"/>
      <c r="D243" s="44"/>
      <c r="E243" s="44"/>
      <c r="F243" s="45" t="s">
        <v>1324</v>
      </c>
      <c r="G243" s="56" t="s">
        <v>1344</v>
      </c>
      <c r="H243" s="55">
        <v>49346.35</v>
      </c>
      <c r="I243" s="191"/>
      <c r="J243" s="200"/>
      <c r="N243" s="49"/>
    </row>
    <row r="244" spans="1:14" ht="33">
      <c r="A244" s="12" t="s">
        <v>203</v>
      </c>
      <c r="B244" s="66" t="s">
        <v>222</v>
      </c>
      <c r="C244" s="67" t="s">
        <v>13</v>
      </c>
      <c r="D244" s="55">
        <v>438.86</v>
      </c>
      <c r="E244" s="55"/>
      <c r="F244" s="56" t="s">
        <v>1355</v>
      </c>
      <c r="G244" s="56" t="s">
        <v>2930</v>
      </c>
      <c r="H244" s="55">
        <f>ROUND(((1.8*12.77*3*2+1.8*12.8*2*2+1.8*8*2*5)+(1.8*3*2+1.8*5*4+1.8*5*2)+1.8*3*32),2)</f>
        <v>611.67999999999995</v>
      </c>
      <c r="I244" s="194">
        <f>SUM(H244:H246)-0.02</f>
        <v>611.66</v>
      </c>
      <c r="J244" s="285">
        <f>I244-D244</f>
        <v>172.79999999999995</v>
      </c>
      <c r="K244" s="433">
        <f>1.8*3*32</f>
        <v>172.8</v>
      </c>
      <c r="N244" s="49"/>
    </row>
    <row r="245" spans="1:14">
      <c r="A245" s="12"/>
      <c r="B245" s="7"/>
      <c r="C245" s="8"/>
      <c r="D245" s="44"/>
      <c r="E245" s="44"/>
      <c r="F245" s="45"/>
      <c r="G245" s="45"/>
      <c r="H245" s="44"/>
      <c r="I245" s="191"/>
      <c r="J245" s="200"/>
      <c r="K245" s="747">
        <f>K244-J244</f>
        <v>0</v>
      </c>
      <c r="M245" s="30"/>
      <c r="N245" s="49"/>
    </row>
    <row r="246" spans="1:14">
      <c r="A246" s="12"/>
      <c r="B246" s="7"/>
      <c r="C246" s="8"/>
      <c r="D246" s="44"/>
      <c r="E246" s="44"/>
      <c r="F246" s="45"/>
      <c r="G246" s="45"/>
      <c r="H246" s="44"/>
      <c r="I246" s="191"/>
      <c r="J246" s="200"/>
      <c r="M246" s="30"/>
      <c r="N246" s="49"/>
    </row>
    <row r="247" spans="1:14" ht="42.75">
      <c r="A247" s="12" t="s">
        <v>202</v>
      </c>
      <c r="B247" s="10" t="s">
        <v>194</v>
      </c>
      <c r="C247" s="8" t="s">
        <v>23</v>
      </c>
      <c r="D247" s="44">
        <v>342.71</v>
      </c>
      <c r="E247" s="44"/>
      <c r="F247" s="45" t="s">
        <v>1343</v>
      </c>
      <c r="G247" s="45" t="s">
        <v>1354</v>
      </c>
      <c r="H247" s="44">
        <f>((16.2*3.35*2.7+16.8*3.25*1.8)+6.3*4.5*2+4.1*3.6*2.5)</f>
        <v>338.40899999999999</v>
      </c>
      <c r="I247" s="192">
        <f>H247</f>
        <v>338.40899999999999</v>
      </c>
      <c r="J247" s="279">
        <f>I247-D247</f>
        <v>-4.3009999999999877</v>
      </c>
      <c r="K247" s="433" t="s">
        <v>2483</v>
      </c>
      <c r="N247" s="49"/>
    </row>
    <row r="248" spans="1:14" ht="28.5">
      <c r="A248" s="12" t="s">
        <v>201</v>
      </c>
      <c r="B248" s="10" t="s">
        <v>205</v>
      </c>
      <c r="C248" s="8" t="s">
        <v>23</v>
      </c>
      <c r="D248" s="44">
        <v>231.09</v>
      </c>
      <c r="E248" s="44"/>
      <c r="F248" s="45"/>
      <c r="G248" s="50"/>
      <c r="H248" s="44">
        <v>0</v>
      </c>
      <c r="I248" s="192">
        <f>H248</f>
        <v>0</v>
      </c>
      <c r="J248" s="279">
        <f>I248-D248</f>
        <v>-231.09</v>
      </c>
      <c r="K248" s="433" t="s">
        <v>2483</v>
      </c>
      <c r="N248" s="49"/>
    </row>
    <row r="249" spans="1:14">
      <c r="A249" s="12" t="s">
        <v>200</v>
      </c>
      <c r="B249" s="7" t="s">
        <v>548</v>
      </c>
      <c r="C249" s="8" t="s">
        <v>13</v>
      </c>
      <c r="D249" s="44">
        <v>183</v>
      </c>
      <c r="E249" s="44">
        <v>27956</v>
      </c>
      <c r="F249" s="45"/>
      <c r="G249" s="45" t="s">
        <v>1351</v>
      </c>
      <c r="H249" s="44">
        <v>11275</v>
      </c>
      <c r="I249" s="192">
        <f>H249</f>
        <v>11275</v>
      </c>
      <c r="J249" s="92" t="s">
        <v>2122</v>
      </c>
      <c r="N249" s="49"/>
    </row>
    <row r="250" spans="1:14">
      <c r="A250" s="12"/>
      <c r="B250" s="7"/>
      <c r="C250" s="8"/>
      <c r="D250" s="44"/>
      <c r="E250" s="44"/>
      <c r="F250" s="45"/>
      <c r="G250" s="45"/>
      <c r="H250" s="44"/>
      <c r="I250" s="191"/>
      <c r="J250" s="200"/>
      <c r="N250" s="49"/>
    </row>
    <row r="251" spans="1:14" ht="28.5">
      <c r="A251" s="12" t="s">
        <v>199</v>
      </c>
      <c r="B251" s="10" t="s">
        <v>550</v>
      </c>
      <c r="C251" s="8" t="s">
        <v>8</v>
      </c>
      <c r="D251" s="44">
        <v>322</v>
      </c>
      <c r="E251" s="44"/>
      <c r="F251" s="45" t="s">
        <v>1343</v>
      </c>
      <c r="G251" s="45" t="s">
        <v>1357</v>
      </c>
      <c r="H251" s="44">
        <f>2*45+3*36+4*31</f>
        <v>322</v>
      </c>
      <c r="I251" s="194">
        <f>H251</f>
        <v>322</v>
      </c>
      <c r="J251" s="200"/>
      <c r="N251" s="49"/>
    </row>
    <row r="252" spans="1:14" ht="33">
      <c r="A252" s="12" t="s">
        <v>198</v>
      </c>
      <c r="B252" s="10" t="s">
        <v>552</v>
      </c>
      <c r="C252" s="8" t="s">
        <v>13</v>
      </c>
      <c r="D252" s="44">
        <v>100</v>
      </c>
      <c r="E252" s="44"/>
      <c r="F252" s="45"/>
      <c r="G252" s="45"/>
      <c r="H252" s="44"/>
      <c r="I252" s="191" t="s">
        <v>243</v>
      </c>
      <c r="J252" s="92" t="s">
        <v>2122</v>
      </c>
      <c r="N252" s="49"/>
    </row>
    <row r="253" spans="1:14" ht="33">
      <c r="A253" s="12" t="s">
        <v>197</v>
      </c>
      <c r="B253" s="10" t="s">
        <v>554</v>
      </c>
      <c r="C253" s="8" t="s">
        <v>13</v>
      </c>
      <c r="D253" s="44">
        <v>83</v>
      </c>
      <c r="E253" s="44"/>
      <c r="F253" s="45"/>
      <c r="G253" s="45"/>
      <c r="H253" s="44"/>
      <c r="I253" s="191" t="s">
        <v>243</v>
      </c>
      <c r="J253" s="92" t="s">
        <v>2122</v>
      </c>
      <c r="N253" s="49"/>
    </row>
    <row r="254" spans="1:14" ht="33">
      <c r="A254" s="12" t="s">
        <v>196</v>
      </c>
      <c r="B254" s="7" t="s">
        <v>556</v>
      </c>
      <c r="C254" s="8" t="s">
        <v>13</v>
      </c>
      <c r="D254" s="44">
        <v>2.1</v>
      </c>
      <c r="E254" s="44"/>
      <c r="F254" s="45"/>
      <c r="G254" s="45"/>
      <c r="H254" s="44"/>
      <c r="I254" s="191" t="s">
        <v>243</v>
      </c>
      <c r="J254" s="92" t="s">
        <v>2122</v>
      </c>
      <c r="N254" s="49"/>
    </row>
    <row r="255" spans="1:14" ht="33">
      <c r="A255" s="12" t="s">
        <v>195</v>
      </c>
      <c r="B255" s="7" t="s">
        <v>558</v>
      </c>
      <c r="C255" s="8" t="s">
        <v>8</v>
      </c>
      <c r="D255" s="44">
        <v>62</v>
      </c>
      <c r="E255" s="44"/>
      <c r="F255" s="45"/>
      <c r="G255" s="45"/>
      <c r="H255" s="44"/>
      <c r="I255" s="191" t="s">
        <v>243</v>
      </c>
      <c r="J255" s="92" t="s">
        <v>2122</v>
      </c>
      <c r="N255" s="49"/>
    </row>
    <row r="256" spans="1:14" ht="33">
      <c r="A256" s="12" t="s">
        <v>212</v>
      </c>
      <c r="B256" s="7" t="s">
        <v>560</v>
      </c>
      <c r="C256" s="8" t="s">
        <v>8</v>
      </c>
      <c r="D256" s="44">
        <v>33</v>
      </c>
      <c r="E256" s="44"/>
      <c r="F256" s="45"/>
      <c r="G256" s="45"/>
      <c r="H256" s="44"/>
      <c r="I256" s="191" t="s">
        <v>243</v>
      </c>
      <c r="J256" s="92" t="s">
        <v>2122</v>
      </c>
      <c r="N256" s="49"/>
    </row>
    <row r="257" spans="1:14" ht="33">
      <c r="A257" s="12" t="s">
        <v>213</v>
      </c>
      <c r="B257" s="10" t="s">
        <v>562</v>
      </c>
      <c r="C257" s="8" t="s">
        <v>8</v>
      </c>
      <c r="D257" s="44">
        <v>32.6</v>
      </c>
      <c r="E257" s="44"/>
      <c r="F257" s="45"/>
      <c r="G257" s="45"/>
      <c r="H257" s="44"/>
      <c r="I257" s="191" t="s">
        <v>243</v>
      </c>
      <c r="J257" s="92" t="s">
        <v>2122</v>
      </c>
      <c r="N257" s="49"/>
    </row>
    <row r="258" spans="1:14" ht="42.75">
      <c r="A258" s="12" t="s">
        <v>217</v>
      </c>
      <c r="B258" s="10" t="s">
        <v>564</v>
      </c>
      <c r="C258" s="8" t="s">
        <v>8</v>
      </c>
      <c r="D258" s="44">
        <v>32.6</v>
      </c>
      <c r="E258" s="44"/>
      <c r="F258" s="45"/>
      <c r="G258" s="45"/>
      <c r="H258" s="44"/>
      <c r="I258" s="191" t="s">
        <v>243</v>
      </c>
      <c r="J258" s="92" t="s">
        <v>2122</v>
      </c>
      <c r="N258" s="49"/>
    </row>
    <row r="259" spans="1:14" ht="33">
      <c r="A259" s="12" t="s">
        <v>566</v>
      </c>
      <c r="B259" s="7" t="s">
        <v>567</v>
      </c>
      <c r="C259" s="8" t="s">
        <v>0</v>
      </c>
      <c r="D259" s="44">
        <v>1</v>
      </c>
      <c r="E259" s="44"/>
      <c r="F259" s="45"/>
      <c r="G259" s="45"/>
      <c r="H259" s="44"/>
      <c r="I259" s="191" t="s">
        <v>243</v>
      </c>
      <c r="J259" s="92" t="s">
        <v>2122</v>
      </c>
      <c r="N259" s="49"/>
    </row>
    <row r="260" spans="1:14" ht="33">
      <c r="A260" s="12" t="s">
        <v>569</v>
      </c>
      <c r="B260" s="7" t="s">
        <v>570</v>
      </c>
      <c r="C260" s="8" t="s">
        <v>8</v>
      </c>
      <c r="D260" s="44">
        <v>9.6</v>
      </c>
      <c r="E260" s="44"/>
      <c r="F260" s="45"/>
      <c r="G260" s="45"/>
      <c r="H260" s="44"/>
      <c r="I260" s="191" t="s">
        <v>243</v>
      </c>
      <c r="J260" s="92" t="s">
        <v>2122</v>
      </c>
      <c r="N260" s="49"/>
    </row>
    <row r="261" spans="1:14" ht="33">
      <c r="A261" s="12" t="s">
        <v>572</v>
      </c>
      <c r="B261" s="7" t="s">
        <v>573</v>
      </c>
      <c r="C261" s="8" t="s">
        <v>0</v>
      </c>
      <c r="D261" s="44">
        <v>1</v>
      </c>
      <c r="E261" s="44"/>
      <c r="F261" s="45"/>
      <c r="G261" s="45"/>
      <c r="H261" s="44"/>
      <c r="I261" s="191" t="s">
        <v>243</v>
      </c>
      <c r="J261" s="92" t="s">
        <v>2122</v>
      </c>
      <c r="N261" s="49"/>
    </row>
    <row r="262" spans="1:14" ht="33">
      <c r="A262" s="12" t="s">
        <v>575</v>
      </c>
      <c r="B262" s="7" t="s">
        <v>576</v>
      </c>
      <c r="C262" s="8" t="s">
        <v>8</v>
      </c>
      <c r="D262" s="44">
        <v>32.6</v>
      </c>
      <c r="E262" s="44"/>
      <c r="F262" s="45"/>
      <c r="G262" s="45"/>
      <c r="H262" s="44"/>
      <c r="I262" s="191" t="s">
        <v>243</v>
      </c>
      <c r="J262" s="92" t="s">
        <v>2122</v>
      </c>
      <c r="N262" s="49"/>
    </row>
    <row r="263" spans="1:14" ht="33">
      <c r="A263" s="12" t="s">
        <v>578</v>
      </c>
      <c r="B263" s="10" t="s">
        <v>579</v>
      </c>
      <c r="C263" s="8" t="s">
        <v>8</v>
      </c>
      <c r="D263" s="44">
        <v>32.6</v>
      </c>
      <c r="E263" s="44"/>
      <c r="F263" s="45"/>
      <c r="G263" s="45"/>
      <c r="H263" s="44"/>
      <c r="I263" s="191" t="s">
        <v>243</v>
      </c>
      <c r="J263" s="92" t="s">
        <v>2122</v>
      </c>
      <c r="N263" s="49"/>
    </row>
    <row r="264" spans="1:14" ht="42.75">
      <c r="A264" s="12" t="s">
        <v>581</v>
      </c>
      <c r="B264" s="10" t="s">
        <v>582</v>
      </c>
      <c r="C264" s="8" t="s">
        <v>583</v>
      </c>
      <c r="D264" s="44">
        <v>4</v>
      </c>
      <c r="E264" s="44"/>
      <c r="F264" s="45" t="s">
        <v>1234</v>
      </c>
      <c r="G264" s="45">
        <v>4</v>
      </c>
      <c r="H264" s="44">
        <v>4</v>
      </c>
      <c r="I264" s="192">
        <f>H264</f>
        <v>4</v>
      </c>
      <c r="J264" s="200"/>
      <c r="N264" s="49"/>
    </row>
    <row r="265" spans="1:14">
      <c r="A265" s="12" t="s">
        <v>585</v>
      </c>
      <c r="B265" s="7" t="s">
        <v>586</v>
      </c>
      <c r="C265" s="8" t="s">
        <v>8</v>
      </c>
      <c r="D265" s="44">
        <v>4.8</v>
      </c>
      <c r="E265" s="44"/>
      <c r="F265" s="45"/>
      <c r="G265" s="45"/>
      <c r="H265" s="44"/>
      <c r="I265" s="192">
        <f>H265</f>
        <v>0</v>
      </c>
      <c r="J265" s="92" t="s">
        <v>2122</v>
      </c>
      <c r="N265" s="49"/>
    </row>
    <row r="266" spans="1:14">
      <c r="A266" s="12" t="s">
        <v>588</v>
      </c>
      <c r="B266" s="7" t="s">
        <v>589</v>
      </c>
      <c r="C266" s="8" t="s">
        <v>0</v>
      </c>
      <c r="D266" s="44">
        <v>1</v>
      </c>
      <c r="E266" s="44"/>
      <c r="F266" s="45"/>
      <c r="G266" s="45">
        <v>1</v>
      </c>
      <c r="H266" s="44">
        <v>1</v>
      </c>
      <c r="I266" s="192">
        <f>H266</f>
        <v>1</v>
      </c>
      <c r="J266" s="200"/>
      <c r="N266" s="49"/>
    </row>
    <row r="267" spans="1:14">
      <c r="A267" s="12" t="s">
        <v>591</v>
      </c>
      <c r="B267" s="7" t="s">
        <v>592</v>
      </c>
      <c r="C267" s="8" t="s">
        <v>0</v>
      </c>
      <c r="D267" s="44">
        <v>1</v>
      </c>
      <c r="E267" s="44"/>
      <c r="F267" s="45"/>
      <c r="G267" s="45">
        <v>1</v>
      </c>
      <c r="H267" s="44">
        <v>1</v>
      </c>
      <c r="I267" s="192">
        <f>H267</f>
        <v>1</v>
      </c>
      <c r="J267" s="200"/>
      <c r="M267" s="174"/>
      <c r="N267" s="49"/>
    </row>
    <row r="268" spans="1:14">
      <c r="A268" s="12" t="s">
        <v>1359</v>
      </c>
      <c r="B268" s="7" t="s">
        <v>1360</v>
      </c>
      <c r="C268" s="8" t="s">
        <v>606</v>
      </c>
      <c r="D268" s="44"/>
      <c r="E268" s="44">
        <v>2</v>
      </c>
      <c r="F268" s="45" t="s">
        <v>1343</v>
      </c>
      <c r="G268" s="45">
        <v>2</v>
      </c>
      <c r="H268" s="44">
        <v>2</v>
      </c>
      <c r="I268" s="192">
        <f>H268</f>
        <v>2</v>
      </c>
      <c r="J268" s="200"/>
      <c r="N268" s="49"/>
    </row>
    <row r="269" spans="1:14">
      <c r="A269" s="12" t="s">
        <v>1361</v>
      </c>
      <c r="B269" s="7" t="s">
        <v>1362</v>
      </c>
      <c r="C269" s="8" t="s">
        <v>539</v>
      </c>
      <c r="D269" s="44"/>
      <c r="E269" s="44">
        <v>96850</v>
      </c>
      <c r="F269" s="45" t="s">
        <v>2954</v>
      </c>
      <c r="G269" s="45" t="s">
        <v>2956</v>
      </c>
      <c r="H269" s="44">
        <f>47258+49346</f>
        <v>96604</v>
      </c>
      <c r="I269" s="192">
        <v>96850</v>
      </c>
      <c r="J269" s="279">
        <f>I269-E269</f>
        <v>0</v>
      </c>
      <c r="N269" s="49"/>
    </row>
    <row r="270" spans="1:14">
      <c r="A270" s="12" t="s">
        <v>1363</v>
      </c>
      <c r="B270" s="7" t="s">
        <v>1364</v>
      </c>
      <c r="C270" s="8" t="s">
        <v>15</v>
      </c>
      <c r="D270" s="44"/>
      <c r="E270" s="44">
        <v>18</v>
      </c>
      <c r="F270" s="45" t="s">
        <v>1343</v>
      </c>
      <c r="G270" s="45" t="s">
        <v>1490</v>
      </c>
      <c r="H270" s="44">
        <v>18</v>
      </c>
      <c r="I270" s="192">
        <f>H270</f>
        <v>18</v>
      </c>
      <c r="J270" s="200"/>
      <c r="K270" s="433" t="s">
        <v>2955</v>
      </c>
      <c r="N270" s="49"/>
    </row>
    <row r="271" spans="1:14" ht="33">
      <c r="A271" s="6" t="s">
        <v>92</v>
      </c>
      <c r="B271" s="7" t="s">
        <v>594</v>
      </c>
      <c r="C271" s="8" t="s">
        <v>4</v>
      </c>
      <c r="D271" s="44">
        <v>1</v>
      </c>
      <c r="E271" s="44"/>
      <c r="F271" s="45"/>
      <c r="G271" s="45"/>
      <c r="H271" s="44"/>
      <c r="I271" s="191" t="s">
        <v>243</v>
      </c>
      <c r="J271" s="200"/>
      <c r="N271" s="49"/>
    </row>
    <row r="272" spans="1:14" ht="28.5">
      <c r="A272" s="12" t="s">
        <v>93</v>
      </c>
      <c r="B272" s="10" t="s">
        <v>1383</v>
      </c>
      <c r="C272" s="8" t="s">
        <v>6</v>
      </c>
      <c r="D272" s="44">
        <v>22</v>
      </c>
      <c r="E272" s="44"/>
      <c r="F272" s="45" t="s">
        <v>1511</v>
      </c>
      <c r="G272" s="45" t="s">
        <v>1390</v>
      </c>
      <c r="H272" s="44">
        <f>(246.3*0.85*0.05)+(1.7*0.1*(11.2+57.6))</f>
        <v>22.16375</v>
      </c>
      <c r="I272" s="192">
        <v>22</v>
      </c>
      <c r="J272" s="200">
        <v>0</v>
      </c>
      <c r="N272" s="49"/>
    </row>
    <row r="273" spans="1:14">
      <c r="A273" s="12"/>
      <c r="B273" s="10"/>
      <c r="C273" s="8"/>
      <c r="D273" s="44"/>
      <c r="E273" s="44"/>
      <c r="F273" s="80"/>
      <c r="G273" s="45"/>
      <c r="H273" s="44"/>
      <c r="I273" s="192"/>
      <c r="J273" s="200"/>
      <c r="N273" s="49"/>
    </row>
    <row r="274" spans="1:14">
      <c r="A274" s="12"/>
      <c r="B274" s="10"/>
      <c r="C274" s="8"/>
      <c r="D274" s="44"/>
      <c r="E274" s="44"/>
      <c r="F274" s="45"/>
      <c r="G274" s="45"/>
      <c r="H274" s="44"/>
      <c r="I274" s="192"/>
      <c r="J274" s="200"/>
      <c r="N274" s="49"/>
    </row>
    <row r="275" spans="1:14" ht="33">
      <c r="A275" s="12" t="s">
        <v>94</v>
      </c>
      <c r="B275" s="10" t="s">
        <v>24</v>
      </c>
      <c r="C275" s="8" t="s">
        <v>6</v>
      </c>
      <c r="D275" s="44">
        <v>302</v>
      </c>
      <c r="E275" s="44"/>
      <c r="F275" s="176" t="s">
        <v>1811</v>
      </c>
      <c r="G275" s="176" t="s">
        <v>1920</v>
      </c>
      <c r="H275" s="44">
        <f>58*8*(0.25*0.25*3.14)</f>
        <v>91.06</v>
      </c>
      <c r="I275" s="193">
        <f>SUM(H275:H279)</f>
        <v>301.99828571428571</v>
      </c>
      <c r="J275" s="279">
        <f>I275-D275</f>
        <v>-1.7142857142857792E-3</v>
      </c>
      <c r="M275" s="174"/>
      <c r="N275" s="49"/>
    </row>
    <row r="276" spans="1:14" ht="27.75" customHeight="1">
      <c r="A276" s="12"/>
      <c r="B276" s="7"/>
      <c r="C276" s="8"/>
      <c r="D276" s="44"/>
      <c r="E276" s="44"/>
      <c r="F276" s="50" t="s">
        <v>1926</v>
      </c>
      <c r="G276" s="50" t="s">
        <v>1440</v>
      </c>
      <c r="H276" s="54">
        <f>0.6*0.4*(23.8+19.8)</f>
        <v>10.464</v>
      </c>
      <c r="I276" s="192"/>
      <c r="J276" s="200"/>
      <c r="M276" s="174"/>
      <c r="N276" s="49"/>
    </row>
    <row r="277" spans="1:14" ht="66">
      <c r="A277" s="12"/>
      <c r="B277" s="7"/>
      <c r="C277" s="8"/>
      <c r="D277" s="44"/>
      <c r="E277" s="44"/>
      <c r="F277" s="50" t="s">
        <v>1806</v>
      </c>
      <c r="G277" s="50" t="s">
        <v>2638</v>
      </c>
      <c r="H277" s="54">
        <f>(0.25*0.15*250)+((0.08+0.46+0.44+0.42+0.39+0.3+0.24+0.18+0.13+0.13+0.12+0.1+0.05+0.02)/14*0.2*230)+((0.2*0.55)+(0.2*0.4)+(0.375*0.2)+(0.225+0.375)*0.15/2)*18.8+(0.02+0.6)/2*0.2*20</f>
        <v>26.497285714285713</v>
      </c>
      <c r="I277" s="192"/>
      <c r="J277" s="200"/>
      <c r="M277" s="174"/>
      <c r="N277" s="49"/>
    </row>
    <row r="278" spans="1:14" ht="33">
      <c r="A278" s="239" t="s">
        <v>1924</v>
      </c>
      <c r="B278" s="227"/>
      <c r="C278" s="228"/>
      <c r="D278" s="229"/>
      <c r="E278" s="229"/>
      <c r="F278" s="549" t="s">
        <v>1998</v>
      </c>
      <c r="G278" s="549" t="s">
        <v>2939</v>
      </c>
      <c r="H278" s="552">
        <f>ROUND((0.1+0.9)/2*0.3*7.1+(0.3+0.45)/2*0.42*1.68+(1.7*14.8/2*0.3),2)+0.35*1.8*(14.8-2.9)</f>
        <v>12.597</v>
      </c>
      <c r="I278" s="249"/>
      <c r="J278" s="280"/>
      <c r="M278" s="174"/>
      <c r="N278" s="49"/>
    </row>
    <row r="279" spans="1:14">
      <c r="A279" s="670"/>
      <c r="B279" s="682" t="s">
        <v>2744</v>
      </c>
      <c r="C279" s="683"/>
      <c r="D279" s="684"/>
      <c r="E279" s="684"/>
      <c r="F279" s="685" t="s">
        <v>2743</v>
      </c>
      <c r="G279" s="671"/>
      <c r="H279" s="684">
        <v>161.38</v>
      </c>
      <c r="I279" s="672"/>
      <c r="J279" s="673"/>
      <c r="M279" s="174"/>
      <c r="N279" s="49"/>
    </row>
    <row r="280" spans="1:14" ht="33">
      <c r="A280" s="12" t="s">
        <v>95</v>
      </c>
      <c r="B280" s="10" t="s">
        <v>528</v>
      </c>
      <c r="C280" s="8" t="s">
        <v>6</v>
      </c>
      <c r="D280" s="44">
        <v>766</v>
      </c>
      <c r="E280" s="54">
        <v>0</v>
      </c>
      <c r="F280" s="45" t="s">
        <v>1366</v>
      </c>
      <c r="G280" s="68"/>
      <c r="H280" s="44"/>
      <c r="I280" s="193"/>
      <c r="J280" s="200"/>
      <c r="M280" s="174"/>
      <c r="N280" s="49"/>
    </row>
    <row r="281" spans="1:14" ht="31.5">
      <c r="A281" s="12" t="s">
        <v>96</v>
      </c>
      <c r="B281" s="7" t="s">
        <v>595</v>
      </c>
      <c r="C281" s="8" t="s">
        <v>6</v>
      </c>
      <c r="D281" s="44">
        <v>1090</v>
      </c>
      <c r="E281" s="44"/>
      <c r="F281" s="59" t="s">
        <v>1660</v>
      </c>
      <c r="G281" s="45"/>
      <c r="H281" s="44">
        <f>I272+I275+I343</f>
        <v>1501.8982857142857</v>
      </c>
      <c r="I281" s="192">
        <f>H281</f>
        <v>1501.8982857142857</v>
      </c>
      <c r="J281" s="279">
        <f>I281-D281</f>
        <v>411.89828571428575</v>
      </c>
      <c r="N281" s="49"/>
    </row>
    <row r="282" spans="1:14">
      <c r="A282" s="12" t="s">
        <v>191</v>
      </c>
      <c r="B282" s="7" t="s">
        <v>534</v>
      </c>
      <c r="C282" s="8" t="s">
        <v>13</v>
      </c>
      <c r="D282" s="44">
        <v>1203</v>
      </c>
      <c r="E282" s="44"/>
      <c r="F282" s="45" t="s">
        <v>1382</v>
      </c>
      <c r="G282" s="45" t="s">
        <v>1391</v>
      </c>
      <c r="H282" s="44">
        <f>(1.5*2*246.3+1.5*0.75*12)</f>
        <v>752.40000000000009</v>
      </c>
      <c r="I282" s="194">
        <f>SUM(H282:H287)</f>
        <v>1274.9890000000003</v>
      </c>
      <c r="J282" s="279">
        <f>I282-D282</f>
        <v>71.98900000000026</v>
      </c>
      <c r="N282" s="49"/>
    </row>
    <row r="283" spans="1:14" ht="49.5">
      <c r="A283" s="12"/>
      <c r="B283" s="7"/>
      <c r="C283" s="8"/>
      <c r="D283" s="44"/>
      <c r="E283" s="44"/>
      <c r="F283" s="45" t="s">
        <v>1398</v>
      </c>
      <c r="G283" s="45" t="s">
        <v>1401</v>
      </c>
      <c r="H283" s="44">
        <f>(3.63*41.1*1+(1.1+0.5)/2*3.6*3)+(2.1*16.5*1)+(3.95*11.2*1+(1.1+0.5)/2*3.95*2)</f>
        <v>243.04300000000003</v>
      </c>
      <c r="I283" s="196"/>
      <c r="J283" s="200"/>
      <c r="N283" s="49"/>
    </row>
    <row r="284" spans="1:14">
      <c r="A284" s="12"/>
      <c r="B284" s="7"/>
      <c r="C284" s="8"/>
      <c r="D284" s="44"/>
      <c r="E284" s="44"/>
      <c r="F284" s="45" t="s">
        <v>1399</v>
      </c>
      <c r="G284" s="45" t="s">
        <v>1393</v>
      </c>
      <c r="H284" s="44">
        <f>((4.79+3.4)/2*17*2+(0.3+0.5)/2*(4.79+3.4)/2*2)</f>
        <v>142.506</v>
      </c>
      <c r="I284" s="191"/>
      <c r="J284" s="200"/>
      <c r="N284" s="49"/>
    </row>
    <row r="285" spans="1:14" ht="43.5" customHeight="1">
      <c r="A285" s="12"/>
      <c r="B285" s="7"/>
      <c r="C285" s="8"/>
      <c r="D285" s="44"/>
      <c r="E285" s="44"/>
      <c r="F285" s="45" t="s">
        <v>2094</v>
      </c>
      <c r="G285" s="45" t="s">
        <v>1392</v>
      </c>
      <c r="H285" s="44">
        <f>(15.8*3.45-7.05*2.6)*2</f>
        <v>72.360000000000014</v>
      </c>
      <c r="I285" s="191"/>
      <c r="J285" s="200"/>
      <c r="N285" s="49"/>
    </row>
    <row r="286" spans="1:14">
      <c r="A286" s="12"/>
      <c r="B286" s="7"/>
      <c r="C286" s="8"/>
      <c r="D286" s="44"/>
      <c r="E286" s="44"/>
      <c r="F286" s="45" t="s">
        <v>1394</v>
      </c>
      <c r="G286" s="45" t="s">
        <v>1396</v>
      </c>
      <c r="H286" s="44">
        <f>(9.8*3.3*2)</f>
        <v>64.680000000000007</v>
      </c>
      <c r="I286" s="191"/>
      <c r="J286" s="200"/>
      <c r="N286" s="49"/>
    </row>
    <row r="287" spans="1:14">
      <c r="A287" s="12"/>
      <c r="B287" s="7"/>
      <c r="C287" s="8"/>
      <c r="D287" s="44"/>
      <c r="E287" s="44"/>
      <c r="F287" s="45"/>
      <c r="G287" s="45"/>
      <c r="H287" s="44"/>
      <c r="I287" s="191"/>
      <c r="J287" s="200"/>
      <c r="N287" s="49"/>
    </row>
    <row r="288" spans="1:14" ht="66">
      <c r="A288" s="12" t="s">
        <v>190</v>
      </c>
      <c r="B288" s="7" t="s">
        <v>536</v>
      </c>
      <c r="C288" s="8" t="s">
        <v>13</v>
      </c>
      <c r="D288" s="44">
        <v>393</v>
      </c>
      <c r="E288" s="44"/>
      <c r="F288" s="45" t="s">
        <v>1397</v>
      </c>
      <c r="G288" s="45" t="s">
        <v>1400</v>
      </c>
      <c r="H288" s="55">
        <f>((0.6*41.1*2)+(0.6*1.7*3))+(1.7*16.5+0.6*16.5+0.6*2.2*2)+(3.63*41.1*1+(2.1*16.5*1))+(3.95*11.2*1+(0.6*11.2*2)+(0.6*1.7*1))+(41.1*2+1.7*4+11.2*2)*0.1</f>
        <v>346.65299999999996</v>
      </c>
      <c r="I288" s="194">
        <f>SUM(H288:H295)</f>
        <v>821.92359999999985</v>
      </c>
      <c r="J288" s="279">
        <f>I288-D288</f>
        <v>428.92359999999985</v>
      </c>
      <c r="N288" s="49"/>
    </row>
    <row r="289" spans="1:14">
      <c r="A289" s="12"/>
      <c r="B289" s="7"/>
      <c r="C289" s="8"/>
      <c r="D289" s="44"/>
      <c r="E289" s="44"/>
      <c r="F289" s="45" t="s">
        <v>1389</v>
      </c>
      <c r="G289" s="45" t="s">
        <v>1395</v>
      </c>
      <c r="H289" s="44">
        <f>(0.45*17)*2+(2.5*0.45*2)</f>
        <v>17.55</v>
      </c>
      <c r="I289" s="191"/>
      <c r="J289" s="200"/>
      <c r="N289" s="49"/>
    </row>
    <row r="290" spans="1:14">
      <c r="A290" s="239" t="s">
        <v>1924</v>
      </c>
      <c r="B290" s="7"/>
      <c r="C290" s="8"/>
      <c r="D290" s="44"/>
      <c r="E290" s="44"/>
      <c r="F290" s="50" t="s">
        <v>1402</v>
      </c>
      <c r="G290" s="50" t="s">
        <v>1404</v>
      </c>
      <c r="H290" s="54">
        <f>(2.85+0.5)*7.6*2+(2.85+0.5)*6.35*2</f>
        <v>93.465000000000003</v>
      </c>
      <c r="I290" s="191"/>
      <c r="J290" s="200"/>
      <c r="N290" s="49"/>
    </row>
    <row r="291" spans="1:14">
      <c r="A291" s="239" t="s">
        <v>1924</v>
      </c>
      <c r="B291" s="7"/>
      <c r="C291" s="8"/>
      <c r="D291" s="44"/>
      <c r="E291" s="44"/>
      <c r="F291" s="50" t="s">
        <v>1926</v>
      </c>
      <c r="G291" s="50" t="s">
        <v>1441</v>
      </c>
      <c r="H291" s="54">
        <f>0.6*(23.8+19.8)*2+0.6*0.4*4</f>
        <v>53.28</v>
      </c>
      <c r="I291" s="191"/>
      <c r="J291" s="200"/>
      <c r="N291" s="49"/>
    </row>
    <row r="292" spans="1:14">
      <c r="A292" s="239" t="s">
        <v>1924</v>
      </c>
      <c r="B292" s="178"/>
      <c r="C292" s="179"/>
      <c r="D292" s="180"/>
      <c r="E292" s="180"/>
      <c r="F292" s="50" t="s">
        <v>1798</v>
      </c>
      <c r="G292" s="50" t="s">
        <v>1807</v>
      </c>
      <c r="H292" s="238">
        <v>115.54</v>
      </c>
      <c r="I292" s="191"/>
      <c r="J292" s="200"/>
      <c r="N292" s="49"/>
    </row>
    <row r="293" spans="1:14">
      <c r="A293" s="239" t="s">
        <v>1924</v>
      </c>
      <c r="B293" s="178"/>
      <c r="C293" s="179"/>
      <c r="D293" s="180"/>
      <c r="E293" s="180"/>
      <c r="F293" s="182" t="s">
        <v>1808</v>
      </c>
      <c r="G293" s="182" t="s">
        <v>1810</v>
      </c>
      <c r="H293" s="238">
        <f>0.25*2*250</f>
        <v>125</v>
      </c>
      <c r="I293" s="191"/>
      <c r="J293" s="200"/>
      <c r="N293" s="49"/>
    </row>
    <row r="294" spans="1:14" ht="33">
      <c r="A294" s="239" t="s">
        <v>1924</v>
      </c>
      <c r="B294" s="227"/>
      <c r="C294" s="228"/>
      <c r="D294" s="229"/>
      <c r="E294" s="229"/>
      <c r="F294" s="235" t="s">
        <v>1928</v>
      </c>
      <c r="G294" s="235" t="s">
        <v>1927</v>
      </c>
      <c r="H294" s="237">
        <f>(0.2+0.55+0.4+0.225+0.212+0.375)*18.8</f>
        <v>36.885600000000004</v>
      </c>
      <c r="I294" s="191"/>
      <c r="J294" s="200"/>
      <c r="N294" s="49"/>
    </row>
    <row r="295" spans="1:14" ht="33">
      <c r="A295" s="239" t="s">
        <v>1924</v>
      </c>
      <c r="B295" s="227"/>
      <c r="C295" s="228"/>
      <c r="D295" s="229"/>
      <c r="E295" s="229"/>
      <c r="F295" s="549" t="s">
        <v>2937</v>
      </c>
      <c r="G295" s="550" t="s">
        <v>2942</v>
      </c>
      <c r="H295" s="551">
        <f>(0.1+0.9)/2*7.1*2+0.3*0.1+(0.3+0.45)/2*1.68*2+1.7/2*14.8*2</f>
        <v>33.549999999999997</v>
      </c>
      <c r="I295" s="191"/>
      <c r="J295" s="200"/>
      <c r="N295" s="49"/>
    </row>
    <row r="296" spans="1:14">
      <c r="A296" s="12" t="s">
        <v>189</v>
      </c>
      <c r="B296" s="7" t="s">
        <v>192</v>
      </c>
      <c r="C296" s="8" t="s">
        <v>17</v>
      </c>
      <c r="D296" s="44">
        <v>13138</v>
      </c>
      <c r="E296" s="44"/>
      <c r="F296" s="45" t="s">
        <v>1403</v>
      </c>
      <c r="G296" s="45" t="s">
        <v>1345</v>
      </c>
      <c r="H296" s="44">
        <f>鋼筋!E87+鋼筋!N93+鋼筋!F103+鋼筋!E119+鋼筋!M113</f>
        <v>18521.1036957</v>
      </c>
      <c r="I296" s="192">
        <f>SUM(H296:H307)</f>
        <v>35217.512975700003</v>
      </c>
      <c r="J296" s="279">
        <f>I296-D296</f>
        <v>22079.512975700003</v>
      </c>
      <c r="N296" s="49"/>
    </row>
    <row r="297" spans="1:14">
      <c r="A297" s="12"/>
      <c r="B297" s="7"/>
      <c r="C297" s="8"/>
      <c r="D297" s="44"/>
      <c r="E297" s="44"/>
      <c r="F297" s="80" t="s">
        <v>1417</v>
      </c>
      <c r="G297" s="45" t="s">
        <v>1450</v>
      </c>
      <c r="H297" s="44">
        <f>((2.8*1.56*8)+(0.55*0.56*13))*58</f>
        <v>2258.9839999999995</v>
      </c>
      <c r="I297" s="192"/>
      <c r="J297" s="200"/>
      <c r="N297" s="49"/>
    </row>
    <row r="298" spans="1:14">
      <c r="A298" s="12"/>
      <c r="B298" s="7"/>
      <c r="C298" s="8"/>
      <c r="D298" s="44"/>
      <c r="E298" s="44"/>
      <c r="F298" s="45" t="s">
        <v>1402</v>
      </c>
      <c r="G298" s="45" t="s">
        <v>1345</v>
      </c>
      <c r="H298" s="44">
        <f>鋼筋!N125</f>
        <v>2266.5672</v>
      </c>
      <c r="I298" s="192"/>
      <c r="J298" s="200"/>
      <c r="N298" s="49"/>
    </row>
    <row r="299" spans="1:14" ht="33">
      <c r="A299" s="239" t="s">
        <v>1924</v>
      </c>
      <c r="B299" s="7"/>
      <c r="C299" s="8"/>
      <c r="D299" s="44"/>
      <c r="E299" s="44"/>
      <c r="F299" s="80" t="s">
        <v>1434</v>
      </c>
      <c r="G299" s="45" t="s">
        <v>1451</v>
      </c>
      <c r="H299" s="44">
        <f>(43.6+0.6*8)*4*0.994+(0.3+0.35+0.18*2+0.55)*43.6/0.3*0.994</f>
        <v>417.79807999999997</v>
      </c>
      <c r="I299" s="192"/>
      <c r="J299" s="200"/>
      <c r="N299" s="49"/>
    </row>
    <row r="300" spans="1:14" ht="31.5" customHeight="1">
      <c r="A300" s="239" t="s">
        <v>1924</v>
      </c>
      <c r="B300" s="7"/>
      <c r="C300" s="8"/>
      <c r="D300" s="44"/>
      <c r="E300" s="44"/>
      <c r="F300" s="80" t="s">
        <v>1741</v>
      </c>
      <c r="G300" s="45" t="s">
        <v>1781</v>
      </c>
      <c r="H300" s="44">
        <f>(1.65*236*2+6*60*2+3.95*236+2.9*236+6*282)*0.994</f>
        <v>4778.5555999999997</v>
      </c>
      <c r="I300" s="192"/>
      <c r="J300" s="200"/>
      <c r="N300" s="49"/>
    </row>
    <row r="301" spans="1:14">
      <c r="A301" s="239" t="s">
        <v>1924</v>
      </c>
      <c r="B301" s="7"/>
      <c r="C301" s="8"/>
      <c r="D301" s="44"/>
      <c r="E301" s="44"/>
      <c r="F301" s="45" t="s">
        <v>1798</v>
      </c>
      <c r="G301" s="45" t="s">
        <v>1807</v>
      </c>
      <c r="H301" s="44">
        <v>599.58000000000004</v>
      </c>
      <c r="I301" s="191"/>
      <c r="J301" s="200"/>
      <c r="N301" s="49"/>
    </row>
    <row r="302" spans="1:14" ht="33">
      <c r="A302" s="239" t="s">
        <v>1924</v>
      </c>
      <c r="B302" s="227"/>
      <c r="C302" s="228"/>
      <c r="D302" s="229"/>
      <c r="E302" s="229"/>
      <c r="F302" s="235" t="s">
        <v>1928</v>
      </c>
      <c r="G302" s="230" t="s">
        <v>1929</v>
      </c>
      <c r="H302" s="229">
        <f>(18.8/0.2)*(1.075+0.62)*1.56+(8*18.8*1.56)</f>
        <v>483.17880000000002</v>
      </c>
      <c r="I302" s="241"/>
      <c r="J302" s="280"/>
      <c r="N302" s="49"/>
    </row>
    <row r="303" spans="1:14">
      <c r="A303" s="239" t="s">
        <v>1924</v>
      </c>
      <c r="B303" s="178"/>
      <c r="C303" s="179"/>
      <c r="D303" s="180"/>
      <c r="E303" s="180"/>
      <c r="F303" s="181" t="s">
        <v>1808</v>
      </c>
      <c r="G303" s="181" t="s">
        <v>1809</v>
      </c>
      <c r="H303" s="180">
        <f>(250/0.5*0.4+1*250)*0.994</f>
        <v>447.3</v>
      </c>
      <c r="I303" s="191"/>
      <c r="J303" s="200"/>
      <c r="N303" s="49"/>
    </row>
    <row r="304" spans="1:14" ht="36.75" customHeight="1">
      <c r="A304" s="250" t="s">
        <v>1999</v>
      </c>
      <c r="B304" s="251"/>
      <c r="C304" s="252"/>
      <c r="D304" s="108"/>
      <c r="E304" s="108"/>
      <c r="F304" s="253" t="s">
        <v>2093</v>
      </c>
      <c r="G304" s="45" t="s">
        <v>1345</v>
      </c>
      <c r="H304" s="229">
        <f>鋼筋!Q68</f>
        <v>2686.1664000000001</v>
      </c>
      <c r="I304" s="241"/>
      <c r="J304" s="280"/>
      <c r="N304" s="49"/>
    </row>
    <row r="305" spans="1:14">
      <c r="A305" s="254" t="s">
        <v>1999</v>
      </c>
      <c r="B305" s="255"/>
      <c r="C305" s="256"/>
      <c r="D305" s="109"/>
      <c r="E305" s="109"/>
      <c r="F305" s="253" t="s">
        <v>1995</v>
      </c>
      <c r="G305" s="45" t="s">
        <v>1345</v>
      </c>
      <c r="H305" s="229">
        <f>鋼筋!N125</f>
        <v>2266.5672</v>
      </c>
      <c r="I305" s="241"/>
      <c r="J305" s="280"/>
      <c r="N305" s="49"/>
    </row>
    <row r="306" spans="1:14">
      <c r="A306" s="254" t="s">
        <v>1999</v>
      </c>
      <c r="B306" s="266"/>
      <c r="C306" s="267"/>
      <c r="D306" s="268"/>
      <c r="E306" s="268"/>
      <c r="F306" s="257" t="s">
        <v>1997</v>
      </c>
      <c r="G306" s="45" t="s">
        <v>1345</v>
      </c>
      <c r="H306" s="229">
        <f>鋼筋!E178</f>
        <v>491.71199999999993</v>
      </c>
      <c r="I306" s="241"/>
      <c r="J306" s="280"/>
      <c r="N306" s="49"/>
    </row>
    <row r="307" spans="1:14">
      <c r="A307" s="261"/>
      <c r="B307" s="262"/>
      <c r="C307" s="263"/>
      <c r="D307" s="264"/>
      <c r="E307" s="264"/>
      <c r="F307" s="265"/>
      <c r="G307" s="181"/>
      <c r="H307" s="180"/>
      <c r="I307" s="191"/>
      <c r="J307" s="200"/>
      <c r="N307" s="49"/>
    </row>
    <row r="308" spans="1:14">
      <c r="A308" s="12" t="s">
        <v>188</v>
      </c>
      <c r="B308" s="7" t="s">
        <v>530</v>
      </c>
      <c r="C308" s="8" t="s">
        <v>17</v>
      </c>
      <c r="D308" s="44">
        <v>15589</v>
      </c>
      <c r="E308" s="44"/>
      <c r="F308" s="45" t="s">
        <v>1407</v>
      </c>
      <c r="G308" s="45" t="s">
        <v>1345</v>
      </c>
      <c r="H308" s="44">
        <f>鋼筋!M95+鋼筋!E104+鋼筋!E120+鋼筋!M114</f>
        <v>15565.554937500001</v>
      </c>
      <c r="I308" s="192">
        <f>SUM(H308:H311)</f>
        <v>25125.1749375</v>
      </c>
      <c r="J308" s="279">
        <f>I308-D308</f>
        <v>9536.1749374999999</v>
      </c>
      <c r="N308" s="49"/>
    </row>
    <row r="309" spans="1:14">
      <c r="A309" s="239" t="s">
        <v>1924</v>
      </c>
      <c r="B309" s="7"/>
      <c r="C309" s="8"/>
      <c r="D309" s="44"/>
      <c r="E309" s="44"/>
      <c r="F309" s="50" t="s">
        <v>1435</v>
      </c>
      <c r="G309" s="50" t="s">
        <v>1448</v>
      </c>
      <c r="H309" s="44">
        <f>6*218*6.39</f>
        <v>8358.119999999999</v>
      </c>
      <c r="I309" s="191"/>
      <c r="J309" s="200"/>
      <c r="N309" s="49"/>
    </row>
    <row r="310" spans="1:14">
      <c r="A310" s="254" t="s">
        <v>1999</v>
      </c>
      <c r="B310" s="255"/>
      <c r="C310" s="256"/>
      <c r="D310" s="109"/>
      <c r="E310" s="109"/>
      <c r="F310" s="257" t="s">
        <v>1997</v>
      </c>
      <c r="G310" s="45" t="s">
        <v>1345</v>
      </c>
      <c r="H310" s="229">
        <f>鋼筋!E179</f>
        <v>1201.5</v>
      </c>
      <c r="I310" s="241"/>
      <c r="J310" s="280"/>
      <c r="N310" s="49"/>
    </row>
    <row r="311" spans="1:14">
      <c r="A311" s="12"/>
      <c r="B311" s="7"/>
      <c r="C311" s="8"/>
      <c r="D311" s="44"/>
      <c r="E311" s="44"/>
      <c r="F311" s="45"/>
      <c r="G311" s="45"/>
      <c r="H311" s="44"/>
      <c r="I311" s="191"/>
      <c r="J311" s="200"/>
      <c r="N311" s="49"/>
    </row>
    <row r="312" spans="1:14" ht="30" customHeight="1">
      <c r="A312" s="12" t="s">
        <v>187</v>
      </c>
      <c r="B312" s="7" t="s">
        <v>1408</v>
      </c>
      <c r="C312" s="8" t="s">
        <v>13</v>
      </c>
      <c r="D312" s="44">
        <v>776</v>
      </c>
      <c r="E312" s="44"/>
      <c r="F312" s="45" t="s">
        <v>2086</v>
      </c>
      <c r="G312" s="45" t="s">
        <v>2077</v>
      </c>
      <c r="H312" s="44">
        <f>614.13+154.5+7.26</f>
        <v>775.89</v>
      </c>
      <c r="I312" s="192">
        <f>H312</f>
        <v>775.89</v>
      </c>
      <c r="J312" s="200"/>
      <c r="N312" s="49"/>
    </row>
    <row r="313" spans="1:14" ht="31.5">
      <c r="A313" s="12" t="s">
        <v>186</v>
      </c>
      <c r="B313" s="7" t="s">
        <v>1411</v>
      </c>
      <c r="C313" s="8" t="s">
        <v>223</v>
      </c>
      <c r="D313" s="44">
        <v>235</v>
      </c>
      <c r="E313" s="44"/>
      <c r="F313" s="45" t="s">
        <v>1382</v>
      </c>
      <c r="G313" s="45" t="s">
        <v>1908</v>
      </c>
      <c r="H313" s="44">
        <v>251.85</v>
      </c>
      <c r="I313" s="192">
        <f>H313</f>
        <v>251.85</v>
      </c>
      <c r="J313" s="279">
        <f>I313-D313</f>
        <v>16.849999999999994</v>
      </c>
      <c r="N313" s="49"/>
    </row>
    <row r="314" spans="1:14" ht="31.5">
      <c r="A314" s="12" t="s">
        <v>185</v>
      </c>
      <c r="B314" s="7" t="s">
        <v>1409</v>
      </c>
      <c r="C314" s="8" t="s">
        <v>13</v>
      </c>
      <c r="D314" s="44">
        <v>102</v>
      </c>
      <c r="E314" s="44"/>
      <c r="F314" s="45" t="s">
        <v>1410</v>
      </c>
      <c r="G314" s="45" t="s">
        <v>1909</v>
      </c>
      <c r="H314" s="44">
        <f>94.85+78.97</f>
        <v>173.82</v>
      </c>
      <c r="I314" s="192">
        <f>H314</f>
        <v>173.82</v>
      </c>
      <c r="J314" s="279">
        <f>I314-D314</f>
        <v>71.819999999999993</v>
      </c>
      <c r="N314" s="49"/>
    </row>
    <row r="315" spans="1:14" ht="49.5">
      <c r="A315" s="12" t="s">
        <v>184</v>
      </c>
      <c r="B315" s="7" t="s">
        <v>603</v>
      </c>
      <c r="C315" s="8" t="s">
        <v>13</v>
      </c>
      <c r="D315" s="44">
        <v>400</v>
      </c>
      <c r="E315" s="44"/>
      <c r="F315" s="45" t="s">
        <v>1794</v>
      </c>
      <c r="G315" s="45" t="s">
        <v>2919</v>
      </c>
      <c r="H315" s="44">
        <f>(0.4+0.5+0.25)*(291-60)+((2.27+1.3)/2+0.25+0.5)*60+((0.19+0.56)/2+0.15)*18.8</f>
        <v>427.62</v>
      </c>
      <c r="I315" s="192">
        <f>SUM(H315:H322)</f>
        <v>841.36400000000003</v>
      </c>
      <c r="J315" s="279">
        <f>I315-D315</f>
        <v>441.36400000000003</v>
      </c>
      <c r="K315" s="433" t="s">
        <v>2994</v>
      </c>
      <c r="N315" s="49"/>
    </row>
    <row r="316" spans="1:14" ht="33">
      <c r="A316" s="177"/>
      <c r="B316" s="178"/>
      <c r="C316" s="179"/>
      <c r="D316" s="180"/>
      <c r="E316" s="180"/>
      <c r="F316" s="181" t="s">
        <v>1795</v>
      </c>
      <c r="G316" s="181" t="s">
        <v>2528</v>
      </c>
      <c r="H316" s="180">
        <f>(0.95+0.24)*(18.2+16)+0.95*(18.2+16)+0.4*(18.2+16)+0.4*(0.95+0.2)*4</f>
        <v>88.708000000000013</v>
      </c>
      <c r="I316" s="192"/>
      <c r="J316" s="200"/>
      <c r="N316" s="49"/>
    </row>
    <row r="317" spans="1:14">
      <c r="A317" s="269"/>
      <c r="B317" s="270"/>
      <c r="C317" s="271"/>
      <c r="D317" s="272"/>
      <c r="E317" s="272"/>
      <c r="F317" s="273" t="s">
        <v>2532</v>
      </c>
      <c r="G317" s="273" t="s">
        <v>2533</v>
      </c>
      <c r="H317" s="272">
        <f>(0.25+0.15+0.1)*280</f>
        <v>140</v>
      </c>
      <c r="I317" s="287"/>
      <c r="J317" s="92"/>
      <c r="N317" s="49"/>
    </row>
    <row r="318" spans="1:14">
      <c r="A318" s="269"/>
      <c r="B318" s="270"/>
      <c r="C318" s="271"/>
      <c r="D318" s="272"/>
      <c r="E318" s="272"/>
      <c r="F318" s="273" t="s">
        <v>2921</v>
      </c>
      <c r="G318" s="273" t="s">
        <v>2920</v>
      </c>
      <c r="H318" s="272">
        <f>3*3+3*4*0.1+(4.85*5-3*3)+4.85*2*0.2+5*2*0.2</f>
        <v>29.39</v>
      </c>
      <c r="I318" s="287"/>
      <c r="J318" s="92"/>
      <c r="N318" s="49"/>
    </row>
    <row r="319" spans="1:14" ht="33">
      <c r="A319" s="177"/>
      <c r="B319" s="178"/>
      <c r="C319" s="179"/>
      <c r="D319" s="180"/>
      <c r="E319" s="180"/>
      <c r="F319" s="181" t="s">
        <v>2922</v>
      </c>
      <c r="G319" s="181" t="s">
        <v>2923</v>
      </c>
      <c r="H319" s="180">
        <f>(0.15*2+0.4)*(1.65+5.8+2.93+0.65+10.1+1.7+0.9+1.65+1.5)</f>
        <v>18.815999999999995</v>
      </c>
      <c r="I319" s="192"/>
      <c r="J319" s="200"/>
      <c r="N319" s="49"/>
    </row>
    <row r="320" spans="1:14">
      <c r="A320" s="269"/>
      <c r="B320" s="270"/>
      <c r="C320" s="271"/>
      <c r="D320" s="272"/>
      <c r="E320" s="272"/>
      <c r="F320" s="273" t="s">
        <v>2934</v>
      </c>
      <c r="G320" s="273" t="s">
        <v>2935</v>
      </c>
      <c r="H320" s="272">
        <f>((0.2+0.6+0.4)/3+0.25+0.25)*(34.27+66.51)</f>
        <v>90.702000000000012</v>
      </c>
      <c r="I320" s="287"/>
      <c r="J320" s="92"/>
      <c r="N320" s="49"/>
    </row>
    <row r="321" spans="1:14">
      <c r="A321" s="269"/>
      <c r="B321" s="270"/>
      <c r="C321" s="271"/>
      <c r="D321" s="272"/>
      <c r="E321" s="272"/>
      <c r="F321" s="273" t="s">
        <v>2924</v>
      </c>
      <c r="G321" s="273" t="s">
        <v>2925</v>
      </c>
      <c r="H321" s="272">
        <f>3.2*3.2-1.56*1.2*2-1.2*1.1*2</f>
        <v>3.8560000000000021</v>
      </c>
      <c r="I321" s="287"/>
      <c r="J321" s="92"/>
      <c r="N321" s="49"/>
    </row>
    <row r="322" spans="1:14" ht="33">
      <c r="A322" s="269"/>
      <c r="B322" s="270"/>
      <c r="C322" s="271"/>
      <c r="D322" s="272"/>
      <c r="E322" s="272"/>
      <c r="F322" s="257" t="s">
        <v>1997</v>
      </c>
      <c r="G322" s="273" t="s">
        <v>2943</v>
      </c>
      <c r="H322" s="272">
        <f>((0.9+0.1)/2*7.1*2+0.3*7.1+0.3*0.1)+((0.3+0.45)/2*2+0.4)*1.68+(1.7/2*2+0.4)*14.8</f>
        <v>42.272000000000006</v>
      </c>
      <c r="I322" s="287"/>
      <c r="J322" s="92"/>
      <c r="N322" s="49"/>
    </row>
    <row r="323" spans="1:14">
      <c r="A323" s="236" t="s">
        <v>3265</v>
      </c>
      <c r="B323" s="227"/>
      <c r="C323" s="228"/>
      <c r="D323" s="229"/>
      <c r="E323" s="229"/>
      <c r="F323" s="822" t="s">
        <v>3264</v>
      </c>
      <c r="G323" s="230"/>
      <c r="H323" s="229"/>
      <c r="I323" s="249"/>
      <c r="J323" s="92"/>
      <c r="N323" s="49"/>
    </row>
    <row r="324" spans="1:14" ht="42.75">
      <c r="A324" s="12" t="s">
        <v>183</v>
      </c>
      <c r="B324" s="10" t="s">
        <v>605</v>
      </c>
      <c r="C324" s="8" t="s">
        <v>606</v>
      </c>
      <c r="D324" s="44">
        <v>333</v>
      </c>
      <c r="E324" s="44"/>
      <c r="F324" s="45" t="s">
        <v>1387</v>
      </c>
      <c r="G324" s="45" t="s">
        <v>1416</v>
      </c>
      <c r="H324" s="44">
        <f>(3/0.15)*17</f>
        <v>340</v>
      </c>
      <c r="I324" s="192">
        <f>H324</f>
        <v>340</v>
      </c>
      <c r="J324" s="279">
        <f>I324-D324</f>
        <v>7</v>
      </c>
      <c r="K324" s="433" t="s">
        <v>2483</v>
      </c>
      <c r="N324" s="49"/>
    </row>
    <row r="325" spans="1:14">
      <c r="A325" s="236" t="s">
        <v>1924</v>
      </c>
      <c r="B325" s="234" t="s">
        <v>1921</v>
      </c>
      <c r="C325" s="228"/>
      <c r="D325" s="229"/>
      <c r="E325" s="229"/>
      <c r="F325" s="235" t="s">
        <v>1923</v>
      </c>
      <c r="G325" s="235" t="s">
        <v>2498</v>
      </c>
      <c r="H325" s="237">
        <f>(280-30)/0.5*2</f>
        <v>1000</v>
      </c>
      <c r="I325" s="192"/>
      <c r="J325" s="200"/>
      <c r="N325" s="49"/>
    </row>
    <row r="326" spans="1:14" ht="33">
      <c r="A326" s="236" t="s">
        <v>1924</v>
      </c>
      <c r="B326" s="234" t="s">
        <v>1922</v>
      </c>
      <c r="C326" s="228"/>
      <c r="D326" s="229"/>
      <c r="E326" s="229"/>
      <c r="F326" s="235" t="s">
        <v>2500</v>
      </c>
      <c r="G326" s="235" t="s">
        <v>2499</v>
      </c>
      <c r="H326" s="237">
        <f>ROUNDUP(7.05/0.2*2,0)+18.8/0.2*2</f>
        <v>259</v>
      </c>
      <c r="I326" s="192"/>
      <c r="J326" s="200"/>
      <c r="N326" s="49"/>
    </row>
    <row r="327" spans="1:14">
      <c r="A327" s="226"/>
      <c r="B327" s="234"/>
      <c r="C327" s="228"/>
      <c r="D327" s="229"/>
      <c r="E327" s="229"/>
      <c r="F327" s="235" t="s">
        <v>3013</v>
      </c>
      <c r="G327" s="230"/>
      <c r="H327" s="229"/>
      <c r="I327" s="192"/>
      <c r="J327" s="200"/>
      <c r="N327" s="49"/>
    </row>
    <row r="328" spans="1:14">
      <c r="A328" s="226"/>
      <c r="B328" s="234"/>
      <c r="C328" s="228"/>
      <c r="D328" s="229"/>
      <c r="E328" s="229"/>
      <c r="F328" s="230"/>
      <c r="G328" s="230"/>
      <c r="H328" s="229"/>
      <c r="I328" s="192"/>
      <c r="J328" s="200"/>
      <c r="N328" s="49"/>
    </row>
    <row r="329" spans="1:14" ht="56.25" customHeight="1">
      <c r="A329" s="12" t="s">
        <v>182</v>
      </c>
      <c r="B329" s="7" t="s">
        <v>608</v>
      </c>
      <c r="C329" s="8" t="s">
        <v>13</v>
      </c>
      <c r="D329" s="44">
        <v>1702</v>
      </c>
      <c r="E329" s="44"/>
      <c r="F329" s="80" t="s">
        <v>1382</v>
      </c>
      <c r="G329" s="80" t="s">
        <v>2887</v>
      </c>
      <c r="H329" s="44">
        <f>(160*5.9)+(26.7*8.2)+(1.9+7.4)*17.7/2+(3.9*5.1)+47.1*6.1</f>
        <v>1552.4450000000002</v>
      </c>
      <c r="I329" s="192">
        <v>1702</v>
      </c>
      <c r="J329" s="285">
        <f>H329-I329</f>
        <v>-149.55499999999984</v>
      </c>
      <c r="K329" s="433" t="s">
        <v>2997</v>
      </c>
      <c r="N329" s="49"/>
    </row>
    <row r="330" spans="1:14">
      <c r="A330" s="12" t="s">
        <v>181</v>
      </c>
      <c r="B330" s="7" t="s">
        <v>357</v>
      </c>
      <c r="C330" s="8" t="s">
        <v>8</v>
      </c>
      <c r="D330" s="44">
        <v>49</v>
      </c>
      <c r="E330" s="44"/>
      <c r="F330" s="45" t="s">
        <v>1403</v>
      </c>
      <c r="G330" s="45" t="s">
        <v>2082</v>
      </c>
      <c r="H330" s="44">
        <f>1.5*12+(4.6+1.7)*( 3+1)+(3.3+0.5+0.95+3.2)</f>
        <v>51.150000000000006</v>
      </c>
      <c r="I330" s="192">
        <f>D330</f>
        <v>49</v>
      </c>
      <c r="J330" s="279">
        <f>H330-I330</f>
        <v>2.1500000000000057</v>
      </c>
      <c r="K330" s="433" t="s">
        <v>2911</v>
      </c>
      <c r="N330" s="49"/>
    </row>
    <row r="331" spans="1:14">
      <c r="A331" s="12" t="s">
        <v>610</v>
      </c>
      <c r="B331" s="7" t="s">
        <v>611</v>
      </c>
      <c r="C331" s="8" t="s">
        <v>8</v>
      </c>
      <c r="D331" s="44">
        <v>85</v>
      </c>
      <c r="E331" s="44"/>
      <c r="F331" s="45" t="s">
        <v>1407</v>
      </c>
      <c r="G331" s="45" t="s">
        <v>2083</v>
      </c>
      <c r="H331" s="44">
        <f>57.6+11.2+17</f>
        <v>85.8</v>
      </c>
      <c r="I331" s="192">
        <f>D331</f>
        <v>85</v>
      </c>
      <c r="J331" s="279">
        <f>H331-I331</f>
        <v>0.79999999999999716</v>
      </c>
      <c r="K331" s="433" t="s">
        <v>2911</v>
      </c>
      <c r="N331" s="49"/>
    </row>
    <row r="332" spans="1:14" ht="33">
      <c r="A332" s="12" t="s">
        <v>613</v>
      </c>
      <c r="B332" s="745" t="s">
        <v>222</v>
      </c>
      <c r="C332" s="742" t="s">
        <v>13</v>
      </c>
      <c r="D332" s="743">
        <v>385</v>
      </c>
      <c r="E332" s="743"/>
      <c r="F332" s="553" t="s">
        <v>2621</v>
      </c>
      <c r="G332" s="766" t="s">
        <v>3019</v>
      </c>
      <c r="H332" s="44">
        <f>(1.8*33.5*2+1.8*11.5*2+1.8*10*3*2+1.8*16*2*2)+1.8*3*220+1.8*4*60</f>
        <v>2005.2</v>
      </c>
      <c r="I332" s="192">
        <f>H332-0.2</f>
        <v>2005</v>
      </c>
      <c r="J332" s="279">
        <f>I332-D332</f>
        <v>1620</v>
      </c>
      <c r="K332" s="767">
        <f>1.8*3*220+1.8*4*60</f>
        <v>1620</v>
      </c>
      <c r="N332" s="49"/>
    </row>
    <row r="333" spans="1:14" ht="31.5">
      <c r="A333" s="12" t="s">
        <v>614</v>
      </c>
      <c r="B333" s="7" t="s">
        <v>615</v>
      </c>
      <c r="C333" s="8" t="s">
        <v>8</v>
      </c>
      <c r="D333" s="44">
        <v>686</v>
      </c>
      <c r="E333" s="44">
        <v>0</v>
      </c>
      <c r="F333" s="45"/>
      <c r="G333" s="45"/>
      <c r="H333" s="44"/>
      <c r="I333" s="192">
        <f>H333</f>
        <v>0</v>
      </c>
      <c r="J333" s="200"/>
      <c r="K333" s="433">
        <f>1.8*33.5*2+1.8*11.5*2+1.8*10*3*2+1.8*16*2*2</f>
        <v>385.2</v>
      </c>
      <c r="N333" s="49"/>
    </row>
    <row r="334" spans="1:14">
      <c r="A334" s="12" t="s">
        <v>617</v>
      </c>
      <c r="B334" s="7" t="s">
        <v>1421</v>
      </c>
      <c r="C334" s="8" t="s">
        <v>23</v>
      </c>
      <c r="D334" s="44">
        <v>1070.5</v>
      </c>
      <c r="E334" s="44"/>
      <c r="F334" s="45" t="s">
        <v>1421</v>
      </c>
      <c r="G334" s="45" t="s">
        <v>1422</v>
      </c>
      <c r="H334" s="44">
        <f>312*7*0.5</f>
        <v>1092</v>
      </c>
      <c r="I334" s="192">
        <f>H334</f>
        <v>1092</v>
      </c>
      <c r="J334" s="279">
        <f>I334-D334</f>
        <v>21.5</v>
      </c>
      <c r="N334" s="49"/>
    </row>
    <row r="335" spans="1:14" ht="22.5">
      <c r="A335" s="12" t="s">
        <v>620</v>
      </c>
      <c r="B335" s="53" t="s">
        <v>621</v>
      </c>
      <c r="C335" s="8" t="s">
        <v>19</v>
      </c>
      <c r="D335" s="44">
        <v>2</v>
      </c>
      <c r="E335" s="44"/>
      <c r="F335" s="45" t="s">
        <v>2084</v>
      </c>
      <c r="G335" s="45">
        <v>2</v>
      </c>
      <c r="H335" s="44">
        <v>2</v>
      </c>
      <c r="I335" s="192">
        <f>H335</f>
        <v>2</v>
      </c>
      <c r="J335" s="200"/>
      <c r="N335" s="49"/>
    </row>
    <row r="336" spans="1:14" ht="33.75">
      <c r="A336" s="12" t="s">
        <v>1367</v>
      </c>
      <c r="B336" s="53" t="s">
        <v>1368</v>
      </c>
      <c r="C336" s="8" t="s">
        <v>8</v>
      </c>
      <c r="D336" s="44"/>
      <c r="E336" s="44">
        <v>571.08000000000004</v>
      </c>
      <c r="F336" s="45" t="s">
        <v>2092</v>
      </c>
      <c r="G336" s="45" t="s">
        <v>1381</v>
      </c>
      <c r="H336" s="44">
        <v>580</v>
      </c>
      <c r="I336" s="192">
        <f>H336</f>
        <v>580</v>
      </c>
      <c r="J336" s="279">
        <f>I336-E336</f>
        <v>8.9199999999999591</v>
      </c>
      <c r="N336" s="49"/>
    </row>
    <row r="337" spans="1:14">
      <c r="A337" s="12" t="s">
        <v>1369</v>
      </c>
      <c r="B337" s="7" t="s">
        <v>1370</v>
      </c>
      <c r="C337" s="8" t="s">
        <v>6</v>
      </c>
      <c r="D337" s="44"/>
      <c r="E337" s="44">
        <v>161.38999999999999</v>
      </c>
      <c r="F337" s="45"/>
      <c r="G337" s="45" t="s">
        <v>2969</v>
      </c>
      <c r="H337" s="44">
        <f>ROUND(0.3*0.3*3.14*10*57.108,2)</f>
        <v>161.38999999999999</v>
      </c>
      <c r="I337" s="191">
        <v>0</v>
      </c>
      <c r="J337" s="279">
        <f>I337-E337</f>
        <v>-161.38999999999999</v>
      </c>
      <c r="N337" s="49"/>
    </row>
    <row r="338" spans="1:14" ht="28.5">
      <c r="A338" s="12" t="s">
        <v>1371</v>
      </c>
      <c r="B338" s="10" t="s">
        <v>1372</v>
      </c>
      <c r="C338" s="8" t="s">
        <v>13</v>
      </c>
      <c r="D338" s="44"/>
      <c r="E338" s="44">
        <v>634.14</v>
      </c>
      <c r="F338" s="45" t="s">
        <v>2085</v>
      </c>
      <c r="G338" s="45" t="s">
        <v>2079</v>
      </c>
      <c r="H338" s="44">
        <f>467.53+92.19</f>
        <v>559.72</v>
      </c>
      <c r="I338" s="192">
        <f>H338+H339</f>
        <v>776.79333333333329</v>
      </c>
      <c r="J338" s="279">
        <f>I338-E338</f>
        <v>142.65333333333331</v>
      </c>
      <c r="N338" s="49"/>
    </row>
    <row r="339" spans="1:14" ht="33" customHeight="1">
      <c r="A339" s="236" t="s">
        <v>1924</v>
      </c>
      <c r="B339" s="231"/>
      <c r="C339" s="228"/>
      <c r="D339" s="229"/>
      <c r="E339" s="229"/>
      <c r="F339" s="235" t="s">
        <v>2078</v>
      </c>
      <c r="G339" s="235" t="s">
        <v>2080</v>
      </c>
      <c r="H339" s="237">
        <f>(3.8+3.7+4)/3*26.2+((8.1+4.3+6.5)/3-1.5)*24.3</f>
        <v>217.07333333333332</v>
      </c>
      <c r="I339" s="249"/>
      <c r="J339" s="280"/>
      <c r="N339" s="49"/>
    </row>
    <row r="340" spans="1:14" ht="33">
      <c r="A340" s="12" t="s">
        <v>1373</v>
      </c>
      <c r="B340" s="7" t="s">
        <v>586</v>
      </c>
      <c r="C340" s="8" t="s">
        <v>8</v>
      </c>
      <c r="D340" s="44"/>
      <c r="E340" s="44">
        <v>343.5</v>
      </c>
      <c r="F340" s="45" t="s">
        <v>1425</v>
      </c>
      <c r="G340" s="45" t="s">
        <v>1426</v>
      </c>
      <c r="H340" s="44">
        <f>295*0.7+76*0.75+40*2+12*0.3</f>
        <v>347.1</v>
      </c>
      <c r="I340" s="192">
        <f>H340</f>
        <v>347.1</v>
      </c>
      <c r="J340" s="279">
        <f>I340-E340</f>
        <v>3.6000000000000227</v>
      </c>
      <c r="N340" s="49"/>
    </row>
    <row r="341" spans="1:14" ht="33">
      <c r="A341" s="12" t="s">
        <v>1374</v>
      </c>
      <c r="B341" s="7" t="s">
        <v>1375</v>
      </c>
      <c r="C341" s="8" t="s">
        <v>7</v>
      </c>
      <c r="D341" s="44"/>
      <c r="E341" s="44">
        <v>451</v>
      </c>
      <c r="F341" s="45" t="s">
        <v>1425</v>
      </c>
      <c r="G341" s="45" t="s">
        <v>1427</v>
      </c>
      <c r="H341" s="44">
        <f>295+76+80+12</f>
        <v>463</v>
      </c>
      <c r="I341" s="192">
        <f>H341</f>
        <v>463</v>
      </c>
      <c r="J341" s="279">
        <f>I341-E341</f>
        <v>12</v>
      </c>
      <c r="N341" s="49"/>
    </row>
    <row r="342" spans="1:14" ht="31.5">
      <c r="A342" s="12" t="s">
        <v>1376</v>
      </c>
      <c r="B342" s="7" t="s">
        <v>1377</v>
      </c>
      <c r="C342" s="8" t="s">
        <v>6</v>
      </c>
      <c r="D342" s="44"/>
      <c r="E342" s="44">
        <v>1513</v>
      </c>
      <c r="F342" s="45" t="s">
        <v>1428</v>
      </c>
      <c r="G342" s="45" t="s">
        <v>1431</v>
      </c>
      <c r="H342" s="44">
        <f>(282.3*8.2*0.5)+(246.3*(1.5*0.6+0.6*1))</f>
        <v>1526.8799999999999</v>
      </c>
      <c r="I342" s="192">
        <f>H342</f>
        <v>1526.8799999999999</v>
      </c>
      <c r="J342" s="279">
        <f>I342-E342</f>
        <v>13.879999999999882</v>
      </c>
      <c r="N342" s="49"/>
    </row>
    <row r="343" spans="1:14" ht="42.75">
      <c r="A343" s="12" t="s">
        <v>1378</v>
      </c>
      <c r="B343" s="10" t="s">
        <v>1365</v>
      </c>
      <c r="C343" s="8" t="s">
        <v>6</v>
      </c>
      <c r="D343" s="44"/>
      <c r="E343" s="44">
        <v>1177.9000000000001</v>
      </c>
      <c r="F343" s="45" t="s">
        <v>1382</v>
      </c>
      <c r="G343" s="45" t="s">
        <v>1430</v>
      </c>
      <c r="H343" s="44">
        <f>ROUND(246.3*0.75*1.5,2)</f>
        <v>277.08999999999997</v>
      </c>
      <c r="I343" s="192">
        <f>E343</f>
        <v>1177.9000000000001</v>
      </c>
      <c r="J343" s="279">
        <f>SUM(H343:H349)-I343</f>
        <v>39.089999999999918</v>
      </c>
      <c r="K343" s="433" t="s">
        <v>2910</v>
      </c>
      <c r="N343" s="49"/>
    </row>
    <row r="344" spans="1:14" ht="33">
      <c r="A344" s="12"/>
      <c r="B344" s="7"/>
      <c r="C344" s="8"/>
      <c r="D344" s="44"/>
      <c r="E344" s="44"/>
      <c r="F344" s="45" t="s">
        <v>1432</v>
      </c>
      <c r="G344" s="45" t="s">
        <v>1454</v>
      </c>
      <c r="H344" s="44">
        <f>ROUND((17*2.5*0.45)+(17*(0.5+0.7)/2*(4.79+3.4)/2)+(0.5*3.2*5.1),2)</f>
        <v>69.05</v>
      </c>
      <c r="I344" s="191"/>
      <c r="J344" s="200"/>
      <c r="N344" s="49"/>
    </row>
    <row r="345" spans="1:14" ht="45" customHeight="1">
      <c r="A345" s="12"/>
      <c r="B345" s="7"/>
      <c r="C345" s="8"/>
      <c r="D345" s="44"/>
      <c r="E345" s="44"/>
      <c r="F345" s="45" t="s">
        <v>1429</v>
      </c>
      <c r="G345" s="45" t="s">
        <v>1455</v>
      </c>
      <c r="H345" s="44">
        <f>ROUND((41.1*1.7*0.6)+(41.1*(0.5+1.1)/2*3.63)+(16.5*2.2*0.6)+(16.5*(0.5+0.85)/2*2.1+16.5*0.3*1.1),2)</f>
        <v>211.89</v>
      </c>
      <c r="I345" s="191"/>
      <c r="J345" s="200"/>
      <c r="N345" s="49"/>
    </row>
    <row r="346" spans="1:14" ht="33">
      <c r="A346" s="12"/>
      <c r="B346" s="7"/>
      <c r="C346" s="8"/>
      <c r="D346" s="44"/>
      <c r="E346" s="44"/>
      <c r="F346" s="56" t="s">
        <v>1736</v>
      </c>
      <c r="G346" s="45" t="s">
        <v>1456</v>
      </c>
      <c r="H346" s="44">
        <f>ROUND(246.3*1.75*0.25+503.7*0.15+1335.6*0.15+82.85*0.35+78.97*0.25,2)</f>
        <v>432.39</v>
      </c>
      <c r="I346" s="191"/>
      <c r="J346" s="200"/>
      <c r="N346" s="49"/>
    </row>
    <row r="347" spans="1:14" ht="33">
      <c r="A347" s="12"/>
      <c r="B347" s="7"/>
      <c r="C347" s="8"/>
      <c r="D347" s="44"/>
      <c r="E347" s="44"/>
      <c r="F347" s="56" t="s">
        <v>1744</v>
      </c>
      <c r="G347" s="50" t="s">
        <v>1743</v>
      </c>
      <c r="H347" s="44">
        <f>ROUND(35.2*2*0.15+26.2*3.83*0.35+25.7*5.5*0.35,2)</f>
        <v>95.15</v>
      </c>
      <c r="I347" s="191"/>
      <c r="J347" s="200"/>
      <c r="N347" s="49"/>
    </row>
    <row r="348" spans="1:14">
      <c r="A348" s="12"/>
      <c r="B348" s="7"/>
      <c r="C348" s="8"/>
      <c r="D348" s="44"/>
      <c r="E348" s="44"/>
      <c r="F348" s="50" t="s">
        <v>1930</v>
      </c>
      <c r="G348" s="50" t="s">
        <v>1735</v>
      </c>
      <c r="H348" s="44">
        <f>ROUND(0.25*2*246.3,2)</f>
        <v>123.15</v>
      </c>
      <c r="I348" s="191"/>
      <c r="J348" s="200"/>
      <c r="N348" s="49"/>
    </row>
    <row r="349" spans="1:14" ht="40.5" customHeight="1">
      <c r="A349" s="12"/>
      <c r="B349" s="7"/>
      <c r="C349" s="8"/>
      <c r="D349" s="44"/>
      <c r="E349" s="44"/>
      <c r="F349" s="45" t="s">
        <v>2094</v>
      </c>
      <c r="G349" s="45" t="s">
        <v>2081</v>
      </c>
      <c r="H349" s="44">
        <f>ROUND((12.85*4-7.05*2.6)*0.25,2)</f>
        <v>8.27</v>
      </c>
      <c r="I349" s="191"/>
      <c r="J349" s="200"/>
      <c r="N349" s="49"/>
    </row>
    <row r="350" spans="1:14" ht="31.5">
      <c r="A350" s="12" t="s">
        <v>1379</v>
      </c>
      <c r="B350" s="7" t="s">
        <v>1380</v>
      </c>
      <c r="C350" s="8" t="s">
        <v>13</v>
      </c>
      <c r="D350" s="44"/>
      <c r="E350" s="44">
        <v>442.5</v>
      </c>
      <c r="F350" s="56" t="s">
        <v>1436</v>
      </c>
      <c r="G350" s="45" t="s">
        <v>1663</v>
      </c>
      <c r="H350" s="44">
        <f>246.3*2+26.2*3.83+25.7*5.5</f>
        <v>734.29600000000005</v>
      </c>
      <c r="I350" s="192">
        <f>H350+H351</f>
        <v>734.29600000000005</v>
      </c>
      <c r="J350" s="279">
        <f>I350-E350</f>
        <v>291.79600000000005</v>
      </c>
      <c r="N350" s="49"/>
    </row>
    <row r="351" spans="1:14">
      <c r="A351" s="12"/>
      <c r="B351" s="7"/>
      <c r="C351" s="8"/>
      <c r="D351" s="44"/>
      <c r="E351" s="44"/>
      <c r="F351" s="45"/>
      <c r="G351" s="45"/>
      <c r="H351" s="44"/>
      <c r="I351" s="191"/>
      <c r="J351" s="200"/>
      <c r="N351" s="49"/>
    </row>
    <row r="352" spans="1:14">
      <c r="A352" s="12"/>
      <c r="B352" s="7"/>
      <c r="C352" s="8"/>
      <c r="D352" s="44"/>
      <c r="E352" s="44"/>
      <c r="F352" s="45"/>
      <c r="G352" s="45"/>
      <c r="H352" s="44"/>
      <c r="I352" s="191"/>
      <c r="J352" s="200"/>
      <c r="N352" s="49"/>
    </row>
    <row r="353" spans="1:15" ht="33">
      <c r="A353" s="6" t="s">
        <v>97</v>
      </c>
      <c r="B353" s="7" t="s">
        <v>623</v>
      </c>
      <c r="C353" s="8" t="s">
        <v>4</v>
      </c>
      <c r="D353" s="44">
        <v>1</v>
      </c>
      <c r="E353" s="44"/>
      <c r="F353" s="45"/>
      <c r="G353" s="45">
        <f>5*3.7*0.1+1.8*2.1*0.1</f>
        <v>2.2280000000000002</v>
      </c>
      <c r="H353" s="44"/>
      <c r="I353" s="191" t="s">
        <v>243</v>
      </c>
      <c r="J353" s="200"/>
      <c r="N353" s="49"/>
    </row>
    <row r="354" spans="1:15" ht="36.75" customHeight="1">
      <c r="A354" s="12" t="s">
        <v>98</v>
      </c>
      <c r="B354" s="10" t="s">
        <v>1383</v>
      </c>
      <c r="C354" s="8" t="s">
        <v>6</v>
      </c>
      <c r="D354" s="44">
        <v>252</v>
      </c>
      <c r="E354" s="44"/>
      <c r="F354" s="45" t="s">
        <v>1468</v>
      </c>
      <c r="G354" s="45" t="s">
        <v>1472</v>
      </c>
      <c r="H354" s="44">
        <f>ROUND((2.1*0.1*300)+(5*3.7*0.1+1.8*2.1*0.1)+(7.35*0.1*60),2)</f>
        <v>109.33</v>
      </c>
      <c r="I354" s="192">
        <f>H354</f>
        <v>109.33</v>
      </c>
      <c r="J354" s="279">
        <f>I354-D354</f>
        <v>-142.67000000000002</v>
      </c>
      <c r="K354" s="433" t="s">
        <v>2534</v>
      </c>
      <c r="N354" s="49"/>
    </row>
    <row r="355" spans="1:15" ht="28.5">
      <c r="A355" s="12" t="s">
        <v>99</v>
      </c>
      <c r="B355" s="10" t="s">
        <v>24</v>
      </c>
      <c r="C355" s="8" t="s">
        <v>6</v>
      </c>
      <c r="D355" s="44">
        <v>2490</v>
      </c>
      <c r="E355" s="44"/>
      <c r="F355" s="80" t="s">
        <v>1664</v>
      </c>
      <c r="G355" s="80" t="s">
        <v>1474</v>
      </c>
      <c r="H355" s="44">
        <f>ROUND((1.8*0.3*2+1.2*0.3*2)*300,2)</f>
        <v>540</v>
      </c>
      <c r="I355" s="197">
        <v>2490</v>
      </c>
      <c r="J355" s="279">
        <f>SUM(H355:H359)-D355</f>
        <v>22.329999999999927</v>
      </c>
      <c r="K355" s="433" t="s">
        <v>2938</v>
      </c>
      <c r="N355" s="49"/>
    </row>
    <row r="356" spans="1:15" ht="49.5">
      <c r="A356" s="12"/>
      <c r="B356" s="10"/>
      <c r="C356" s="8"/>
      <c r="D356" s="44"/>
      <c r="E356" s="44"/>
      <c r="F356" s="80" t="s">
        <v>1489</v>
      </c>
      <c r="G356" s="80" t="s">
        <v>1482</v>
      </c>
      <c r="H356" s="44">
        <f>ROUND((4.7*3.4*0.3*2)+(2.7*4.7*0.3*2)+(1.75*0.2*2.8+2.8*2.45*0.2)+(2.7*2.8*0.3*2)-(2.4*1.5+1.2*1.2*2)*0.3,2)</f>
        <v>22.15</v>
      </c>
      <c r="I356" s="198"/>
      <c r="J356" s="200"/>
      <c r="N356" s="49"/>
    </row>
    <row r="357" spans="1:15">
      <c r="A357" s="12"/>
      <c r="B357" s="10"/>
      <c r="C357" s="8"/>
      <c r="D357" s="44"/>
      <c r="E357" s="44"/>
      <c r="F357" s="80" t="s">
        <v>1665</v>
      </c>
      <c r="G357" s="80" t="s">
        <v>1587</v>
      </c>
      <c r="H357" s="44">
        <f>ROUND((7.05*2.7-3*2*2+0.35*0.35*4)*280,2)</f>
        <v>2107</v>
      </c>
      <c r="I357" s="198"/>
      <c r="J357" s="200"/>
      <c r="N357" s="49"/>
    </row>
    <row r="358" spans="1:15" ht="49.5">
      <c r="A358" s="12"/>
      <c r="B358" s="10"/>
      <c r="C358" s="8"/>
      <c r="D358" s="44"/>
      <c r="E358" s="44"/>
      <c r="F358" s="80" t="s">
        <v>1966</v>
      </c>
      <c r="G358" s="80" t="s">
        <v>2138</v>
      </c>
      <c r="H358" s="44">
        <f>ROUND((0.45*0.45-0.3*0.3)*3.14*(1.41+2.59+2.57+1.88)+(1.5*1.5-(0.3*0.3*3.14))*0.2*4,2)</f>
        <v>4.5599999999999996</v>
      </c>
      <c r="I358" s="198"/>
      <c r="J358" s="200"/>
      <c r="N358" s="49"/>
    </row>
    <row r="359" spans="1:15">
      <c r="A359" s="674"/>
      <c r="B359" s="675" t="s">
        <v>2744</v>
      </c>
      <c r="C359" s="676"/>
      <c r="D359" s="677"/>
      <c r="E359" s="677"/>
      <c r="F359" s="678" t="s">
        <v>2745</v>
      </c>
      <c r="G359" s="678"/>
      <c r="H359" s="681">
        <v>-161.38</v>
      </c>
      <c r="I359" s="679"/>
      <c r="J359" s="680"/>
      <c r="N359" s="49"/>
    </row>
    <row r="360" spans="1:15" ht="31.5">
      <c r="A360" s="12" t="s">
        <v>100</v>
      </c>
      <c r="B360" s="7" t="s">
        <v>1460</v>
      </c>
      <c r="C360" s="8" t="s">
        <v>6</v>
      </c>
      <c r="D360" s="44">
        <v>998</v>
      </c>
      <c r="E360" s="44"/>
      <c r="F360" s="45" t="s">
        <v>1464</v>
      </c>
      <c r="G360" s="45" t="s">
        <v>1471</v>
      </c>
      <c r="H360" s="44">
        <f>16.5*1.3*0.65+2.7*(2.5+1.35)/2*15.2</f>
        <v>92.944500000000005</v>
      </c>
      <c r="I360" s="197">
        <v>998</v>
      </c>
      <c r="J360" s="200"/>
      <c r="N360" s="49"/>
    </row>
    <row r="361" spans="1:15">
      <c r="A361" s="12"/>
      <c r="B361" s="7"/>
      <c r="C361" s="8"/>
      <c r="D361" s="44"/>
      <c r="E361" s="44"/>
      <c r="F361" s="45" t="s">
        <v>1470</v>
      </c>
      <c r="G361" s="45" t="s">
        <v>1473</v>
      </c>
      <c r="H361" s="44">
        <f>(1.8+0.8)/2*1.6*2.45</f>
        <v>5.096000000000001</v>
      </c>
      <c r="I361" s="197"/>
      <c r="J361" s="200"/>
      <c r="N361" s="49"/>
    </row>
    <row r="362" spans="1:15">
      <c r="A362" s="12"/>
      <c r="B362" s="7"/>
      <c r="C362" s="8"/>
      <c r="D362" s="44"/>
      <c r="E362" s="44"/>
      <c r="F362" s="45" t="s">
        <v>1466</v>
      </c>
      <c r="G362" s="45" t="s">
        <v>1467</v>
      </c>
      <c r="H362" s="44">
        <f>1.15*1.8*245.7</f>
        <v>508.59899999999993</v>
      </c>
      <c r="I362" s="198"/>
      <c r="J362" s="200"/>
      <c r="N362" s="49"/>
    </row>
    <row r="363" spans="1:15">
      <c r="A363" s="12"/>
      <c r="B363" s="7"/>
      <c r="C363" s="8"/>
      <c r="D363" s="44"/>
      <c r="E363" s="44"/>
      <c r="F363" s="50" t="s">
        <v>1745</v>
      </c>
      <c r="G363" s="50" t="s">
        <v>1967</v>
      </c>
      <c r="H363" s="54">
        <f>(2*0.9-(0.3*0.3*3.14))*112</f>
        <v>169.94880000000001</v>
      </c>
      <c r="I363" s="198"/>
      <c r="J363" s="200"/>
      <c r="N363" s="49"/>
    </row>
    <row r="364" spans="1:15">
      <c r="A364" s="226"/>
      <c r="B364" s="227"/>
      <c r="C364" s="228"/>
      <c r="D364" s="229"/>
      <c r="E364" s="229"/>
      <c r="F364" s="235"/>
      <c r="G364" s="235"/>
      <c r="H364" s="237"/>
      <c r="I364" s="247"/>
      <c r="J364" s="280"/>
      <c r="N364" s="49"/>
    </row>
    <row r="365" spans="1:15">
      <c r="A365" s="269"/>
      <c r="B365" s="270"/>
      <c r="C365" s="271"/>
      <c r="D365" s="272"/>
      <c r="E365" s="272"/>
      <c r="F365" s="669" t="s">
        <v>2741</v>
      </c>
      <c r="G365" s="669" t="s">
        <v>2742</v>
      </c>
      <c r="H365" s="548">
        <f>(1011+946+55+22)*0.2*0.2</f>
        <v>81.360000000000014</v>
      </c>
      <c r="I365" s="284"/>
      <c r="J365" s="92"/>
      <c r="N365" s="49"/>
    </row>
    <row r="366" spans="1:15" ht="33">
      <c r="A366" s="12" t="s">
        <v>101</v>
      </c>
      <c r="B366" s="7" t="s">
        <v>595</v>
      </c>
      <c r="C366" s="8" t="s">
        <v>6</v>
      </c>
      <c r="D366" s="44">
        <v>3740</v>
      </c>
      <c r="E366" s="44"/>
      <c r="F366" s="45" t="s">
        <v>1465</v>
      </c>
      <c r="G366" s="50" t="s">
        <v>2087</v>
      </c>
      <c r="H366" s="44">
        <f>I354+I355+I360</f>
        <v>3597.33</v>
      </c>
      <c r="I366" s="198">
        <f>I354+I355+D360</f>
        <v>3597.33</v>
      </c>
      <c r="J366" s="200"/>
      <c r="N366" s="49"/>
    </row>
    <row r="367" spans="1:15">
      <c r="A367" s="12" t="s">
        <v>102</v>
      </c>
      <c r="B367" s="7" t="s">
        <v>534</v>
      </c>
      <c r="C367" s="8" t="s">
        <v>13</v>
      </c>
      <c r="D367" s="44">
        <v>3740</v>
      </c>
      <c r="E367" s="44">
        <v>4240</v>
      </c>
      <c r="F367" s="45" t="s">
        <v>1475</v>
      </c>
      <c r="G367" s="47" t="s">
        <v>1480</v>
      </c>
      <c r="H367" s="44">
        <f>(1.3*4+2.3*2+0.495*8)*280</f>
        <v>3852.8000000000006</v>
      </c>
      <c r="I367" s="198">
        <f>SUM(H367:H369)</f>
        <v>4949.6072000000013</v>
      </c>
      <c r="J367" s="279">
        <f>I367-E367</f>
        <v>709.60720000000128</v>
      </c>
      <c r="N367" s="49"/>
      <c r="O367" s="175"/>
    </row>
    <row r="368" spans="1:15">
      <c r="A368" s="12"/>
      <c r="B368" s="7"/>
      <c r="C368" s="8"/>
      <c r="D368" s="44"/>
      <c r="E368" s="44"/>
      <c r="F368" s="45" t="s">
        <v>1476</v>
      </c>
      <c r="G368" s="47" t="s">
        <v>1481</v>
      </c>
      <c r="H368" s="44">
        <f>1.2*3*300</f>
        <v>1080</v>
      </c>
      <c r="I368" s="198"/>
      <c r="J368" s="200"/>
      <c r="N368" s="49"/>
      <c r="O368" s="175"/>
    </row>
    <row r="369" spans="1:15" ht="33">
      <c r="A369" s="12"/>
      <c r="B369" s="7"/>
      <c r="C369" s="8"/>
      <c r="D369" s="44"/>
      <c r="E369" s="44"/>
      <c r="F369" s="45" t="s">
        <v>2088</v>
      </c>
      <c r="G369" s="47" t="s">
        <v>2090</v>
      </c>
      <c r="H369" s="44">
        <f>((1.41-0.2)+(2.59-0.2)+(2.57-0.2)+(1.88-0.2))*2+(0.6*3.14*0.2*4)</f>
        <v>16.807199999999998</v>
      </c>
      <c r="I369" s="198"/>
      <c r="J369" s="200"/>
      <c r="N369" s="49"/>
      <c r="O369" s="175"/>
    </row>
    <row r="370" spans="1:15" ht="38.25" customHeight="1">
      <c r="A370" s="12" t="s">
        <v>180</v>
      </c>
      <c r="B370" s="7" t="s">
        <v>626</v>
      </c>
      <c r="C370" s="8" t="s">
        <v>13</v>
      </c>
      <c r="D370" s="44">
        <v>38</v>
      </c>
      <c r="E370" s="44"/>
      <c r="F370" s="45" t="s">
        <v>1478</v>
      </c>
      <c r="G370" s="45" t="s">
        <v>1483</v>
      </c>
      <c r="H370" s="44">
        <f>(4.1*2.7+2.8*2.7)*2-(1.2*1.2*2)+4.1*2.8+1.75*2</f>
        <v>49.359999999999992</v>
      </c>
      <c r="I370" s="198">
        <f>H370</f>
        <v>49.359999999999992</v>
      </c>
      <c r="J370" s="279">
        <f>I370-D370</f>
        <v>11.359999999999992</v>
      </c>
      <c r="N370" s="49"/>
      <c r="O370" s="175"/>
    </row>
    <row r="371" spans="1:15" ht="33">
      <c r="A371" s="12" t="s">
        <v>179</v>
      </c>
      <c r="B371" s="7" t="s">
        <v>536</v>
      </c>
      <c r="C371" s="8" t="s">
        <v>13</v>
      </c>
      <c r="D371" s="44">
        <v>783</v>
      </c>
      <c r="E371" s="44"/>
      <c r="F371" s="45" t="s">
        <v>1485</v>
      </c>
      <c r="G371" s="47" t="s">
        <v>1746</v>
      </c>
      <c r="H371" s="44">
        <f>(2.8*2)*60+(2.2*2)*220+(0.7*7.05+0.35*2*3+0.35*0.35*4)*14</f>
        <v>1409.35</v>
      </c>
      <c r="I371" s="198">
        <f>SUM(H371:H372)</f>
        <v>1409.35</v>
      </c>
      <c r="J371" s="279">
        <f>I371-D371</f>
        <v>626.34999999999991</v>
      </c>
      <c r="N371" s="49"/>
    </row>
    <row r="372" spans="1:15" ht="16.5" customHeight="1">
      <c r="A372" s="12"/>
      <c r="B372" s="7"/>
      <c r="C372" s="8"/>
      <c r="D372" s="44"/>
      <c r="E372" s="44"/>
      <c r="F372" s="45"/>
      <c r="G372" s="47"/>
      <c r="H372" s="44"/>
      <c r="I372" s="198"/>
      <c r="J372" s="200"/>
      <c r="N372" s="49"/>
    </row>
    <row r="373" spans="1:15">
      <c r="A373" s="12" t="s">
        <v>178</v>
      </c>
      <c r="B373" s="7" t="s">
        <v>193</v>
      </c>
      <c r="C373" s="8" t="s">
        <v>13</v>
      </c>
      <c r="D373" s="44">
        <v>300</v>
      </c>
      <c r="E373" s="44"/>
      <c r="F373" s="45" t="s">
        <v>1479</v>
      </c>
      <c r="G373" s="45" t="s">
        <v>1484</v>
      </c>
      <c r="H373" s="44">
        <f>(4.7+3.4)*3.4*2-(1.2*1.2)</f>
        <v>53.64</v>
      </c>
      <c r="I373" s="198">
        <f>SUM(H373:H375)</f>
        <v>761.34</v>
      </c>
      <c r="J373" s="279">
        <f>I373-D373</f>
        <v>461.34000000000003</v>
      </c>
      <c r="N373" s="49"/>
    </row>
    <row r="374" spans="1:15" ht="34.5" customHeight="1">
      <c r="A374" s="12"/>
      <c r="B374" s="7"/>
      <c r="C374" s="8"/>
      <c r="D374" s="44"/>
      <c r="E374" s="44"/>
      <c r="F374" s="45" t="s">
        <v>1477</v>
      </c>
      <c r="G374" s="47" t="s">
        <v>1487</v>
      </c>
      <c r="H374" s="44">
        <f>1.8*2*67+1.8*1*233+(1.8*1.8-1.2*1.2)*15</f>
        <v>687.6</v>
      </c>
      <c r="I374" s="198"/>
      <c r="J374" s="200"/>
      <c r="N374" s="49"/>
    </row>
    <row r="375" spans="1:15" ht="35.25" customHeight="1">
      <c r="A375" s="12"/>
      <c r="B375" s="7"/>
      <c r="C375" s="8"/>
      <c r="D375" s="44"/>
      <c r="E375" s="44"/>
      <c r="F375" s="45" t="s">
        <v>2089</v>
      </c>
      <c r="G375" s="47" t="s">
        <v>2091</v>
      </c>
      <c r="H375" s="44">
        <f>((1.41-0.2)+(2.59-0.2)+(2.57-0.2)+(1.88-0.2))*2+(1.5*4*0.2*4)</f>
        <v>20.099999999999998</v>
      </c>
      <c r="I375" s="198"/>
      <c r="J375" s="200"/>
      <c r="N375" s="49"/>
    </row>
    <row r="376" spans="1:15">
      <c r="A376" s="12" t="s">
        <v>177</v>
      </c>
      <c r="B376" s="7" t="s">
        <v>192</v>
      </c>
      <c r="C376" s="8" t="s">
        <v>17</v>
      </c>
      <c r="D376" s="44">
        <v>137462</v>
      </c>
      <c r="E376" s="44"/>
      <c r="F376" s="80" t="s">
        <v>1461</v>
      </c>
      <c r="G376" s="45" t="s">
        <v>1345</v>
      </c>
      <c r="H376" s="44">
        <v>75613.2</v>
      </c>
      <c r="I376" s="198">
        <f>SUM(H376:H379)</f>
        <v>207085.17276800002</v>
      </c>
      <c r="J376" s="279">
        <f>I376-D376</f>
        <v>69623.172768000019</v>
      </c>
      <c r="N376" s="49"/>
    </row>
    <row r="377" spans="1:15">
      <c r="A377" s="12"/>
      <c r="B377" s="7"/>
      <c r="C377" s="8"/>
      <c r="D377" s="44"/>
      <c r="E377" s="44"/>
      <c r="F377" s="80" t="s">
        <v>1489</v>
      </c>
      <c r="G377" s="45" t="s">
        <v>1345</v>
      </c>
      <c r="H377" s="44">
        <f>鋼筋!L162</f>
        <v>262.21719999999999</v>
      </c>
      <c r="I377" s="198"/>
      <c r="J377" s="200"/>
      <c r="N377" s="49"/>
    </row>
    <row r="378" spans="1:15">
      <c r="A378" s="12"/>
      <c r="B378" s="7"/>
      <c r="C378" s="8"/>
      <c r="D378" s="44"/>
      <c r="E378" s="44"/>
      <c r="F378" s="80" t="s">
        <v>1459</v>
      </c>
      <c r="G378" s="45" t="s">
        <v>1345</v>
      </c>
      <c r="H378" s="44">
        <v>130550.17</v>
      </c>
      <c r="I378" s="198"/>
      <c r="J378" s="200"/>
      <c r="N378" s="49"/>
    </row>
    <row r="379" spans="1:15" ht="42.75" customHeight="1">
      <c r="A379" s="12"/>
      <c r="B379" s="7"/>
      <c r="C379" s="8"/>
      <c r="D379" s="44"/>
      <c r="E379" s="44"/>
      <c r="F379" s="80" t="s">
        <v>1965</v>
      </c>
      <c r="G379" s="45" t="s">
        <v>2095</v>
      </c>
      <c r="H379" s="44">
        <f>(1.35*9*2*2*1.56+1.2*8*2*0.994)*4+(1.41+2.59+2.57+1.88)*13*1.56+0.6*3.14*(10+18+17+13)*0.994</f>
        <v>659.58556799999997</v>
      </c>
      <c r="I379" s="198"/>
      <c r="J379" s="200"/>
      <c r="N379" s="49"/>
    </row>
    <row r="380" spans="1:15">
      <c r="A380" s="226"/>
      <c r="B380" s="227"/>
      <c r="C380" s="228"/>
      <c r="D380" s="229"/>
      <c r="E380" s="229"/>
      <c r="F380" s="232"/>
      <c r="G380" s="230"/>
      <c r="H380" s="229"/>
      <c r="I380" s="247"/>
      <c r="J380" s="280"/>
      <c r="N380" s="49"/>
    </row>
    <row r="381" spans="1:15">
      <c r="A381" s="12" t="s">
        <v>176</v>
      </c>
      <c r="B381" s="7" t="s">
        <v>530</v>
      </c>
      <c r="C381" s="8" t="s">
        <v>17</v>
      </c>
      <c r="D381" s="44">
        <v>116638</v>
      </c>
      <c r="E381" s="44"/>
      <c r="F381" s="80" t="s">
        <v>1489</v>
      </c>
      <c r="G381" s="45" t="s">
        <v>1345</v>
      </c>
      <c r="H381" s="44">
        <f>鋼筋!L163</f>
        <v>5375.7860000000001</v>
      </c>
      <c r="I381" s="198">
        <f>SUM(H381:H384)</f>
        <v>168230.73</v>
      </c>
      <c r="J381" s="279">
        <f>I381-D381</f>
        <v>51592.73000000001</v>
      </c>
      <c r="N381" s="49"/>
    </row>
    <row r="382" spans="1:15">
      <c r="A382" s="12"/>
      <c r="B382" s="7"/>
      <c r="C382" s="8"/>
      <c r="D382" s="44"/>
      <c r="E382" s="44"/>
      <c r="F382" s="80" t="s">
        <v>1459</v>
      </c>
      <c r="G382" s="45" t="s">
        <v>1345</v>
      </c>
      <c r="H382" s="44">
        <f>鋼筋!E157</f>
        <v>162854.94400000002</v>
      </c>
      <c r="I382" s="198"/>
      <c r="J382" s="200"/>
      <c r="N382" s="49"/>
    </row>
    <row r="383" spans="1:15">
      <c r="A383" s="12"/>
      <c r="B383" s="7"/>
      <c r="C383" s="8"/>
      <c r="D383" s="44"/>
      <c r="E383" s="44"/>
      <c r="F383" s="50"/>
      <c r="G383" s="45"/>
      <c r="H383" s="44"/>
      <c r="I383" s="198"/>
      <c r="J383" s="200"/>
      <c r="N383" s="49"/>
    </row>
    <row r="384" spans="1:15">
      <c r="A384" s="12"/>
      <c r="B384" s="7"/>
      <c r="C384" s="8"/>
      <c r="D384" s="44"/>
      <c r="E384" s="44"/>
      <c r="F384" s="45"/>
      <c r="G384" s="45"/>
      <c r="H384" s="44"/>
      <c r="I384" s="198"/>
      <c r="J384" s="200"/>
      <c r="N384" s="49"/>
    </row>
    <row r="385" spans="1:14" ht="42.75">
      <c r="A385" s="12" t="s">
        <v>175</v>
      </c>
      <c r="B385" s="10" t="s">
        <v>628</v>
      </c>
      <c r="C385" s="8" t="s">
        <v>8</v>
      </c>
      <c r="D385" s="44">
        <v>112</v>
      </c>
      <c r="E385" s="54"/>
      <c r="F385" s="45" t="s">
        <v>2967</v>
      </c>
      <c r="G385" s="45" t="s">
        <v>2121</v>
      </c>
      <c r="H385" s="44"/>
      <c r="I385" s="198" t="s">
        <v>2968</v>
      </c>
      <c r="J385" s="281">
        <v>0</v>
      </c>
      <c r="N385" s="49"/>
    </row>
    <row r="386" spans="1:14" ht="33">
      <c r="A386" s="12" t="s">
        <v>174</v>
      </c>
      <c r="B386" s="10" t="s">
        <v>630</v>
      </c>
      <c r="C386" s="8" t="s">
        <v>0</v>
      </c>
      <c r="D386" s="44">
        <v>47</v>
      </c>
      <c r="E386" s="44"/>
      <c r="F386" s="45"/>
      <c r="G386" s="45"/>
      <c r="H386" s="44"/>
      <c r="I386" s="191" t="s">
        <v>243</v>
      </c>
      <c r="J386" s="200"/>
      <c r="N386" s="49"/>
    </row>
    <row r="387" spans="1:14" ht="57">
      <c r="A387" s="12" t="s">
        <v>173</v>
      </c>
      <c r="B387" s="10" t="s">
        <v>632</v>
      </c>
      <c r="C387" s="8" t="s">
        <v>8</v>
      </c>
      <c r="D387" s="44">
        <v>148</v>
      </c>
      <c r="E387" s="44"/>
      <c r="F387" s="45"/>
      <c r="G387" s="45"/>
      <c r="H387" s="44"/>
      <c r="I387" s="191" t="s">
        <v>243</v>
      </c>
      <c r="J387" s="200"/>
      <c r="N387" s="49"/>
    </row>
    <row r="388" spans="1:14" ht="42.75">
      <c r="A388" s="12" t="s">
        <v>218</v>
      </c>
      <c r="B388" s="10" t="s">
        <v>634</v>
      </c>
      <c r="C388" s="8" t="s">
        <v>15</v>
      </c>
      <c r="D388" s="44">
        <v>6</v>
      </c>
      <c r="E388" s="44"/>
      <c r="F388" s="45" t="s">
        <v>2125</v>
      </c>
      <c r="G388" s="45">
        <v>5</v>
      </c>
      <c r="H388" s="44">
        <v>5</v>
      </c>
      <c r="I388" s="44">
        <f>H388</f>
        <v>5</v>
      </c>
      <c r="J388" s="279">
        <f>I388-D388</f>
        <v>-1</v>
      </c>
      <c r="N388" s="49"/>
    </row>
    <row r="389" spans="1:14">
      <c r="A389" s="12" t="s">
        <v>636</v>
      </c>
      <c r="B389" s="7" t="s">
        <v>1346</v>
      </c>
      <c r="C389" s="8" t="s">
        <v>8</v>
      </c>
      <c r="D389" s="44">
        <v>746</v>
      </c>
      <c r="E389" s="44"/>
      <c r="F389" s="45" t="s">
        <v>1491</v>
      </c>
      <c r="G389" s="45" t="s">
        <v>1494</v>
      </c>
      <c r="H389" s="44">
        <f>(1.8*2+1.6*2)*15+(7.05*2+2.4*3)*14</f>
        <v>400.19999999999993</v>
      </c>
      <c r="I389" s="192">
        <v>746</v>
      </c>
      <c r="J389" s="279">
        <f>I389-D389</f>
        <v>0</v>
      </c>
      <c r="N389" s="49"/>
    </row>
    <row r="390" spans="1:14" ht="33">
      <c r="A390" s="12" t="s">
        <v>637</v>
      </c>
      <c r="B390" s="7" t="s">
        <v>1492</v>
      </c>
      <c r="C390" s="8" t="s">
        <v>8</v>
      </c>
      <c r="D390" s="44">
        <v>1740</v>
      </c>
      <c r="E390" s="44"/>
      <c r="F390" s="45" t="s">
        <v>2126</v>
      </c>
      <c r="G390" s="45" t="s">
        <v>2127</v>
      </c>
      <c r="H390" s="44">
        <f>280*3+300*2</f>
        <v>1440</v>
      </c>
      <c r="I390" s="192">
        <v>1740</v>
      </c>
      <c r="J390" s="279">
        <f>I390-D390</f>
        <v>0</v>
      </c>
      <c r="N390" s="49"/>
    </row>
    <row r="391" spans="1:14" ht="33">
      <c r="A391" s="12" t="s">
        <v>638</v>
      </c>
      <c r="B391" s="10" t="s">
        <v>222</v>
      </c>
      <c r="C391" s="8" t="s">
        <v>13</v>
      </c>
      <c r="D391" s="44">
        <v>783</v>
      </c>
      <c r="E391" s="44"/>
      <c r="F391" s="45" t="s">
        <v>1468</v>
      </c>
      <c r="G391" s="45" t="s">
        <v>2128</v>
      </c>
      <c r="H391" s="44">
        <f>(1.8*1*120)+(1.8*3*6)+(1.8*2*150)</f>
        <v>788.4</v>
      </c>
      <c r="I391" s="192">
        <f>H391</f>
        <v>788.4</v>
      </c>
      <c r="J391" s="279"/>
      <c r="M391" s="170">
        <f>1.8*300+2.7*280</f>
        <v>1296</v>
      </c>
      <c r="N391" s="49"/>
    </row>
    <row r="392" spans="1:14" ht="42.75">
      <c r="A392" s="12" t="s">
        <v>639</v>
      </c>
      <c r="B392" s="10" t="s">
        <v>640</v>
      </c>
      <c r="C392" s="8" t="s">
        <v>15</v>
      </c>
      <c r="D392" s="44">
        <v>1</v>
      </c>
      <c r="E392" s="44"/>
      <c r="F392" s="50" t="s">
        <v>1968</v>
      </c>
      <c r="G392" s="45">
        <v>1</v>
      </c>
      <c r="H392" s="44">
        <v>1</v>
      </c>
      <c r="I392" s="44">
        <v>1</v>
      </c>
      <c r="J392" s="200"/>
      <c r="N392" s="49"/>
    </row>
    <row r="393" spans="1:14" ht="33">
      <c r="A393" s="12" t="s">
        <v>642</v>
      </c>
      <c r="B393" s="7" t="s">
        <v>643</v>
      </c>
      <c r="C393" s="8" t="s">
        <v>5</v>
      </c>
      <c r="D393" s="44">
        <v>44</v>
      </c>
      <c r="E393" s="44"/>
      <c r="F393" s="45"/>
      <c r="G393" s="45"/>
      <c r="H393" s="44"/>
      <c r="I393" s="191" t="s">
        <v>243</v>
      </c>
      <c r="J393" s="200"/>
      <c r="N393" s="49"/>
    </row>
    <row r="394" spans="1:14" ht="33">
      <c r="A394" s="6" t="s">
        <v>172</v>
      </c>
      <c r="B394" s="7" t="s">
        <v>645</v>
      </c>
      <c r="C394" s="8" t="s">
        <v>4</v>
      </c>
      <c r="D394" s="44">
        <v>1</v>
      </c>
      <c r="E394" s="44"/>
      <c r="F394" s="45"/>
      <c r="G394" s="45"/>
      <c r="H394" s="44"/>
      <c r="I394" s="191" t="s">
        <v>243</v>
      </c>
      <c r="J394" s="200"/>
      <c r="N394" s="49"/>
    </row>
    <row r="395" spans="1:14" ht="28.5">
      <c r="A395" s="12" t="s">
        <v>171</v>
      </c>
      <c r="B395" s="10" t="s">
        <v>646</v>
      </c>
      <c r="C395" s="8" t="s">
        <v>6</v>
      </c>
      <c r="D395" s="44">
        <v>230</v>
      </c>
      <c r="E395" s="44"/>
      <c r="F395" s="45" t="s">
        <v>1499</v>
      </c>
      <c r="G395" s="45" t="s">
        <v>1500</v>
      </c>
      <c r="H395" s="44">
        <f>(22.5*4.5*0.05)</f>
        <v>5.0625</v>
      </c>
      <c r="I395" s="192">
        <f>SUM(H395:H396)</f>
        <v>5.0625</v>
      </c>
      <c r="J395" s="92" t="s">
        <v>2122</v>
      </c>
      <c r="N395" s="49"/>
    </row>
    <row r="396" spans="1:14">
      <c r="A396" s="12"/>
      <c r="B396" s="10"/>
      <c r="C396" s="8"/>
      <c r="D396" s="44"/>
      <c r="E396" s="44"/>
      <c r="F396" s="45"/>
      <c r="G396" s="45"/>
      <c r="H396" s="44"/>
      <c r="I396" s="191"/>
      <c r="J396" s="200"/>
      <c r="N396" s="49"/>
    </row>
    <row r="397" spans="1:14" ht="42.75">
      <c r="A397" s="12" t="s">
        <v>170</v>
      </c>
      <c r="B397" s="10" t="s">
        <v>648</v>
      </c>
      <c r="C397" s="8" t="s">
        <v>6</v>
      </c>
      <c r="D397" s="44">
        <v>689</v>
      </c>
      <c r="E397" s="44"/>
      <c r="F397" s="45" t="s">
        <v>1499</v>
      </c>
      <c r="G397" s="45" t="s">
        <v>1500</v>
      </c>
      <c r="H397" s="44">
        <f>(22.5*4.5*0.05)</f>
        <v>5.0625</v>
      </c>
      <c r="I397" s="192">
        <f>SUM(H397:H398)</f>
        <v>5.0625</v>
      </c>
      <c r="J397" s="92" t="s">
        <v>2122</v>
      </c>
      <c r="N397" s="49"/>
    </row>
    <row r="398" spans="1:14">
      <c r="A398" s="12"/>
      <c r="B398" s="10"/>
      <c r="C398" s="8"/>
      <c r="D398" s="44"/>
      <c r="E398" s="44"/>
      <c r="F398" s="45"/>
      <c r="G398" s="45"/>
      <c r="H398" s="44"/>
      <c r="I398" s="192"/>
      <c r="J398" s="200"/>
      <c r="N398" s="49"/>
    </row>
    <row r="399" spans="1:14">
      <c r="A399" s="12" t="s">
        <v>169</v>
      </c>
      <c r="B399" s="7" t="s">
        <v>650</v>
      </c>
      <c r="C399" s="8" t="s">
        <v>13</v>
      </c>
      <c r="D399" s="44">
        <v>4589</v>
      </c>
      <c r="E399" s="44"/>
      <c r="F399" s="45" t="s">
        <v>2130</v>
      </c>
      <c r="G399" s="45" t="s">
        <v>2129</v>
      </c>
      <c r="H399" s="44">
        <f>6136.89-747.47</f>
        <v>5389.42</v>
      </c>
      <c r="I399" s="192">
        <v>4589</v>
      </c>
      <c r="J399" s="279">
        <f>I399-D399</f>
        <v>0</v>
      </c>
      <c r="N399" s="49"/>
    </row>
    <row r="400" spans="1:14" ht="31.5">
      <c r="A400" s="12" t="s">
        <v>168</v>
      </c>
      <c r="B400" s="7" t="s">
        <v>652</v>
      </c>
      <c r="C400" s="8" t="s">
        <v>13</v>
      </c>
      <c r="D400" s="44">
        <v>4589</v>
      </c>
      <c r="E400" s="44"/>
      <c r="F400" s="45" t="s">
        <v>1499</v>
      </c>
      <c r="G400" s="45" t="s">
        <v>1501</v>
      </c>
      <c r="H400" s="44">
        <f>22.5*4.5</f>
        <v>101.25</v>
      </c>
      <c r="I400" s="192">
        <f>SUM(H400:H401)</f>
        <v>101.25</v>
      </c>
      <c r="J400" s="92" t="s">
        <v>2122</v>
      </c>
      <c r="N400" s="49"/>
    </row>
    <row r="401" spans="1:14">
      <c r="A401" s="12"/>
      <c r="B401" s="7"/>
      <c r="C401" s="8"/>
      <c r="D401" s="44"/>
      <c r="E401" s="44"/>
      <c r="F401" s="45"/>
      <c r="G401" s="45"/>
      <c r="H401" s="44"/>
      <c r="I401" s="192"/>
      <c r="J401" s="200"/>
      <c r="N401" s="49"/>
    </row>
    <row r="402" spans="1:14" ht="31.5">
      <c r="A402" s="12" t="s">
        <v>167</v>
      </c>
      <c r="B402" s="7" t="s">
        <v>204</v>
      </c>
      <c r="C402" s="8" t="s">
        <v>13</v>
      </c>
      <c r="D402" s="44">
        <v>13765</v>
      </c>
      <c r="E402" s="44"/>
      <c r="F402" s="45" t="s">
        <v>1499</v>
      </c>
      <c r="G402" s="45" t="s">
        <v>1501</v>
      </c>
      <c r="H402" s="44">
        <f>22.5*4.5</f>
        <v>101.25</v>
      </c>
      <c r="I402" s="192">
        <f>SUM(H402:H403)</f>
        <v>101.25</v>
      </c>
      <c r="J402" s="92" t="s">
        <v>2122</v>
      </c>
      <c r="N402" s="49"/>
    </row>
    <row r="403" spans="1:14">
      <c r="A403" s="12"/>
      <c r="B403" s="7"/>
      <c r="C403" s="8"/>
      <c r="D403" s="44"/>
      <c r="E403" s="44"/>
      <c r="F403" s="45"/>
      <c r="G403" s="45"/>
      <c r="H403" s="44"/>
      <c r="I403" s="191"/>
      <c r="J403" s="200"/>
      <c r="N403" s="49"/>
    </row>
    <row r="404" spans="1:14" ht="28.5">
      <c r="A404" s="12" t="s">
        <v>166</v>
      </c>
      <c r="B404" s="10" t="s">
        <v>315</v>
      </c>
      <c r="C404" s="8" t="s">
        <v>6</v>
      </c>
      <c r="D404" s="44">
        <v>49</v>
      </c>
      <c r="E404" s="44"/>
      <c r="F404" s="45" t="s">
        <v>2097</v>
      </c>
      <c r="G404" s="45" t="s">
        <v>2113</v>
      </c>
      <c r="H404" s="44">
        <f>(0.8*731.4*0.05)+(0.9*1.1*0.05*57)</f>
        <v>32.077500000000001</v>
      </c>
      <c r="I404" s="192">
        <f>H404</f>
        <v>32.077500000000001</v>
      </c>
      <c r="J404" s="92" t="s">
        <v>2122</v>
      </c>
      <c r="N404" s="49"/>
    </row>
    <row r="405" spans="1:14" ht="28.5">
      <c r="A405" s="12" t="s">
        <v>165</v>
      </c>
      <c r="B405" s="10" t="s">
        <v>24</v>
      </c>
      <c r="C405" s="8" t="s">
        <v>6</v>
      </c>
      <c r="D405" s="44">
        <v>328</v>
      </c>
      <c r="E405" s="44"/>
      <c r="F405" s="45" t="s">
        <v>2098</v>
      </c>
      <c r="G405" s="45" t="s">
        <v>2100</v>
      </c>
      <c r="H405" s="787">
        <f>'水溝集水井 (2)'!I90</f>
        <v>350.52</v>
      </c>
      <c r="I405" s="788">
        <f>D405</f>
        <v>328</v>
      </c>
      <c r="J405" s="279" t="e">
        <f>H405+H406-D405</f>
        <v>#REF!</v>
      </c>
      <c r="K405" s="433" t="s">
        <v>3043</v>
      </c>
      <c r="N405" s="49"/>
    </row>
    <row r="406" spans="1:14" ht="24.75" customHeight="1">
      <c r="A406" s="226"/>
      <c r="B406" s="231"/>
      <c r="C406" s="228"/>
      <c r="D406" s="229"/>
      <c r="E406" s="229"/>
      <c r="F406" s="230" t="s">
        <v>2099</v>
      </c>
      <c r="G406" s="45" t="s">
        <v>2100</v>
      </c>
      <c r="H406" s="229" t="e">
        <f>#REF!</f>
        <v>#REF!</v>
      </c>
      <c r="I406" s="241"/>
      <c r="J406" s="280"/>
      <c r="N406" s="49"/>
    </row>
    <row r="407" spans="1:14" ht="31.5">
      <c r="A407" s="12" t="s">
        <v>164</v>
      </c>
      <c r="B407" s="7" t="s">
        <v>595</v>
      </c>
      <c r="C407" s="8" t="s">
        <v>6</v>
      </c>
      <c r="D407" s="44">
        <v>377</v>
      </c>
      <c r="E407" s="44"/>
      <c r="F407" s="45" t="s">
        <v>2114</v>
      </c>
      <c r="G407" s="45" t="s">
        <v>2630</v>
      </c>
      <c r="H407" s="44">
        <f>D404+I405</f>
        <v>377</v>
      </c>
      <c r="I407" s="192">
        <f>H407</f>
        <v>377</v>
      </c>
      <c r="J407" s="279">
        <f>H407-D407</f>
        <v>0</v>
      </c>
      <c r="K407" s="433" t="s">
        <v>2994</v>
      </c>
      <c r="N407" s="49"/>
    </row>
    <row r="408" spans="1:14">
      <c r="A408" s="12" t="s">
        <v>163</v>
      </c>
      <c r="B408" s="7" t="s">
        <v>626</v>
      </c>
      <c r="C408" s="8" t="s">
        <v>13</v>
      </c>
      <c r="D408" s="44">
        <v>867</v>
      </c>
      <c r="E408" s="44"/>
      <c r="F408" s="45" t="s">
        <v>2115</v>
      </c>
      <c r="G408" s="45" t="s">
        <v>2100</v>
      </c>
      <c r="H408" s="44" t="e">
        <f>#REF!</f>
        <v>#REF!</v>
      </c>
      <c r="I408" s="192">
        <f>D408</f>
        <v>867</v>
      </c>
      <c r="J408" s="279" t="e">
        <f>H408+H409-D408</f>
        <v>#REF!</v>
      </c>
      <c r="K408" s="433" t="s">
        <v>2994</v>
      </c>
      <c r="N408" s="49"/>
    </row>
    <row r="409" spans="1:14">
      <c r="A409" s="226"/>
      <c r="B409" s="227"/>
      <c r="C409" s="228"/>
      <c r="D409" s="229"/>
      <c r="E409" s="229"/>
      <c r="F409" s="230" t="s">
        <v>2116</v>
      </c>
      <c r="G409" s="45" t="s">
        <v>2100</v>
      </c>
      <c r="H409" s="229" t="e">
        <f>#REF!</f>
        <v>#REF!</v>
      </c>
      <c r="I409" s="241"/>
      <c r="J409" s="280"/>
      <c r="N409" s="49"/>
    </row>
    <row r="410" spans="1:14">
      <c r="A410" s="12" t="s">
        <v>162</v>
      </c>
      <c r="B410" s="7" t="s">
        <v>193</v>
      </c>
      <c r="C410" s="8" t="s">
        <v>13</v>
      </c>
      <c r="D410" s="44">
        <v>1257</v>
      </c>
      <c r="E410" s="44"/>
      <c r="F410" s="45" t="s">
        <v>2117</v>
      </c>
      <c r="G410" s="45" t="s">
        <v>2100</v>
      </c>
      <c r="H410" s="44" t="e">
        <f>#REF!</f>
        <v>#REF!</v>
      </c>
      <c r="I410" s="192">
        <f>D410</f>
        <v>1257</v>
      </c>
      <c r="J410" s="279" t="e">
        <f>H410+H411-D410</f>
        <v>#REF!</v>
      </c>
      <c r="K410" s="433" t="s">
        <v>2994</v>
      </c>
      <c r="N410" s="49"/>
    </row>
    <row r="411" spans="1:14">
      <c r="A411" s="226"/>
      <c r="B411" s="227"/>
      <c r="C411" s="228"/>
      <c r="D411" s="229"/>
      <c r="E411" s="229"/>
      <c r="F411" s="230" t="s">
        <v>2118</v>
      </c>
      <c r="G411" s="45" t="s">
        <v>2100</v>
      </c>
      <c r="H411" s="229" t="e">
        <f>#REF!</f>
        <v>#REF!</v>
      </c>
      <c r="I411" s="241"/>
      <c r="J411" s="280"/>
      <c r="N411" s="49"/>
    </row>
    <row r="412" spans="1:14">
      <c r="A412" s="12" t="s">
        <v>161</v>
      </c>
      <c r="B412" s="7" t="s">
        <v>192</v>
      </c>
      <c r="C412" s="8" t="s">
        <v>17</v>
      </c>
      <c r="D412" s="44">
        <v>12810</v>
      </c>
      <c r="E412" s="44"/>
      <c r="F412" s="45" t="s">
        <v>2098</v>
      </c>
      <c r="G412" s="45" t="s">
        <v>2100</v>
      </c>
      <c r="H412" s="44" t="e">
        <f>#REF!+#REF!</f>
        <v>#REF!</v>
      </c>
      <c r="I412" s="192">
        <f>D412</f>
        <v>12810</v>
      </c>
      <c r="J412" s="279" t="e">
        <f>H412+H413-D412</f>
        <v>#REF!</v>
      </c>
      <c r="K412" s="433" t="s">
        <v>2994</v>
      </c>
      <c r="N412" s="49"/>
    </row>
    <row r="413" spans="1:14">
      <c r="A413" s="269"/>
      <c r="B413" s="270"/>
      <c r="C413" s="271"/>
      <c r="D413" s="272"/>
      <c r="E413" s="272"/>
      <c r="F413" s="230" t="s">
        <v>2008</v>
      </c>
      <c r="G413" s="45" t="s">
        <v>2100</v>
      </c>
      <c r="H413" s="272" t="e">
        <f>#REF!</f>
        <v>#REF!</v>
      </c>
      <c r="I413" s="274"/>
      <c r="J413" s="92"/>
      <c r="N413" s="49"/>
    </row>
    <row r="414" spans="1:14" ht="42.75">
      <c r="A414" s="12" t="s">
        <v>160</v>
      </c>
      <c r="B414" s="10" t="s">
        <v>655</v>
      </c>
      <c r="C414" s="8" t="s">
        <v>15</v>
      </c>
      <c r="D414" s="44">
        <v>158</v>
      </c>
      <c r="E414" s="44"/>
      <c r="F414" s="45"/>
      <c r="G414" s="45"/>
      <c r="H414" s="44"/>
      <c r="I414" s="191" t="s">
        <v>243</v>
      </c>
      <c r="J414" s="92" t="s">
        <v>2122</v>
      </c>
      <c r="N414" s="49"/>
    </row>
    <row r="415" spans="1:14" ht="42.75">
      <c r="A415" s="12" t="s">
        <v>159</v>
      </c>
      <c r="B415" s="10" t="s">
        <v>657</v>
      </c>
      <c r="C415" s="8" t="s">
        <v>17</v>
      </c>
      <c r="D415" s="44">
        <v>3713</v>
      </c>
      <c r="E415" s="44"/>
      <c r="F415" s="45"/>
      <c r="G415" s="45"/>
      <c r="H415" s="44"/>
      <c r="I415" s="191" t="s">
        <v>243</v>
      </c>
      <c r="J415" s="92" t="s">
        <v>2122</v>
      </c>
      <c r="N415" s="49"/>
    </row>
    <row r="416" spans="1:14" ht="33">
      <c r="A416" s="12" t="s">
        <v>158</v>
      </c>
      <c r="B416" s="7" t="s">
        <v>357</v>
      </c>
      <c r="C416" s="8" t="s">
        <v>8</v>
      </c>
      <c r="D416" s="44">
        <v>155</v>
      </c>
      <c r="E416" s="44"/>
      <c r="F416" s="45"/>
      <c r="G416" s="45"/>
      <c r="H416" s="44"/>
      <c r="I416" s="191" t="s">
        <v>243</v>
      </c>
      <c r="J416" s="200"/>
      <c r="N416" s="49"/>
    </row>
    <row r="417" spans="1:14" ht="31.5">
      <c r="A417" s="12" t="s">
        <v>157</v>
      </c>
      <c r="B417" s="7" t="s">
        <v>1497</v>
      </c>
      <c r="C417" s="8" t="s">
        <v>223</v>
      </c>
      <c r="D417" s="44"/>
      <c r="E417" s="44">
        <v>1376.7</v>
      </c>
      <c r="F417" s="45"/>
      <c r="G417" s="45" t="s">
        <v>2131</v>
      </c>
      <c r="H417" s="44">
        <f>H399*0.3</f>
        <v>1616.826</v>
      </c>
      <c r="I417" s="191"/>
      <c r="J417" s="200"/>
      <c r="M417" s="170">
        <f>H399</f>
        <v>5389.42</v>
      </c>
      <c r="N417" s="49"/>
    </row>
    <row r="418" spans="1:14" ht="31.5">
      <c r="A418" s="12" t="s">
        <v>214</v>
      </c>
      <c r="B418" s="7" t="s">
        <v>1498</v>
      </c>
      <c r="C418" s="8" t="s">
        <v>13</v>
      </c>
      <c r="D418" s="44"/>
      <c r="E418" s="44">
        <v>512.1</v>
      </c>
      <c r="F418" s="45"/>
      <c r="G418" s="45" t="s">
        <v>2100</v>
      </c>
      <c r="H418" s="44" t="e">
        <f>#REF!</f>
        <v>#REF!</v>
      </c>
      <c r="I418" s="192" t="e">
        <f>H418</f>
        <v>#REF!</v>
      </c>
      <c r="J418" s="279">
        <v>0</v>
      </c>
      <c r="N418" s="49"/>
    </row>
    <row r="419" spans="1:14" ht="33">
      <c r="A419" s="6" t="s">
        <v>659</v>
      </c>
      <c r="B419" s="71" t="s">
        <v>660</v>
      </c>
      <c r="C419" s="67" t="s">
        <v>4</v>
      </c>
      <c r="D419" s="55">
        <v>1</v>
      </c>
      <c r="E419" s="44"/>
      <c r="F419" s="45"/>
      <c r="G419" s="45"/>
      <c r="H419" s="44"/>
      <c r="I419" s="191" t="s">
        <v>243</v>
      </c>
      <c r="J419" s="200"/>
      <c r="N419" s="49"/>
    </row>
    <row r="420" spans="1:14" ht="31.5">
      <c r="A420" s="12" t="s">
        <v>661</v>
      </c>
      <c r="B420" s="71" t="s">
        <v>662</v>
      </c>
      <c r="C420" s="67" t="s">
        <v>223</v>
      </c>
      <c r="D420" s="55">
        <v>1</v>
      </c>
      <c r="E420" s="44"/>
      <c r="F420" s="45" t="s">
        <v>1739</v>
      </c>
      <c r="G420" s="50" t="s">
        <v>1740</v>
      </c>
      <c r="H420" s="55">
        <f>0.32*0.25*(280-25)</f>
        <v>20.400000000000002</v>
      </c>
      <c r="I420" s="192">
        <f>H420+H421+H422</f>
        <v>2408.8100000000004</v>
      </c>
      <c r="J420" s="279">
        <v>0</v>
      </c>
      <c r="N420" s="49"/>
    </row>
    <row r="421" spans="1:14">
      <c r="A421" s="226"/>
      <c r="B421" s="402"/>
      <c r="C421" s="403"/>
      <c r="D421" s="404"/>
      <c r="E421" s="229"/>
      <c r="F421" s="230" t="s">
        <v>2473</v>
      </c>
      <c r="G421" s="235">
        <v>109.59</v>
      </c>
      <c r="H421" s="404">
        <f>G421</f>
        <v>109.59</v>
      </c>
      <c r="I421" s="274"/>
      <c r="J421" s="92"/>
      <c r="N421" s="49"/>
    </row>
    <row r="422" spans="1:14">
      <c r="A422" s="226"/>
      <c r="B422" s="402"/>
      <c r="C422" s="403"/>
      <c r="D422" s="404"/>
      <c r="E422" s="229"/>
      <c r="F422" s="230" t="s">
        <v>2474</v>
      </c>
      <c r="G422" s="235">
        <v>2278.8200000000002</v>
      </c>
      <c r="H422" s="404">
        <f>G422</f>
        <v>2278.8200000000002</v>
      </c>
      <c r="I422" s="274"/>
      <c r="J422" s="92"/>
      <c r="N422" s="49"/>
    </row>
    <row r="423" spans="1:14" ht="33">
      <c r="A423" s="12" t="s">
        <v>664</v>
      </c>
      <c r="B423" s="71" t="s">
        <v>665</v>
      </c>
      <c r="C423" s="67" t="s">
        <v>5</v>
      </c>
      <c r="D423" s="55">
        <v>1</v>
      </c>
      <c r="E423" s="44"/>
      <c r="F423" s="45"/>
      <c r="G423" s="45"/>
      <c r="H423" s="44"/>
      <c r="I423" s="191" t="s">
        <v>243</v>
      </c>
      <c r="J423" s="200"/>
      <c r="N423" s="49"/>
    </row>
    <row r="424" spans="1:14" ht="49.5">
      <c r="A424" s="12" t="s">
        <v>667</v>
      </c>
      <c r="B424" s="66" t="s">
        <v>668</v>
      </c>
      <c r="C424" s="67" t="s">
        <v>669</v>
      </c>
      <c r="D424" s="55">
        <v>1</v>
      </c>
      <c r="E424" s="44">
        <v>14</v>
      </c>
      <c r="F424" s="45" t="s">
        <v>1504</v>
      </c>
      <c r="G424" s="45" t="s">
        <v>2858</v>
      </c>
      <c r="H424" s="44">
        <v>14</v>
      </c>
      <c r="I424" s="192">
        <v>15</v>
      </c>
      <c r="J424" s="279">
        <f>I424-E424</f>
        <v>1</v>
      </c>
      <c r="N424" s="49"/>
    </row>
    <row r="425" spans="1:14" ht="28.5">
      <c r="A425" s="12" t="s">
        <v>671</v>
      </c>
      <c r="B425" s="66" t="s">
        <v>1503</v>
      </c>
      <c r="C425" s="67" t="s">
        <v>669</v>
      </c>
      <c r="D425" s="55">
        <v>1</v>
      </c>
      <c r="E425" s="44">
        <v>2</v>
      </c>
      <c r="F425" s="45" t="s">
        <v>1504</v>
      </c>
      <c r="G425" s="45" t="s">
        <v>2859</v>
      </c>
      <c r="H425" s="44">
        <v>2</v>
      </c>
      <c r="I425" s="192">
        <f t="shared" ref="I425:I443" si="0">H425</f>
        <v>2</v>
      </c>
      <c r="J425" s="200"/>
      <c r="N425" s="49"/>
    </row>
    <row r="426" spans="1:14" ht="33">
      <c r="A426" s="12" t="s">
        <v>674</v>
      </c>
      <c r="B426" s="10" t="s">
        <v>675</v>
      </c>
      <c r="C426" s="8" t="s">
        <v>669</v>
      </c>
      <c r="D426" s="44">
        <v>1</v>
      </c>
      <c r="E426" s="44">
        <v>6</v>
      </c>
      <c r="F426" s="45" t="s">
        <v>1504</v>
      </c>
      <c r="G426" s="45" t="s">
        <v>2860</v>
      </c>
      <c r="H426" s="44">
        <v>9</v>
      </c>
      <c r="I426" s="192">
        <f t="shared" si="0"/>
        <v>9</v>
      </c>
      <c r="J426" s="279">
        <f>I426-E426</f>
        <v>3</v>
      </c>
      <c r="N426" s="49"/>
    </row>
    <row r="427" spans="1:14" ht="33">
      <c r="A427" s="12" t="s">
        <v>677</v>
      </c>
      <c r="B427" s="10" t="s">
        <v>678</v>
      </c>
      <c r="C427" s="8" t="s">
        <v>669</v>
      </c>
      <c r="D427" s="44">
        <v>1</v>
      </c>
      <c r="E427" s="44">
        <v>8</v>
      </c>
      <c r="F427" s="45" t="s">
        <v>1504</v>
      </c>
      <c r="G427" s="45" t="s">
        <v>2861</v>
      </c>
      <c r="H427" s="44">
        <v>8</v>
      </c>
      <c r="I427" s="192">
        <f t="shared" si="0"/>
        <v>8</v>
      </c>
      <c r="J427" s="200"/>
      <c r="N427" s="49"/>
    </row>
    <row r="428" spans="1:14" ht="33">
      <c r="A428" s="12" t="s">
        <v>680</v>
      </c>
      <c r="B428" s="10" t="s">
        <v>681</v>
      </c>
      <c r="C428" s="8" t="s">
        <v>669</v>
      </c>
      <c r="D428" s="44">
        <v>1</v>
      </c>
      <c r="E428" s="44">
        <v>5</v>
      </c>
      <c r="F428" s="45" t="s">
        <v>1504</v>
      </c>
      <c r="G428" s="45" t="s">
        <v>2862</v>
      </c>
      <c r="H428" s="44">
        <v>5</v>
      </c>
      <c r="I428" s="192">
        <f t="shared" si="0"/>
        <v>5</v>
      </c>
      <c r="J428" s="200"/>
      <c r="N428" s="49"/>
    </row>
    <row r="429" spans="1:14" ht="28.5">
      <c r="A429" s="12" t="s">
        <v>683</v>
      </c>
      <c r="B429" s="10" t="s">
        <v>684</v>
      </c>
      <c r="C429" s="8" t="s">
        <v>669</v>
      </c>
      <c r="D429" s="44">
        <v>1</v>
      </c>
      <c r="E429" s="44">
        <v>3</v>
      </c>
      <c r="F429" s="45" t="s">
        <v>1504</v>
      </c>
      <c r="G429" s="45" t="s">
        <v>2863</v>
      </c>
      <c r="H429" s="44">
        <v>3</v>
      </c>
      <c r="I429" s="192">
        <f t="shared" si="0"/>
        <v>3</v>
      </c>
      <c r="J429" s="200"/>
      <c r="N429" s="49"/>
    </row>
    <row r="430" spans="1:14" ht="28.5">
      <c r="A430" s="12" t="s">
        <v>686</v>
      </c>
      <c r="B430" s="10" t="s">
        <v>687</v>
      </c>
      <c r="C430" s="8" t="s">
        <v>669</v>
      </c>
      <c r="D430" s="44">
        <v>1</v>
      </c>
      <c r="E430" s="44">
        <v>2</v>
      </c>
      <c r="F430" s="45" t="s">
        <v>1504</v>
      </c>
      <c r="G430" s="45" t="s">
        <v>2864</v>
      </c>
      <c r="H430" s="44">
        <v>2</v>
      </c>
      <c r="I430" s="192">
        <f t="shared" si="0"/>
        <v>2</v>
      </c>
      <c r="J430" s="200"/>
      <c r="N430" s="49"/>
    </row>
    <row r="431" spans="1:14" ht="28.5">
      <c r="A431" s="12" t="s">
        <v>689</v>
      </c>
      <c r="B431" s="10" t="s">
        <v>690</v>
      </c>
      <c r="C431" s="8" t="s">
        <v>669</v>
      </c>
      <c r="D431" s="44">
        <v>1</v>
      </c>
      <c r="E431" s="44">
        <v>1</v>
      </c>
      <c r="F431" s="45" t="s">
        <v>1504</v>
      </c>
      <c r="G431" s="45" t="s">
        <v>2865</v>
      </c>
      <c r="H431" s="44">
        <v>1</v>
      </c>
      <c r="I431" s="192">
        <f t="shared" si="0"/>
        <v>1</v>
      </c>
      <c r="J431" s="200"/>
      <c r="N431" s="49"/>
    </row>
    <row r="432" spans="1:14" ht="28.5">
      <c r="A432" s="12" t="s">
        <v>692</v>
      </c>
      <c r="B432" s="10" t="s">
        <v>693</v>
      </c>
      <c r="C432" s="8" t="s">
        <v>669</v>
      </c>
      <c r="D432" s="44">
        <v>1</v>
      </c>
      <c r="E432" s="44">
        <v>1</v>
      </c>
      <c r="F432" s="45" t="s">
        <v>1504</v>
      </c>
      <c r="G432" s="45" t="s">
        <v>2866</v>
      </c>
      <c r="H432" s="44">
        <v>1</v>
      </c>
      <c r="I432" s="192">
        <f t="shared" si="0"/>
        <v>1</v>
      </c>
      <c r="J432" s="200"/>
      <c r="N432" s="49"/>
    </row>
    <row r="433" spans="1:14" ht="33">
      <c r="A433" s="12" t="s">
        <v>695</v>
      </c>
      <c r="B433" s="10" t="s">
        <v>696</v>
      </c>
      <c r="C433" s="8" t="s">
        <v>669</v>
      </c>
      <c r="D433" s="44">
        <v>1</v>
      </c>
      <c r="E433" s="44">
        <v>4</v>
      </c>
      <c r="F433" s="72" t="s">
        <v>1216</v>
      </c>
      <c r="G433" s="72" t="s">
        <v>2867</v>
      </c>
      <c r="H433" s="44">
        <v>1</v>
      </c>
      <c r="I433" s="192">
        <v>4</v>
      </c>
      <c r="J433" s="200"/>
      <c r="N433" s="49"/>
    </row>
    <row r="434" spans="1:14" ht="42.75">
      <c r="A434" s="12" t="s">
        <v>698</v>
      </c>
      <c r="B434" s="10" t="s">
        <v>699</v>
      </c>
      <c r="C434" s="8" t="s">
        <v>669</v>
      </c>
      <c r="D434" s="44">
        <v>1</v>
      </c>
      <c r="E434" s="44">
        <v>1</v>
      </c>
      <c r="F434" s="45"/>
      <c r="G434" s="45" t="s">
        <v>2868</v>
      </c>
      <c r="H434" s="44">
        <v>2</v>
      </c>
      <c r="I434" s="192">
        <f t="shared" si="0"/>
        <v>2</v>
      </c>
      <c r="J434" s="279">
        <f>I434-E434</f>
        <v>1</v>
      </c>
      <c r="N434" s="49"/>
    </row>
    <row r="435" spans="1:14" ht="49.5">
      <c r="A435" s="12" t="s">
        <v>701</v>
      </c>
      <c r="B435" s="10" t="s">
        <v>702</v>
      </c>
      <c r="C435" s="8" t="s">
        <v>669</v>
      </c>
      <c r="D435" s="44">
        <v>1</v>
      </c>
      <c r="E435" s="44">
        <v>4</v>
      </c>
      <c r="F435" s="45" t="s">
        <v>2476</v>
      </c>
      <c r="G435" s="45" t="s">
        <v>2869</v>
      </c>
      <c r="H435" s="44">
        <v>4</v>
      </c>
      <c r="I435" s="192">
        <v>7</v>
      </c>
      <c r="J435" s="279">
        <f>I435-E435</f>
        <v>3</v>
      </c>
      <c r="N435" s="49"/>
    </row>
    <row r="436" spans="1:14" ht="42.75">
      <c r="A436" s="12" t="s">
        <v>704</v>
      </c>
      <c r="B436" s="10" t="s">
        <v>705</v>
      </c>
      <c r="C436" s="8" t="s">
        <v>669</v>
      </c>
      <c r="D436" s="44">
        <v>1</v>
      </c>
      <c r="E436" s="44">
        <v>1</v>
      </c>
      <c r="F436" s="45"/>
      <c r="G436" s="45" t="s">
        <v>2870</v>
      </c>
      <c r="H436" s="44">
        <v>1</v>
      </c>
      <c r="I436" s="192">
        <v>3</v>
      </c>
      <c r="J436" s="279">
        <f>I436-E436</f>
        <v>2</v>
      </c>
      <c r="N436" s="49"/>
    </row>
    <row r="437" spans="1:14" ht="49.5">
      <c r="A437" s="12" t="s">
        <v>707</v>
      </c>
      <c r="B437" s="10" t="s">
        <v>708</v>
      </c>
      <c r="C437" s="8" t="s">
        <v>669</v>
      </c>
      <c r="D437" s="44">
        <v>1</v>
      </c>
      <c r="E437" s="44">
        <v>1</v>
      </c>
      <c r="F437" s="45" t="s">
        <v>2871</v>
      </c>
      <c r="G437" s="45" t="s">
        <v>2872</v>
      </c>
      <c r="H437" s="44">
        <v>1</v>
      </c>
      <c r="I437" s="192">
        <v>6</v>
      </c>
      <c r="J437" s="279">
        <f>I437-E437</f>
        <v>5</v>
      </c>
      <c r="N437" s="49"/>
    </row>
    <row r="438" spans="1:14" ht="33">
      <c r="A438" s="12" t="s">
        <v>710</v>
      </c>
      <c r="B438" s="10" t="s">
        <v>147</v>
      </c>
      <c r="C438" s="8" t="s">
        <v>8</v>
      </c>
      <c r="D438" s="44">
        <v>1</v>
      </c>
      <c r="E438" s="44">
        <v>162</v>
      </c>
      <c r="F438" s="72" t="s">
        <v>1216</v>
      </c>
      <c r="G438" s="45"/>
      <c r="H438" s="44">
        <v>90</v>
      </c>
      <c r="I438" s="192">
        <f t="shared" si="0"/>
        <v>90</v>
      </c>
      <c r="J438" s="200"/>
      <c r="N438" s="49"/>
    </row>
    <row r="439" spans="1:14" ht="42.75">
      <c r="A439" s="12" t="s">
        <v>712</v>
      </c>
      <c r="B439" s="10" t="s">
        <v>713</v>
      </c>
      <c r="C439" s="8" t="s">
        <v>15</v>
      </c>
      <c r="D439" s="44">
        <v>1</v>
      </c>
      <c r="E439" s="44">
        <v>1</v>
      </c>
      <c r="F439" s="45"/>
      <c r="G439" s="45"/>
      <c r="H439" s="44"/>
      <c r="I439" s="192">
        <f t="shared" si="0"/>
        <v>0</v>
      </c>
      <c r="J439" s="200"/>
      <c r="N439" s="49"/>
    </row>
    <row r="440" spans="1:14" ht="42.75">
      <c r="A440" s="12" t="s">
        <v>715</v>
      </c>
      <c r="B440" s="10" t="s">
        <v>716</v>
      </c>
      <c r="C440" s="8" t="s">
        <v>15</v>
      </c>
      <c r="D440" s="44">
        <v>1</v>
      </c>
      <c r="E440" s="44">
        <v>268</v>
      </c>
      <c r="F440" s="45"/>
      <c r="G440" s="45"/>
      <c r="H440" s="44"/>
      <c r="I440" s="192">
        <f t="shared" si="0"/>
        <v>0</v>
      </c>
      <c r="J440" s="200"/>
      <c r="N440" s="49"/>
    </row>
    <row r="441" spans="1:14" ht="42.75">
      <c r="A441" s="12" t="s">
        <v>718</v>
      </c>
      <c r="B441" s="10" t="s">
        <v>719</v>
      </c>
      <c r="C441" s="8" t="s">
        <v>7</v>
      </c>
      <c r="D441" s="44">
        <v>1</v>
      </c>
      <c r="E441" s="44">
        <v>1340</v>
      </c>
      <c r="F441" s="72" t="s">
        <v>1216</v>
      </c>
      <c r="G441" s="45"/>
      <c r="H441" s="44">
        <v>520</v>
      </c>
      <c r="I441" s="192">
        <f t="shared" si="0"/>
        <v>520</v>
      </c>
      <c r="J441" s="200"/>
      <c r="N441" s="49"/>
    </row>
    <row r="442" spans="1:14" ht="42.75">
      <c r="A442" s="12" t="s">
        <v>721</v>
      </c>
      <c r="B442" s="10" t="s">
        <v>722</v>
      </c>
      <c r="C442" s="8" t="s">
        <v>8</v>
      </c>
      <c r="D442" s="44">
        <v>1</v>
      </c>
      <c r="E442" s="44">
        <v>1</v>
      </c>
      <c r="F442" s="45"/>
      <c r="G442" s="45"/>
      <c r="H442" s="44"/>
      <c r="I442" s="192">
        <f t="shared" si="0"/>
        <v>0</v>
      </c>
      <c r="J442" s="200"/>
      <c r="N442" s="49"/>
    </row>
    <row r="443" spans="1:14" ht="20.100000000000001" customHeight="1">
      <c r="A443" s="12" t="s">
        <v>724</v>
      </c>
      <c r="B443" s="7" t="s">
        <v>725</v>
      </c>
      <c r="C443" s="8" t="s">
        <v>13</v>
      </c>
      <c r="D443" s="44">
        <v>1</v>
      </c>
      <c r="E443" s="44">
        <v>1</v>
      </c>
      <c r="F443" s="45"/>
      <c r="G443" s="45"/>
      <c r="H443" s="44"/>
      <c r="I443" s="192">
        <f t="shared" si="0"/>
        <v>0</v>
      </c>
      <c r="J443" s="200"/>
      <c r="N443" s="49"/>
    </row>
    <row r="444" spans="1:14" ht="20.100000000000001" customHeight="1">
      <c r="A444" s="12" t="s">
        <v>727</v>
      </c>
      <c r="B444" s="7" t="s">
        <v>728</v>
      </c>
      <c r="C444" s="8" t="s">
        <v>6</v>
      </c>
      <c r="D444" s="44">
        <v>1</v>
      </c>
      <c r="E444" s="44">
        <v>11.31</v>
      </c>
      <c r="F444" s="72" t="s">
        <v>1502</v>
      </c>
      <c r="G444" s="45"/>
      <c r="H444" s="44">
        <v>5.2</v>
      </c>
      <c r="I444" s="192">
        <f>H444</f>
        <v>5.2</v>
      </c>
      <c r="J444" s="200"/>
      <c r="N444" s="49"/>
    </row>
    <row r="445" spans="1:14" ht="20.100000000000001" customHeight="1">
      <c r="A445" s="12" t="s">
        <v>730</v>
      </c>
      <c r="B445" s="7" t="s">
        <v>731</v>
      </c>
      <c r="C445" s="8" t="s">
        <v>4</v>
      </c>
      <c r="D445" s="44">
        <v>1</v>
      </c>
      <c r="E445" s="44">
        <v>1</v>
      </c>
      <c r="F445" s="45"/>
      <c r="G445" s="45"/>
      <c r="H445" s="44">
        <v>0.2</v>
      </c>
      <c r="I445" s="192">
        <f>H445</f>
        <v>0.2</v>
      </c>
      <c r="J445" s="200"/>
      <c r="N445" s="49"/>
    </row>
    <row r="446" spans="1:14" ht="33">
      <c r="A446" s="12" t="s">
        <v>733</v>
      </c>
      <c r="B446" s="10" t="s">
        <v>734</v>
      </c>
      <c r="C446" s="8" t="s">
        <v>13</v>
      </c>
      <c r="D446" s="44">
        <v>1</v>
      </c>
      <c r="E446" s="44">
        <v>1</v>
      </c>
      <c r="F446" s="45"/>
      <c r="G446" s="45"/>
      <c r="H446" s="44"/>
      <c r="I446" s="191" t="s">
        <v>243</v>
      </c>
      <c r="J446" s="200"/>
      <c r="N446" s="49"/>
    </row>
    <row r="447" spans="1:14" ht="33.75">
      <c r="A447" s="12" t="s">
        <v>736</v>
      </c>
      <c r="B447" s="53" t="s">
        <v>737</v>
      </c>
      <c r="C447" s="8" t="s">
        <v>669</v>
      </c>
      <c r="D447" s="44">
        <v>1</v>
      </c>
      <c r="E447" s="44">
        <v>35</v>
      </c>
      <c r="F447" s="45"/>
      <c r="G447" s="45"/>
      <c r="H447" s="44"/>
      <c r="I447" s="192">
        <f>E447</f>
        <v>35</v>
      </c>
      <c r="J447" s="279">
        <f>E447-D447</f>
        <v>34</v>
      </c>
      <c r="N447" s="49"/>
    </row>
    <row r="448" spans="1:14" ht="33.75">
      <c r="A448" s="12" t="s">
        <v>739</v>
      </c>
      <c r="B448" s="53" t="s">
        <v>740</v>
      </c>
      <c r="C448" s="8" t="s">
        <v>669</v>
      </c>
      <c r="D448" s="44">
        <v>1</v>
      </c>
      <c r="E448" s="44">
        <v>27</v>
      </c>
      <c r="F448" s="45"/>
      <c r="G448" s="45"/>
      <c r="H448" s="44"/>
      <c r="I448" s="192">
        <f t="shared" ref="I448:I496" si="1">E448</f>
        <v>27</v>
      </c>
      <c r="J448" s="279">
        <f t="shared" ref="J448:J496" si="2">E448-D448</f>
        <v>26</v>
      </c>
      <c r="N448" s="49"/>
    </row>
    <row r="449" spans="1:14" ht="33.75">
      <c r="A449" s="12" t="s">
        <v>742</v>
      </c>
      <c r="B449" s="53" t="s">
        <v>743</v>
      </c>
      <c r="C449" s="8" t="s">
        <v>669</v>
      </c>
      <c r="D449" s="44">
        <v>1</v>
      </c>
      <c r="E449" s="44">
        <v>29</v>
      </c>
      <c r="F449" s="45"/>
      <c r="G449" s="45"/>
      <c r="H449" s="44"/>
      <c r="I449" s="192">
        <f t="shared" si="1"/>
        <v>29</v>
      </c>
      <c r="J449" s="279">
        <f t="shared" si="2"/>
        <v>28</v>
      </c>
      <c r="N449" s="49"/>
    </row>
    <row r="450" spans="1:14" ht="33.75">
      <c r="A450" s="12" t="s">
        <v>745</v>
      </c>
      <c r="B450" s="53" t="s">
        <v>746</v>
      </c>
      <c r="C450" s="8" t="s">
        <v>669</v>
      </c>
      <c r="D450" s="44">
        <v>1</v>
      </c>
      <c r="E450" s="44">
        <v>12</v>
      </c>
      <c r="F450" s="45"/>
      <c r="G450" s="45"/>
      <c r="H450" s="44"/>
      <c r="I450" s="192">
        <f t="shared" si="1"/>
        <v>12</v>
      </c>
      <c r="J450" s="279">
        <f t="shared" si="2"/>
        <v>11</v>
      </c>
      <c r="N450" s="49"/>
    </row>
    <row r="451" spans="1:14" ht="33.75">
      <c r="A451" s="12" t="s">
        <v>748</v>
      </c>
      <c r="B451" s="53" t="s">
        <v>749</v>
      </c>
      <c r="C451" s="8" t="s">
        <v>669</v>
      </c>
      <c r="D451" s="44">
        <v>1</v>
      </c>
      <c r="E451" s="44">
        <v>3</v>
      </c>
      <c r="F451" s="45"/>
      <c r="G451" s="45"/>
      <c r="H451" s="44"/>
      <c r="I451" s="192">
        <f t="shared" si="1"/>
        <v>3</v>
      </c>
      <c r="J451" s="279">
        <f t="shared" si="2"/>
        <v>2</v>
      </c>
      <c r="N451" s="49"/>
    </row>
    <row r="452" spans="1:14" ht="33.75">
      <c r="A452" s="12" t="s">
        <v>751</v>
      </c>
      <c r="B452" s="53" t="s">
        <v>752</v>
      </c>
      <c r="C452" s="8" t="s">
        <v>669</v>
      </c>
      <c r="D452" s="44">
        <v>1</v>
      </c>
      <c r="E452" s="44">
        <v>17</v>
      </c>
      <c r="F452" s="45"/>
      <c r="G452" s="45"/>
      <c r="H452" s="44"/>
      <c r="I452" s="192">
        <f t="shared" si="1"/>
        <v>17</v>
      </c>
      <c r="J452" s="279">
        <f t="shared" si="2"/>
        <v>16</v>
      </c>
      <c r="N452" s="49"/>
    </row>
    <row r="453" spans="1:14" ht="33.75">
      <c r="A453" s="12" t="s">
        <v>754</v>
      </c>
      <c r="B453" s="53" t="s">
        <v>755</v>
      </c>
      <c r="C453" s="8" t="s">
        <v>669</v>
      </c>
      <c r="D453" s="44">
        <v>1</v>
      </c>
      <c r="E453" s="44">
        <v>3</v>
      </c>
      <c r="F453" s="45"/>
      <c r="G453" s="45"/>
      <c r="H453" s="44"/>
      <c r="I453" s="192">
        <f t="shared" si="1"/>
        <v>3</v>
      </c>
      <c r="J453" s="279">
        <f t="shared" si="2"/>
        <v>2</v>
      </c>
      <c r="N453" s="49"/>
    </row>
    <row r="454" spans="1:14" ht="33.75">
      <c r="A454" s="12" t="s">
        <v>757</v>
      </c>
      <c r="B454" s="53" t="s">
        <v>758</v>
      </c>
      <c r="C454" s="8" t="s">
        <v>669</v>
      </c>
      <c r="D454" s="44">
        <v>1</v>
      </c>
      <c r="E454" s="44">
        <v>6</v>
      </c>
      <c r="F454" s="45"/>
      <c r="G454" s="45"/>
      <c r="H454" s="44"/>
      <c r="I454" s="192">
        <f t="shared" si="1"/>
        <v>6</v>
      </c>
      <c r="J454" s="279">
        <f t="shared" si="2"/>
        <v>5</v>
      </c>
      <c r="N454" s="49"/>
    </row>
    <row r="455" spans="1:14" ht="33.75">
      <c r="A455" s="12" t="s">
        <v>760</v>
      </c>
      <c r="B455" s="53" t="s">
        <v>761</v>
      </c>
      <c r="C455" s="8" t="s">
        <v>669</v>
      </c>
      <c r="D455" s="44">
        <v>1</v>
      </c>
      <c r="E455" s="44">
        <v>25</v>
      </c>
      <c r="F455" s="45"/>
      <c r="G455" s="45"/>
      <c r="H455" s="44"/>
      <c r="I455" s="192">
        <f t="shared" si="1"/>
        <v>25</v>
      </c>
      <c r="J455" s="279">
        <f t="shared" si="2"/>
        <v>24</v>
      </c>
      <c r="N455" s="49"/>
    </row>
    <row r="456" spans="1:14" ht="33.75">
      <c r="A456" s="12" t="s">
        <v>763</v>
      </c>
      <c r="B456" s="53" t="s">
        <v>764</v>
      </c>
      <c r="C456" s="8" t="s">
        <v>669</v>
      </c>
      <c r="D456" s="44">
        <v>1</v>
      </c>
      <c r="E456" s="44">
        <v>2</v>
      </c>
      <c r="F456" s="45"/>
      <c r="G456" s="45"/>
      <c r="H456" s="44"/>
      <c r="I456" s="192">
        <f t="shared" si="1"/>
        <v>2</v>
      </c>
      <c r="J456" s="279">
        <f t="shared" si="2"/>
        <v>1</v>
      </c>
      <c r="N456" s="49"/>
    </row>
    <row r="457" spans="1:14" ht="22.5">
      <c r="A457" s="12" t="s">
        <v>766</v>
      </c>
      <c r="B457" s="53" t="s">
        <v>767</v>
      </c>
      <c r="C457" s="8" t="s">
        <v>669</v>
      </c>
      <c r="D457" s="44">
        <v>1</v>
      </c>
      <c r="E457" s="44">
        <v>215</v>
      </c>
      <c r="F457" s="45"/>
      <c r="G457" s="45"/>
      <c r="H457" s="44"/>
      <c r="I457" s="192">
        <f t="shared" si="1"/>
        <v>215</v>
      </c>
      <c r="J457" s="279">
        <f t="shared" si="2"/>
        <v>214</v>
      </c>
      <c r="N457" s="49"/>
    </row>
    <row r="458" spans="1:14" ht="22.5">
      <c r="A458" s="12" t="s">
        <v>769</v>
      </c>
      <c r="B458" s="53" t="s">
        <v>770</v>
      </c>
      <c r="C458" s="8" t="s">
        <v>669</v>
      </c>
      <c r="D458" s="44">
        <v>1</v>
      </c>
      <c r="E458" s="44">
        <v>501</v>
      </c>
      <c r="F458" s="45"/>
      <c r="G458" s="45"/>
      <c r="H458" s="44"/>
      <c r="I458" s="192">
        <f t="shared" si="1"/>
        <v>501</v>
      </c>
      <c r="J458" s="279">
        <f t="shared" si="2"/>
        <v>500</v>
      </c>
      <c r="N458" s="49"/>
    </row>
    <row r="459" spans="1:14" ht="22.5">
      <c r="A459" s="12" t="s">
        <v>772</v>
      </c>
      <c r="B459" s="53" t="s">
        <v>773</v>
      </c>
      <c r="C459" s="8" t="s">
        <v>669</v>
      </c>
      <c r="D459" s="44">
        <v>1</v>
      </c>
      <c r="E459" s="44">
        <v>770</v>
      </c>
      <c r="F459" s="45"/>
      <c r="G459" s="45"/>
      <c r="H459" s="44"/>
      <c r="I459" s="192">
        <f t="shared" si="1"/>
        <v>770</v>
      </c>
      <c r="J459" s="279">
        <f t="shared" si="2"/>
        <v>769</v>
      </c>
      <c r="N459" s="49"/>
    </row>
    <row r="460" spans="1:14" ht="22.5">
      <c r="A460" s="12" t="s">
        <v>775</v>
      </c>
      <c r="B460" s="53" t="s">
        <v>776</v>
      </c>
      <c r="C460" s="8" t="s">
        <v>669</v>
      </c>
      <c r="D460" s="44">
        <v>1</v>
      </c>
      <c r="E460" s="44">
        <v>563</v>
      </c>
      <c r="F460" s="45"/>
      <c r="G460" s="45"/>
      <c r="H460" s="44"/>
      <c r="I460" s="192">
        <f t="shared" si="1"/>
        <v>563</v>
      </c>
      <c r="J460" s="279">
        <f t="shared" si="2"/>
        <v>562</v>
      </c>
      <c r="N460" s="49"/>
    </row>
    <row r="461" spans="1:14" ht="22.5">
      <c r="A461" s="12" t="s">
        <v>778</v>
      </c>
      <c r="B461" s="53" t="s">
        <v>779</v>
      </c>
      <c r="C461" s="8" t="s">
        <v>669</v>
      </c>
      <c r="D461" s="44">
        <v>1</v>
      </c>
      <c r="E461" s="44">
        <v>3032</v>
      </c>
      <c r="F461" s="45"/>
      <c r="G461" s="45"/>
      <c r="H461" s="44"/>
      <c r="I461" s="192">
        <f t="shared" si="1"/>
        <v>3032</v>
      </c>
      <c r="J461" s="279">
        <f t="shared" si="2"/>
        <v>3031</v>
      </c>
      <c r="N461" s="49"/>
    </row>
    <row r="462" spans="1:14" ht="22.5">
      <c r="A462" s="12" t="s">
        <v>781</v>
      </c>
      <c r="B462" s="53" t="s">
        <v>782</v>
      </c>
      <c r="C462" s="8" t="s">
        <v>669</v>
      </c>
      <c r="D462" s="44">
        <v>1</v>
      </c>
      <c r="E462" s="44">
        <v>578</v>
      </c>
      <c r="F462" s="45"/>
      <c r="G462" s="45"/>
      <c r="H462" s="44"/>
      <c r="I462" s="192">
        <f t="shared" si="1"/>
        <v>578</v>
      </c>
      <c r="J462" s="279">
        <f t="shared" si="2"/>
        <v>577</v>
      </c>
      <c r="N462" s="49"/>
    </row>
    <row r="463" spans="1:14" ht="22.5">
      <c r="A463" s="12" t="s">
        <v>784</v>
      </c>
      <c r="B463" s="53" t="s">
        <v>785</v>
      </c>
      <c r="C463" s="8" t="s">
        <v>669</v>
      </c>
      <c r="D463" s="44">
        <v>1</v>
      </c>
      <c r="E463" s="44">
        <v>2540</v>
      </c>
      <c r="F463" s="45"/>
      <c r="G463" s="45"/>
      <c r="H463" s="44"/>
      <c r="I463" s="192">
        <f t="shared" si="1"/>
        <v>2540</v>
      </c>
      <c r="J463" s="279">
        <f t="shared" si="2"/>
        <v>2539</v>
      </c>
      <c r="N463" s="49"/>
    </row>
    <row r="464" spans="1:14" ht="22.5">
      <c r="A464" s="12" t="s">
        <v>787</v>
      </c>
      <c r="B464" s="53" t="s">
        <v>788</v>
      </c>
      <c r="C464" s="8" t="s">
        <v>669</v>
      </c>
      <c r="D464" s="44">
        <v>1</v>
      </c>
      <c r="E464" s="44">
        <v>6995</v>
      </c>
      <c r="F464" s="45"/>
      <c r="G464" s="45"/>
      <c r="H464" s="44"/>
      <c r="I464" s="192">
        <f t="shared" si="1"/>
        <v>6995</v>
      </c>
      <c r="J464" s="279">
        <f t="shared" si="2"/>
        <v>6994</v>
      </c>
      <c r="N464" s="49"/>
    </row>
    <row r="465" spans="1:14" ht="22.5">
      <c r="A465" s="12" t="s">
        <v>790</v>
      </c>
      <c r="B465" s="53" t="s">
        <v>791</v>
      </c>
      <c r="C465" s="8" t="s">
        <v>669</v>
      </c>
      <c r="D465" s="44">
        <v>1</v>
      </c>
      <c r="E465" s="44">
        <v>7875</v>
      </c>
      <c r="F465" s="45"/>
      <c r="G465" s="45"/>
      <c r="H465" s="44"/>
      <c r="I465" s="192">
        <f t="shared" si="1"/>
        <v>7875</v>
      </c>
      <c r="J465" s="279">
        <f t="shared" si="2"/>
        <v>7874</v>
      </c>
      <c r="N465" s="49"/>
    </row>
    <row r="466" spans="1:14" ht="22.5">
      <c r="A466" s="12" t="s">
        <v>793</v>
      </c>
      <c r="B466" s="53" t="s">
        <v>794</v>
      </c>
      <c r="C466" s="8" t="s">
        <v>669</v>
      </c>
      <c r="D466" s="44">
        <v>1</v>
      </c>
      <c r="E466" s="44">
        <v>2013</v>
      </c>
      <c r="F466" s="45"/>
      <c r="G466" s="45"/>
      <c r="H466" s="44"/>
      <c r="I466" s="192">
        <f t="shared" si="1"/>
        <v>2013</v>
      </c>
      <c r="J466" s="279">
        <f t="shared" si="2"/>
        <v>2012</v>
      </c>
      <c r="N466" s="49"/>
    </row>
    <row r="467" spans="1:14" ht="22.5">
      <c r="A467" s="12" t="s">
        <v>796</v>
      </c>
      <c r="B467" s="53" t="s">
        <v>797</v>
      </c>
      <c r="C467" s="8" t="s">
        <v>669</v>
      </c>
      <c r="D467" s="44">
        <v>1</v>
      </c>
      <c r="E467" s="44">
        <v>1643</v>
      </c>
      <c r="F467" s="45"/>
      <c r="G467" s="45"/>
      <c r="H467" s="44"/>
      <c r="I467" s="192">
        <f t="shared" si="1"/>
        <v>1643</v>
      </c>
      <c r="J467" s="279">
        <f t="shared" si="2"/>
        <v>1642</v>
      </c>
      <c r="N467" s="49"/>
    </row>
    <row r="468" spans="1:14" ht="22.5">
      <c r="A468" s="12" t="s">
        <v>799</v>
      </c>
      <c r="B468" s="53" t="s">
        <v>800</v>
      </c>
      <c r="C468" s="8" t="s">
        <v>669</v>
      </c>
      <c r="D468" s="44">
        <v>1</v>
      </c>
      <c r="E468" s="44">
        <v>985</v>
      </c>
      <c r="F468" s="45"/>
      <c r="G468" s="45"/>
      <c r="H468" s="44"/>
      <c r="I468" s="192">
        <f t="shared" si="1"/>
        <v>985</v>
      </c>
      <c r="J468" s="279">
        <f t="shared" si="2"/>
        <v>984</v>
      </c>
      <c r="N468" s="49"/>
    </row>
    <row r="469" spans="1:14" ht="22.5">
      <c r="A469" s="12" t="s">
        <v>802</v>
      </c>
      <c r="B469" s="53" t="s">
        <v>803</v>
      </c>
      <c r="C469" s="8" t="s">
        <v>669</v>
      </c>
      <c r="D469" s="44">
        <v>1</v>
      </c>
      <c r="E469" s="44">
        <v>1100</v>
      </c>
      <c r="F469" s="45"/>
      <c r="G469" s="45"/>
      <c r="H469" s="44"/>
      <c r="I469" s="192">
        <f t="shared" si="1"/>
        <v>1100</v>
      </c>
      <c r="J469" s="279">
        <f t="shared" si="2"/>
        <v>1099</v>
      </c>
      <c r="N469" s="49"/>
    </row>
    <row r="470" spans="1:14" ht="22.5">
      <c r="A470" s="12" t="s">
        <v>805</v>
      </c>
      <c r="B470" s="53" t="s">
        <v>806</v>
      </c>
      <c r="C470" s="8" t="s">
        <v>669</v>
      </c>
      <c r="D470" s="44">
        <v>1</v>
      </c>
      <c r="E470" s="44">
        <v>733</v>
      </c>
      <c r="F470" s="45"/>
      <c r="G470" s="45"/>
      <c r="H470" s="44"/>
      <c r="I470" s="192">
        <f t="shared" si="1"/>
        <v>733</v>
      </c>
      <c r="J470" s="279">
        <f t="shared" si="2"/>
        <v>732</v>
      </c>
      <c r="N470" s="49"/>
    </row>
    <row r="471" spans="1:14" ht="22.5">
      <c r="A471" s="12" t="s">
        <v>808</v>
      </c>
      <c r="B471" s="53" t="s">
        <v>809</v>
      </c>
      <c r="C471" s="8" t="s">
        <v>669</v>
      </c>
      <c r="D471" s="44">
        <v>1</v>
      </c>
      <c r="E471" s="44">
        <v>16048</v>
      </c>
      <c r="F471" s="45"/>
      <c r="G471" s="45"/>
      <c r="H471" s="44"/>
      <c r="I471" s="192">
        <f t="shared" si="1"/>
        <v>16048</v>
      </c>
      <c r="J471" s="279">
        <f t="shared" si="2"/>
        <v>16047</v>
      </c>
      <c r="N471" s="49"/>
    </row>
    <row r="472" spans="1:14" ht="22.5">
      <c r="A472" s="12" t="s">
        <v>811</v>
      </c>
      <c r="B472" s="53" t="s">
        <v>812</v>
      </c>
      <c r="C472" s="8" t="s">
        <v>669</v>
      </c>
      <c r="D472" s="44">
        <v>1</v>
      </c>
      <c r="E472" s="44">
        <v>1238</v>
      </c>
      <c r="F472" s="45"/>
      <c r="G472" s="45"/>
      <c r="H472" s="44"/>
      <c r="I472" s="192">
        <f t="shared" si="1"/>
        <v>1238</v>
      </c>
      <c r="J472" s="279">
        <f t="shared" si="2"/>
        <v>1237</v>
      </c>
      <c r="N472" s="49"/>
    </row>
    <row r="473" spans="1:14" ht="22.5">
      <c r="A473" s="12" t="s">
        <v>814</v>
      </c>
      <c r="B473" s="53" t="s">
        <v>815</v>
      </c>
      <c r="C473" s="8" t="s">
        <v>669</v>
      </c>
      <c r="D473" s="44">
        <v>1</v>
      </c>
      <c r="E473" s="44">
        <v>410</v>
      </c>
      <c r="F473" s="45"/>
      <c r="G473" s="45"/>
      <c r="H473" s="44"/>
      <c r="I473" s="192">
        <f t="shared" si="1"/>
        <v>410</v>
      </c>
      <c r="J473" s="279">
        <f t="shared" si="2"/>
        <v>409</v>
      </c>
      <c r="N473" s="49"/>
    </row>
    <row r="474" spans="1:14" ht="22.5">
      <c r="A474" s="12" t="s">
        <v>817</v>
      </c>
      <c r="B474" s="53" t="s">
        <v>818</v>
      </c>
      <c r="C474" s="8" t="s">
        <v>669</v>
      </c>
      <c r="D474" s="44">
        <v>1</v>
      </c>
      <c r="E474" s="44">
        <v>2058</v>
      </c>
      <c r="F474" s="45"/>
      <c r="G474" s="45"/>
      <c r="H474" s="44"/>
      <c r="I474" s="192">
        <f t="shared" si="1"/>
        <v>2058</v>
      </c>
      <c r="J474" s="279">
        <f t="shared" si="2"/>
        <v>2057</v>
      </c>
      <c r="N474" s="49"/>
    </row>
    <row r="475" spans="1:14" ht="22.5">
      <c r="A475" s="12" t="s">
        <v>820</v>
      </c>
      <c r="B475" s="53" t="s">
        <v>821</v>
      </c>
      <c r="C475" s="8" t="s">
        <v>669</v>
      </c>
      <c r="D475" s="44">
        <v>1</v>
      </c>
      <c r="E475" s="44">
        <v>735</v>
      </c>
      <c r="F475" s="45"/>
      <c r="G475" s="45"/>
      <c r="H475" s="44"/>
      <c r="I475" s="192">
        <f t="shared" si="1"/>
        <v>735</v>
      </c>
      <c r="J475" s="279">
        <f t="shared" si="2"/>
        <v>734</v>
      </c>
      <c r="N475" s="49"/>
    </row>
    <row r="476" spans="1:14" ht="22.5">
      <c r="A476" s="12" t="s">
        <v>823</v>
      </c>
      <c r="B476" s="53" t="s">
        <v>824</v>
      </c>
      <c r="C476" s="8" t="s">
        <v>669</v>
      </c>
      <c r="D476" s="44">
        <v>1</v>
      </c>
      <c r="E476" s="44">
        <v>248</v>
      </c>
      <c r="F476" s="45"/>
      <c r="G476" s="45"/>
      <c r="H476" s="44"/>
      <c r="I476" s="192">
        <f t="shared" si="1"/>
        <v>248</v>
      </c>
      <c r="J476" s="279">
        <f t="shared" si="2"/>
        <v>247</v>
      </c>
      <c r="N476" s="49"/>
    </row>
    <row r="477" spans="1:14" ht="22.5">
      <c r="A477" s="12" t="s">
        <v>826</v>
      </c>
      <c r="B477" s="53" t="s">
        <v>827</v>
      </c>
      <c r="C477" s="8" t="s">
        <v>669</v>
      </c>
      <c r="D477" s="44">
        <v>1</v>
      </c>
      <c r="E477" s="44">
        <v>1673</v>
      </c>
      <c r="F477" s="45"/>
      <c r="G477" s="45"/>
      <c r="H477" s="44"/>
      <c r="I477" s="192">
        <f t="shared" si="1"/>
        <v>1673</v>
      </c>
      <c r="J477" s="279">
        <f t="shared" si="2"/>
        <v>1672</v>
      </c>
      <c r="N477" s="49"/>
    </row>
    <row r="478" spans="1:14" ht="22.5">
      <c r="A478" s="12" t="s">
        <v>829</v>
      </c>
      <c r="B478" s="53" t="s">
        <v>830</v>
      </c>
      <c r="C478" s="8" t="s">
        <v>669</v>
      </c>
      <c r="D478" s="44">
        <v>1</v>
      </c>
      <c r="E478" s="44">
        <v>530</v>
      </c>
      <c r="F478" s="45"/>
      <c r="G478" s="45"/>
      <c r="H478" s="44"/>
      <c r="I478" s="192">
        <f t="shared" si="1"/>
        <v>530</v>
      </c>
      <c r="J478" s="279">
        <f t="shared" si="2"/>
        <v>529</v>
      </c>
      <c r="N478" s="49"/>
    </row>
    <row r="479" spans="1:14" ht="22.5">
      <c r="A479" s="12" t="s">
        <v>832</v>
      </c>
      <c r="B479" s="53" t="s">
        <v>833</v>
      </c>
      <c r="C479" s="8" t="s">
        <v>669</v>
      </c>
      <c r="D479" s="44">
        <v>1</v>
      </c>
      <c r="E479" s="44">
        <v>343</v>
      </c>
      <c r="F479" s="45"/>
      <c r="G479" s="45"/>
      <c r="H479" s="44"/>
      <c r="I479" s="192">
        <f t="shared" si="1"/>
        <v>343</v>
      </c>
      <c r="J479" s="279">
        <f t="shared" si="2"/>
        <v>342</v>
      </c>
      <c r="N479" s="49"/>
    </row>
    <row r="480" spans="1:14" ht="22.5">
      <c r="A480" s="12" t="s">
        <v>835</v>
      </c>
      <c r="B480" s="53" t="s">
        <v>836</v>
      </c>
      <c r="C480" s="8" t="s">
        <v>669</v>
      </c>
      <c r="D480" s="44">
        <v>1</v>
      </c>
      <c r="E480" s="44">
        <v>1060</v>
      </c>
      <c r="F480" s="45"/>
      <c r="G480" s="45"/>
      <c r="H480" s="44"/>
      <c r="I480" s="192">
        <f t="shared" si="1"/>
        <v>1060</v>
      </c>
      <c r="J480" s="279">
        <f t="shared" si="2"/>
        <v>1059</v>
      </c>
      <c r="N480" s="49"/>
    </row>
    <row r="481" spans="1:14" ht="22.5">
      <c r="A481" s="12" t="s">
        <v>838</v>
      </c>
      <c r="B481" s="53" t="s">
        <v>839</v>
      </c>
      <c r="C481" s="8" t="s">
        <v>669</v>
      </c>
      <c r="D481" s="44">
        <v>1</v>
      </c>
      <c r="E481" s="44">
        <v>1607</v>
      </c>
      <c r="F481" s="45"/>
      <c r="G481" s="45"/>
      <c r="H481" s="44"/>
      <c r="I481" s="192">
        <f t="shared" si="1"/>
        <v>1607</v>
      </c>
      <c r="J481" s="279">
        <f t="shared" si="2"/>
        <v>1606</v>
      </c>
      <c r="N481" s="49"/>
    </row>
    <row r="482" spans="1:14" ht="22.5">
      <c r="A482" s="12" t="s">
        <v>841</v>
      </c>
      <c r="B482" s="53" t="s">
        <v>842</v>
      </c>
      <c r="C482" s="8" t="s">
        <v>669</v>
      </c>
      <c r="D482" s="44">
        <v>1</v>
      </c>
      <c r="E482" s="44">
        <v>815</v>
      </c>
      <c r="F482" s="45"/>
      <c r="G482" s="45"/>
      <c r="H482" s="44"/>
      <c r="I482" s="192">
        <f t="shared" si="1"/>
        <v>815</v>
      </c>
      <c r="J482" s="279">
        <f t="shared" si="2"/>
        <v>814</v>
      </c>
      <c r="N482" s="49"/>
    </row>
    <row r="483" spans="1:14" ht="22.5">
      <c r="A483" s="12" t="s">
        <v>844</v>
      </c>
      <c r="B483" s="53" t="s">
        <v>845</v>
      </c>
      <c r="C483" s="8" t="s">
        <v>669</v>
      </c>
      <c r="D483" s="44">
        <v>1</v>
      </c>
      <c r="E483" s="44">
        <v>833</v>
      </c>
      <c r="F483" s="45"/>
      <c r="G483" s="45"/>
      <c r="H483" s="44"/>
      <c r="I483" s="192">
        <f t="shared" si="1"/>
        <v>833</v>
      </c>
      <c r="J483" s="279">
        <f t="shared" si="2"/>
        <v>832</v>
      </c>
      <c r="N483" s="49"/>
    </row>
    <row r="484" spans="1:14" ht="22.5">
      <c r="A484" s="12" t="s">
        <v>847</v>
      </c>
      <c r="B484" s="53" t="s">
        <v>848</v>
      </c>
      <c r="C484" s="8" t="s">
        <v>669</v>
      </c>
      <c r="D484" s="44">
        <v>1</v>
      </c>
      <c r="E484" s="44">
        <v>510</v>
      </c>
      <c r="F484" s="45"/>
      <c r="G484" s="45"/>
      <c r="H484" s="44"/>
      <c r="I484" s="192">
        <f t="shared" si="1"/>
        <v>510</v>
      </c>
      <c r="J484" s="279">
        <f t="shared" si="2"/>
        <v>509</v>
      </c>
      <c r="N484" s="49"/>
    </row>
    <row r="485" spans="1:14" ht="22.5">
      <c r="A485" s="12" t="s">
        <v>850</v>
      </c>
      <c r="B485" s="53" t="s">
        <v>851</v>
      </c>
      <c r="C485" s="8" t="s">
        <v>669</v>
      </c>
      <c r="D485" s="44">
        <v>1</v>
      </c>
      <c r="E485" s="44">
        <v>501</v>
      </c>
      <c r="F485" s="45"/>
      <c r="G485" s="45"/>
      <c r="H485" s="44"/>
      <c r="I485" s="192">
        <f t="shared" si="1"/>
        <v>501</v>
      </c>
      <c r="J485" s="279">
        <f t="shared" si="2"/>
        <v>500</v>
      </c>
      <c r="N485" s="49"/>
    </row>
    <row r="486" spans="1:14" ht="22.5">
      <c r="A486" s="12" t="s">
        <v>853</v>
      </c>
      <c r="B486" s="53" t="s">
        <v>854</v>
      </c>
      <c r="C486" s="8" t="s">
        <v>669</v>
      </c>
      <c r="D486" s="44">
        <v>1</v>
      </c>
      <c r="E486" s="44">
        <v>933</v>
      </c>
      <c r="F486" s="45"/>
      <c r="G486" s="45"/>
      <c r="H486" s="44"/>
      <c r="I486" s="192">
        <f t="shared" si="1"/>
        <v>933</v>
      </c>
      <c r="J486" s="279">
        <f t="shared" si="2"/>
        <v>932</v>
      </c>
      <c r="N486" s="49"/>
    </row>
    <row r="487" spans="1:14" ht="22.5">
      <c r="A487" s="12" t="s">
        <v>856</v>
      </c>
      <c r="B487" s="53" t="s">
        <v>857</v>
      </c>
      <c r="C487" s="8" t="s">
        <v>669</v>
      </c>
      <c r="D487" s="44">
        <v>1</v>
      </c>
      <c r="E487" s="44">
        <v>1010</v>
      </c>
      <c r="F487" s="45"/>
      <c r="G487" s="45"/>
      <c r="H487" s="44"/>
      <c r="I487" s="192">
        <f t="shared" si="1"/>
        <v>1010</v>
      </c>
      <c r="J487" s="279">
        <f t="shared" si="2"/>
        <v>1009</v>
      </c>
      <c r="N487" s="49"/>
    </row>
    <row r="488" spans="1:14" ht="22.5">
      <c r="A488" s="12" t="s">
        <v>859</v>
      </c>
      <c r="B488" s="53" t="s">
        <v>860</v>
      </c>
      <c r="C488" s="8" t="s">
        <v>669</v>
      </c>
      <c r="D488" s="44">
        <v>1</v>
      </c>
      <c r="E488" s="44">
        <v>1142</v>
      </c>
      <c r="F488" s="45"/>
      <c r="G488" s="45"/>
      <c r="H488" s="44"/>
      <c r="I488" s="192">
        <f t="shared" si="1"/>
        <v>1142</v>
      </c>
      <c r="J488" s="279">
        <f t="shared" si="2"/>
        <v>1141</v>
      </c>
      <c r="N488" s="49"/>
    </row>
    <row r="489" spans="1:14" ht="22.5">
      <c r="A489" s="12" t="s">
        <v>862</v>
      </c>
      <c r="B489" s="53" t="s">
        <v>863</v>
      </c>
      <c r="C489" s="8" t="s">
        <v>669</v>
      </c>
      <c r="D489" s="44">
        <v>1</v>
      </c>
      <c r="E489" s="44">
        <v>5132</v>
      </c>
      <c r="F489" s="45"/>
      <c r="G489" s="45"/>
      <c r="H489" s="44"/>
      <c r="I489" s="192">
        <f t="shared" si="1"/>
        <v>5132</v>
      </c>
      <c r="J489" s="279">
        <f t="shared" si="2"/>
        <v>5131</v>
      </c>
      <c r="N489" s="49"/>
    </row>
    <row r="490" spans="1:14" ht="22.5">
      <c r="A490" s="12" t="s">
        <v>865</v>
      </c>
      <c r="B490" s="53" t="s">
        <v>866</v>
      </c>
      <c r="C490" s="8" t="s">
        <v>669</v>
      </c>
      <c r="D490" s="44">
        <v>1</v>
      </c>
      <c r="E490" s="44">
        <v>194</v>
      </c>
      <c r="F490" s="45"/>
      <c r="G490" s="45"/>
      <c r="H490" s="44"/>
      <c r="I490" s="192">
        <f t="shared" si="1"/>
        <v>194</v>
      </c>
      <c r="J490" s="279">
        <f t="shared" si="2"/>
        <v>193</v>
      </c>
      <c r="N490" s="49"/>
    </row>
    <row r="491" spans="1:14" ht="22.5">
      <c r="A491" s="12" t="s">
        <v>868</v>
      </c>
      <c r="B491" s="53" t="s">
        <v>869</v>
      </c>
      <c r="C491" s="8" t="s">
        <v>669</v>
      </c>
      <c r="D491" s="44">
        <v>1</v>
      </c>
      <c r="E491" s="44">
        <v>755</v>
      </c>
      <c r="F491" s="45"/>
      <c r="G491" s="45"/>
      <c r="H491" s="44"/>
      <c r="I491" s="192">
        <f t="shared" si="1"/>
        <v>755</v>
      </c>
      <c r="J491" s="279">
        <f t="shared" si="2"/>
        <v>754</v>
      </c>
      <c r="N491" s="49"/>
    </row>
    <row r="492" spans="1:14" ht="22.5">
      <c r="A492" s="12" t="s">
        <v>871</v>
      </c>
      <c r="B492" s="53" t="s">
        <v>872</v>
      </c>
      <c r="C492" s="8" t="s">
        <v>669</v>
      </c>
      <c r="D492" s="44">
        <v>1</v>
      </c>
      <c r="E492" s="44">
        <v>640</v>
      </c>
      <c r="F492" s="45"/>
      <c r="G492" s="45"/>
      <c r="H492" s="44"/>
      <c r="I492" s="192">
        <f t="shared" si="1"/>
        <v>640</v>
      </c>
      <c r="J492" s="279">
        <f t="shared" si="2"/>
        <v>639</v>
      </c>
      <c r="N492" s="49"/>
    </row>
    <row r="493" spans="1:14" ht="22.5">
      <c r="A493" s="12" t="s">
        <v>874</v>
      </c>
      <c r="B493" s="53" t="s">
        <v>875</v>
      </c>
      <c r="C493" s="8" t="s">
        <v>669</v>
      </c>
      <c r="D493" s="44">
        <v>1</v>
      </c>
      <c r="E493" s="44">
        <v>202</v>
      </c>
      <c r="F493" s="45"/>
      <c r="G493" s="45"/>
      <c r="H493" s="44"/>
      <c r="I493" s="192">
        <f t="shared" si="1"/>
        <v>202</v>
      </c>
      <c r="J493" s="279">
        <f t="shared" si="2"/>
        <v>201</v>
      </c>
      <c r="N493" s="49"/>
    </row>
    <row r="494" spans="1:14" ht="28.5">
      <c r="A494" s="12" t="s">
        <v>877</v>
      </c>
      <c r="B494" s="10" t="s">
        <v>878</v>
      </c>
      <c r="C494" s="8" t="s">
        <v>13</v>
      </c>
      <c r="D494" s="44">
        <v>1</v>
      </c>
      <c r="E494" s="44">
        <v>1435.1</v>
      </c>
      <c r="F494" s="45"/>
      <c r="G494" s="45"/>
      <c r="H494" s="44"/>
      <c r="I494" s="192">
        <f t="shared" si="1"/>
        <v>1435.1</v>
      </c>
      <c r="J494" s="279">
        <f t="shared" si="2"/>
        <v>1434.1</v>
      </c>
      <c r="N494" s="49"/>
    </row>
    <row r="495" spans="1:14" ht="28.5">
      <c r="A495" s="12" t="s">
        <v>880</v>
      </c>
      <c r="B495" s="10" t="s">
        <v>881</v>
      </c>
      <c r="C495" s="8" t="s">
        <v>882</v>
      </c>
      <c r="D495" s="44">
        <v>1</v>
      </c>
      <c r="E495" s="44">
        <v>34800</v>
      </c>
      <c r="F495" s="45"/>
      <c r="G495" s="45"/>
      <c r="H495" s="44"/>
      <c r="I495" s="192">
        <f t="shared" si="1"/>
        <v>34800</v>
      </c>
      <c r="J495" s="279">
        <f t="shared" si="2"/>
        <v>34799</v>
      </c>
      <c r="N495" s="49"/>
    </row>
    <row r="496" spans="1:14">
      <c r="A496" s="12" t="s">
        <v>884</v>
      </c>
      <c r="B496" s="7" t="s">
        <v>885</v>
      </c>
      <c r="C496" s="8" t="s">
        <v>13</v>
      </c>
      <c r="D496" s="44">
        <v>1</v>
      </c>
      <c r="E496" s="44">
        <v>6496.5</v>
      </c>
      <c r="F496" s="45"/>
      <c r="G496" s="45"/>
      <c r="H496" s="44"/>
      <c r="I496" s="192">
        <f t="shared" si="1"/>
        <v>6496.5</v>
      </c>
      <c r="J496" s="279">
        <f t="shared" si="2"/>
        <v>6495.5</v>
      </c>
      <c r="N496" s="49"/>
    </row>
    <row r="497" spans="1:14" ht="42.75">
      <c r="A497" s="12" t="s">
        <v>1505</v>
      </c>
      <c r="B497" s="10" t="s">
        <v>1506</v>
      </c>
      <c r="C497" s="8" t="s">
        <v>8</v>
      </c>
      <c r="D497" s="44"/>
      <c r="E497" s="44">
        <v>1305</v>
      </c>
      <c r="F497" s="45" t="s">
        <v>1502</v>
      </c>
      <c r="G497" s="45" t="s">
        <v>1510</v>
      </c>
      <c r="H497" s="44">
        <f>43.6/0.2*6</f>
        <v>1308</v>
      </c>
      <c r="I497" s="192">
        <f>H497</f>
        <v>1308</v>
      </c>
      <c r="J497" s="200"/>
      <c r="N497" s="49"/>
    </row>
    <row r="498" spans="1:14" ht="33">
      <c r="A498" s="12" t="s">
        <v>1507</v>
      </c>
      <c r="B498" s="7" t="s">
        <v>1508</v>
      </c>
      <c r="C498" s="8" t="s">
        <v>1509</v>
      </c>
      <c r="D498" s="44"/>
      <c r="E498" s="44">
        <v>15318</v>
      </c>
      <c r="F498" s="80" t="s">
        <v>1797</v>
      </c>
      <c r="G498" s="80" t="s">
        <v>1796</v>
      </c>
      <c r="H498" s="44">
        <f>(246*(4+18+4)+20*4)+(35*5)+(24*2)+(85*7+6)+(240*5)</f>
        <v>8500</v>
      </c>
      <c r="I498" s="192">
        <f>H498</f>
        <v>8500</v>
      </c>
      <c r="J498" s="200" t="s">
        <v>2494</v>
      </c>
      <c r="N498" s="49"/>
    </row>
    <row r="499" spans="1:14" ht="23.25" customHeight="1">
      <c r="A499" s="6" t="s">
        <v>887</v>
      </c>
      <c r="B499" s="7" t="s">
        <v>888</v>
      </c>
      <c r="C499" s="8" t="s">
        <v>4</v>
      </c>
      <c r="D499" s="44">
        <v>1</v>
      </c>
      <c r="E499" s="44"/>
      <c r="F499" s="45"/>
      <c r="G499" s="45"/>
      <c r="H499" s="44"/>
      <c r="I499" s="191" t="s">
        <v>243</v>
      </c>
      <c r="J499" s="200"/>
      <c r="M499" s="30"/>
      <c r="N499" s="49"/>
    </row>
    <row r="500" spans="1:14" ht="33">
      <c r="A500" s="12" t="s">
        <v>889</v>
      </c>
      <c r="B500" s="10" t="s">
        <v>890</v>
      </c>
      <c r="C500" s="8" t="s">
        <v>4</v>
      </c>
      <c r="D500" s="44">
        <v>1</v>
      </c>
      <c r="E500" s="44"/>
      <c r="F500" s="45"/>
      <c r="G500" s="45"/>
      <c r="H500" s="44"/>
      <c r="I500" s="191" t="s">
        <v>243</v>
      </c>
      <c r="J500" s="200"/>
      <c r="M500" s="30"/>
      <c r="N500" s="49"/>
    </row>
    <row r="501" spans="1:14" ht="33">
      <c r="A501" s="12" t="s">
        <v>892</v>
      </c>
      <c r="B501" s="10" t="s">
        <v>893</v>
      </c>
      <c r="C501" s="8" t="s">
        <v>4</v>
      </c>
      <c r="D501" s="44">
        <v>1</v>
      </c>
      <c r="E501" s="44"/>
      <c r="F501" s="45"/>
      <c r="G501" s="45"/>
      <c r="H501" s="44"/>
      <c r="I501" s="191" t="s">
        <v>243</v>
      </c>
      <c r="J501" s="200"/>
      <c r="N501" s="49"/>
    </row>
    <row r="502" spans="1:14" ht="33">
      <c r="A502" s="12" t="s">
        <v>895</v>
      </c>
      <c r="B502" s="10" t="s">
        <v>896</v>
      </c>
      <c r="C502" s="8" t="s">
        <v>4</v>
      </c>
      <c r="D502" s="44">
        <v>1</v>
      </c>
      <c r="E502" s="44"/>
      <c r="F502" s="45"/>
      <c r="G502" s="45"/>
      <c r="H502" s="44"/>
      <c r="I502" s="191" t="s">
        <v>243</v>
      </c>
      <c r="J502" s="200"/>
      <c r="N502" s="49"/>
    </row>
    <row r="503" spans="1:14" ht="33">
      <c r="A503" s="12" t="s">
        <v>898</v>
      </c>
      <c r="B503" s="10" t="s">
        <v>899</v>
      </c>
      <c r="C503" s="8" t="s">
        <v>4</v>
      </c>
      <c r="D503" s="44">
        <v>1</v>
      </c>
      <c r="E503" s="44"/>
      <c r="F503" s="45"/>
      <c r="G503" s="45"/>
      <c r="H503" s="44"/>
      <c r="I503" s="191" t="s">
        <v>243</v>
      </c>
      <c r="J503" s="200"/>
      <c r="N503" s="49"/>
    </row>
    <row r="504" spans="1:14" ht="33.75">
      <c r="A504" s="12" t="s">
        <v>901</v>
      </c>
      <c r="B504" s="53" t="s">
        <v>902</v>
      </c>
      <c r="C504" s="8" t="s">
        <v>0</v>
      </c>
      <c r="D504" s="44">
        <v>11</v>
      </c>
      <c r="E504" s="44"/>
      <c r="F504" s="45"/>
      <c r="G504" s="45"/>
      <c r="H504" s="44"/>
      <c r="I504" s="191" t="s">
        <v>243</v>
      </c>
      <c r="J504" s="200"/>
      <c r="N504" s="49"/>
    </row>
    <row r="505" spans="1:14" ht="33.75">
      <c r="A505" s="12" t="s">
        <v>904</v>
      </c>
      <c r="B505" s="53" t="s">
        <v>905</v>
      </c>
      <c r="C505" s="8" t="s">
        <v>0</v>
      </c>
      <c r="D505" s="44">
        <v>9</v>
      </c>
      <c r="E505" s="44"/>
      <c r="F505" s="45"/>
      <c r="G505" s="45"/>
      <c r="H505" s="44"/>
      <c r="I505" s="191" t="s">
        <v>243</v>
      </c>
      <c r="J505" s="200"/>
      <c r="N505" s="49"/>
    </row>
    <row r="506" spans="1:14" ht="33.75">
      <c r="A506" s="12" t="s">
        <v>907</v>
      </c>
      <c r="B506" s="53" t="s">
        <v>908</v>
      </c>
      <c r="C506" s="8" t="s">
        <v>0</v>
      </c>
      <c r="D506" s="44">
        <v>10</v>
      </c>
      <c r="E506" s="44"/>
      <c r="F506" s="45"/>
      <c r="G506" s="45"/>
      <c r="H506" s="44"/>
      <c r="I506" s="191" t="s">
        <v>243</v>
      </c>
      <c r="J506" s="200"/>
      <c r="N506" s="49"/>
    </row>
    <row r="507" spans="1:14" ht="33">
      <c r="A507" s="12" t="s">
        <v>910</v>
      </c>
      <c r="B507" s="53" t="s">
        <v>911</v>
      </c>
      <c r="C507" s="8" t="s">
        <v>0</v>
      </c>
      <c r="D507" s="44">
        <v>8</v>
      </c>
      <c r="E507" s="44"/>
      <c r="F507" s="45"/>
      <c r="G507" s="45"/>
      <c r="H507" s="44"/>
      <c r="I507" s="191" t="s">
        <v>243</v>
      </c>
      <c r="J507" s="200"/>
      <c r="N507" s="49"/>
    </row>
    <row r="508" spans="1:14" ht="21.95" customHeight="1">
      <c r="A508" s="12" t="s">
        <v>913</v>
      </c>
      <c r="B508" s="10" t="s">
        <v>914</v>
      </c>
      <c r="C508" s="8" t="s">
        <v>15</v>
      </c>
      <c r="D508" s="44">
        <v>2</v>
      </c>
      <c r="E508" s="44"/>
      <c r="F508" s="45"/>
      <c r="G508" s="45"/>
      <c r="H508" s="44"/>
      <c r="I508" s="191" t="s">
        <v>243</v>
      </c>
      <c r="J508" s="200"/>
      <c r="N508" s="49"/>
    </row>
    <row r="509" spans="1:14" ht="21.95" customHeight="1">
      <c r="A509" s="12" t="s">
        <v>916</v>
      </c>
      <c r="B509" s="10" t="s">
        <v>917</v>
      </c>
      <c r="C509" s="8" t="s">
        <v>15</v>
      </c>
      <c r="D509" s="44">
        <v>2</v>
      </c>
      <c r="E509" s="44"/>
      <c r="F509" s="45"/>
      <c r="G509" s="45"/>
      <c r="H509" s="44"/>
      <c r="I509" s="191" t="s">
        <v>243</v>
      </c>
      <c r="J509" s="200"/>
      <c r="N509" s="49"/>
    </row>
    <row r="510" spans="1:14" ht="21.95" customHeight="1">
      <c r="A510" s="12" t="s">
        <v>919</v>
      </c>
      <c r="B510" s="7" t="s">
        <v>920</v>
      </c>
      <c r="C510" s="8" t="s">
        <v>8</v>
      </c>
      <c r="D510" s="44">
        <v>44.6</v>
      </c>
      <c r="E510" s="44"/>
      <c r="F510" s="45"/>
      <c r="G510" s="45"/>
      <c r="H510" s="44"/>
      <c r="I510" s="191" t="s">
        <v>243</v>
      </c>
      <c r="J510" s="200"/>
      <c r="N510" s="49"/>
    </row>
    <row r="511" spans="1:14" ht="33">
      <c r="A511" s="12" t="s">
        <v>922</v>
      </c>
      <c r="B511" s="10" t="s">
        <v>923</v>
      </c>
      <c r="C511" s="8" t="s">
        <v>15</v>
      </c>
      <c r="D511" s="44">
        <v>10</v>
      </c>
      <c r="E511" s="44"/>
      <c r="F511" s="45"/>
      <c r="G511" s="45"/>
      <c r="H511" s="44"/>
      <c r="I511" s="191" t="s">
        <v>243</v>
      </c>
      <c r="J511" s="200"/>
      <c r="N511" s="49"/>
    </row>
    <row r="512" spans="1:14" ht="33">
      <c r="A512" s="12" t="s">
        <v>925</v>
      </c>
      <c r="B512" s="10" t="s">
        <v>926</v>
      </c>
      <c r="C512" s="8" t="s">
        <v>15</v>
      </c>
      <c r="D512" s="44">
        <v>5</v>
      </c>
      <c r="E512" s="44"/>
      <c r="F512" s="45"/>
      <c r="G512" s="45"/>
      <c r="H512" s="44"/>
      <c r="I512" s="191" t="s">
        <v>243</v>
      </c>
      <c r="J512" s="200"/>
      <c r="N512" s="49"/>
    </row>
    <row r="513" spans="1:14" ht="20.100000000000001" customHeight="1">
      <c r="A513" s="12" t="s">
        <v>928</v>
      </c>
      <c r="B513" s="7" t="s">
        <v>929</v>
      </c>
      <c r="C513" s="8" t="s">
        <v>15</v>
      </c>
      <c r="D513" s="44">
        <v>17</v>
      </c>
      <c r="E513" s="44"/>
      <c r="F513" s="45"/>
      <c r="G513" s="45"/>
      <c r="H513" s="44"/>
      <c r="I513" s="191" t="s">
        <v>243</v>
      </c>
      <c r="J513" s="200"/>
      <c r="N513" s="49"/>
    </row>
    <row r="514" spans="1:14" ht="20.100000000000001" customHeight="1">
      <c r="A514" s="12" t="s">
        <v>931</v>
      </c>
      <c r="B514" s="7" t="s">
        <v>932</v>
      </c>
      <c r="C514" s="8" t="s">
        <v>290</v>
      </c>
      <c r="D514" s="44">
        <v>1</v>
      </c>
      <c r="E514" s="44"/>
      <c r="F514" s="45"/>
      <c r="G514" s="45"/>
      <c r="H514" s="44"/>
      <c r="I514" s="191" t="s">
        <v>243</v>
      </c>
      <c r="J514" s="200"/>
      <c r="N514" s="49"/>
    </row>
    <row r="515" spans="1:14" ht="20.100000000000001" customHeight="1">
      <c r="A515" s="12" t="s">
        <v>934</v>
      </c>
      <c r="B515" s="7" t="s">
        <v>935</v>
      </c>
      <c r="C515" s="8" t="s">
        <v>4</v>
      </c>
      <c r="D515" s="44">
        <v>1</v>
      </c>
      <c r="E515" s="44"/>
      <c r="F515" s="45"/>
      <c r="G515" s="45"/>
      <c r="H515" s="44"/>
      <c r="I515" s="191" t="s">
        <v>243</v>
      </c>
      <c r="J515" s="200"/>
      <c r="N515" s="49"/>
    </row>
    <row r="516" spans="1:14" ht="20.100000000000001" customHeight="1">
      <c r="A516" s="12" t="s">
        <v>937</v>
      </c>
      <c r="B516" s="7" t="s">
        <v>938</v>
      </c>
      <c r="C516" s="8" t="s">
        <v>15</v>
      </c>
      <c r="D516" s="44">
        <v>17</v>
      </c>
      <c r="E516" s="44"/>
      <c r="F516" s="45"/>
      <c r="G516" s="45"/>
      <c r="H516" s="44"/>
      <c r="I516" s="191" t="s">
        <v>243</v>
      </c>
      <c r="J516" s="200"/>
      <c r="N516" s="49"/>
    </row>
    <row r="517" spans="1:14" ht="33">
      <c r="A517" s="12" t="s">
        <v>940</v>
      </c>
      <c r="B517" s="7" t="s">
        <v>941</v>
      </c>
      <c r="C517" s="8" t="s">
        <v>583</v>
      </c>
      <c r="D517" s="44">
        <v>2</v>
      </c>
      <c r="E517" s="44"/>
      <c r="F517" s="45"/>
      <c r="G517" s="45"/>
      <c r="H517" s="44"/>
      <c r="I517" s="191" t="s">
        <v>243</v>
      </c>
      <c r="J517" s="200"/>
      <c r="N517" s="49"/>
    </row>
    <row r="518" spans="1:14" ht="21.95" customHeight="1">
      <c r="A518" s="12" t="s">
        <v>943</v>
      </c>
      <c r="B518" s="7" t="s">
        <v>944</v>
      </c>
      <c r="C518" s="8" t="s">
        <v>15</v>
      </c>
      <c r="D518" s="44">
        <v>1</v>
      </c>
      <c r="E518" s="44"/>
      <c r="F518" s="45"/>
      <c r="G518" s="45"/>
      <c r="H518" s="44"/>
      <c r="I518" s="191" t="s">
        <v>243</v>
      </c>
      <c r="J518" s="200"/>
      <c r="N518" s="49"/>
    </row>
    <row r="519" spans="1:14" ht="33">
      <c r="A519" s="12" t="s">
        <v>946</v>
      </c>
      <c r="B519" s="53" t="s">
        <v>947</v>
      </c>
      <c r="C519" s="8" t="s">
        <v>19</v>
      </c>
      <c r="D519" s="44">
        <v>2</v>
      </c>
      <c r="E519" s="44"/>
      <c r="F519" s="45"/>
      <c r="G519" s="45"/>
      <c r="H519" s="44"/>
      <c r="I519" s="191" t="s">
        <v>243</v>
      </c>
      <c r="J519" s="200"/>
      <c r="N519" s="49"/>
    </row>
    <row r="520" spans="1:14" ht="33">
      <c r="A520" s="12" t="s">
        <v>949</v>
      </c>
      <c r="B520" s="53" t="s">
        <v>950</v>
      </c>
      <c r="C520" s="8" t="s">
        <v>19</v>
      </c>
      <c r="D520" s="44">
        <v>9</v>
      </c>
      <c r="E520" s="44"/>
      <c r="F520" s="45"/>
      <c r="G520" s="45"/>
      <c r="H520" s="44"/>
      <c r="I520" s="191" t="s">
        <v>243</v>
      </c>
      <c r="J520" s="200"/>
      <c r="N520" s="49"/>
    </row>
    <row r="521" spans="1:14" ht="33">
      <c r="A521" s="12" t="s">
        <v>952</v>
      </c>
      <c r="B521" s="53" t="s">
        <v>953</v>
      </c>
      <c r="C521" s="8" t="s">
        <v>8</v>
      </c>
      <c r="D521" s="44">
        <v>180</v>
      </c>
      <c r="E521" s="44"/>
      <c r="F521" s="45"/>
      <c r="G521" s="45"/>
      <c r="H521" s="44"/>
      <c r="I521" s="191" t="s">
        <v>243</v>
      </c>
      <c r="J521" s="200"/>
      <c r="N521" s="49"/>
    </row>
    <row r="522" spans="1:14" ht="33">
      <c r="A522" s="12" t="s">
        <v>955</v>
      </c>
      <c r="B522" s="53" t="s">
        <v>956</v>
      </c>
      <c r="C522" s="8" t="s">
        <v>8</v>
      </c>
      <c r="D522" s="44">
        <v>60</v>
      </c>
      <c r="E522" s="44"/>
      <c r="F522" s="45"/>
      <c r="G522" s="45"/>
      <c r="H522" s="44"/>
      <c r="I522" s="191" t="s">
        <v>243</v>
      </c>
      <c r="J522" s="200"/>
      <c r="N522" s="49"/>
    </row>
    <row r="523" spans="1:14" ht="33">
      <c r="A523" s="12" t="s">
        <v>958</v>
      </c>
      <c r="B523" s="53" t="s">
        <v>959</v>
      </c>
      <c r="C523" s="8" t="s">
        <v>8</v>
      </c>
      <c r="D523" s="44">
        <v>1032</v>
      </c>
      <c r="E523" s="44"/>
      <c r="F523" s="45"/>
      <c r="G523" s="45"/>
      <c r="H523" s="44"/>
      <c r="I523" s="191" t="s">
        <v>243</v>
      </c>
      <c r="J523" s="200"/>
      <c r="N523" s="49"/>
    </row>
    <row r="524" spans="1:14" ht="33">
      <c r="A524" s="12" t="s">
        <v>961</v>
      </c>
      <c r="B524" s="53" t="s">
        <v>962</v>
      </c>
      <c r="C524" s="8" t="s">
        <v>8</v>
      </c>
      <c r="D524" s="44">
        <v>1103</v>
      </c>
      <c r="E524" s="44"/>
      <c r="F524" s="45"/>
      <c r="G524" s="45"/>
      <c r="H524" s="44"/>
      <c r="I524" s="191" t="s">
        <v>243</v>
      </c>
      <c r="J524" s="200"/>
      <c r="N524" s="49"/>
    </row>
    <row r="525" spans="1:14" ht="33.75">
      <c r="A525" s="12" t="s">
        <v>964</v>
      </c>
      <c r="B525" s="53" t="s">
        <v>219</v>
      </c>
      <c r="C525" s="8" t="s">
        <v>8</v>
      </c>
      <c r="D525" s="44">
        <v>2064</v>
      </c>
      <c r="E525" s="44"/>
      <c r="F525" s="45"/>
      <c r="G525" s="45"/>
      <c r="H525" s="44"/>
      <c r="I525" s="191" t="s">
        <v>243</v>
      </c>
      <c r="J525" s="200"/>
      <c r="N525" s="49"/>
    </row>
    <row r="526" spans="1:14" ht="33">
      <c r="A526" s="12" t="s">
        <v>966</v>
      </c>
      <c r="B526" s="10" t="s">
        <v>967</v>
      </c>
      <c r="C526" s="8" t="s">
        <v>4</v>
      </c>
      <c r="D526" s="44">
        <v>1</v>
      </c>
      <c r="E526" s="44"/>
      <c r="F526" s="45"/>
      <c r="G526" s="45"/>
      <c r="H526" s="44"/>
      <c r="I526" s="191" t="s">
        <v>243</v>
      </c>
      <c r="J526" s="200"/>
      <c r="N526" s="49"/>
    </row>
    <row r="527" spans="1:14" ht="33">
      <c r="A527" s="12" t="s">
        <v>969</v>
      </c>
      <c r="B527" s="10" t="s">
        <v>970</v>
      </c>
      <c r="C527" s="8" t="s">
        <v>8</v>
      </c>
      <c r="D527" s="44">
        <v>1011</v>
      </c>
      <c r="E527" s="44"/>
      <c r="F527" s="45"/>
      <c r="G527" s="45"/>
      <c r="H527" s="44"/>
      <c r="I527" s="191" t="s">
        <v>243</v>
      </c>
      <c r="J527" s="200"/>
      <c r="N527" s="49"/>
    </row>
    <row r="528" spans="1:14" ht="33">
      <c r="A528" s="12" t="s">
        <v>972</v>
      </c>
      <c r="B528" s="10" t="s">
        <v>220</v>
      </c>
      <c r="C528" s="8" t="s">
        <v>8</v>
      </c>
      <c r="D528" s="44">
        <v>946</v>
      </c>
      <c r="E528" s="44"/>
      <c r="F528" s="45"/>
      <c r="G528" s="45"/>
      <c r="H528" s="44"/>
      <c r="I528" s="191" t="s">
        <v>243</v>
      </c>
      <c r="J528" s="200"/>
      <c r="N528" s="49"/>
    </row>
    <row r="529" spans="1:15" ht="33">
      <c r="A529" s="12" t="s">
        <v>974</v>
      </c>
      <c r="B529" s="10" t="s">
        <v>975</v>
      </c>
      <c r="C529" s="8" t="s">
        <v>8</v>
      </c>
      <c r="D529" s="44">
        <v>55</v>
      </c>
      <c r="E529" s="44"/>
      <c r="F529" s="45"/>
      <c r="G529" s="45"/>
      <c r="H529" s="44"/>
      <c r="I529" s="191" t="s">
        <v>243</v>
      </c>
      <c r="J529" s="200"/>
      <c r="N529" s="49"/>
    </row>
    <row r="530" spans="1:15" ht="33">
      <c r="A530" s="12" t="s">
        <v>977</v>
      </c>
      <c r="B530" s="10" t="s">
        <v>978</v>
      </c>
      <c r="C530" s="8" t="s">
        <v>8</v>
      </c>
      <c r="D530" s="44">
        <v>22</v>
      </c>
      <c r="E530" s="44"/>
      <c r="F530" s="45"/>
      <c r="G530" s="45"/>
      <c r="H530" s="44"/>
      <c r="I530" s="191" t="s">
        <v>243</v>
      </c>
      <c r="J530" s="200"/>
      <c r="N530" s="49"/>
    </row>
    <row r="531" spans="1:15" ht="33">
      <c r="A531" s="12" t="s">
        <v>980</v>
      </c>
      <c r="B531" s="10" t="s">
        <v>981</v>
      </c>
      <c r="C531" s="8" t="s">
        <v>4</v>
      </c>
      <c r="D531" s="44">
        <v>1</v>
      </c>
      <c r="E531" s="44"/>
      <c r="F531" s="45"/>
      <c r="G531" s="45"/>
      <c r="H531" s="44"/>
      <c r="I531" s="191" t="s">
        <v>243</v>
      </c>
      <c r="J531" s="200"/>
      <c r="N531" s="49"/>
    </row>
    <row r="532" spans="1:15" ht="20.100000000000001" customHeight="1">
      <c r="A532" s="12" t="s">
        <v>983</v>
      </c>
      <c r="B532" s="7" t="s">
        <v>984</v>
      </c>
      <c r="C532" s="8" t="s">
        <v>4</v>
      </c>
      <c r="D532" s="44">
        <v>1</v>
      </c>
      <c r="E532" s="44"/>
      <c r="F532" s="45"/>
      <c r="G532" s="45"/>
      <c r="H532" s="44"/>
      <c r="I532" s="191" t="s">
        <v>243</v>
      </c>
      <c r="J532" s="200"/>
      <c r="N532" s="49"/>
    </row>
    <row r="533" spans="1:15" ht="33">
      <c r="A533" s="6" t="s">
        <v>986</v>
      </c>
      <c r="B533" s="7" t="s">
        <v>987</v>
      </c>
      <c r="C533" s="8" t="s">
        <v>4</v>
      </c>
      <c r="D533" s="44">
        <v>1</v>
      </c>
      <c r="E533" s="44"/>
      <c r="F533" s="45"/>
      <c r="G533" s="45"/>
      <c r="H533" s="44"/>
      <c r="I533" s="191" t="s">
        <v>243</v>
      </c>
      <c r="J533" s="200"/>
      <c r="N533" s="49"/>
    </row>
    <row r="534" spans="1:15" ht="33">
      <c r="A534" s="12" t="s">
        <v>988</v>
      </c>
      <c r="B534" s="7" t="s">
        <v>1530</v>
      </c>
      <c r="C534" s="8" t="s">
        <v>8</v>
      </c>
      <c r="D534" s="44">
        <v>1132</v>
      </c>
      <c r="E534" s="44">
        <v>2576.8000000000002</v>
      </c>
      <c r="F534" s="45" t="s">
        <v>1529</v>
      </c>
      <c r="G534" s="45" t="s">
        <v>1527</v>
      </c>
      <c r="H534" s="44">
        <f>(51.5/0.5*6*2)+(16*0.5*6)+(92/0.5*6)</f>
        <v>2388</v>
      </c>
      <c r="I534" s="192">
        <f>H534</f>
        <v>2388</v>
      </c>
      <c r="J534" s="200"/>
      <c r="N534" s="49"/>
    </row>
    <row r="535" spans="1:15" ht="33">
      <c r="A535" s="12" t="s">
        <v>991</v>
      </c>
      <c r="B535" s="53" t="s">
        <v>992</v>
      </c>
      <c r="C535" s="8" t="s">
        <v>8</v>
      </c>
      <c r="D535" s="44">
        <v>1132</v>
      </c>
      <c r="E535" s="44">
        <v>2576.8000000000002</v>
      </c>
      <c r="F535" s="45" t="s">
        <v>1529</v>
      </c>
      <c r="G535" s="45"/>
      <c r="H535" s="44">
        <f>H534</f>
        <v>2388</v>
      </c>
      <c r="I535" s="192">
        <f>H535</f>
        <v>2388</v>
      </c>
      <c r="J535" s="200"/>
      <c r="N535" s="49"/>
    </row>
    <row r="536" spans="1:15" ht="33">
      <c r="A536" s="12" t="s">
        <v>994</v>
      </c>
      <c r="B536" s="7" t="s">
        <v>1528</v>
      </c>
      <c r="C536" s="8" t="s">
        <v>13</v>
      </c>
      <c r="D536" s="44">
        <v>6198</v>
      </c>
      <c r="E536" s="44">
        <v>9215</v>
      </c>
      <c r="F536" s="45" t="s">
        <v>1531</v>
      </c>
      <c r="G536" s="45" t="s">
        <v>1532</v>
      </c>
      <c r="H536" s="44">
        <f>(5*2.5*38)+(5*2.5*12)+(5*2.5*20*8)+((51.5*2+92+16)*2.5)+(5*2.5*20*24)</f>
        <v>9152.5</v>
      </c>
      <c r="I536" s="192">
        <f t="shared" ref="I536:I545" si="3">H536</f>
        <v>9152.5</v>
      </c>
      <c r="J536" s="200"/>
      <c r="N536" s="49"/>
    </row>
    <row r="537" spans="1:15" ht="33.75">
      <c r="A537" s="12" t="s">
        <v>997</v>
      </c>
      <c r="B537" s="53" t="s">
        <v>998</v>
      </c>
      <c r="C537" s="8" t="s">
        <v>4</v>
      </c>
      <c r="D537" s="44">
        <v>1</v>
      </c>
      <c r="E537" s="44"/>
      <c r="F537" s="45"/>
      <c r="G537" s="45"/>
      <c r="H537" s="44"/>
      <c r="I537" s="192"/>
      <c r="J537" s="200"/>
      <c r="N537" s="49"/>
    </row>
    <row r="538" spans="1:15" ht="49.5">
      <c r="A538" s="12" t="s">
        <v>1000</v>
      </c>
      <c r="B538" s="741" t="s">
        <v>1001</v>
      </c>
      <c r="C538" s="742" t="s">
        <v>16</v>
      </c>
      <c r="D538" s="743">
        <v>2052</v>
      </c>
      <c r="E538" s="743"/>
      <c r="F538" s="553" t="s">
        <v>2639</v>
      </c>
      <c r="G538" s="553" t="s">
        <v>2874</v>
      </c>
      <c r="H538" s="743">
        <f>245*8+17*8</f>
        <v>2096</v>
      </c>
      <c r="I538" s="192">
        <f>SUM(H538:H541)</f>
        <v>2928</v>
      </c>
      <c r="J538" s="279">
        <f>I538-D538</f>
        <v>876</v>
      </c>
      <c r="N538" s="49"/>
      <c r="O538" s="30">
        <v>320</v>
      </c>
    </row>
    <row r="539" spans="1:15">
      <c r="A539" s="269"/>
      <c r="B539" s="485"/>
      <c r="C539" s="271"/>
      <c r="D539" s="272"/>
      <c r="E539" s="272"/>
      <c r="F539" s="273" t="s">
        <v>2546</v>
      </c>
      <c r="G539" s="273" t="s">
        <v>2547</v>
      </c>
      <c r="H539" s="272">
        <f>40*8</f>
        <v>320</v>
      </c>
      <c r="I539" s="287"/>
      <c r="J539" s="92"/>
      <c r="N539" s="49"/>
    </row>
    <row r="540" spans="1:15">
      <c r="A540" s="269"/>
      <c r="B540" s="485"/>
      <c r="C540" s="271"/>
      <c r="D540" s="272"/>
      <c r="E540" s="272"/>
      <c r="F540" s="273" t="s">
        <v>2548</v>
      </c>
      <c r="G540" s="273" t="s">
        <v>2549</v>
      </c>
      <c r="H540" s="272">
        <f>4*8*8</f>
        <v>256</v>
      </c>
      <c r="I540" s="287"/>
      <c r="J540" s="92"/>
      <c r="N540" s="49"/>
    </row>
    <row r="541" spans="1:15">
      <c r="A541" s="269"/>
      <c r="B541" s="485"/>
      <c r="C541" s="271"/>
      <c r="D541" s="272"/>
      <c r="E541" s="272"/>
      <c r="F541" s="273" t="s">
        <v>2550</v>
      </c>
      <c r="G541" s="273" t="s">
        <v>2549</v>
      </c>
      <c r="H541" s="272">
        <f>4*8*8</f>
        <v>256</v>
      </c>
      <c r="I541" s="287"/>
      <c r="J541" s="92"/>
      <c r="N541" s="49"/>
    </row>
    <row r="542" spans="1:15" ht="49.5">
      <c r="A542" s="12" t="s">
        <v>1003</v>
      </c>
      <c r="B542" s="744" t="s">
        <v>728</v>
      </c>
      <c r="C542" s="742" t="s">
        <v>6</v>
      </c>
      <c r="D542" s="743">
        <v>300</v>
      </c>
      <c r="E542" s="743">
        <v>720</v>
      </c>
      <c r="F542" s="553" t="s">
        <v>1526</v>
      </c>
      <c r="G542" s="553" t="s">
        <v>2873</v>
      </c>
      <c r="H542" s="743">
        <f>(10*3)+(62*3)+(25*3)+(57*3)+(6*3)+(19*3)+(5*3)+(45*3)*3+(32*3)</f>
        <v>1053</v>
      </c>
      <c r="I542" s="192">
        <f t="shared" si="3"/>
        <v>1053</v>
      </c>
      <c r="J542" s="279">
        <f>I542-E542</f>
        <v>333</v>
      </c>
      <c r="K542" s="486" t="s">
        <v>2551</v>
      </c>
      <c r="N542" s="49"/>
      <c r="O542" s="30">
        <v>256</v>
      </c>
    </row>
    <row r="543" spans="1:15" ht="33.75">
      <c r="A543" s="12" t="s">
        <v>1514</v>
      </c>
      <c r="B543" s="53" t="s">
        <v>1515</v>
      </c>
      <c r="C543" s="8" t="s">
        <v>8</v>
      </c>
      <c r="D543" s="44"/>
      <c r="E543" s="44">
        <v>132</v>
      </c>
      <c r="F543" s="45" t="s">
        <v>1525</v>
      </c>
      <c r="G543" s="45" t="s">
        <v>1524</v>
      </c>
      <c r="H543" s="44">
        <v>132</v>
      </c>
      <c r="I543" s="192">
        <f t="shared" si="3"/>
        <v>132</v>
      </c>
      <c r="J543" s="200"/>
      <c r="N543" s="49"/>
      <c r="O543" s="30">
        <v>256</v>
      </c>
    </row>
    <row r="544" spans="1:15" ht="33.75">
      <c r="A544" s="12" t="s">
        <v>1516</v>
      </c>
      <c r="B544" s="53" t="s">
        <v>1517</v>
      </c>
      <c r="C544" s="8" t="s">
        <v>8</v>
      </c>
      <c r="D544" s="44"/>
      <c r="E544" s="44">
        <v>106</v>
      </c>
      <c r="F544" s="45" t="s">
        <v>1520</v>
      </c>
      <c r="G544" s="45" t="s">
        <v>1523</v>
      </c>
      <c r="H544" s="44">
        <v>106</v>
      </c>
      <c r="I544" s="192">
        <f t="shared" si="3"/>
        <v>106</v>
      </c>
      <c r="J544" s="200"/>
      <c r="N544" s="49"/>
    </row>
    <row r="545" spans="1:14" ht="33.75">
      <c r="A545" s="12" t="s">
        <v>1518</v>
      </c>
      <c r="B545" s="53" t="s">
        <v>1519</v>
      </c>
      <c r="C545" s="8" t="s">
        <v>8</v>
      </c>
      <c r="D545" s="44"/>
      <c r="E545" s="44">
        <v>156</v>
      </c>
      <c r="F545" s="45" t="s">
        <v>1522</v>
      </c>
      <c r="G545" s="45" t="s">
        <v>1521</v>
      </c>
      <c r="H545" s="44">
        <v>156</v>
      </c>
      <c r="I545" s="192">
        <f t="shared" si="3"/>
        <v>156</v>
      </c>
      <c r="J545" s="200"/>
      <c r="N545" s="49"/>
    </row>
    <row r="546" spans="1:14" ht="23.25" customHeight="1">
      <c r="A546" s="6" t="s">
        <v>103</v>
      </c>
      <c r="B546" s="7" t="s">
        <v>11</v>
      </c>
      <c r="C546" s="8" t="s">
        <v>4</v>
      </c>
      <c r="D546" s="44">
        <v>1</v>
      </c>
      <c r="E546" s="44"/>
      <c r="F546" s="45"/>
      <c r="G546" s="45"/>
      <c r="H546" s="44"/>
      <c r="I546" s="191" t="s">
        <v>243</v>
      </c>
      <c r="J546" s="200"/>
      <c r="N546" s="49"/>
    </row>
    <row r="547" spans="1:14" ht="33">
      <c r="A547" s="12" t="s">
        <v>104</v>
      </c>
      <c r="B547" s="7" t="s">
        <v>1004</v>
      </c>
      <c r="C547" s="8" t="s">
        <v>4</v>
      </c>
      <c r="D547" s="44">
        <v>1</v>
      </c>
      <c r="E547" s="44"/>
      <c r="F547" s="45"/>
      <c r="G547" s="45"/>
      <c r="H547" s="44"/>
      <c r="I547" s="191" t="s">
        <v>243</v>
      </c>
      <c r="J547" s="200"/>
      <c r="N547" s="49"/>
    </row>
    <row r="548" spans="1:14" ht="33">
      <c r="A548" s="12" t="s">
        <v>105</v>
      </c>
      <c r="B548" s="7" t="s">
        <v>1006</v>
      </c>
      <c r="C548" s="8" t="s">
        <v>1007</v>
      </c>
      <c r="D548" s="44">
        <v>7</v>
      </c>
      <c r="E548" s="44"/>
      <c r="F548" s="45"/>
      <c r="G548" s="45">
        <f>2230-2160</f>
        <v>70</v>
      </c>
      <c r="H548" s="44"/>
      <c r="I548" s="191" t="s">
        <v>243</v>
      </c>
      <c r="J548" s="200"/>
      <c r="N548" s="49"/>
    </row>
    <row r="549" spans="1:14" ht="33.75">
      <c r="A549" s="12" t="s">
        <v>106</v>
      </c>
      <c r="B549" s="53" t="s">
        <v>1009</v>
      </c>
      <c r="C549" s="8" t="s">
        <v>1010</v>
      </c>
      <c r="D549" s="44">
        <v>730</v>
      </c>
      <c r="E549" s="44">
        <v>2230</v>
      </c>
      <c r="F549" s="45" t="s">
        <v>1816</v>
      </c>
      <c r="G549" s="45" t="s">
        <v>1817</v>
      </c>
      <c r="H549" s="44">
        <f>2*730+1*700+1*70</f>
        <v>2230</v>
      </c>
      <c r="I549" s="192">
        <f>H549</f>
        <v>2230</v>
      </c>
      <c r="J549" s="200"/>
      <c r="N549" s="49"/>
    </row>
    <row r="550" spans="1:14" ht="31.5">
      <c r="A550" s="12" t="s">
        <v>107</v>
      </c>
      <c r="B550" s="7" t="s">
        <v>1012</v>
      </c>
      <c r="C550" s="8" t="s">
        <v>1007</v>
      </c>
      <c r="D550" s="44">
        <v>2</v>
      </c>
      <c r="E550" s="44">
        <v>4</v>
      </c>
      <c r="F550" s="45" t="s">
        <v>1818</v>
      </c>
      <c r="G550" s="45" t="s">
        <v>1819</v>
      </c>
      <c r="H550" s="44">
        <v>4</v>
      </c>
      <c r="I550" s="192">
        <f t="shared" ref="I550:I556" si="4">H550</f>
        <v>4</v>
      </c>
      <c r="J550" s="200"/>
      <c r="N550" s="49"/>
    </row>
    <row r="551" spans="1:14" ht="28.5">
      <c r="A551" s="12" t="s">
        <v>108</v>
      </c>
      <c r="B551" s="10" t="s">
        <v>1014</v>
      </c>
      <c r="C551" s="8" t="s">
        <v>1015</v>
      </c>
      <c r="D551" s="44">
        <v>19</v>
      </c>
      <c r="E551" s="44"/>
      <c r="F551" s="45"/>
      <c r="G551" s="47" t="s">
        <v>1820</v>
      </c>
      <c r="H551" s="44">
        <f>730/30</f>
        <v>24.333333333333332</v>
      </c>
      <c r="I551" s="192">
        <f>D551</f>
        <v>19</v>
      </c>
      <c r="J551" s="279">
        <v>5</v>
      </c>
      <c r="K551" s="433" t="s">
        <v>3049</v>
      </c>
      <c r="N551" s="49"/>
    </row>
    <row r="552" spans="1:14" ht="31.5">
      <c r="A552" s="12" t="s">
        <v>109</v>
      </c>
      <c r="B552" s="7" t="s">
        <v>1017</v>
      </c>
      <c r="C552" s="8" t="s">
        <v>4</v>
      </c>
      <c r="D552" s="44">
        <v>1</v>
      </c>
      <c r="E552" s="44"/>
      <c r="F552" s="45"/>
      <c r="G552" s="45">
        <v>1</v>
      </c>
      <c r="H552" s="44"/>
      <c r="I552" s="192">
        <f t="shared" si="4"/>
        <v>0</v>
      </c>
      <c r="J552" s="200"/>
      <c r="N552" s="49"/>
    </row>
    <row r="553" spans="1:14" ht="31.5">
      <c r="A553" s="12" t="s">
        <v>156</v>
      </c>
      <c r="B553" s="7" t="s">
        <v>1019</v>
      </c>
      <c r="C553" s="8" t="s">
        <v>4</v>
      </c>
      <c r="D553" s="44">
        <v>1</v>
      </c>
      <c r="E553" s="44"/>
      <c r="F553" s="45" t="s">
        <v>1217</v>
      </c>
      <c r="G553" s="45">
        <v>1</v>
      </c>
      <c r="H553" s="44">
        <v>1</v>
      </c>
      <c r="I553" s="192">
        <f t="shared" si="4"/>
        <v>1</v>
      </c>
      <c r="J553" s="200"/>
      <c r="N553" s="49"/>
    </row>
    <row r="554" spans="1:14">
      <c r="A554" s="12" t="s">
        <v>155</v>
      </c>
      <c r="B554" s="7" t="s">
        <v>1021</v>
      </c>
      <c r="C554" s="8" t="s">
        <v>4</v>
      </c>
      <c r="D554" s="44">
        <v>1</v>
      </c>
      <c r="E554" s="44"/>
      <c r="F554" s="45"/>
      <c r="G554" s="45"/>
      <c r="H554" s="44">
        <v>0.3</v>
      </c>
      <c r="I554" s="192">
        <f t="shared" si="4"/>
        <v>0.3</v>
      </c>
      <c r="J554" s="200"/>
      <c r="N554" s="49"/>
    </row>
    <row r="555" spans="1:14">
      <c r="A555" s="12" t="s">
        <v>154</v>
      </c>
      <c r="B555" s="7" t="s">
        <v>1534</v>
      </c>
      <c r="C555" s="8" t="s">
        <v>13</v>
      </c>
      <c r="D555" s="44"/>
      <c r="E555" s="44">
        <v>464</v>
      </c>
      <c r="F555" s="45" t="s">
        <v>1343</v>
      </c>
      <c r="G555" s="45" t="s">
        <v>1539</v>
      </c>
      <c r="H555" s="44">
        <f>275+189</f>
        <v>464</v>
      </c>
      <c r="I555" s="192">
        <f t="shared" si="4"/>
        <v>464</v>
      </c>
      <c r="J555" s="200"/>
      <c r="N555" s="49"/>
    </row>
    <row r="556" spans="1:14">
      <c r="A556" s="12" t="s">
        <v>153</v>
      </c>
      <c r="B556" s="7" t="s">
        <v>1536</v>
      </c>
      <c r="C556" s="8" t="s">
        <v>15</v>
      </c>
      <c r="D556" s="44"/>
      <c r="E556" s="44">
        <v>2</v>
      </c>
      <c r="F556" s="45" t="s">
        <v>1537</v>
      </c>
      <c r="G556" s="45">
        <v>2</v>
      </c>
      <c r="H556" s="44">
        <v>2</v>
      </c>
      <c r="I556" s="192">
        <f t="shared" si="4"/>
        <v>2</v>
      </c>
      <c r="J556" s="200"/>
      <c r="N556" s="49"/>
    </row>
    <row r="557" spans="1:14" ht="31.5">
      <c r="A557" s="12" t="s">
        <v>2552</v>
      </c>
      <c r="B557" s="270" t="s">
        <v>2567</v>
      </c>
      <c r="C557" s="271" t="s">
        <v>16</v>
      </c>
      <c r="D557" s="272"/>
      <c r="E557" s="272">
        <v>129</v>
      </c>
      <c r="F557" s="273" t="s">
        <v>2587</v>
      </c>
      <c r="G557" s="273" t="s">
        <v>2588</v>
      </c>
      <c r="H557" s="272">
        <f>12+12+11+11+22+33+28</f>
        <v>129</v>
      </c>
      <c r="I557" s="192">
        <f>H557</f>
        <v>129</v>
      </c>
      <c r="J557" s="92"/>
      <c r="N557" s="49"/>
    </row>
    <row r="558" spans="1:14" ht="31.5">
      <c r="A558" s="12" t="s">
        <v>2553</v>
      </c>
      <c r="B558" s="270" t="s">
        <v>2568</v>
      </c>
      <c r="C558" s="271" t="s">
        <v>16</v>
      </c>
      <c r="D558" s="272"/>
      <c r="E558" s="272">
        <v>282</v>
      </c>
      <c r="F558" s="273" t="s">
        <v>2587</v>
      </c>
      <c r="G558" s="273" t="s">
        <v>2589</v>
      </c>
      <c r="H558" s="272">
        <f>10+26+73+33+31+21+31+57</f>
        <v>282</v>
      </c>
      <c r="I558" s="192">
        <f t="shared" ref="I558:I571" si="5">H558</f>
        <v>282</v>
      </c>
      <c r="J558" s="92"/>
      <c r="N558" s="49"/>
    </row>
    <row r="559" spans="1:14" ht="47.25">
      <c r="A559" s="12" t="s">
        <v>2554</v>
      </c>
      <c r="B559" s="270" t="s">
        <v>2569</v>
      </c>
      <c r="C559" s="271" t="s">
        <v>16</v>
      </c>
      <c r="D559" s="272"/>
      <c r="E559" s="272">
        <v>214.5</v>
      </c>
      <c r="F559" s="273" t="s">
        <v>2587</v>
      </c>
      <c r="G559" s="273" t="s">
        <v>2590</v>
      </c>
      <c r="H559" s="272">
        <f>12+52.5+20+30+32+30+38</f>
        <v>214.5</v>
      </c>
      <c r="I559" s="192">
        <f t="shared" si="5"/>
        <v>214.5</v>
      </c>
      <c r="J559" s="92"/>
      <c r="N559" s="49"/>
    </row>
    <row r="560" spans="1:14" ht="31.5">
      <c r="A560" s="12" t="s">
        <v>2555</v>
      </c>
      <c r="B560" s="270" t="s">
        <v>2570</v>
      </c>
      <c r="C560" s="271" t="s">
        <v>16</v>
      </c>
      <c r="D560" s="272"/>
      <c r="E560" s="272">
        <v>47</v>
      </c>
      <c r="F560" s="273" t="s">
        <v>2587</v>
      </c>
      <c r="G560" s="273" t="s">
        <v>2591</v>
      </c>
      <c r="H560" s="272">
        <f>2*19+9</f>
        <v>47</v>
      </c>
      <c r="I560" s="192">
        <f t="shared" si="5"/>
        <v>47</v>
      </c>
      <c r="J560" s="92"/>
      <c r="N560" s="49"/>
    </row>
    <row r="561" spans="1:14" ht="31.5">
      <c r="A561" s="12" t="s">
        <v>2556</v>
      </c>
      <c r="B561" s="270" t="s">
        <v>2571</v>
      </c>
      <c r="C561" s="271" t="s">
        <v>16</v>
      </c>
      <c r="D561" s="272"/>
      <c r="E561" s="272">
        <v>73</v>
      </c>
      <c r="F561" s="273" t="s">
        <v>2587</v>
      </c>
      <c r="G561" s="273" t="s">
        <v>2592</v>
      </c>
      <c r="H561" s="272">
        <f>12+11+21+11+18</f>
        <v>73</v>
      </c>
      <c r="I561" s="192">
        <f t="shared" si="5"/>
        <v>73</v>
      </c>
      <c r="J561" s="92"/>
      <c r="N561" s="49"/>
    </row>
    <row r="562" spans="1:14" ht="31.5">
      <c r="A562" s="12" t="s">
        <v>2557</v>
      </c>
      <c r="B562" s="270" t="s">
        <v>2572</v>
      </c>
      <c r="C562" s="271" t="s">
        <v>16</v>
      </c>
      <c r="D562" s="272"/>
      <c r="E562" s="272">
        <v>174</v>
      </c>
      <c r="F562" s="273" t="s">
        <v>2587</v>
      </c>
      <c r="G562" s="273" t="s">
        <v>2593</v>
      </c>
      <c r="H562" s="272">
        <f>18+12+18+22+22+22+22+38</f>
        <v>174</v>
      </c>
      <c r="I562" s="192">
        <f t="shared" si="5"/>
        <v>174</v>
      </c>
      <c r="J562" s="92"/>
      <c r="N562" s="49"/>
    </row>
    <row r="563" spans="1:14" ht="31.5">
      <c r="A563" s="12" t="s">
        <v>2558</v>
      </c>
      <c r="B563" s="270" t="s">
        <v>2573</v>
      </c>
      <c r="C563" s="271" t="s">
        <v>16</v>
      </c>
      <c r="D563" s="272"/>
      <c r="E563" s="272">
        <v>1695</v>
      </c>
      <c r="F563" s="273" t="s">
        <v>2587</v>
      </c>
      <c r="G563" s="273" t="s">
        <v>2594</v>
      </c>
      <c r="H563" s="272">
        <f>290+239+280+310+326+250</f>
        <v>1695</v>
      </c>
      <c r="I563" s="192">
        <f t="shared" si="5"/>
        <v>1695</v>
      </c>
      <c r="J563" s="92"/>
      <c r="N563" s="49"/>
    </row>
    <row r="564" spans="1:14">
      <c r="A564" s="12" t="s">
        <v>2559</v>
      </c>
      <c r="B564" s="270" t="s">
        <v>2574</v>
      </c>
      <c r="C564" s="271" t="s">
        <v>16</v>
      </c>
      <c r="D564" s="272"/>
      <c r="E564" s="272">
        <v>310</v>
      </c>
      <c r="F564" s="273" t="s">
        <v>2587</v>
      </c>
      <c r="G564" s="273" t="s">
        <v>2595</v>
      </c>
      <c r="H564" s="272">
        <f>50+60+60+50+70+20</f>
        <v>310</v>
      </c>
      <c r="I564" s="192">
        <f t="shared" si="5"/>
        <v>310</v>
      </c>
      <c r="J564" s="92"/>
      <c r="N564" s="49"/>
    </row>
    <row r="565" spans="1:14" ht="47.25">
      <c r="A565" s="12" t="s">
        <v>2560</v>
      </c>
      <c r="B565" s="270" t="s">
        <v>2575</v>
      </c>
      <c r="C565" s="271" t="s">
        <v>16</v>
      </c>
      <c r="D565" s="272"/>
      <c r="E565" s="272">
        <v>723.5</v>
      </c>
      <c r="F565" s="273" t="s">
        <v>2587</v>
      </c>
      <c r="G565" s="273" t="s">
        <v>2596</v>
      </c>
      <c r="H565" s="272">
        <f>168+242+142.5+171</f>
        <v>723.5</v>
      </c>
      <c r="I565" s="192">
        <f t="shared" si="5"/>
        <v>723.5</v>
      </c>
      <c r="J565" s="92"/>
      <c r="N565" s="49"/>
    </row>
    <row r="566" spans="1:14">
      <c r="A566" s="12" t="s">
        <v>2561</v>
      </c>
      <c r="B566" s="270" t="s">
        <v>2576</v>
      </c>
      <c r="C566" s="271" t="s">
        <v>16</v>
      </c>
      <c r="D566" s="272"/>
      <c r="E566" s="272">
        <v>122</v>
      </c>
      <c r="F566" s="273" t="s">
        <v>2587</v>
      </c>
      <c r="G566" s="273" t="s">
        <v>2597</v>
      </c>
      <c r="H566" s="272">
        <f>50+24+30+18</f>
        <v>122</v>
      </c>
      <c r="I566" s="192">
        <f t="shared" si="5"/>
        <v>122</v>
      </c>
      <c r="J566" s="92"/>
      <c r="N566" s="49"/>
    </row>
    <row r="567" spans="1:14" ht="31.5">
      <c r="A567" s="12" t="s">
        <v>2562</v>
      </c>
      <c r="B567" s="270" t="s">
        <v>2577</v>
      </c>
      <c r="C567" s="271" t="s">
        <v>16</v>
      </c>
      <c r="D567" s="272"/>
      <c r="E567" s="272">
        <v>421</v>
      </c>
      <c r="F567" s="273" t="s">
        <v>2587</v>
      </c>
      <c r="G567" s="273" t="s">
        <v>2598</v>
      </c>
      <c r="H567" s="272">
        <f>40+48+75+32+55+62+52+57</f>
        <v>421</v>
      </c>
      <c r="I567" s="192">
        <f t="shared" si="5"/>
        <v>421</v>
      </c>
      <c r="J567" s="92"/>
      <c r="N567" s="49"/>
    </row>
    <row r="568" spans="1:14" ht="31.5">
      <c r="A568" s="12" t="s">
        <v>2563</v>
      </c>
      <c r="B568" s="270" t="s">
        <v>2578</v>
      </c>
      <c r="C568" s="271" t="s">
        <v>16</v>
      </c>
      <c r="D568" s="272"/>
      <c r="E568" s="272">
        <v>28</v>
      </c>
      <c r="F568" s="273" t="s">
        <v>2587</v>
      </c>
      <c r="G568" s="273" t="s">
        <v>2599</v>
      </c>
      <c r="H568" s="272">
        <f>2*14</f>
        <v>28</v>
      </c>
      <c r="I568" s="192">
        <f t="shared" si="5"/>
        <v>28</v>
      </c>
      <c r="J568" s="92"/>
      <c r="N568" s="49"/>
    </row>
    <row r="569" spans="1:14" ht="31.5">
      <c r="A569" s="12" t="s">
        <v>2564</v>
      </c>
      <c r="B569" s="270" t="s">
        <v>2579</v>
      </c>
      <c r="C569" s="271" t="s">
        <v>16</v>
      </c>
      <c r="D569" s="272"/>
      <c r="E569" s="272">
        <v>442.5</v>
      </c>
      <c r="F569" s="273" t="s">
        <v>2587</v>
      </c>
      <c r="G569" s="273" t="s">
        <v>2600</v>
      </c>
      <c r="H569" s="272">
        <f>57.5+57.5+32.5+50+50+50+50+95</f>
        <v>442.5</v>
      </c>
      <c r="I569" s="192">
        <f t="shared" si="5"/>
        <v>442.5</v>
      </c>
      <c r="J569" s="92"/>
      <c r="N569" s="49"/>
    </row>
    <row r="570" spans="1:14" ht="63">
      <c r="A570" s="12" t="s">
        <v>2565</v>
      </c>
      <c r="B570" s="270" t="s">
        <v>2580</v>
      </c>
      <c r="C570" s="271" t="s">
        <v>14</v>
      </c>
      <c r="D570" s="272"/>
      <c r="E570" s="272">
        <v>2</v>
      </c>
      <c r="F570" s="273" t="s">
        <v>2587</v>
      </c>
      <c r="G570" s="273">
        <v>2</v>
      </c>
      <c r="H570" s="272">
        <f>2</f>
        <v>2</v>
      </c>
      <c r="I570" s="192">
        <f t="shared" si="5"/>
        <v>2</v>
      </c>
      <c r="J570" s="92"/>
      <c r="N570" s="49"/>
    </row>
    <row r="571" spans="1:14" ht="63">
      <c r="A571" s="12" t="s">
        <v>2566</v>
      </c>
      <c r="B571" s="270" t="s">
        <v>2581</v>
      </c>
      <c r="C571" s="271" t="s">
        <v>14</v>
      </c>
      <c r="D571" s="272"/>
      <c r="E571" s="272">
        <v>12</v>
      </c>
      <c r="F571" s="273" t="s">
        <v>2587</v>
      </c>
      <c r="G571" s="273" t="s">
        <v>2601</v>
      </c>
      <c r="H571" s="272">
        <f>1+2+1+2+2+2+2</f>
        <v>12</v>
      </c>
      <c r="I571" s="192">
        <f t="shared" si="5"/>
        <v>12</v>
      </c>
      <c r="J571" s="92"/>
      <c r="N571" s="49"/>
    </row>
    <row r="572" spans="1:14" ht="24.75" customHeight="1">
      <c r="A572" s="6" t="s">
        <v>110</v>
      </c>
      <c r="B572" s="7" t="s">
        <v>25</v>
      </c>
      <c r="C572" s="8" t="s">
        <v>4</v>
      </c>
      <c r="D572" s="44">
        <v>1</v>
      </c>
      <c r="E572" s="44"/>
      <c r="F572" s="273"/>
      <c r="G572" s="45"/>
      <c r="H572" s="44"/>
      <c r="I572" s="191" t="s">
        <v>243</v>
      </c>
      <c r="J572" s="200"/>
      <c r="N572" s="49"/>
    </row>
    <row r="573" spans="1:14" s="75" customFormat="1" ht="45">
      <c r="A573" s="12" t="s">
        <v>111</v>
      </c>
      <c r="B573" s="53" t="s">
        <v>1023</v>
      </c>
      <c r="C573" s="73" t="s">
        <v>7</v>
      </c>
      <c r="D573" s="44">
        <v>295</v>
      </c>
      <c r="E573" s="44"/>
      <c r="F573" s="68" t="s">
        <v>1551</v>
      </c>
      <c r="G573" s="45"/>
      <c r="H573" s="44">
        <v>55</v>
      </c>
      <c r="I573" s="192">
        <f>H573</f>
        <v>55</v>
      </c>
      <c r="J573" s="282"/>
      <c r="K573" s="433"/>
      <c r="L573" s="74"/>
      <c r="M573" s="170"/>
      <c r="N573" s="49"/>
    </row>
    <row r="574" spans="1:14" s="75" customFormat="1" ht="33.75">
      <c r="A574" s="12" t="s">
        <v>112</v>
      </c>
      <c r="B574" s="53" t="s">
        <v>1025</v>
      </c>
      <c r="C574" s="73" t="s">
        <v>15</v>
      </c>
      <c r="D574" s="44">
        <v>59</v>
      </c>
      <c r="E574" s="44"/>
      <c r="F574" s="45"/>
      <c r="G574" s="45"/>
      <c r="H574" s="44">
        <v>11</v>
      </c>
      <c r="I574" s="192">
        <f t="shared" ref="I574:I611" si="6">H574</f>
        <v>11</v>
      </c>
      <c r="J574" s="282"/>
      <c r="K574" s="433"/>
      <c r="L574" s="74"/>
      <c r="M574" s="170"/>
      <c r="N574" s="49"/>
    </row>
    <row r="575" spans="1:14" s="75" customFormat="1" ht="22.5">
      <c r="A575" s="12" t="s">
        <v>113</v>
      </c>
      <c r="B575" s="53" t="s">
        <v>1027</v>
      </c>
      <c r="C575" s="73" t="s">
        <v>15</v>
      </c>
      <c r="D575" s="44">
        <v>59</v>
      </c>
      <c r="E575" s="44"/>
      <c r="F575" s="45"/>
      <c r="G575" s="45"/>
      <c r="H575" s="44">
        <v>11</v>
      </c>
      <c r="I575" s="192">
        <f t="shared" si="6"/>
        <v>11</v>
      </c>
      <c r="J575" s="282"/>
      <c r="K575" s="433"/>
      <c r="L575" s="74"/>
      <c r="M575" s="170"/>
      <c r="N575" s="49"/>
    </row>
    <row r="576" spans="1:14" s="75" customFormat="1" ht="33.75">
      <c r="A576" s="12" t="s">
        <v>114</v>
      </c>
      <c r="B576" s="53" t="s">
        <v>1029</v>
      </c>
      <c r="C576" s="73" t="s">
        <v>1030</v>
      </c>
      <c r="D576" s="44">
        <v>9</v>
      </c>
      <c r="E576" s="44"/>
      <c r="F576" s="45"/>
      <c r="G576" s="45"/>
      <c r="H576" s="44">
        <v>0</v>
      </c>
      <c r="I576" s="192">
        <f t="shared" si="6"/>
        <v>0</v>
      </c>
      <c r="J576" s="282"/>
      <c r="K576" s="433"/>
      <c r="L576" s="74"/>
      <c r="M576" s="170"/>
      <c r="N576" s="49"/>
    </row>
    <row r="577" spans="1:14" s="75" customFormat="1" ht="45">
      <c r="A577" s="12" t="s">
        <v>152</v>
      </c>
      <c r="B577" s="53" t="s">
        <v>1032</v>
      </c>
      <c r="C577" s="73" t="s">
        <v>15</v>
      </c>
      <c r="D577" s="44">
        <v>22</v>
      </c>
      <c r="E577" s="44"/>
      <c r="F577" s="45"/>
      <c r="G577" s="45"/>
      <c r="H577" s="44">
        <v>8</v>
      </c>
      <c r="I577" s="192">
        <f t="shared" si="6"/>
        <v>8</v>
      </c>
      <c r="J577" s="282"/>
      <c r="K577" s="433"/>
      <c r="L577" s="74"/>
      <c r="M577" s="170"/>
      <c r="N577" s="49"/>
    </row>
    <row r="578" spans="1:14" s="75" customFormat="1" ht="45">
      <c r="A578" s="12" t="s">
        <v>151</v>
      </c>
      <c r="B578" s="53" t="s">
        <v>1034</v>
      </c>
      <c r="C578" s="73" t="s">
        <v>15</v>
      </c>
      <c r="D578" s="44">
        <v>22</v>
      </c>
      <c r="E578" s="44"/>
      <c r="F578" s="45"/>
      <c r="G578" s="45"/>
      <c r="H578" s="44">
        <v>8</v>
      </c>
      <c r="I578" s="192">
        <f t="shared" si="6"/>
        <v>8</v>
      </c>
      <c r="J578" s="282"/>
      <c r="K578" s="433"/>
      <c r="L578" s="74"/>
      <c r="M578" s="170"/>
      <c r="N578" s="49"/>
    </row>
    <row r="579" spans="1:14" s="75" customFormat="1" ht="45">
      <c r="A579" s="12" t="s">
        <v>150</v>
      </c>
      <c r="B579" s="53" t="s">
        <v>1036</v>
      </c>
      <c r="C579" s="73" t="s">
        <v>15</v>
      </c>
      <c r="D579" s="44">
        <v>5</v>
      </c>
      <c r="E579" s="44"/>
      <c r="F579" s="45"/>
      <c r="G579" s="45"/>
      <c r="H579" s="44">
        <v>0</v>
      </c>
      <c r="I579" s="192">
        <f t="shared" si="6"/>
        <v>0</v>
      </c>
      <c r="J579" s="282"/>
      <c r="K579" s="433"/>
      <c r="L579" s="74"/>
      <c r="M579" s="170"/>
      <c r="N579" s="49"/>
    </row>
    <row r="580" spans="1:14" s="75" customFormat="1" ht="45">
      <c r="A580" s="12" t="s">
        <v>149</v>
      </c>
      <c r="B580" s="53" t="s">
        <v>1038</v>
      </c>
      <c r="C580" s="73" t="s">
        <v>15</v>
      </c>
      <c r="D580" s="44">
        <v>5</v>
      </c>
      <c r="E580" s="44"/>
      <c r="F580" s="45"/>
      <c r="G580" s="45"/>
      <c r="H580" s="44">
        <v>0</v>
      </c>
      <c r="I580" s="192">
        <f t="shared" si="6"/>
        <v>0</v>
      </c>
      <c r="J580" s="282"/>
      <c r="K580" s="433"/>
      <c r="L580" s="74"/>
      <c r="M580" s="170"/>
      <c r="N580" s="49"/>
    </row>
    <row r="581" spans="1:14" s="75" customFormat="1" ht="33.75">
      <c r="A581" s="12" t="s">
        <v>148</v>
      </c>
      <c r="B581" s="53" t="s">
        <v>1040</v>
      </c>
      <c r="C581" s="73" t="s">
        <v>14</v>
      </c>
      <c r="D581" s="44">
        <v>1</v>
      </c>
      <c r="E581" s="44"/>
      <c r="F581" s="45"/>
      <c r="G581" s="45"/>
      <c r="H581" s="44">
        <v>0</v>
      </c>
      <c r="I581" s="192">
        <f t="shared" si="6"/>
        <v>0</v>
      </c>
      <c r="J581" s="282"/>
      <c r="K581" s="433"/>
      <c r="L581" s="74"/>
      <c r="M581" s="170"/>
      <c r="N581" s="49"/>
    </row>
    <row r="582" spans="1:14" s="75" customFormat="1" ht="33.75">
      <c r="A582" s="12" t="s">
        <v>1042</v>
      </c>
      <c r="B582" s="53" t="s">
        <v>1043</v>
      </c>
      <c r="C582" s="73" t="s">
        <v>15</v>
      </c>
      <c r="D582" s="44">
        <v>1</v>
      </c>
      <c r="E582" s="44"/>
      <c r="F582" s="45"/>
      <c r="G582" s="45"/>
      <c r="H582" s="44">
        <v>0</v>
      </c>
      <c r="I582" s="192">
        <f t="shared" si="6"/>
        <v>0</v>
      </c>
      <c r="J582" s="282"/>
      <c r="K582" s="433"/>
      <c r="L582" s="74"/>
      <c r="M582" s="170"/>
      <c r="N582" s="49"/>
    </row>
    <row r="583" spans="1:14" s="75" customFormat="1" ht="67.5">
      <c r="A583" s="12" t="s">
        <v>1045</v>
      </c>
      <c r="B583" s="53" t="s">
        <v>1046</v>
      </c>
      <c r="C583" s="73" t="s">
        <v>15</v>
      </c>
      <c r="D583" s="44">
        <v>1</v>
      </c>
      <c r="E583" s="44"/>
      <c r="F583" s="45"/>
      <c r="G583" s="45"/>
      <c r="H583" s="44">
        <v>0</v>
      </c>
      <c r="I583" s="192">
        <f t="shared" si="6"/>
        <v>0</v>
      </c>
      <c r="J583" s="282"/>
      <c r="K583" s="433"/>
      <c r="L583" s="74"/>
      <c r="M583" s="170"/>
      <c r="N583" s="49"/>
    </row>
    <row r="584" spans="1:14" s="75" customFormat="1" ht="45">
      <c r="A584" s="12" t="s">
        <v>1048</v>
      </c>
      <c r="B584" s="53" t="s">
        <v>1049</v>
      </c>
      <c r="C584" s="73" t="s">
        <v>15</v>
      </c>
      <c r="D584" s="44">
        <v>6</v>
      </c>
      <c r="E584" s="44"/>
      <c r="F584" s="45"/>
      <c r="G584" s="45"/>
      <c r="H584" s="44">
        <v>0</v>
      </c>
      <c r="I584" s="192">
        <f t="shared" si="6"/>
        <v>0</v>
      </c>
      <c r="J584" s="282"/>
      <c r="K584" s="433"/>
      <c r="L584" s="74"/>
      <c r="M584" s="170"/>
      <c r="N584" s="49"/>
    </row>
    <row r="585" spans="1:14" s="75" customFormat="1" ht="22.5">
      <c r="A585" s="12" t="s">
        <v>1051</v>
      </c>
      <c r="B585" s="53" t="s">
        <v>1052</v>
      </c>
      <c r="C585" s="73" t="s">
        <v>14</v>
      </c>
      <c r="D585" s="44">
        <v>75</v>
      </c>
      <c r="E585" s="44"/>
      <c r="F585" s="45" t="s">
        <v>1234</v>
      </c>
      <c r="G585" s="45"/>
      <c r="H585" s="44">
        <v>27</v>
      </c>
      <c r="I585" s="192">
        <f t="shared" si="6"/>
        <v>27</v>
      </c>
      <c r="J585" s="282"/>
      <c r="K585" s="433"/>
      <c r="L585" s="74"/>
      <c r="M585" s="170"/>
      <c r="N585" s="49"/>
    </row>
    <row r="586" spans="1:14" s="75" customFormat="1" ht="22.5">
      <c r="A586" s="12" t="s">
        <v>1054</v>
      </c>
      <c r="B586" s="53" t="s">
        <v>1055</v>
      </c>
      <c r="C586" s="73" t="s">
        <v>1007</v>
      </c>
      <c r="D586" s="44">
        <v>75</v>
      </c>
      <c r="E586" s="44"/>
      <c r="F586" s="45"/>
      <c r="G586" s="45"/>
      <c r="H586" s="44">
        <v>0</v>
      </c>
      <c r="I586" s="192">
        <f t="shared" si="6"/>
        <v>0</v>
      </c>
      <c r="J586" s="282"/>
      <c r="K586" s="433"/>
      <c r="L586" s="74"/>
      <c r="M586" s="170"/>
      <c r="N586" s="49"/>
    </row>
    <row r="587" spans="1:14" s="75" customFormat="1" ht="45">
      <c r="A587" s="12" t="s">
        <v>1057</v>
      </c>
      <c r="B587" s="53" t="s">
        <v>1058</v>
      </c>
      <c r="C587" s="73" t="s">
        <v>15</v>
      </c>
      <c r="D587" s="44">
        <v>1</v>
      </c>
      <c r="E587" s="44"/>
      <c r="F587" s="45"/>
      <c r="G587" s="45"/>
      <c r="H587" s="44">
        <v>0</v>
      </c>
      <c r="I587" s="192">
        <f t="shared" si="6"/>
        <v>0</v>
      </c>
      <c r="J587" s="282"/>
      <c r="K587" s="433"/>
      <c r="L587" s="74"/>
      <c r="M587" s="170"/>
      <c r="N587" s="49"/>
    </row>
    <row r="588" spans="1:14" s="75" customFormat="1" ht="33.75">
      <c r="A588" s="12" t="s">
        <v>1060</v>
      </c>
      <c r="B588" s="53" t="s">
        <v>1061</v>
      </c>
      <c r="C588" s="73" t="s">
        <v>15</v>
      </c>
      <c r="D588" s="44">
        <v>1</v>
      </c>
      <c r="E588" s="44"/>
      <c r="F588" s="45"/>
      <c r="G588" s="45"/>
      <c r="H588" s="44">
        <v>0</v>
      </c>
      <c r="I588" s="192">
        <f t="shared" si="6"/>
        <v>0</v>
      </c>
      <c r="J588" s="282"/>
      <c r="K588" s="433"/>
      <c r="L588" s="74"/>
      <c r="M588" s="170"/>
      <c r="N588" s="49"/>
    </row>
    <row r="589" spans="1:14" s="75" customFormat="1" ht="45">
      <c r="A589" s="12" t="s">
        <v>1063</v>
      </c>
      <c r="B589" s="53" t="s">
        <v>1064</v>
      </c>
      <c r="C589" s="73" t="s">
        <v>15</v>
      </c>
      <c r="D589" s="44">
        <v>11</v>
      </c>
      <c r="E589" s="44"/>
      <c r="F589" s="45"/>
      <c r="G589" s="45"/>
      <c r="H589" s="44">
        <v>0</v>
      </c>
      <c r="I589" s="192">
        <f t="shared" si="6"/>
        <v>0</v>
      </c>
      <c r="J589" s="282"/>
      <c r="K589" s="433"/>
      <c r="L589" s="74"/>
      <c r="M589" s="170"/>
      <c r="N589" s="49"/>
    </row>
    <row r="590" spans="1:14" s="75" customFormat="1" ht="33.75">
      <c r="A590" s="12" t="s">
        <v>1066</v>
      </c>
      <c r="B590" s="53" t="s">
        <v>1067</v>
      </c>
      <c r="C590" s="73" t="s">
        <v>15</v>
      </c>
      <c r="D590" s="44">
        <v>3</v>
      </c>
      <c r="E590" s="44"/>
      <c r="F590" s="45"/>
      <c r="G590" s="45"/>
      <c r="H590" s="44">
        <v>0</v>
      </c>
      <c r="I590" s="192">
        <f t="shared" si="6"/>
        <v>0</v>
      </c>
      <c r="J590" s="282"/>
      <c r="K590" s="433"/>
      <c r="L590" s="74"/>
      <c r="M590" s="170"/>
      <c r="N590" s="49"/>
    </row>
    <row r="591" spans="1:14" s="75" customFormat="1" ht="45">
      <c r="A591" s="12" t="s">
        <v>1069</v>
      </c>
      <c r="B591" s="53" t="s">
        <v>1070</v>
      </c>
      <c r="C591" s="73" t="s">
        <v>14</v>
      </c>
      <c r="D591" s="44">
        <v>5</v>
      </c>
      <c r="E591" s="44"/>
      <c r="F591" s="45"/>
      <c r="G591" s="45"/>
      <c r="H591" s="44">
        <v>0</v>
      </c>
      <c r="I591" s="192">
        <f t="shared" si="6"/>
        <v>0</v>
      </c>
      <c r="J591" s="282"/>
      <c r="K591" s="433"/>
      <c r="L591" s="74"/>
      <c r="M591" s="170"/>
      <c r="N591" s="49"/>
    </row>
    <row r="592" spans="1:14" s="75" customFormat="1" ht="33.75">
      <c r="A592" s="12" t="s">
        <v>1072</v>
      </c>
      <c r="B592" s="53" t="s">
        <v>1073</v>
      </c>
      <c r="C592" s="73" t="s">
        <v>14</v>
      </c>
      <c r="D592" s="44">
        <v>1</v>
      </c>
      <c r="E592" s="44"/>
      <c r="F592" s="45"/>
      <c r="G592" s="45"/>
      <c r="H592" s="44">
        <v>0</v>
      </c>
      <c r="I592" s="192">
        <f t="shared" si="6"/>
        <v>0</v>
      </c>
      <c r="J592" s="282"/>
      <c r="K592" s="433"/>
      <c r="L592" s="74"/>
      <c r="M592" s="170"/>
      <c r="N592" s="49"/>
    </row>
    <row r="593" spans="1:14" s="75" customFormat="1" ht="33.75">
      <c r="A593" s="12" t="s">
        <v>1075</v>
      </c>
      <c r="B593" s="53" t="s">
        <v>1076</v>
      </c>
      <c r="C593" s="73" t="s">
        <v>15</v>
      </c>
      <c r="D593" s="44">
        <v>2</v>
      </c>
      <c r="E593" s="44"/>
      <c r="F593" s="45"/>
      <c r="G593" s="45"/>
      <c r="H593" s="44">
        <v>0</v>
      </c>
      <c r="I593" s="192">
        <f t="shared" si="6"/>
        <v>0</v>
      </c>
      <c r="J593" s="282"/>
      <c r="K593" s="433"/>
      <c r="L593" s="74"/>
      <c r="M593" s="170"/>
      <c r="N593" s="49"/>
    </row>
    <row r="594" spans="1:14" s="75" customFormat="1" ht="33.75">
      <c r="A594" s="12" t="s">
        <v>1078</v>
      </c>
      <c r="B594" s="53" t="s">
        <v>1079</v>
      </c>
      <c r="C594" s="73" t="s">
        <v>14</v>
      </c>
      <c r="D594" s="44">
        <v>1</v>
      </c>
      <c r="E594" s="44"/>
      <c r="F594" s="45"/>
      <c r="G594" s="45"/>
      <c r="H594" s="44">
        <v>0</v>
      </c>
      <c r="I594" s="192">
        <f t="shared" si="6"/>
        <v>0</v>
      </c>
      <c r="J594" s="282"/>
      <c r="K594" s="433"/>
      <c r="L594" s="74"/>
      <c r="M594" s="170"/>
      <c r="N594" s="49"/>
    </row>
    <row r="595" spans="1:14" s="75" customFormat="1" ht="33.75">
      <c r="A595" s="12" t="s">
        <v>1081</v>
      </c>
      <c r="B595" s="53" t="s">
        <v>1082</v>
      </c>
      <c r="C595" s="73" t="s">
        <v>14</v>
      </c>
      <c r="D595" s="44">
        <v>1</v>
      </c>
      <c r="E595" s="44"/>
      <c r="F595" s="45"/>
      <c r="G595" s="45"/>
      <c r="H595" s="44">
        <v>0</v>
      </c>
      <c r="I595" s="192">
        <f t="shared" si="6"/>
        <v>0</v>
      </c>
      <c r="J595" s="282"/>
      <c r="K595" s="433"/>
      <c r="L595" s="74"/>
      <c r="M595" s="170"/>
      <c r="N595" s="49"/>
    </row>
    <row r="596" spans="1:14" s="75" customFormat="1" ht="33.75">
      <c r="A596" s="12" t="s">
        <v>1084</v>
      </c>
      <c r="B596" s="53" t="s">
        <v>1085</v>
      </c>
      <c r="C596" s="73" t="s">
        <v>15</v>
      </c>
      <c r="D596" s="44">
        <v>4</v>
      </c>
      <c r="E596" s="44"/>
      <c r="F596" s="45"/>
      <c r="G596" s="45"/>
      <c r="H596" s="44">
        <v>0</v>
      </c>
      <c r="I596" s="192">
        <f t="shared" si="6"/>
        <v>0</v>
      </c>
      <c r="J596" s="282"/>
      <c r="K596" s="433"/>
      <c r="L596" s="74"/>
      <c r="M596" s="170"/>
      <c r="N596" s="49"/>
    </row>
    <row r="597" spans="1:14" s="75" customFormat="1" ht="45">
      <c r="A597" s="12" t="s">
        <v>1087</v>
      </c>
      <c r="B597" s="53" t="s">
        <v>1088</v>
      </c>
      <c r="C597" s="73" t="s">
        <v>15</v>
      </c>
      <c r="D597" s="44">
        <v>2</v>
      </c>
      <c r="E597" s="44"/>
      <c r="F597" s="45"/>
      <c r="G597" s="45"/>
      <c r="H597" s="44">
        <v>0</v>
      </c>
      <c r="I597" s="192">
        <f t="shared" si="6"/>
        <v>0</v>
      </c>
      <c r="J597" s="282"/>
      <c r="K597" s="433"/>
      <c r="L597" s="74"/>
      <c r="M597" s="170"/>
      <c r="N597" s="49"/>
    </row>
    <row r="598" spans="1:14" s="75" customFormat="1" ht="33.75">
      <c r="A598" s="12" t="s">
        <v>1090</v>
      </c>
      <c r="B598" s="53" t="s">
        <v>1091</v>
      </c>
      <c r="C598" s="73" t="s">
        <v>14</v>
      </c>
      <c r="D598" s="44">
        <v>1</v>
      </c>
      <c r="E598" s="44"/>
      <c r="F598" s="45"/>
      <c r="G598" s="45"/>
      <c r="H598" s="44">
        <v>0</v>
      </c>
      <c r="I598" s="192">
        <f t="shared" si="6"/>
        <v>0</v>
      </c>
      <c r="J598" s="282"/>
      <c r="K598" s="433"/>
      <c r="L598" s="74"/>
      <c r="M598" s="170"/>
      <c r="N598" s="49"/>
    </row>
    <row r="599" spans="1:14" s="75" customFormat="1" ht="33.75">
      <c r="A599" s="12" t="s">
        <v>1093</v>
      </c>
      <c r="B599" s="53" t="s">
        <v>1094</v>
      </c>
      <c r="C599" s="73" t="s">
        <v>1095</v>
      </c>
      <c r="D599" s="44">
        <v>3</v>
      </c>
      <c r="E599" s="44"/>
      <c r="F599" s="45"/>
      <c r="G599" s="45"/>
      <c r="H599" s="44">
        <v>0</v>
      </c>
      <c r="I599" s="192">
        <f t="shared" si="6"/>
        <v>0</v>
      </c>
      <c r="J599" s="282"/>
      <c r="K599" s="433"/>
      <c r="L599" s="74"/>
      <c r="M599" s="170"/>
      <c r="N599" s="49"/>
    </row>
    <row r="600" spans="1:14" s="75" customFormat="1" ht="22.5">
      <c r="A600" s="12" t="s">
        <v>1097</v>
      </c>
      <c r="B600" s="53" t="s">
        <v>1098</v>
      </c>
      <c r="C600" s="73" t="s">
        <v>1095</v>
      </c>
      <c r="D600" s="44">
        <v>4</v>
      </c>
      <c r="E600" s="44"/>
      <c r="F600" s="45"/>
      <c r="G600" s="45"/>
      <c r="H600" s="44">
        <v>0</v>
      </c>
      <c r="I600" s="192">
        <f t="shared" si="6"/>
        <v>0</v>
      </c>
      <c r="J600" s="282"/>
      <c r="K600" s="433"/>
      <c r="L600" s="74"/>
      <c r="M600" s="170"/>
      <c r="N600" s="49"/>
    </row>
    <row r="601" spans="1:14" s="75" customFormat="1" ht="23.25" customHeight="1">
      <c r="A601" s="12" t="s">
        <v>1100</v>
      </c>
      <c r="B601" s="53" t="s">
        <v>1101</v>
      </c>
      <c r="C601" s="73" t="s">
        <v>15</v>
      </c>
      <c r="D601" s="44">
        <v>2</v>
      </c>
      <c r="E601" s="44"/>
      <c r="F601" s="45"/>
      <c r="G601" s="45"/>
      <c r="H601" s="44">
        <v>0</v>
      </c>
      <c r="I601" s="192">
        <f t="shared" si="6"/>
        <v>0</v>
      </c>
      <c r="J601" s="282"/>
      <c r="K601" s="433"/>
      <c r="L601" s="74"/>
      <c r="M601" s="170"/>
      <c r="N601" s="49"/>
    </row>
    <row r="602" spans="1:14" s="75" customFormat="1" ht="33.75">
      <c r="A602" s="12" t="s">
        <v>1103</v>
      </c>
      <c r="B602" s="53" t="s">
        <v>1104</v>
      </c>
      <c r="C602" s="73" t="s">
        <v>15</v>
      </c>
      <c r="D602" s="44">
        <v>4</v>
      </c>
      <c r="E602" s="44"/>
      <c r="F602" s="45"/>
      <c r="G602" s="45"/>
      <c r="H602" s="44">
        <v>0</v>
      </c>
      <c r="I602" s="192">
        <f t="shared" si="6"/>
        <v>0</v>
      </c>
      <c r="J602" s="282"/>
      <c r="K602" s="433"/>
      <c r="L602" s="74"/>
      <c r="M602" s="170"/>
      <c r="N602" s="49"/>
    </row>
    <row r="603" spans="1:14" s="75" customFormat="1" ht="33.75">
      <c r="A603" s="12" t="s">
        <v>1106</v>
      </c>
      <c r="B603" s="53" t="s">
        <v>1107</v>
      </c>
      <c r="C603" s="73" t="s">
        <v>14</v>
      </c>
      <c r="D603" s="44">
        <v>2</v>
      </c>
      <c r="E603" s="44"/>
      <c r="F603" s="45"/>
      <c r="G603" s="45"/>
      <c r="H603" s="44">
        <v>0</v>
      </c>
      <c r="I603" s="192">
        <f t="shared" si="6"/>
        <v>0</v>
      </c>
      <c r="J603" s="282"/>
      <c r="K603" s="433"/>
      <c r="L603" s="74"/>
      <c r="M603" s="170"/>
      <c r="N603" s="49"/>
    </row>
    <row r="604" spans="1:14" s="75" customFormat="1" ht="33.75">
      <c r="A604" s="12" t="s">
        <v>1109</v>
      </c>
      <c r="B604" s="53" t="s">
        <v>224</v>
      </c>
      <c r="C604" s="73" t="s">
        <v>15</v>
      </c>
      <c r="D604" s="44">
        <v>12</v>
      </c>
      <c r="E604" s="44"/>
      <c r="F604" s="45"/>
      <c r="G604" s="45"/>
      <c r="H604" s="44">
        <v>0</v>
      </c>
      <c r="I604" s="192">
        <f t="shared" si="6"/>
        <v>0</v>
      </c>
      <c r="J604" s="282"/>
      <c r="K604" s="433"/>
      <c r="L604" s="74"/>
      <c r="M604" s="170"/>
      <c r="N604" s="49"/>
    </row>
    <row r="605" spans="1:14" s="75" customFormat="1" ht="22.5">
      <c r="A605" s="12" t="s">
        <v>1111</v>
      </c>
      <c r="B605" s="53" t="s">
        <v>1112</v>
      </c>
      <c r="C605" s="73" t="s">
        <v>15</v>
      </c>
      <c r="D605" s="44">
        <v>2</v>
      </c>
      <c r="E605" s="44"/>
      <c r="F605" s="45"/>
      <c r="G605" s="45"/>
      <c r="H605" s="44">
        <v>2</v>
      </c>
      <c r="I605" s="192">
        <f t="shared" si="6"/>
        <v>2</v>
      </c>
      <c r="J605" s="282"/>
      <c r="K605" s="433"/>
      <c r="L605" s="74"/>
      <c r="M605" s="170"/>
      <c r="N605" s="49"/>
    </row>
    <row r="606" spans="1:14" s="75" customFormat="1" ht="33.75">
      <c r="A606" s="12" t="s">
        <v>1114</v>
      </c>
      <c r="B606" s="53" t="s">
        <v>1115</v>
      </c>
      <c r="C606" s="73" t="s">
        <v>1116</v>
      </c>
      <c r="D606" s="44">
        <v>4</v>
      </c>
      <c r="E606" s="44"/>
      <c r="F606" s="45"/>
      <c r="G606" s="45"/>
      <c r="H606" s="44">
        <v>0</v>
      </c>
      <c r="I606" s="192">
        <f t="shared" si="6"/>
        <v>0</v>
      </c>
      <c r="J606" s="282"/>
      <c r="K606" s="433"/>
      <c r="L606" s="74"/>
      <c r="M606" s="170"/>
      <c r="N606" s="49"/>
    </row>
    <row r="607" spans="1:14" s="75" customFormat="1">
      <c r="A607" s="12" t="s">
        <v>1541</v>
      </c>
      <c r="B607" s="53" t="s">
        <v>1542</v>
      </c>
      <c r="C607" s="73" t="s">
        <v>15</v>
      </c>
      <c r="D607" s="44"/>
      <c r="E607" s="44">
        <v>1</v>
      </c>
      <c r="F607" s="45"/>
      <c r="G607" s="45"/>
      <c r="H607" s="44">
        <v>1</v>
      </c>
      <c r="I607" s="192">
        <f t="shared" si="6"/>
        <v>1</v>
      </c>
      <c r="J607" s="282"/>
      <c r="K607" s="433"/>
      <c r="L607" s="74"/>
      <c r="M607" s="170"/>
      <c r="N607" s="49"/>
    </row>
    <row r="608" spans="1:14" s="75" customFormat="1" ht="22.5">
      <c r="A608" s="12" t="s">
        <v>1543</v>
      </c>
      <c r="B608" s="53" t="s">
        <v>1544</v>
      </c>
      <c r="C608" s="73" t="s">
        <v>15</v>
      </c>
      <c r="D608" s="44"/>
      <c r="E608" s="44">
        <v>1</v>
      </c>
      <c r="F608" s="45"/>
      <c r="G608" s="45"/>
      <c r="H608" s="44">
        <v>1</v>
      </c>
      <c r="I608" s="192">
        <f t="shared" si="6"/>
        <v>1</v>
      </c>
      <c r="J608" s="282"/>
      <c r="K608" s="433"/>
      <c r="L608" s="74"/>
      <c r="M608" s="170"/>
      <c r="N608" s="49"/>
    </row>
    <row r="609" spans="1:14" s="75" customFormat="1" ht="45">
      <c r="A609" s="12" t="s">
        <v>1545</v>
      </c>
      <c r="B609" s="53" t="s">
        <v>1546</v>
      </c>
      <c r="C609" s="73" t="s">
        <v>15</v>
      </c>
      <c r="D609" s="44"/>
      <c r="E609" s="44">
        <v>2</v>
      </c>
      <c r="F609" s="45"/>
      <c r="G609" s="45"/>
      <c r="H609" s="44">
        <v>2</v>
      </c>
      <c r="I609" s="192">
        <f t="shared" si="6"/>
        <v>2</v>
      </c>
      <c r="J609" s="282"/>
      <c r="K609" s="433"/>
      <c r="L609" s="74"/>
      <c r="M609" s="170"/>
      <c r="N609" s="49"/>
    </row>
    <row r="610" spans="1:14" s="75" customFormat="1" ht="33.75">
      <c r="A610" s="12" t="s">
        <v>1547</v>
      </c>
      <c r="B610" s="53" t="s">
        <v>1548</v>
      </c>
      <c r="C610" s="73" t="s">
        <v>15</v>
      </c>
      <c r="D610" s="44"/>
      <c r="E610" s="44">
        <v>1</v>
      </c>
      <c r="F610" s="45"/>
      <c r="G610" s="45"/>
      <c r="H610" s="44">
        <v>1</v>
      </c>
      <c r="I610" s="192">
        <f t="shared" si="6"/>
        <v>1</v>
      </c>
      <c r="J610" s="282"/>
      <c r="K610" s="433"/>
      <c r="L610" s="74"/>
      <c r="M610" s="170"/>
      <c r="N610" s="49"/>
    </row>
    <row r="611" spans="1:14" s="75" customFormat="1" ht="33.75">
      <c r="A611" s="12" t="s">
        <v>1549</v>
      </c>
      <c r="B611" s="53" t="s">
        <v>1550</v>
      </c>
      <c r="C611" s="73" t="s">
        <v>15</v>
      </c>
      <c r="D611" s="44"/>
      <c r="E611" s="44">
        <v>2</v>
      </c>
      <c r="F611" s="45"/>
      <c r="G611" s="45"/>
      <c r="H611" s="44">
        <v>2</v>
      </c>
      <c r="I611" s="192">
        <f t="shared" si="6"/>
        <v>2</v>
      </c>
      <c r="J611" s="282"/>
      <c r="K611" s="433"/>
      <c r="L611" s="74"/>
      <c r="M611" s="170"/>
      <c r="N611" s="49"/>
    </row>
    <row r="612" spans="1:14" ht="25.5" customHeight="1">
      <c r="A612" s="6" t="s">
        <v>115</v>
      </c>
      <c r="B612" s="7" t="s">
        <v>1118</v>
      </c>
      <c r="C612" s="8" t="s">
        <v>4</v>
      </c>
      <c r="D612" s="44">
        <v>1</v>
      </c>
      <c r="E612" s="44"/>
      <c r="F612" s="45"/>
      <c r="G612" s="45"/>
      <c r="H612" s="44"/>
      <c r="I612" s="191" t="s">
        <v>243</v>
      </c>
      <c r="J612" s="200"/>
      <c r="N612" s="49"/>
    </row>
    <row r="613" spans="1:14" ht="28.5">
      <c r="A613" s="12" t="s">
        <v>116</v>
      </c>
      <c r="B613" s="10" t="s">
        <v>26</v>
      </c>
      <c r="C613" s="8" t="s">
        <v>20</v>
      </c>
      <c r="D613" s="44">
        <v>48</v>
      </c>
      <c r="E613" s="44"/>
      <c r="F613" s="45"/>
      <c r="G613" s="45"/>
      <c r="H613" s="44">
        <v>20</v>
      </c>
      <c r="I613" s="192">
        <f>H613</f>
        <v>20</v>
      </c>
      <c r="J613" s="200"/>
      <c r="N613" s="49"/>
    </row>
    <row r="614" spans="1:14" ht="31.5">
      <c r="A614" s="12" t="s">
        <v>117</v>
      </c>
      <c r="B614" s="7" t="s">
        <v>27</v>
      </c>
      <c r="C614" s="8" t="s">
        <v>21</v>
      </c>
      <c r="D614" s="44">
        <v>6720</v>
      </c>
      <c r="E614" s="44">
        <v>28448</v>
      </c>
      <c r="F614" s="45"/>
      <c r="G614" s="45"/>
      <c r="H614" s="44">
        <v>8120</v>
      </c>
      <c r="I614" s="192">
        <f>H614</f>
        <v>8120</v>
      </c>
      <c r="J614" s="200"/>
      <c r="N614" s="49"/>
    </row>
    <row r="615" spans="1:14" ht="31.5">
      <c r="A615" s="12" t="s">
        <v>1552</v>
      </c>
      <c r="B615" s="7" t="s">
        <v>1553</v>
      </c>
      <c r="C615" s="8" t="s">
        <v>1554</v>
      </c>
      <c r="D615" s="44"/>
      <c r="E615" s="44">
        <v>1570</v>
      </c>
      <c r="F615" s="45"/>
      <c r="G615" s="45"/>
      <c r="H615" s="44">
        <v>228</v>
      </c>
      <c r="I615" s="192">
        <f>H615</f>
        <v>228</v>
      </c>
      <c r="J615" s="200"/>
      <c r="N615" s="49"/>
    </row>
    <row r="616" spans="1:14" ht="33">
      <c r="A616" s="6" t="s">
        <v>118</v>
      </c>
      <c r="B616" s="7" t="s">
        <v>1121</v>
      </c>
      <c r="C616" s="8" t="s">
        <v>4</v>
      </c>
      <c r="D616" s="44">
        <v>1</v>
      </c>
      <c r="E616" s="44"/>
      <c r="F616" s="45"/>
      <c r="G616" s="45"/>
      <c r="H616" s="44"/>
      <c r="I616" s="191" t="s">
        <v>243</v>
      </c>
      <c r="J616" s="200"/>
      <c r="N616" s="49"/>
    </row>
    <row r="617" spans="1:14" ht="33">
      <c r="A617" s="12" t="s">
        <v>119</v>
      </c>
      <c r="B617" s="10" t="s">
        <v>1122</v>
      </c>
      <c r="C617" s="8" t="s">
        <v>8</v>
      </c>
      <c r="D617" s="44">
        <v>1294.97</v>
      </c>
      <c r="E617" s="44"/>
      <c r="F617" s="45" t="s">
        <v>1560</v>
      </c>
      <c r="G617" s="45" t="s">
        <v>1562</v>
      </c>
      <c r="H617" s="44">
        <f>(26.7+162+38.2+16.7+58+10+12+85.8+30+66.5+104.5+88+175+82.8)+(85.9+69.2+36)+(31.5+29.1+37.6+28)</f>
        <v>1273.5</v>
      </c>
      <c r="I617" s="192">
        <f>H617</f>
        <v>1273.5</v>
      </c>
      <c r="J617" s="200"/>
      <c r="N617" s="49"/>
    </row>
    <row r="618" spans="1:14" ht="42.75">
      <c r="A618" s="12" t="s">
        <v>120</v>
      </c>
      <c r="B618" s="10" t="s">
        <v>1124</v>
      </c>
      <c r="C618" s="8" t="s">
        <v>13</v>
      </c>
      <c r="D618" s="44">
        <v>1840.93</v>
      </c>
      <c r="E618" s="44"/>
      <c r="F618" s="45" t="s">
        <v>1563</v>
      </c>
      <c r="G618" s="45" t="s">
        <v>1564</v>
      </c>
      <c r="H618" s="44">
        <f>((26.7+162+38.2+16.7+58+10+12+85.8+30+66.5+175)*2.4)+220</f>
        <v>1854.1599999999999</v>
      </c>
      <c r="I618" s="192">
        <f t="shared" ref="I618:I633" si="7">H618</f>
        <v>1854.1599999999999</v>
      </c>
      <c r="J618" s="200"/>
      <c r="N618" s="49"/>
    </row>
    <row r="619" spans="1:14" ht="42.75">
      <c r="A619" s="12" t="s">
        <v>121</v>
      </c>
      <c r="B619" s="10" t="s">
        <v>32</v>
      </c>
      <c r="C619" s="8" t="s">
        <v>7</v>
      </c>
      <c r="D619" s="44">
        <v>59</v>
      </c>
      <c r="E619" s="44"/>
      <c r="F619" s="45" t="s">
        <v>1218</v>
      </c>
      <c r="G619" s="45"/>
      <c r="H619" s="44">
        <v>59</v>
      </c>
      <c r="I619" s="192">
        <f t="shared" si="7"/>
        <v>59</v>
      </c>
      <c r="J619" s="200"/>
      <c r="N619" s="49"/>
    </row>
    <row r="620" spans="1:14">
      <c r="A620" s="12" t="s">
        <v>122</v>
      </c>
      <c r="B620" s="7" t="s">
        <v>33</v>
      </c>
      <c r="C620" s="8" t="s">
        <v>5</v>
      </c>
      <c r="D620" s="44">
        <v>30</v>
      </c>
      <c r="E620" s="44"/>
      <c r="F620" s="45" t="s">
        <v>1219</v>
      </c>
      <c r="G620" s="45"/>
      <c r="H620" s="44">
        <v>30</v>
      </c>
      <c r="I620" s="192">
        <f t="shared" si="7"/>
        <v>30</v>
      </c>
      <c r="J620" s="200"/>
      <c r="N620" s="49"/>
    </row>
    <row r="621" spans="1:14">
      <c r="A621" s="12" t="s">
        <v>123</v>
      </c>
      <c r="B621" s="7" t="s">
        <v>1128</v>
      </c>
      <c r="C621" s="8" t="s">
        <v>0</v>
      </c>
      <c r="D621" s="44">
        <v>19</v>
      </c>
      <c r="E621" s="44"/>
      <c r="F621" s="45" t="s">
        <v>1220</v>
      </c>
      <c r="G621" s="45"/>
      <c r="H621" s="44">
        <v>19</v>
      </c>
      <c r="I621" s="192">
        <f t="shared" si="7"/>
        <v>19</v>
      </c>
      <c r="J621" s="200"/>
      <c r="N621" s="49"/>
    </row>
    <row r="622" spans="1:14">
      <c r="A622" s="12" t="s">
        <v>124</v>
      </c>
      <c r="B622" s="7" t="s">
        <v>1130</v>
      </c>
      <c r="C622" s="8" t="s">
        <v>0</v>
      </c>
      <c r="D622" s="44">
        <v>10</v>
      </c>
      <c r="E622" s="44"/>
      <c r="F622" s="45" t="s">
        <v>1221</v>
      </c>
      <c r="G622" s="45"/>
      <c r="H622" s="44">
        <v>10</v>
      </c>
      <c r="I622" s="192">
        <f t="shared" si="7"/>
        <v>10</v>
      </c>
      <c r="J622" s="200"/>
      <c r="N622" s="49"/>
    </row>
    <row r="623" spans="1:14">
      <c r="A623" s="12" t="s">
        <v>125</v>
      </c>
      <c r="B623" s="7" t="s">
        <v>30</v>
      </c>
      <c r="C623" s="8" t="s">
        <v>0</v>
      </c>
      <c r="D623" s="44">
        <v>577</v>
      </c>
      <c r="E623" s="44"/>
      <c r="F623" s="45"/>
      <c r="G623" s="45"/>
      <c r="H623" s="44">
        <v>387</v>
      </c>
      <c r="I623" s="192">
        <f t="shared" si="7"/>
        <v>387</v>
      </c>
      <c r="J623" s="200"/>
      <c r="N623" s="49"/>
    </row>
    <row r="624" spans="1:14" ht="33.75">
      <c r="A624" s="12" t="s">
        <v>126</v>
      </c>
      <c r="B624" s="53" t="s">
        <v>1133</v>
      </c>
      <c r="C624" s="8" t="s">
        <v>0</v>
      </c>
      <c r="D624" s="44">
        <v>2</v>
      </c>
      <c r="E624" s="44"/>
      <c r="F624" s="45"/>
      <c r="G624" s="45"/>
      <c r="H624" s="44">
        <v>2</v>
      </c>
      <c r="I624" s="192">
        <f t="shared" si="7"/>
        <v>2</v>
      </c>
      <c r="J624" s="200"/>
      <c r="N624" s="49"/>
    </row>
    <row r="625" spans="1:14" ht="33">
      <c r="A625" s="12" t="s">
        <v>127</v>
      </c>
      <c r="B625" s="10" t="s">
        <v>28</v>
      </c>
      <c r="C625" s="8" t="s">
        <v>22</v>
      </c>
      <c r="D625" s="44">
        <v>19</v>
      </c>
      <c r="E625" s="44"/>
      <c r="F625" s="45" t="s">
        <v>1222</v>
      </c>
      <c r="G625" s="45"/>
      <c r="H625" s="44">
        <v>19</v>
      </c>
      <c r="I625" s="192">
        <f t="shared" si="7"/>
        <v>19</v>
      </c>
      <c r="J625" s="200"/>
      <c r="N625" s="49"/>
    </row>
    <row r="626" spans="1:14">
      <c r="A626" s="12" t="s">
        <v>128</v>
      </c>
      <c r="B626" s="7" t="s">
        <v>1136</v>
      </c>
      <c r="C626" s="8" t="s">
        <v>7</v>
      </c>
      <c r="D626" s="44">
        <v>19</v>
      </c>
      <c r="E626" s="44"/>
      <c r="F626" s="45" t="s">
        <v>1223</v>
      </c>
      <c r="G626" s="45"/>
      <c r="H626" s="44">
        <v>19</v>
      </c>
      <c r="I626" s="192">
        <f t="shared" si="7"/>
        <v>19</v>
      </c>
      <c r="J626" s="200"/>
      <c r="N626" s="49"/>
    </row>
    <row r="627" spans="1:14" ht="31.5">
      <c r="A627" s="12" t="s">
        <v>129</v>
      </c>
      <c r="B627" s="7" t="s">
        <v>1138</v>
      </c>
      <c r="C627" s="8" t="s">
        <v>1139</v>
      </c>
      <c r="D627" s="44">
        <v>2</v>
      </c>
      <c r="E627" s="44"/>
      <c r="F627" s="45" t="s">
        <v>1226</v>
      </c>
      <c r="G627" s="45"/>
      <c r="H627" s="44">
        <v>2</v>
      </c>
      <c r="I627" s="192">
        <f t="shared" si="7"/>
        <v>2</v>
      </c>
      <c r="J627" s="200"/>
      <c r="N627" s="49"/>
    </row>
    <row r="628" spans="1:14" ht="33">
      <c r="A628" s="12" t="s">
        <v>1141</v>
      </c>
      <c r="B628" s="7" t="s">
        <v>1142</v>
      </c>
      <c r="C628" s="8" t="s">
        <v>8</v>
      </c>
      <c r="D628" s="44">
        <v>698.15</v>
      </c>
      <c r="E628" s="44"/>
      <c r="F628" s="45" t="s">
        <v>1572</v>
      </c>
      <c r="G628" s="45" t="s">
        <v>1565</v>
      </c>
      <c r="H628" s="44">
        <f>((76.3+33.2+23)+39.2+(71*2)+(246.5+21))</f>
        <v>581.20000000000005</v>
      </c>
      <c r="I628" s="192">
        <f t="shared" si="7"/>
        <v>581.20000000000005</v>
      </c>
      <c r="J628" s="200"/>
      <c r="N628" s="49"/>
    </row>
    <row r="629" spans="1:14" ht="47.25">
      <c r="A629" s="12" t="s">
        <v>1144</v>
      </c>
      <c r="B629" s="7" t="s">
        <v>1145</v>
      </c>
      <c r="C629" s="8" t="s">
        <v>8</v>
      </c>
      <c r="D629" s="44">
        <v>2498.77</v>
      </c>
      <c r="E629" s="44"/>
      <c r="F629" s="76" t="s">
        <v>1570</v>
      </c>
      <c r="G629" s="45" t="s">
        <v>1571</v>
      </c>
      <c r="H629" s="44">
        <f>(22.5+31.5*2+13.6*2)+(156.2+233.5+72+31.5)+(51.7+18.9)+86.2+(95.2+45+22.5)+(62.3+38.5+22.5)</f>
        <v>1048.7</v>
      </c>
      <c r="I629" s="192">
        <f t="shared" si="7"/>
        <v>1048.7</v>
      </c>
      <c r="J629" s="200"/>
      <c r="N629" s="49"/>
    </row>
    <row r="630" spans="1:14" ht="31.5">
      <c r="A630" s="12" t="s">
        <v>1147</v>
      </c>
      <c r="B630" s="7" t="s">
        <v>1148</v>
      </c>
      <c r="C630" s="8" t="s">
        <v>8</v>
      </c>
      <c r="D630" s="44">
        <v>1396.3</v>
      </c>
      <c r="E630" s="44"/>
      <c r="F630" s="76" t="s">
        <v>1573</v>
      </c>
      <c r="G630" s="45"/>
      <c r="H630" s="44">
        <f>(32.3*2+41.5+16+30.5*2)+(53.5+25.2)+(18.5*2+21)+(65.2*2)+(246.5+36+27.6)</f>
        <v>760.30000000000007</v>
      </c>
      <c r="I630" s="192">
        <f t="shared" si="7"/>
        <v>760.30000000000007</v>
      </c>
      <c r="J630" s="200"/>
      <c r="N630" s="49"/>
    </row>
    <row r="631" spans="1:14">
      <c r="A631" s="12" t="s">
        <v>1150</v>
      </c>
      <c r="B631" s="7" t="s">
        <v>1151</v>
      </c>
      <c r="C631" s="8" t="s">
        <v>4</v>
      </c>
      <c r="D631" s="44">
        <v>1</v>
      </c>
      <c r="E631" s="44"/>
      <c r="F631" s="45"/>
      <c r="G631" s="45"/>
      <c r="H631" s="44"/>
      <c r="I631" s="192">
        <f t="shared" si="7"/>
        <v>0</v>
      </c>
      <c r="J631" s="200"/>
      <c r="N631" s="49"/>
    </row>
    <row r="632" spans="1:14" ht="28.5">
      <c r="A632" s="12" t="s">
        <v>1555</v>
      </c>
      <c r="B632" s="10" t="s">
        <v>1556</v>
      </c>
      <c r="C632" s="8" t="s">
        <v>8</v>
      </c>
      <c r="D632" s="44"/>
      <c r="E632" s="44">
        <v>355</v>
      </c>
      <c r="F632" s="45" t="s">
        <v>1566</v>
      </c>
      <c r="G632" s="45" t="s">
        <v>1567</v>
      </c>
      <c r="H632" s="44">
        <f>255+20*2</f>
        <v>295</v>
      </c>
      <c r="I632" s="192">
        <f t="shared" si="7"/>
        <v>295</v>
      </c>
      <c r="J632" s="200"/>
      <c r="N632" s="49"/>
    </row>
    <row r="633" spans="1:14">
      <c r="A633" s="12" t="s">
        <v>1557</v>
      </c>
      <c r="B633" s="7" t="s">
        <v>29</v>
      </c>
      <c r="C633" s="8" t="s">
        <v>8</v>
      </c>
      <c r="D633" s="44"/>
      <c r="E633" s="44">
        <v>465</v>
      </c>
      <c r="F633" s="45" t="s">
        <v>1568</v>
      </c>
      <c r="G633" s="45" t="s">
        <v>1569</v>
      </c>
      <c r="H633" s="44">
        <f>28*2</f>
        <v>56</v>
      </c>
      <c r="I633" s="192">
        <f t="shared" si="7"/>
        <v>56</v>
      </c>
      <c r="J633" s="200"/>
      <c r="N633" s="49"/>
    </row>
    <row r="634" spans="1:14" ht="84">
      <c r="A634" s="12" t="s">
        <v>1558</v>
      </c>
      <c r="B634" s="7" t="s">
        <v>1559</v>
      </c>
      <c r="C634" s="8" t="s">
        <v>16</v>
      </c>
      <c r="D634" s="44"/>
      <c r="E634" s="44">
        <v>4920</v>
      </c>
      <c r="F634" s="45" t="s">
        <v>2520</v>
      </c>
      <c r="G634" s="45" t="s">
        <v>3052</v>
      </c>
      <c r="H634" s="44">
        <f>415*5*3+720</f>
        <v>6945</v>
      </c>
      <c r="I634" s="192">
        <f>H634</f>
        <v>6945</v>
      </c>
      <c r="J634" s="279">
        <f>I634-E634</f>
        <v>2025</v>
      </c>
      <c r="K634" s="773" t="s">
        <v>3053</v>
      </c>
      <c r="M634" s="170" t="s">
        <v>2119</v>
      </c>
      <c r="N634" s="49"/>
    </row>
    <row r="635" spans="1:14" ht="31.5">
      <c r="A635" s="12" t="s">
        <v>2586</v>
      </c>
      <c r="B635" s="7" t="s">
        <v>2585</v>
      </c>
      <c r="C635" s="8" t="s">
        <v>4</v>
      </c>
      <c r="D635" s="44"/>
      <c r="E635" s="44">
        <v>1</v>
      </c>
      <c r="F635" s="45"/>
      <c r="G635" s="50">
        <v>1</v>
      </c>
      <c r="H635" s="79">
        <v>1</v>
      </c>
      <c r="I635" s="192">
        <v>1</v>
      </c>
      <c r="J635" s="200"/>
      <c r="M635" s="170" t="s">
        <v>2120</v>
      </c>
      <c r="N635" s="49"/>
    </row>
    <row r="636" spans="1:14" ht="24" customHeight="1">
      <c r="A636" s="6" t="s">
        <v>130</v>
      </c>
      <c r="B636" s="7" t="s">
        <v>34</v>
      </c>
      <c r="C636" s="8" t="s">
        <v>4</v>
      </c>
      <c r="D636" s="44">
        <v>1</v>
      </c>
      <c r="E636" s="44"/>
      <c r="F636" s="45"/>
      <c r="G636" s="45"/>
      <c r="H636" s="44"/>
      <c r="I636" s="191" t="s">
        <v>243</v>
      </c>
      <c r="J636" s="200"/>
      <c r="N636" s="49"/>
    </row>
    <row r="637" spans="1:14" ht="22.5">
      <c r="A637" s="12" t="s">
        <v>131</v>
      </c>
      <c r="B637" s="53" t="s">
        <v>146</v>
      </c>
      <c r="C637" s="8" t="s">
        <v>1007</v>
      </c>
      <c r="D637" s="44">
        <v>10</v>
      </c>
      <c r="E637" s="44"/>
      <c r="F637" s="45"/>
      <c r="G637" s="45"/>
      <c r="H637" s="44">
        <v>5</v>
      </c>
      <c r="I637" s="192">
        <f>H637</f>
        <v>5</v>
      </c>
      <c r="J637" s="200"/>
      <c r="N637" s="49"/>
    </row>
    <row r="638" spans="1:14" ht="22.5">
      <c r="A638" s="12" t="s">
        <v>132</v>
      </c>
      <c r="B638" s="53" t="s">
        <v>145</v>
      </c>
      <c r="C638" s="8" t="s">
        <v>1</v>
      </c>
      <c r="D638" s="44">
        <v>100</v>
      </c>
      <c r="E638" s="44"/>
      <c r="F638" s="45"/>
      <c r="G638" s="45"/>
      <c r="H638" s="44">
        <v>40</v>
      </c>
      <c r="I638" s="192">
        <f>H638</f>
        <v>40</v>
      </c>
      <c r="J638" s="200"/>
      <c r="N638" s="49"/>
    </row>
    <row r="639" spans="1:14" ht="22.5">
      <c r="A639" s="12" t="s">
        <v>133</v>
      </c>
      <c r="B639" s="53" t="s">
        <v>144</v>
      </c>
      <c r="C639" s="8" t="s">
        <v>9</v>
      </c>
      <c r="D639" s="44">
        <v>50</v>
      </c>
      <c r="E639" s="44"/>
      <c r="F639" s="45"/>
      <c r="G639" s="45"/>
      <c r="H639" s="44">
        <v>30</v>
      </c>
      <c r="I639" s="192">
        <f t="shared" ref="I639:I655" si="8">H639</f>
        <v>30</v>
      </c>
      <c r="J639" s="200"/>
      <c r="N639" s="49"/>
    </row>
    <row r="640" spans="1:14" ht="22.5">
      <c r="A640" s="12" t="s">
        <v>134</v>
      </c>
      <c r="B640" s="53" t="s">
        <v>35</v>
      </c>
      <c r="C640" s="8" t="s">
        <v>15</v>
      </c>
      <c r="D640" s="44">
        <v>75</v>
      </c>
      <c r="E640" s="44"/>
      <c r="F640" s="45"/>
      <c r="G640" s="45"/>
      <c r="H640" s="44">
        <v>40</v>
      </c>
      <c r="I640" s="192">
        <f t="shared" si="8"/>
        <v>40</v>
      </c>
      <c r="J640" s="200"/>
      <c r="N640" s="49"/>
    </row>
    <row r="641" spans="1:14" ht="22.5">
      <c r="A641" s="12" t="s">
        <v>135</v>
      </c>
      <c r="B641" s="53" t="s">
        <v>143</v>
      </c>
      <c r="C641" s="8" t="s">
        <v>3</v>
      </c>
      <c r="D641" s="44">
        <v>200</v>
      </c>
      <c r="E641" s="44"/>
      <c r="F641" s="45"/>
      <c r="G641" s="45"/>
      <c r="H641" s="44">
        <v>70</v>
      </c>
      <c r="I641" s="192">
        <f t="shared" si="8"/>
        <v>70</v>
      </c>
      <c r="J641" s="200"/>
      <c r="N641" s="49"/>
    </row>
    <row r="642" spans="1:14" ht="22.5">
      <c r="A642" s="12" t="s">
        <v>136</v>
      </c>
      <c r="B642" s="53" t="s">
        <v>36</v>
      </c>
      <c r="C642" s="8" t="s">
        <v>3</v>
      </c>
      <c r="D642" s="44">
        <v>100</v>
      </c>
      <c r="E642" s="44"/>
      <c r="F642" s="45"/>
      <c r="G642" s="45"/>
      <c r="H642" s="44">
        <v>40</v>
      </c>
      <c r="I642" s="192">
        <f t="shared" si="8"/>
        <v>40</v>
      </c>
      <c r="J642" s="200"/>
      <c r="N642" s="49"/>
    </row>
    <row r="643" spans="1:14" ht="22.5">
      <c r="A643" s="12" t="s">
        <v>137</v>
      </c>
      <c r="B643" s="53" t="s">
        <v>1159</v>
      </c>
      <c r="C643" s="8" t="s">
        <v>18</v>
      </c>
      <c r="D643" s="44">
        <v>75</v>
      </c>
      <c r="E643" s="44"/>
      <c r="F643" s="45"/>
      <c r="G643" s="45"/>
      <c r="H643" s="44">
        <v>0</v>
      </c>
      <c r="I643" s="192">
        <f t="shared" si="8"/>
        <v>0</v>
      </c>
      <c r="J643" s="200"/>
      <c r="N643" s="49"/>
    </row>
    <row r="644" spans="1:14" ht="33.75">
      <c r="A644" s="12" t="s">
        <v>138</v>
      </c>
      <c r="B644" s="53" t="s">
        <v>37</v>
      </c>
      <c r="C644" s="8" t="s">
        <v>18</v>
      </c>
      <c r="D644" s="44">
        <v>50</v>
      </c>
      <c r="E644" s="44"/>
      <c r="F644" s="45"/>
      <c r="G644" s="45"/>
      <c r="H644" s="44">
        <v>50</v>
      </c>
      <c r="I644" s="192">
        <f t="shared" si="8"/>
        <v>50</v>
      </c>
      <c r="J644" s="200"/>
      <c r="N644" s="49"/>
    </row>
    <row r="645" spans="1:14" ht="22.5">
      <c r="A645" s="12" t="s">
        <v>139</v>
      </c>
      <c r="B645" s="53" t="s">
        <v>1162</v>
      </c>
      <c r="C645" s="8" t="s">
        <v>15</v>
      </c>
      <c r="D645" s="44">
        <v>10</v>
      </c>
      <c r="E645" s="44"/>
      <c r="F645" s="45"/>
      <c r="G645" s="45"/>
      <c r="H645" s="44">
        <v>10</v>
      </c>
      <c r="I645" s="192">
        <f t="shared" si="8"/>
        <v>10</v>
      </c>
      <c r="J645" s="200"/>
      <c r="N645" s="49"/>
    </row>
    <row r="646" spans="1:14" ht="22.5">
      <c r="A646" s="12" t="s">
        <v>140</v>
      </c>
      <c r="B646" s="53" t="s">
        <v>38</v>
      </c>
      <c r="C646" s="8" t="s">
        <v>7</v>
      </c>
      <c r="D646" s="44">
        <v>4</v>
      </c>
      <c r="E646" s="44"/>
      <c r="F646" s="45" t="s">
        <v>1225</v>
      </c>
      <c r="G646" s="45"/>
      <c r="H646" s="44">
        <v>4</v>
      </c>
      <c r="I646" s="192">
        <f t="shared" si="8"/>
        <v>4</v>
      </c>
      <c r="J646" s="200"/>
      <c r="N646" s="49"/>
    </row>
    <row r="647" spans="1:14" ht="33.75">
      <c r="A647" s="12" t="s">
        <v>141</v>
      </c>
      <c r="B647" s="53" t="s">
        <v>1165</v>
      </c>
      <c r="C647" s="8" t="s">
        <v>15</v>
      </c>
      <c r="D647" s="44">
        <v>5</v>
      </c>
      <c r="E647" s="44"/>
      <c r="F647" s="45" t="s">
        <v>1228</v>
      </c>
      <c r="G647" s="45"/>
      <c r="H647" s="44">
        <v>5</v>
      </c>
      <c r="I647" s="192">
        <f t="shared" si="8"/>
        <v>5</v>
      </c>
      <c r="J647" s="200"/>
      <c r="N647" s="49"/>
    </row>
    <row r="648" spans="1:14" ht="22.5">
      <c r="A648" s="12" t="s">
        <v>1167</v>
      </c>
      <c r="B648" s="53" t="s">
        <v>1168</v>
      </c>
      <c r="C648" s="8" t="s">
        <v>15</v>
      </c>
      <c r="D648" s="44">
        <v>5</v>
      </c>
      <c r="E648" s="44"/>
      <c r="F648" s="45" t="s">
        <v>1229</v>
      </c>
      <c r="G648" s="45"/>
      <c r="H648" s="44">
        <v>5</v>
      </c>
      <c r="I648" s="192">
        <f t="shared" si="8"/>
        <v>5</v>
      </c>
      <c r="J648" s="200"/>
      <c r="N648" s="49"/>
    </row>
    <row r="649" spans="1:14" ht="33.75">
      <c r="A649" s="12" t="s">
        <v>1170</v>
      </c>
      <c r="B649" s="53" t="s">
        <v>1171</v>
      </c>
      <c r="C649" s="8" t="s">
        <v>15</v>
      </c>
      <c r="D649" s="44">
        <v>5</v>
      </c>
      <c r="E649" s="44"/>
      <c r="F649" s="45" t="s">
        <v>1227</v>
      </c>
      <c r="G649" s="45"/>
      <c r="H649" s="44">
        <v>5</v>
      </c>
      <c r="I649" s="192">
        <f t="shared" si="8"/>
        <v>5</v>
      </c>
      <c r="J649" s="200"/>
      <c r="N649" s="49"/>
    </row>
    <row r="650" spans="1:14" ht="33.75">
      <c r="A650" s="12" t="s">
        <v>1173</v>
      </c>
      <c r="B650" s="53" t="s">
        <v>1174</v>
      </c>
      <c r="C650" s="8" t="s">
        <v>15</v>
      </c>
      <c r="D650" s="44">
        <v>5</v>
      </c>
      <c r="E650" s="44"/>
      <c r="F650" s="45"/>
      <c r="G650" s="45"/>
      <c r="H650" s="44">
        <v>3</v>
      </c>
      <c r="I650" s="192">
        <f t="shared" si="8"/>
        <v>3</v>
      </c>
      <c r="J650" s="200"/>
      <c r="N650" s="49"/>
    </row>
    <row r="651" spans="1:14" ht="22.5">
      <c r="A651" s="12" t="s">
        <v>1176</v>
      </c>
      <c r="B651" s="53" t="s">
        <v>1177</v>
      </c>
      <c r="C651" s="8" t="s">
        <v>15</v>
      </c>
      <c r="D651" s="44">
        <v>80</v>
      </c>
      <c r="E651" s="44"/>
      <c r="F651" s="45"/>
      <c r="G651" s="45"/>
      <c r="H651" s="44">
        <v>20</v>
      </c>
      <c r="I651" s="192">
        <f t="shared" si="8"/>
        <v>20</v>
      </c>
      <c r="J651" s="200"/>
      <c r="N651" s="49"/>
    </row>
    <row r="652" spans="1:14" ht="28.5" customHeight="1">
      <c r="A652" s="12" t="s">
        <v>1179</v>
      </c>
      <c r="B652" s="53" t="s">
        <v>39</v>
      </c>
      <c r="C652" s="8" t="s">
        <v>4</v>
      </c>
      <c r="D652" s="44">
        <v>1</v>
      </c>
      <c r="E652" s="44"/>
      <c r="F652" s="45" t="s">
        <v>1224</v>
      </c>
      <c r="G652" s="45"/>
      <c r="H652" s="44">
        <v>0.4</v>
      </c>
      <c r="I652" s="192">
        <f t="shared" si="8"/>
        <v>0.4</v>
      </c>
      <c r="J652" s="200"/>
      <c r="N652" s="49"/>
    </row>
    <row r="653" spans="1:14">
      <c r="A653" s="12" t="s">
        <v>1181</v>
      </c>
      <c r="B653" s="53" t="s">
        <v>1182</v>
      </c>
      <c r="C653" s="8" t="s">
        <v>8</v>
      </c>
      <c r="D653" s="44">
        <v>5000</v>
      </c>
      <c r="E653" s="44"/>
      <c r="F653" s="45"/>
      <c r="G653" s="45"/>
      <c r="H653" s="44">
        <v>1060</v>
      </c>
      <c r="I653" s="192">
        <f t="shared" si="8"/>
        <v>1060</v>
      </c>
      <c r="J653" s="200"/>
      <c r="N653" s="49"/>
    </row>
    <row r="654" spans="1:14">
      <c r="A654" s="12" t="s">
        <v>1184</v>
      </c>
      <c r="B654" s="53" t="s">
        <v>225</v>
      </c>
      <c r="C654" s="8" t="s">
        <v>226</v>
      </c>
      <c r="D654" s="44">
        <v>48</v>
      </c>
      <c r="E654" s="44"/>
      <c r="F654" s="45"/>
      <c r="G654" s="45"/>
      <c r="H654" s="44">
        <v>20</v>
      </c>
      <c r="I654" s="192">
        <f t="shared" si="8"/>
        <v>20</v>
      </c>
      <c r="J654" s="200"/>
      <c r="N654" s="49"/>
    </row>
    <row r="655" spans="1:14" ht="22.5">
      <c r="A655" s="12" t="s">
        <v>1186</v>
      </c>
      <c r="B655" s="53" t="s">
        <v>1187</v>
      </c>
      <c r="C655" s="8" t="s">
        <v>4</v>
      </c>
      <c r="D655" s="44">
        <v>1</v>
      </c>
      <c r="E655" s="44"/>
      <c r="F655" s="45"/>
      <c r="G655" s="45"/>
      <c r="H655" s="44">
        <v>0.4</v>
      </c>
      <c r="I655" s="192">
        <f t="shared" si="8"/>
        <v>0.4</v>
      </c>
      <c r="J655" s="200"/>
      <c r="N655" s="49"/>
    </row>
    <row r="656" spans="1:14" ht="21.95" customHeight="1">
      <c r="A656" s="6" t="s">
        <v>1189</v>
      </c>
      <c r="B656" s="7" t="s">
        <v>227</v>
      </c>
      <c r="C656" s="8" t="s">
        <v>4</v>
      </c>
      <c r="D656" s="44">
        <v>1</v>
      </c>
      <c r="E656" s="44"/>
      <c r="F656" s="45"/>
      <c r="G656" s="45"/>
      <c r="H656" s="44"/>
      <c r="I656" s="191" t="s">
        <v>243</v>
      </c>
      <c r="J656" s="200"/>
      <c r="N656" s="49"/>
    </row>
    <row r="657" spans="1:14">
      <c r="A657" s="12" t="s">
        <v>1190</v>
      </c>
      <c r="B657" s="7" t="s">
        <v>228</v>
      </c>
      <c r="C657" s="8" t="s">
        <v>226</v>
      </c>
      <c r="D657" s="44">
        <v>48</v>
      </c>
      <c r="E657" s="44"/>
      <c r="F657" s="45"/>
      <c r="G657" s="45"/>
      <c r="H657" s="44">
        <v>20</v>
      </c>
      <c r="I657" s="192">
        <f>H657</f>
        <v>20</v>
      </c>
      <c r="J657" s="200"/>
      <c r="N657" s="49"/>
    </row>
    <row r="658" spans="1:14">
      <c r="A658" s="12" t="s">
        <v>1192</v>
      </c>
      <c r="B658" s="7" t="s">
        <v>1193</v>
      </c>
      <c r="C658" s="8" t="s">
        <v>4</v>
      </c>
      <c r="D658" s="44">
        <v>1</v>
      </c>
      <c r="E658" s="44"/>
      <c r="F658" s="45"/>
      <c r="G658" s="45"/>
      <c r="H658" s="44">
        <v>0.40980000000000005</v>
      </c>
      <c r="I658" s="192">
        <f>H658</f>
        <v>0.40980000000000005</v>
      </c>
      <c r="J658" s="200"/>
      <c r="N658" s="49"/>
    </row>
    <row r="659" spans="1:14" ht="27.75" customHeight="1">
      <c r="A659" s="6" t="s">
        <v>1195</v>
      </c>
      <c r="B659" s="10" t="s">
        <v>1196</v>
      </c>
      <c r="C659" s="8" t="s">
        <v>4</v>
      </c>
      <c r="D659" s="44">
        <v>1</v>
      </c>
      <c r="E659" s="44"/>
      <c r="F659" s="45"/>
      <c r="G659" s="45"/>
      <c r="H659" s="44"/>
      <c r="I659" s="191" t="s">
        <v>243</v>
      </c>
      <c r="J659" s="200"/>
      <c r="N659" s="49"/>
    </row>
    <row r="660" spans="1:14" ht="19.5" customHeight="1">
      <c r="A660" s="6" t="s">
        <v>1198</v>
      </c>
      <c r="B660" s="10" t="s">
        <v>1199</v>
      </c>
      <c r="C660" s="8" t="s">
        <v>4</v>
      </c>
      <c r="D660" s="44">
        <v>1</v>
      </c>
      <c r="E660" s="44"/>
      <c r="F660" s="45"/>
      <c r="G660" s="45"/>
      <c r="H660" s="44"/>
      <c r="I660" s="191" t="s">
        <v>243</v>
      </c>
      <c r="J660" s="200"/>
      <c r="N660" s="49"/>
    </row>
    <row r="661" spans="1:14">
      <c r="A661" s="12" t="s">
        <v>1201</v>
      </c>
      <c r="B661" s="10" t="s">
        <v>1199</v>
      </c>
      <c r="C661" s="8" t="s">
        <v>6</v>
      </c>
      <c r="D661" s="44">
        <v>13251</v>
      </c>
      <c r="E661" s="44"/>
      <c r="F661" s="45" t="s">
        <v>1576</v>
      </c>
      <c r="G661" s="45">
        <v>13251</v>
      </c>
      <c r="H661" s="44">
        <f>H54</f>
        <v>13251</v>
      </c>
      <c r="I661" s="192">
        <f>ROUND(H661+H662+H663+H664,0)</f>
        <v>18245</v>
      </c>
      <c r="J661" s="279">
        <f>I661-D661</f>
        <v>4994</v>
      </c>
      <c r="N661" s="49"/>
    </row>
    <row r="662" spans="1:14">
      <c r="A662" s="269"/>
      <c r="B662" s="432"/>
      <c r="C662" s="271"/>
      <c r="D662" s="272"/>
      <c r="E662" s="272" t="s">
        <v>3020</v>
      </c>
      <c r="F662" s="273" t="s">
        <v>3001</v>
      </c>
      <c r="G662" s="273" t="s">
        <v>3003</v>
      </c>
      <c r="H662" s="272">
        <f>4813.44-212</f>
        <v>4601.4399999999996</v>
      </c>
      <c r="I662" s="287"/>
      <c r="J662" s="285"/>
      <c r="N662" s="49"/>
    </row>
    <row r="663" spans="1:14">
      <c r="A663" s="269"/>
      <c r="B663" s="432"/>
      <c r="C663" s="271"/>
      <c r="D663" s="272"/>
      <c r="E663" s="272" t="s">
        <v>3021</v>
      </c>
      <c r="F663" s="273" t="s">
        <v>3011</v>
      </c>
      <c r="G663" s="273" t="s">
        <v>3012</v>
      </c>
      <c r="H663" s="272">
        <f>ROUND(0.3*0.3*3.14*10*57.108,2)</f>
        <v>161.38999999999999</v>
      </c>
      <c r="I663" s="287"/>
      <c r="J663" s="285"/>
      <c r="N663" s="49"/>
    </row>
    <row r="664" spans="1:14" ht="28.5">
      <c r="A664" s="269"/>
      <c r="B664" s="432"/>
      <c r="C664" s="271"/>
      <c r="D664" s="272"/>
      <c r="E664" s="272" t="s">
        <v>3022</v>
      </c>
      <c r="F664" s="10" t="s">
        <v>205</v>
      </c>
      <c r="G664" s="273">
        <v>231.09</v>
      </c>
      <c r="H664" s="272">
        <v>231.09</v>
      </c>
      <c r="I664" s="287"/>
      <c r="J664" s="285"/>
      <c r="N664" s="49"/>
    </row>
    <row r="665" spans="1:14" ht="33">
      <c r="A665" s="269"/>
      <c r="B665" s="432"/>
      <c r="C665" s="271"/>
      <c r="D665" s="272"/>
      <c r="E665" s="272" t="s">
        <v>3023</v>
      </c>
      <c r="F665" s="273" t="s">
        <v>3014</v>
      </c>
      <c r="G665" s="273" t="s">
        <v>3015</v>
      </c>
      <c r="H665" s="272">
        <f>ROUND(322/30*35,2)</f>
        <v>375.67</v>
      </c>
      <c r="I665" s="287"/>
      <c r="J665" s="285"/>
      <c r="N665" s="49"/>
    </row>
    <row r="666" spans="1:14">
      <c r="A666" s="269"/>
      <c r="B666" s="432"/>
      <c r="C666" s="271"/>
      <c r="D666" s="272"/>
      <c r="E666" s="272"/>
      <c r="F666" s="273"/>
      <c r="G666" s="273"/>
      <c r="H666" s="272"/>
      <c r="I666" s="287"/>
      <c r="J666" s="285"/>
      <c r="N666" s="49"/>
    </row>
    <row r="667" spans="1:14" ht="33">
      <c r="A667" s="6" t="s">
        <v>1203</v>
      </c>
      <c r="B667" s="10" t="s">
        <v>1204</v>
      </c>
      <c r="C667" s="8" t="s">
        <v>4</v>
      </c>
      <c r="D667" s="44">
        <v>1</v>
      </c>
      <c r="E667" s="44"/>
      <c r="F667" s="45"/>
      <c r="G667" s="45"/>
      <c r="H667" s="44"/>
      <c r="I667" s="191" t="s">
        <v>243</v>
      </c>
      <c r="J667" s="200"/>
      <c r="N667" s="49"/>
    </row>
    <row r="668" spans="1:14">
      <c r="A668" s="12" t="s">
        <v>1206</v>
      </c>
      <c r="B668" s="10" t="s">
        <v>1207</v>
      </c>
      <c r="C668" s="8" t="s">
        <v>13</v>
      </c>
      <c r="D668" s="44">
        <v>1000</v>
      </c>
      <c r="E668" s="44">
        <v>3208.78</v>
      </c>
      <c r="F668" s="45"/>
      <c r="G668" s="45"/>
      <c r="H668" s="44">
        <v>3208.78</v>
      </c>
      <c r="I668" s="192">
        <f>H668</f>
        <v>3208.78</v>
      </c>
      <c r="J668" s="200"/>
      <c r="N668" s="49"/>
    </row>
    <row r="669" spans="1:14" ht="24.75" customHeight="1">
      <c r="A669" s="6"/>
      <c r="B669" s="10" t="s">
        <v>1209</v>
      </c>
      <c r="C669" s="8"/>
      <c r="D669" s="44"/>
      <c r="E669" s="44"/>
      <c r="F669" s="45"/>
      <c r="G669" s="45"/>
      <c r="H669" s="46"/>
      <c r="I669" s="191" t="s">
        <v>243</v>
      </c>
      <c r="J669" s="200"/>
    </row>
    <row r="670" spans="1:14" ht="21.95" customHeight="1">
      <c r="A670" s="6"/>
      <c r="B670" s="7" t="s">
        <v>1210</v>
      </c>
      <c r="C670" s="8"/>
      <c r="D670" s="44"/>
      <c r="E670" s="44"/>
      <c r="F670" s="45"/>
      <c r="G670" s="45"/>
      <c r="H670" s="46"/>
      <c r="I670" s="191" t="s">
        <v>243</v>
      </c>
      <c r="J670" s="200"/>
    </row>
    <row r="671" spans="1:14" ht="10.5" customHeight="1">
      <c r="A671" s="1002"/>
      <c r="B671" s="1003"/>
      <c r="C671" s="1003"/>
      <c r="D671" s="1003"/>
      <c r="E671" s="1003"/>
      <c r="F671" s="1003"/>
      <c r="G671" s="1003"/>
      <c r="H671" s="1004"/>
      <c r="I671" s="199"/>
      <c r="J671" s="200"/>
    </row>
  </sheetData>
  <autoFilter ref="A5:L670" xr:uid="{E21CD539-3EB1-4D8C-9974-633841A871FF}"/>
  <mergeCells count="2">
    <mergeCell ref="A3:F3"/>
    <mergeCell ref="A671:H671"/>
  </mergeCells>
  <phoneticPr fontId="1" type="noConversion"/>
  <printOptions horizontalCentered="1"/>
  <pageMargins left="0.11811023622047245" right="0.11811023622047245" top="0.35433070866141736" bottom="0.15748031496062992" header="0.31496062992125984" footer="0.31496062992125984"/>
  <pageSetup paperSize="9" scale="72" orientation="landscape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20A91-C958-41AC-9677-501FD2802CA1}">
  <dimension ref="A1:U471"/>
  <sheetViews>
    <sheetView view="pageBreakPreview" zoomScale="95" zoomScaleNormal="100" zoomScaleSheetLayoutView="95" workbookViewId="0">
      <pane ySplit="8" topLeftCell="A11" activePane="bottomLeft" state="frozen"/>
      <selection pane="bottomLeft" activeCell="F18" sqref="F18"/>
    </sheetView>
  </sheetViews>
  <sheetFormatPr defaultColWidth="9.140625" defaultRowHeight="12.75"/>
  <cols>
    <col min="1" max="1" width="3.28515625" style="82" customWidth="1"/>
    <col min="2" max="2" width="31.140625" style="82" customWidth="1"/>
    <col min="3" max="3" width="4.140625" style="82" customWidth="1"/>
    <col min="4" max="6" width="9.28515625" style="82" customWidth="1"/>
    <col min="7" max="7" width="11.7109375" style="82" customWidth="1"/>
    <col min="8" max="8" width="10.7109375" style="82" customWidth="1"/>
    <col min="9" max="10" width="14.7109375" style="82" customWidth="1"/>
    <col min="11" max="11" width="14.7109375" style="545" customWidth="1"/>
    <col min="12" max="12" width="14.7109375" style="94" customWidth="1"/>
    <col min="13" max="13" width="14.28515625" style="82" customWidth="1"/>
    <col min="14" max="14" width="2.28515625" style="82" customWidth="1"/>
    <col min="15" max="15" width="24.140625" style="325" customWidth="1"/>
    <col min="16" max="16" width="26.42578125" style="325" customWidth="1"/>
    <col min="17" max="17" width="38.140625" style="82" customWidth="1"/>
    <col min="18" max="18" width="28.5703125" style="82" customWidth="1"/>
    <col min="19" max="19" width="25" style="82" customWidth="1"/>
    <col min="20" max="20" width="16.140625" style="82" customWidth="1"/>
    <col min="21" max="16384" width="9.140625" style="82"/>
  </cols>
  <sheetData>
    <row r="1" spans="1:17" ht="25.5">
      <c r="A1" s="323"/>
      <c r="B1" s="323"/>
      <c r="C1" s="980" t="s">
        <v>230</v>
      </c>
      <c r="D1" s="980"/>
      <c r="E1" s="980"/>
      <c r="F1" s="980"/>
      <c r="G1" s="980"/>
      <c r="H1" s="980"/>
      <c r="I1" s="980"/>
      <c r="J1" s="980"/>
      <c r="K1" s="980"/>
      <c r="L1" s="531"/>
      <c r="M1" s="324"/>
      <c r="N1" s="1"/>
    </row>
    <row r="2" spans="1:17" ht="19.5">
      <c r="A2" s="981" t="s">
        <v>242</v>
      </c>
      <c r="B2" s="981"/>
      <c r="C2" s="982" t="s">
        <v>2603</v>
      </c>
      <c r="D2" s="982"/>
      <c r="E2" s="982"/>
      <c r="F2" s="982"/>
      <c r="G2" s="982"/>
      <c r="H2" s="982"/>
      <c r="I2" s="982"/>
      <c r="J2" s="982"/>
      <c r="K2" s="982"/>
      <c r="L2" s="532"/>
      <c r="M2" s="29"/>
      <c r="N2" s="1"/>
    </row>
    <row r="3" spans="1:17" ht="16.5">
      <c r="A3" s="983" t="s">
        <v>2140</v>
      </c>
      <c r="B3" s="983"/>
      <c r="C3" s="983"/>
      <c r="D3" s="983"/>
      <c r="E3" s="983"/>
      <c r="F3" s="983"/>
      <c r="G3" s="983"/>
      <c r="H3" s="983"/>
      <c r="I3" s="983"/>
      <c r="J3" s="983"/>
      <c r="K3" s="537" t="s">
        <v>2299</v>
      </c>
      <c r="L3" s="984">
        <v>45672</v>
      </c>
      <c r="M3" s="984"/>
      <c r="N3" s="327"/>
      <c r="P3" s="328"/>
    </row>
    <row r="4" spans="1:17" ht="16.5">
      <c r="A4" s="566" t="s">
        <v>2970</v>
      </c>
      <c r="B4" s="567"/>
      <c r="C4" s="567"/>
      <c r="D4" s="567"/>
      <c r="E4" s="567"/>
      <c r="F4" s="567"/>
      <c r="G4" s="567"/>
      <c r="H4" s="567"/>
      <c r="I4" s="568"/>
      <c r="J4" s="329" t="s">
        <v>2300</v>
      </c>
      <c r="K4" s="538"/>
      <c r="L4" s="973">
        <v>257600000</v>
      </c>
      <c r="M4" s="974"/>
      <c r="N4" s="327"/>
      <c r="O4" s="328"/>
    </row>
    <row r="5" spans="1:17" ht="16.5">
      <c r="A5" s="970" t="s">
        <v>2604</v>
      </c>
      <c r="B5" s="971"/>
      <c r="C5" s="971"/>
      <c r="D5" s="971"/>
      <c r="E5" s="971"/>
      <c r="F5" s="971"/>
      <c r="G5" s="971"/>
      <c r="H5" s="971"/>
      <c r="I5" s="972"/>
      <c r="J5" s="387" t="s">
        <v>2301</v>
      </c>
      <c r="K5" s="539"/>
      <c r="L5" s="973">
        <v>308240521</v>
      </c>
      <c r="M5" s="974"/>
      <c r="N5" s="327"/>
    </row>
    <row r="6" spans="1:17" ht="16.5">
      <c r="A6" s="975" t="s">
        <v>2637</v>
      </c>
      <c r="B6" s="976"/>
      <c r="C6" s="976"/>
      <c r="D6" s="976"/>
      <c r="E6" s="976"/>
      <c r="F6" s="976"/>
      <c r="G6" s="976"/>
      <c r="H6" s="976"/>
      <c r="I6" s="977"/>
      <c r="J6" s="329" t="s">
        <v>2302</v>
      </c>
      <c r="K6" s="538"/>
      <c r="L6" s="978">
        <f>J9</f>
        <v>323647565.53000009</v>
      </c>
      <c r="M6" s="979"/>
      <c r="N6" s="327"/>
      <c r="O6" s="331"/>
      <c r="P6" s="331"/>
    </row>
    <row r="7" spans="1:17" ht="14.25" customHeight="1">
      <c r="A7" s="957" t="s">
        <v>235</v>
      </c>
      <c r="B7" s="964" t="s">
        <v>2303</v>
      </c>
      <c r="C7" s="964" t="s">
        <v>237</v>
      </c>
      <c r="D7" s="957" t="s">
        <v>2605</v>
      </c>
      <c r="E7" s="957" t="s">
        <v>2602</v>
      </c>
      <c r="F7" s="968" t="s">
        <v>2305</v>
      </c>
      <c r="G7" s="957" t="s">
        <v>2306</v>
      </c>
      <c r="H7" s="957" t="s">
        <v>2307</v>
      </c>
      <c r="I7" s="957" t="s">
        <v>2308</v>
      </c>
      <c r="J7" s="957" t="s">
        <v>2612</v>
      </c>
      <c r="K7" s="959" t="s">
        <v>2309</v>
      </c>
      <c r="L7" s="961" t="s">
        <v>2310</v>
      </c>
      <c r="M7" s="964" t="s">
        <v>2311</v>
      </c>
      <c r="N7" s="332"/>
      <c r="O7" s="1005" t="s">
        <v>2312</v>
      </c>
      <c r="P7" s="967" t="s">
        <v>2313</v>
      </c>
      <c r="Q7" s="963" t="s">
        <v>2314</v>
      </c>
    </row>
    <row r="8" spans="1:17" ht="14.25">
      <c r="A8" s="958"/>
      <c r="B8" s="965"/>
      <c r="C8" s="965"/>
      <c r="D8" s="958"/>
      <c r="E8" s="958"/>
      <c r="F8" s="969"/>
      <c r="G8" s="958"/>
      <c r="H8" s="958"/>
      <c r="I8" s="958"/>
      <c r="J8" s="958"/>
      <c r="K8" s="960"/>
      <c r="L8" s="962"/>
      <c r="M8" s="965"/>
      <c r="N8" s="332"/>
      <c r="O8" s="1006"/>
      <c r="P8" s="967"/>
      <c r="Q8" s="963"/>
    </row>
    <row r="9" spans="1:17" ht="33">
      <c r="A9" s="333" t="s">
        <v>10</v>
      </c>
      <c r="B9" s="334" t="s">
        <v>12</v>
      </c>
      <c r="C9" s="335" t="s">
        <v>4</v>
      </c>
      <c r="D9" s="336"/>
      <c r="E9" s="336"/>
      <c r="F9" s="336"/>
      <c r="G9" s="336">
        <f>I9</f>
        <v>308240521.00000006</v>
      </c>
      <c r="H9" s="336"/>
      <c r="I9" s="419">
        <f>I10+I354+I380+I420+I424+I444+I464+I467+I468+I470</f>
        <v>308240521.00000006</v>
      </c>
      <c r="J9" s="419">
        <f>J10+J354+J380+J420+J424+J444+J464+J467+J468+J470</f>
        <v>323647565.53000009</v>
      </c>
      <c r="K9" s="540">
        <f>K10+K354+K380+K420+K424+K444+K464+K467+K468+K470</f>
        <v>23104847.27</v>
      </c>
      <c r="L9" s="453">
        <f>L10+L354+L380+L420+L424+L444+L464+L467+L468+L470</f>
        <v>-7697802.7400000002</v>
      </c>
      <c r="M9" s="419"/>
      <c r="N9" s="11" t="s">
        <v>243</v>
      </c>
      <c r="O9" s="338">
        <f>K9+L9</f>
        <v>15407044.529999999</v>
      </c>
      <c r="P9" s="759">
        <f>J9-I9</f>
        <v>15407044.530000031</v>
      </c>
    </row>
    <row r="10" spans="1:17" ht="33">
      <c r="A10" s="333" t="s">
        <v>2152</v>
      </c>
      <c r="B10" s="334" t="s">
        <v>2</v>
      </c>
      <c r="C10" s="335" t="s">
        <v>4</v>
      </c>
      <c r="D10" s="336"/>
      <c r="E10" s="336"/>
      <c r="F10" s="336"/>
      <c r="G10" s="336">
        <f>I10</f>
        <v>232868088.52999997</v>
      </c>
      <c r="H10" s="336"/>
      <c r="I10" s="419">
        <f>I11+I37+I126+I166+I195+I215+I232+I310+I344</f>
        <v>232868088.52999997</v>
      </c>
      <c r="J10" s="419">
        <f>J11+J37+J126+J166+J195+J215+J232+J310+J344</f>
        <v>245463991.91</v>
      </c>
      <c r="K10" s="540">
        <f>K11+K37+K126+K166+K195+K215+K232+K310+K344</f>
        <v>20293706.119999997</v>
      </c>
      <c r="L10" s="453">
        <f>L11+L37+L126+L166+L195+L215+L232+L310+L344</f>
        <v>-7697802.7400000002</v>
      </c>
      <c r="M10" s="231" t="s">
        <v>242</v>
      </c>
      <c r="N10" s="11" t="s">
        <v>243</v>
      </c>
      <c r="O10" s="341"/>
      <c r="P10" s="339"/>
    </row>
    <row r="11" spans="1:17" ht="33">
      <c r="A11" s="406" t="s">
        <v>2153</v>
      </c>
      <c r="B11" s="407" t="s">
        <v>244</v>
      </c>
      <c r="C11" s="408" t="s">
        <v>4</v>
      </c>
      <c r="D11" s="409"/>
      <c r="E11" s="409"/>
      <c r="F11" s="409"/>
      <c r="G11" s="409">
        <v>61233815.539999999</v>
      </c>
      <c r="H11" s="409"/>
      <c r="I11" s="411">
        <f>SUM(I12:I36)</f>
        <v>61233815.539999984</v>
      </c>
      <c r="J11" s="411">
        <f>SUM(J12:J36)</f>
        <v>61418256.479999982</v>
      </c>
      <c r="K11" s="541">
        <f>SUM(K12:K36)</f>
        <v>5176911.3099999996</v>
      </c>
      <c r="L11" s="454">
        <f>SUM(L12:L36)</f>
        <v>-4992470.37</v>
      </c>
      <c r="M11" s="288" t="s">
        <v>242</v>
      </c>
      <c r="N11" s="11" t="s">
        <v>243</v>
      </c>
      <c r="O11" s="338"/>
      <c r="P11" s="339"/>
    </row>
    <row r="12" spans="1:17" ht="33">
      <c r="A12" s="333" t="s">
        <v>2154</v>
      </c>
      <c r="B12" s="334" t="s">
        <v>245</v>
      </c>
      <c r="C12" s="335" t="s">
        <v>6</v>
      </c>
      <c r="D12" s="336">
        <v>720.24</v>
      </c>
      <c r="E12" s="336">
        <f>估驗單!F8</f>
        <v>720.24</v>
      </c>
      <c r="F12" s="390"/>
      <c r="G12" s="336">
        <v>193.11</v>
      </c>
      <c r="H12" s="336"/>
      <c r="I12" s="336">
        <f t="shared" ref="I12:I36" si="0">ROUND(D12*G12,2)</f>
        <v>139085.54999999999</v>
      </c>
      <c r="J12" s="336">
        <f t="shared" ref="J12:J36" si="1">ROUND(E12*G12,2)</f>
        <v>139085.54999999999</v>
      </c>
      <c r="K12" s="546">
        <f>J12-I12</f>
        <v>0</v>
      </c>
      <c r="L12" s="546">
        <f>I12-J12</f>
        <v>0</v>
      </c>
      <c r="M12" s="231" t="s">
        <v>242</v>
      </c>
      <c r="N12" s="11" t="s">
        <v>243</v>
      </c>
      <c r="O12" s="341"/>
      <c r="P12" s="339"/>
    </row>
    <row r="13" spans="1:17" ht="33">
      <c r="A13" s="333" t="s">
        <v>2155</v>
      </c>
      <c r="B13" s="334" t="s">
        <v>247</v>
      </c>
      <c r="C13" s="335" t="s">
        <v>6</v>
      </c>
      <c r="D13" s="336">
        <v>4813.4399999999996</v>
      </c>
      <c r="E13" s="336">
        <f>估驗單!F9</f>
        <v>4813.4399999999996</v>
      </c>
      <c r="F13" s="390"/>
      <c r="G13" s="336">
        <v>1046.1600000000001</v>
      </c>
      <c r="H13" s="336"/>
      <c r="I13" s="336">
        <f t="shared" si="0"/>
        <v>5035628.3899999997</v>
      </c>
      <c r="J13" s="336">
        <f t="shared" si="1"/>
        <v>5035628.3899999997</v>
      </c>
      <c r="K13" s="546">
        <f t="shared" ref="K13:K76" si="2">J13-I13</f>
        <v>0</v>
      </c>
      <c r="L13" s="546">
        <f t="shared" ref="L13:L36" si="3">I13-J13</f>
        <v>0</v>
      </c>
      <c r="M13" s="231" t="s">
        <v>242</v>
      </c>
      <c r="N13" s="11" t="s">
        <v>243</v>
      </c>
      <c r="O13" s="341"/>
      <c r="P13" s="339"/>
    </row>
    <row r="14" spans="1:17" ht="33">
      <c r="A14" s="333" t="s">
        <v>2156</v>
      </c>
      <c r="B14" s="334" t="s">
        <v>249</v>
      </c>
      <c r="C14" s="335" t="s">
        <v>8</v>
      </c>
      <c r="D14" s="336">
        <v>1743</v>
      </c>
      <c r="E14" s="336">
        <f>估驗單!F10</f>
        <v>1743</v>
      </c>
      <c r="F14" s="390"/>
      <c r="G14" s="336">
        <v>6199.66</v>
      </c>
      <c r="H14" s="336"/>
      <c r="I14" s="336">
        <f t="shared" si="0"/>
        <v>10806007.380000001</v>
      </c>
      <c r="J14" s="336">
        <f t="shared" si="1"/>
        <v>10806007.380000001</v>
      </c>
      <c r="K14" s="546">
        <f t="shared" si="2"/>
        <v>0</v>
      </c>
      <c r="L14" s="546">
        <f t="shared" si="3"/>
        <v>0</v>
      </c>
      <c r="M14" s="231"/>
      <c r="N14" s="11" t="s">
        <v>243</v>
      </c>
      <c r="O14" s="341"/>
      <c r="P14" s="339"/>
    </row>
    <row r="15" spans="1:17" ht="45">
      <c r="A15" s="333" t="s">
        <v>2157</v>
      </c>
      <c r="B15" s="632" t="s">
        <v>194</v>
      </c>
      <c r="C15" s="335" t="s">
        <v>23</v>
      </c>
      <c r="D15" s="336">
        <v>28009.56</v>
      </c>
      <c r="E15" s="336">
        <f>估驗單!F11</f>
        <v>28009.56</v>
      </c>
      <c r="F15" s="453"/>
      <c r="G15" s="336">
        <v>48.28</v>
      </c>
      <c r="H15" s="336"/>
      <c r="I15" s="336">
        <f t="shared" si="0"/>
        <v>1352301.56</v>
      </c>
      <c r="J15" s="336">
        <f t="shared" si="1"/>
        <v>1352301.56</v>
      </c>
      <c r="K15" s="546"/>
      <c r="L15" s="453"/>
      <c r="M15" s="231"/>
      <c r="N15" s="11" t="s">
        <v>243</v>
      </c>
      <c r="O15" s="341" t="s">
        <v>2966</v>
      </c>
      <c r="P15" s="339"/>
      <c r="Q15" s="325" t="s">
        <v>2957</v>
      </c>
    </row>
    <row r="16" spans="1:17" ht="33">
      <c r="A16" s="333" t="s">
        <v>2158</v>
      </c>
      <c r="B16" s="334" t="s">
        <v>252</v>
      </c>
      <c r="C16" s="335" t="s">
        <v>6</v>
      </c>
      <c r="D16" s="336">
        <v>4726.67</v>
      </c>
      <c r="E16" s="336">
        <f>估驗單!F12</f>
        <v>4726.67</v>
      </c>
      <c r="F16" s="390"/>
      <c r="G16" s="336">
        <v>599.71</v>
      </c>
      <c r="H16" s="336"/>
      <c r="I16" s="336">
        <f t="shared" si="0"/>
        <v>2834631.27</v>
      </c>
      <c r="J16" s="336">
        <f t="shared" si="1"/>
        <v>2834631.27</v>
      </c>
      <c r="K16" s="546">
        <f t="shared" si="2"/>
        <v>0</v>
      </c>
      <c r="L16" s="546">
        <f t="shared" si="3"/>
        <v>0</v>
      </c>
      <c r="M16" s="231"/>
      <c r="N16" s="11" t="s">
        <v>243</v>
      </c>
      <c r="O16" s="341"/>
      <c r="P16" s="339"/>
    </row>
    <row r="17" spans="1:18" ht="45">
      <c r="A17" s="333" t="s">
        <v>2159</v>
      </c>
      <c r="B17" s="632" t="s">
        <v>255</v>
      </c>
      <c r="C17" s="335" t="s">
        <v>6</v>
      </c>
      <c r="D17" s="336">
        <v>13120</v>
      </c>
      <c r="E17" s="336">
        <f>估驗單!F13</f>
        <v>13120</v>
      </c>
      <c r="F17" s="390"/>
      <c r="G17" s="336">
        <v>104.64</v>
      </c>
      <c r="H17" s="336"/>
      <c r="I17" s="336">
        <f t="shared" si="0"/>
        <v>1372876.8</v>
      </c>
      <c r="J17" s="336">
        <f t="shared" si="1"/>
        <v>1372876.8</v>
      </c>
      <c r="K17" s="546">
        <f t="shared" si="2"/>
        <v>0</v>
      </c>
      <c r="L17" s="546"/>
      <c r="M17" s="231"/>
      <c r="N17" s="11" t="s">
        <v>243</v>
      </c>
      <c r="O17" s="341" t="s">
        <v>2958</v>
      </c>
      <c r="P17" s="339" t="s">
        <v>2914</v>
      </c>
      <c r="Q17" s="293" t="s">
        <v>2959</v>
      </c>
    </row>
    <row r="18" spans="1:18" ht="42.75">
      <c r="A18" s="503" t="s">
        <v>2160</v>
      </c>
      <c r="B18" s="504" t="s">
        <v>258</v>
      </c>
      <c r="C18" s="505" t="s">
        <v>23</v>
      </c>
      <c r="D18" s="506">
        <v>13251</v>
      </c>
      <c r="E18" s="506">
        <f>'數量計算(FOR4變)'!I54</f>
        <v>18245</v>
      </c>
      <c r="F18" s="507">
        <f>E18-D18</f>
        <v>4994</v>
      </c>
      <c r="G18" s="506">
        <v>1027.3699999999999</v>
      </c>
      <c r="H18" s="506"/>
      <c r="I18" s="506">
        <f t="shared" si="0"/>
        <v>13613679.869999999</v>
      </c>
      <c r="J18" s="506">
        <f t="shared" si="1"/>
        <v>18744365.649999999</v>
      </c>
      <c r="K18" s="547">
        <f t="shared" si="2"/>
        <v>5130685.7799999993</v>
      </c>
      <c r="L18" s="547"/>
      <c r="M18" s="520" t="s">
        <v>3058</v>
      </c>
      <c r="N18" s="11" t="s">
        <v>243</v>
      </c>
      <c r="O18" s="474" t="s">
        <v>3010</v>
      </c>
      <c r="P18" s="339" t="s">
        <v>3059</v>
      </c>
      <c r="Q18" s="293" t="s">
        <v>3008</v>
      </c>
    </row>
    <row r="19" spans="1:18" ht="33">
      <c r="A19" s="503" t="s">
        <v>2161</v>
      </c>
      <c r="B19" s="504" t="s">
        <v>261</v>
      </c>
      <c r="C19" s="505" t="s">
        <v>6</v>
      </c>
      <c r="D19" s="506">
        <v>4601.4399999999996</v>
      </c>
      <c r="E19" s="751" t="str">
        <f>估驗單!F15</f>
        <v>0_x000D_</v>
      </c>
      <c r="F19" s="519">
        <f>0-D19</f>
        <v>-4601.4399999999996</v>
      </c>
      <c r="G19" s="506">
        <v>1084.98</v>
      </c>
      <c r="H19" s="506"/>
      <c r="I19" s="506">
        <f t="shared" si="0"/>
        <v>4992470.37</v>
      </c>
      <c r="J19" s="506">
        <v>0</v>
      </c>
      <c r="K19" s="547"/>
      <c r="L19" s="519">
        <f>J19-I19</f>
        <v>-4992470.37</v>
      </c>
      <c r="M19" s="508" t="s">
        <v>242</v>
      </c>
      <c r="N19" s="11" t="s">
        <v>243</v>
      </c>
      <c r="O19" s="474" t="s">
        <v>3010</v>
      </c>
      <c r="P19" s="339"/>
      <c r="Q19" s="147" t="s">
        <v>3028</v>
      </c>
    </row>
    <row r="20" spans="1:18" ht="42.75">
      <c r="A20" s="333" t="s">
        <v>2162</v>
      </c>
      <c r="B20" s="334" t="s">
        <v>264</v>
      </c>
      <c r="C20" s="335" t="s">
        <v>13</v>
      </c>
      <c r="D20" s="336">
        <v>2588.5</v>
      </c>
      <c r="E20" s="336">
        <f>估驗單!F16</f>
        <v>2588.5</v>
      </c>
      <c r="F20" s="390"/>
      <c r="G20" s="336">
        <v>30.45</v>
      </c>
      <c r="H20" s="336"/>
      <c r="I20" s="336">
        <f t="shared" si="0"/>
        <v>78819.83</v>
      </c>
      <c r="J20" s="336">
        <f t="shared" si="1"/>
        <v>78819.83</v>
      </c>
      <c r="K20" s="546">
        <f t="shared" si="2"/>
        <v>0</v>
      </c>
      <c r="L20" s="546">
        <f t="shared" si="3"/>
        <v>0</v>
      </c>
      <c r="M20" s="231"/>
      <c r="N20" s="11" t="s">
        <v>243</v>
      </c>
      <c r="O20" s="341"/>
      <c r="P20" s="339"/>
    </row>
    <row r="21" spans="1:18" ht="33">
      <c r="A21" s="333" t="s">
        <v>2163</v>
      </c>
      <c r="B21" s="334" t="s">
        <v>267</v>
      </c>
      <c r="C21" s="335" t="s">
        <v>13</v>
      </c>
      <c r="D21" s="336">
        <v>9177</v>
      </c>
      <c r="E21" s="336">
        <f>估驗單!F17</f>
        <v>9177</v>
      </c>
      <c r="F21" s="390"/>
      <c r="G21" s="336">
        <v>28.48</v>
      </c>
      <c r="H21" s="336"/>
      <c r="I21" s="336">
        <f t="shared" si="0"/>
        <v>261360.96</v>
      </c>
      <c r="J21" s="336">
        <f t="shared" si="1"/>
        <v>261360.96</v>
      </c>
      <c r="K21" s="546">
        <f t="shared" si="2"/>
        <v>0</v>
      </c>
      <c r="L21" s="546">
        <f t="shared" si="3"/>
        <v>0</v>
      </c>
      <c r="M21" s="231" t="s">
        <v>242</v>
      </c>
      <c r="N21" s="11" t="s">
        <v>243</v>
      </c>
      <c r="O21" s="341"/>
      <c r="P21" s="339"/>
    </row>
    <row r="22" spans="1:18" ht="33">
      <c r="A22" s="333" t="s">
        <v>2164</v>
      </c>
      <c r="B22" s="334" t="s">
        <v>270</v>
      </c>
      <c r="C22" s="335" t="s">
        <v>8</v>
      </c>
      <c r="D22" s="336">
        <v>162.5</v>
      </c>
      <c r="E22" s="336">
        <f>估驗單!F18</f>
        <v>162.5</v>
      </c>
      <c r="F22" s="390"/>
      <c r="G22" s="336">
        <v>65.400000000000006</v>
      </c>
      <c r="H22" s="336"/>
      <c r="I22" s="336">
        <f t="shared" si="0"/>
        <v>10627.5</v>
      </c>
      <c r="J22" s="336">
        <f t="shared" si="1"/>
        <v>10627.5</v>
      </c>
      <c r="K22" s="546">
        <f t="shared" si="2"/>
        <v>0</v>
      </c>
      <c r="L22" s="546">
        <f t="shared" si="3"/>
        <v>0</v>
      </c>
      <c r="M22" s="231" t="s">
        <v>242</v>
      </c>
      <c r="N22" s="11" t="s">
        <v>243</v>
      </c>
      <c r="O22" s="341"/>
      <c r="P22" s="339"/>
    </row>
    <row r="23" spans="1:18" ht="33">
      <c r="A23" s="333" t="s">
        <v>2165</v>
      </c>
      <c r="B23" s="334" t="s">
        <v>273</v>
      </c>
      <c r="C23" s="335" t="s">
        <v>13</v>
      </c>
      <c r="D23" s="336">
        <v>5217.7</v>
      </c>
      <c r="E23" s="336">
        <f>估驗單!F19</f>
        <v>5217.7</v>
      </c>
      <c r="F23" s="390"/>
      <c r="G23" s="336">
        <v>20.190000000000001</v>
      </c>
      <c r="H23" s="336"/>
      <c r="I23" s="336">
        <f t="shared" si="0"/>
        <v>105345.36</v>
      </c>
      <c r="J23" s="336">
        <f t="shared" si="1"/>
        <v>105345.36</v>
      </c>
      <c r="K23" s="546">
        <f t="shared" si="2"/>
        <v>0</v>
      </c>
      <c r="L23" s="546">
        <f t="shared" si="3"/>
        <v>0</v>
      </c>
      <c r="M23" s="231" t="s">
        <v>242</v>
      </c>
      <c r="N23" s="11" t="s">
        <v>243</v>
      </c>
      <c r="O23" s="341"/>
      <c r="P23" s="339"/>
    </row>
    <row r="24" spans="1:18" ht="33">
      <c r="A24" s="343" t="s">
        <v>2166</v>
      </c>
      <c r="B24" s="344" t="s">
        <v>276</v>
      </c>
      <c r="C24" s="345" t="s">
        <v>6</v>
      </c>
      <c r="D24" s="340">
        <v>782.66</v>
      </c>
      <c r="E24" s="336">
        <f>估驗單!F20</f>
        <v>782.66</v>
      </c>
      <c r="F24" s="390"/>
      <c r="G24" s="340">
        <v>2286.6799999999998</v>
      </c>
      <c r="H24" s="340"/>
      <c r="I24" s="336">
        <f t="shared" si="0"/>
        <v>1789692.97</v>
      </c>
      <c r="J24" s="336">
        <f t="shared" si="1"/>
        <v>1789692.97</v>
      </c>
      <c r="K24" s="546">
        <f t="shared" si="2"/>
        <v>0</v>
      </c>
      <c r="L24" s="546">
        <f t="shared" si="3"/>
        <v>0</v>
      </c>
      <c r="M24" s="346"/>
      <c r="N24" s="347" t="s">
        <v>243</v>
      </c>
      <c r="O24" s="348"/>
      <c r="P24" s="349"/>
    </row>
    <row r="25" spans="1:18" ht="33">
      <c r="A25" s="333" t="s">
        <v>2167</v>
      </c>
      <c r="B25" s="334" t="s">
        <v>279</v>
      </c>
      <c r="C25" s="335" t="s">
        <v>14</v>
      </c>
      <c r="D25" s="336">
        <v>425</v>
      </c>
      <c r="E25" s="336">
        <f>估驗單!F21</f>
        <v>425</v>
      </c>
      <c r="F25" s="390"/>
      <c r="G25" s="336">
        <v>521.15</v>
      </c>
      <c r="H25" s="336"/>
      <c r="I25" s="336">
        <f t="shared" si="0"/>
        <v>221488.75</v>
      </c>
      <c r="J25" s="336">
        <f t="shared" si="1"/>
        <v>221488.75</v>
      </c>
      <c r="K25" s="546">
        <f t="shared" si="2"/>
        <v>0</v>
      </c>
      <c r="L25" s="546">
        <f t="shared" si="3"/>
        <v>0</v>
      </c>
      <c r="M25" s="231"/>
      <c r="N25" s="11" t="s">
        <v>243</v>
      </c>
      <c r="O25" s="341"/>
      <c r="P25" s="339"/>
    </row>
    <row r="26" spans="1:18" ht="33">
      <c r="A26" s="503" t="s">
        <v>2168</v>
      </c>
      <c r="B26" s="504" t="s">
        <v>282</v>
      </c>
      <c r="C26" s="505" t="s">
        <v>8</v>
      </c>
      <c r="D26" s="506">
        <v>255.5</v>
      </c>
      <c r="E26" s="506">
        <f>估驗單!F22</f>
        <v>415.08000000000004</v>
      </c>
      <c r="F26" s="507">
        <f t="shared" ref="F26:F76" si="4">E26-D26</f>
        <v>159.58000000000004</v>
      </c>
      <c r="G26" s="506">
        <v>289.67</v>
      </c>
      <c r="H26" s="506"/>
      <c r="I26" s="506">
        <f t="shared" si="0"/>
        <v>74010.69</v>
      </c>
      <c r="J26" s="506">
        <f t="shared" si="1"/>
        <v>120236.22</v>
      </c>
      <c r="K26" s="547">
        <f t="shared" si="2"/>
        <v>46225.53</v>
      </c>
      <c r="L26" s="547"/>
      <c r="M26" s="508" t="s">
        <v>242</v>
      </c>
      <c r="N26" s="11" t="s">
        <v>243</v>
      </c>
      <c r="O26" s="341" t="s">
        <v>2877</v>
      </c>
      <c r="P26" s="339" t="s">
        <v>2890</v>
      </c>
      <c r="Q26" s="586" t="s">
        <v>2891</v>
      </c>
      <c r="R26" s="82">
        <f>34.27+66.51+58.8</f>
        <v>159.57999999999998</v>
      </c>
    </row>
    <row r="27" spans="1:18" ht="33">
      <c r="A27" s="333" t="s">
        <v>2169</v>
      </c>
      <c r="B27" s="334" t="s">
        <v>285</v>
      </c>
      <c r="C27" s="335" t="s">
        <v>286</v>
      </c>
      <c r="D27" s="336">
        <v>2204</v>
      </c>
      <c r="E27" s="336">
        <f>估驗單!F23</f>
        <v>2204</v>
      </c>
      <c r="F27" s="390"/>
      <c r="G27" s="336">
        <v>3082.11</v>
      </c>
      <c r="H27" s="336"/>
      <c r="I27" s="336">
        <f t="shared" si="0"/>
        <v>6792970.4400000004</v>
      </c>
      <c r="J27" s="336">
        <f t="shared" si="1"/>
        <v>6792970.4400000004</v>
      </c>
      <c r="K27" s="546">
        <f t="shared" si="2"/>
        <v>0</v>
      </c>
      <c r="L27" s="546">
        <f t="shared" si="3"/>
        <v>0</v>
      </c>
      <c r="M27" s="231" t="s">
        <v>242</v>
      </c>
      <c r="N27" s="11" t="s">
        <v>243</v>
      </c>
      <c r="O27" s="341"/>
      <c r="P27" s="339"/>
    </row>
    <row r="28" spans="1:18" ht="33">
      <c r="A28" s="333" t="s">
        <v>2170</v>
      </c>
      <c r="B28" s="334" t="s">
        <v>289</v>
      </c>
      <c r="C28" s="335" t="s">
        <v>290</v>
      </c>
      <c r="D28" s="336">
        <v>66</v>
      </c>
      <c r="E28" s="336">
        <f>估驗單!F24</f>
        <v>66</v>
      </c>
      <c r="F28" s="390"/>
      <c r="G28" s="336">
        <v>3311.26</v>
      </c>
      <c r="H28" s="336"/>
      <c r="I28" s="336">
        <f t="shared" si="0"/>
        <v>218543.16</v>
      </c>
      <c r="J28" s="336">
        <f t="shared" si="1"/>
        <v>218543.16</v>
      </c>
      <c r="K28" s="546">
        <f t="shared" si="2"/>
        <v>0</v>
      </c>
      <c r="L28" s="546">
        <f t="shared" si="3"/>
        <v>0</v>
      </c>
      <c r="M28" s="231"/>
      <c r="N28" s="11" t="s">
        <v>243</v>
      </c>
      <c r="O28" s="341"/>
      <c r="P28" s="339"/>
    </row>
    <row r="29" spans="1:18" ht="33">
      <c r="A29" s="333" t="s">
        <v>2171</v>
      </c>
      <c r="B29" s="334" t="s">
        <v>293</v>
      </c>
      <c r="C29" s="335" t="s">
        <v>0</v>
      </c>
      <c r="D29" s="336">
        <v>18</v>
      </c>
      <c r="E29" s="336">
        <f>估驗單!F25</f>
        <v>18</v>
      </c>
      <c r="F29" s="390"/>
      <c r="G29" s="336">
        <v>1199.93</v>
      </c>
      <c r="H29" s="336"/>
      <c r="I29" s="336">
        <f t="shared" si="0"/>
        <v>21598.74</v>
      </c>
      <c r="J29" s="336">
        <f t="shared" si="1"/>
        <v>21598.74</v>
      </c>
      <c r="K29" s="546">
        <f t="shared" si="2"/>
        <v>0</v>
      </c>
      <c r="L29" s="546">
        <f t="shared" si="3"/>
        <v>0</v>
      </c>
      <c r="M29" s="231"/>
      <c r="N29" s="11" t="s">
        <v>243</v>
      </c>
      <c r="O29" s="341"/>
      <c r="P29" s="339"/>
    </row>
    <row r="30" spans="1:18" ht="33">
      <c r="A30" s="333" t="s">
        <v>2172</v>
      </c>
      <c r="B30" s="334" t="s">
        <v>296</v>
      </c>
      <c r="C30" s="335" t="s">
        <v>0</v>
      </c>
      <c r="D30" s="336">
        <v>4</v>
      </c>
      <c r="E30" s="336">
        <f>估驗單!F26</f>
        <v>4</v>
      </c>
      <c r="F30" s="390"/>
      <c r="G30" s="336">
        <v>2999.84</v>
      </c>
      <c r="H30" s="336"/>
      <c r="I30" s="336">
        <f t="shared" si="0"/>
        <v>11999.36</v>
      </c>
      <c r="J30" s="336">
        <f t="shared" si="1"/>
        <v>11999.36</v>
      </c>
      <c r="K30" s="546">
        <f t="shared" si="2"/>
        <v>0</v>
      </c>
      <c r="L30" s="546">
        <f t="shared" si="3"/>
        <v>0</v>
      </c>
      <c r="M30" s="231"/>
      <c r="N30" s="11" t="s">
        <v>243</v>
      </c>
      <c r="O30" s="341"/>
      <c r="P30" s="339"/>
    </row>
    <row r="31" spans="1:18" ht="33">
      <c r="A31" s="333" t="s">
        <v>2173</v>
      </c>
      <c r="B31" s="334" t="s">
        <v>299</v>
      </c>
      <c r="C31" s="335" t="s">
        <v>0</v>
      </c>
      <c r="D31" s="336">
        <v>20</v>
      </c>
      <c r="E31" s="336">
        <f>估驗單!F27</f>
        <v>20</v>
      </c>
      <c r="F31" s="390"/>
      <c r="G31" s="336">
        <v>2999.84</v>
      </c>
      <c r="H31" s="336"/>
      <c r="I31" s="336">
        <f t="shared" si="0"/>
        <v>59996.800000000003</v>
      </c>
      <c r="J31" s="336">
        <f t="shared" si="1"/>
        <v>59996.800000000003</v>
      </c>
      <c r="K31" s="546">
        <f t="shared" si="2"/>
        <v>0</v>
      </c>
      <c r="L31" s="546">
        <f t="shared" si="3"/>
        <v>0</v>
      </c>
      <c r="M31" s="231"/>
      <c r="N31" s="11" t="s">
        <v>243</v>
      </c>
      <c r="O31" s="341"/>
      <c r="P31" s="339"/>
    </row>
    <row r="32" spans="1:18" ht="33">
      <c r="A32" s="333" t="s">
        <v>2174</v>
      </c>
      <c r="B32" s="334" t="s">
        <v>302</v>
      </c>
      <c r="C32" s="335" t="s">
        <v>0</v>
      </c>
      <c r="D32" s="336">
        <v>15</v>
      </c>
      <c r="E32" s="336">
        <f>估驗單!F28</f>
        <v>15</v>
      </c>
      <c r="F32" s="390"/>
      <c r="G32" s="336">
        <v>2999.84</v>
      </c>
      <c r="H32" s="336"/>
      <c r="I32" s="336">
        <f t="shared" si="0"/>
        <v>44997.599999999999</v>
      </c>
      <c r="J32" s="336">
        <f t="shared" si="1"/>
        <v>44997.599999999999</v>
      </c>
      <c r="K32" s="546">
        <f t="shared" si="2"/>
        <v>0</v>
      </c>
      <c r="L32" s="546">
        <f t="shared" si="3"/>
        <v>0</v>
      </c>
      <c r="M32" s="231"/>
      <c r="N32" s="11" t="s">
        <v>243</v>
      </c>
      <c r="O32" s="341"/>
      <c r="P32" s="339"/>
    </row>
    <row r="33" spans="1:19" ht="33">
      <c r="A33" s="333" t="s">
        <v>2175</v>
      </c>
      <c r="B33" s="334" t="s">
        <v>305</v>
      </c>
      <c r="C33" s="335" t="s">
        <v>4</v>
      </c>
      <c r="D33" s="336">
        <v>1</v>
      </c>
      <c r="E33" s="336">
        <f>估驗單!F29</f>
        <v>1</v>
      </c>
      <c r="F33" s="390"/>
      <c r="G33" s="336">
        <v>399978.19</v>
      </c>
      <c r="H33" s="336"/>
      <c r="I33" s="336">
        <f t="shared" si="0"/>
        <v>399978.19</v>
      </c>
      <c r="J33" s="336">
        <f t="shared" si="1"/>
        <v>399978.19</v>
      </c>
      <c r="K33" s="546">
        <f t="shared" si="2"/>
        <v>0</v>
      </c>
      <c r="L33" s="546">
        <f t="shared" si="3"/>
        <v>0</v>
      </c>
      <c r="M33" s="231"/>
      <c r="N33" s="11" t="s">
        <v>243</v>
      </c>
      <c r="O33" s="341"/>
      <c r="P33" s="339"/>
    </row>
    <row r="34" spans="1:19" ht="33">
      <c r="A34" s="333" t="s">
        <v>2177</v>
      </c>
      <c r="B34" s="334" t="s">
        <v>31</v>
      </c>
      <c r="C34" s="335" t="s">
        <v>16</v>
      </c>
      <c r="D34" s="336">
        <v>30800</v>
      </c>
      <c r="E34" s="336">
        <f>估驗單!F30</f>
        <v>30800</v>
      </c>
      <c r="F34" s="390">
        <f t="shared" si="4"/>
        <v>0</v>
      </c>
      <c r="G34" s="336">
        <v>280</v>
      </c>
      <c r="H34" s="336"/>
      <c r="I34" s="336">
        <f t="shared" si="0"/>
        <v>8624000</v>
      </c>
      <c r="J34" s="336">
        <f t="shared" si="1"/>
        <v>8624000</v>
      </c>
      <c r="K34" s="546">
        <f t="shared" si="2"/>
        <v>0</v>
      </c>
      <c r="L34" s="546">
        <f t="shared" si="3"/>
        <v>0</v>
      </c>
      <c r="M34" s="231"/>
      <c r="N34" s="11" t="s">
        <v>243</v>
      </c>
      <c r="O34" s="341"/>
      <c r="P34" s="339"/>
    </row>
    <row r="35" spans="1:19" ht="33">
      <c r="A35" s="333" t="s">
        <v>2178</v>
      </c>
      <c r="B35" s="334" t="s">
        <v>1312</v>
      </c>
      <c r="C35" s="335" t="s">
        <v>13</v>
      </c>
      <c r="D35" s="336">
        <v>2150</v>
      </c>
      <c r="E35" s="336">
        <f>估驗單!F31</f>
        <v>2150</v>
      </c>
      <c r="F35" s="390">
        <f t="shared" si="4"/>
        <v>0</v>
      </c>
      <c r="G35" s="336">
        <v>70.56</v>
      </c>
      <c r="H35" s="336"/>
      <c r="I35" s="336">
        <f t="shared" si="0"/>
        <v>151704</v>
      </c>
      <c r="J35" s="336">
        <f t="shared" si="1"/>
        <v>151704</v>
      </c>
      <c r="K35" s="546">
        <f t="shared" si="2"/>
        <v>0</v>
      </c>
      <c r="L35" s="546">
        <f t="shared" si="3"/>
        <v>0</v>
      </c>
      <c r="M35" s="231"/>
      <c r="N35" s="11" t="s">
        <v>243</v>
      </c>
      <c r="O35" s="341"/>
      <c r="P35" s="339"/>
    </row>
    <row r="36" spans="1:19" s="352" customFormat="1" ht="33">
      <c r="A36" s="343">
        <v>25</v>
      </c>
      <c r="B36" s="344" t="s">
        <v>2327</v>
      </c>
      <c r="C36" s="335" t="s">
        <v>2328</v>
      </c>
      <c r="D36" s="340">
        <v>111</v>
      </c>
      <c r="E36" s="336">
        <f>估驗單!F32</f>
        <v>111</v>
      </c>
      <c r="F36" s="390">
        <f t="shared" si="4"/>
        <v>0</v>
      </c>
      <c r="G36" s="340">
        <v>20000</v>
      </c>
      <c r="H36" s="340"/>
      <c r="I36" s="336">
        <f t="shared" si="0"/>
        <v>2220000</v>
      </c>
      <c r="J36" s="336">
        <f t="shared" si="1"/>
        <v>2220000</v>
      </c>
      <c r="K36" s="546">
        <f t="shared" si="2"/>
        <v>0</v>
      </c>
      <c r="L36" s="546">
        <f t="shared" si="3"/>
        <v>0</v>
      </c>
      <c r="M36" s="350"/>
      <c r="N36" s="347" t="s">
        <v>243</v>
      </c>
      <c r="O36" s="348"/>
      <c r="P36" s="351"/>
      <c r="Q36" s="325"/>
      <c r="S36" s="353" t="s">
        <v>2333</v>
      </c>
    </row>
    <row r="37" spans="1:19" ht="33">
      <c r="A37" s="406" t="s">
        <v>2180</v>
      </c>
      <c r="B37" s="407" t="s">
        <v>309</v>
      </c>
      <c r="C37" s="408" t="s">
        <v>4</v>
      </c>
      <c r="D37" s="409"/>
      <c r="E37" s="409">
        <f>估驗單!F33</f>
        <v>0</v>
      </c>
      <c r="F37" s="410">
        <f t="shared" si="4"/>
        <v>0</v>
      </c>
      <c r="G37" s="409">
        <v>30807124.300000001</v>
      </c>
      <c r="H37" s="409"/>
      <c r="I37" s="409">
        <f>SUM(I38:I125)</f>
        <v>30807124.299999997</v>
      </c>
      <c r="J37" s="409">
        <f>SUM(J38:J125)</f>
        <v>32286202.670000002</v>
      </c>
      <c r="K37" s="542">
        <f>SUM(K38:K125)</f>
        <v>3305690.73</v>
      </c>
      <c r="L37" s="452">
        <f>SUM(L38:L125)</f>
        <v>-1826612.36</v>
      </c>
      <c r="M37" s="288" t="s">
        <v>242</v>
      </c>
      <c r="N37" s="11" t="s">
        <v>243</v>
      </c>
      <c r="O37" s="338"/>
      <c r="P37" s="339"/>
    </row>
    <row r="38" spans="1:19" ht="33">
      <c r="A38" s="333" t="s">
        <v>2154</v>
      </c>
      <c r="B38" s="334" t="s">
        <v>310</v>
      </c>
      <c r="C38" s="335" t="s">
        <v>223</v>
      </c>
      <c r="D38" s="336">
        <v>1887.64</v>
      </c>
      <c r="E38" s="336">
        <f>估驗單!F34</f>
        <v>1887.64</v>
      </c>
      <c r="F38" s="390">
        <f t="shared" si="4"/>
        <v>0</v>
      </c>
      <c r="G38" s="336">
        <v>320.72000000000003</v>
      </c>
      <c r="H38" s="336"/>
      <c r="I38" s="336">
        <f t="shared" ref="I38:I69" si="5">ROUND(D38*G38,2)</f>
        <v>605403.9</v>
      </c>
      <c r="J38" s="336">
        <f t="shared" ref="J38:J69" si="6">ROUND(E38*G38,2)</f>
        <v>605403.9</v>
      </c>
      <c r="K38" s="546">
        <f t="shared" si="2"/>
        <v>0</v>
      </c>
      <c r="L38" s="502"/>
      <c r="M38" s="231" t="s">
        <v>242</v>
      </c>
      <c r="N38" s="11" t="s">
        <v>243</v>
      </c>
      <c r="O38" s="341"/>
      <c r="P38" s="339"/>
    </row>
    <row r="39" spans="1:19" ht="33">
      <c r="A39" s="333" t="s">
        <v>2155</v>
      </c>
      <c r="B39" s="334" t="s">
        <v>312</v>
      </c>
      <c r="C39" s="335" t="s">
        <v>223</v>
      </c>
      <c r="D39" s="336">
        <v>402.21</v>
      </c>
      <c r="E39" s="336">
        <f>估驗單!F35</f>
        <v>402.21</v>
      </c>
      <c r="F39" s="390">
        <f t="shared" si="4"/>
        <v>0</v>
      </c>
      <c r="G39" s="336">
        <v>346.06</v>
      </c>
      <c r="H39" s="336"/>
      <c r="I39" s="336">
        <f t="shared" si="5"/>
        <v>139188.79</v>
      </c>
      <c r="J39" s="336">
        <f t="shared" si="6"/>
        <v>139188.79</v>
      </c>
      <c r="K39" s="546">
        <f t="shared" si="2"/>
        <v>0</v>
      </c>
      <c r="L39" s="502"/>
      <c r="M39" s="231" t="s">
        <v>242</v>
      </c>
      <c r="N39" s="11" t="s">
        <v>243</v>
      </c>
      <c r="O39" s="341"/>
      <c r="P39" s="339"/>
    </row>
    <row r="40" spans="1:19" ht="33">
      <c r="A40" s="333" t="s">
        <v>2156</v>
      </c>
      <c r="B40" s="334" t="s">
        <v>2730</v>
      </c>
      <c r="C40" s="335" t="s">
        <v>17</v>
      </c>
      <c r="D40" s="336">
        <v>18865.759999999998</v>
      </c>
      <c r="E40" s="336">
        <f>估驗單!F36</f>
        <v>18865.759999999998</v>
      </c>
      <c r="F40" s="390">
        <f t="shared" si="4"/>
        <v>0</v>
      </c>
      <c r="G40" s="336">
        <v>36.4</v>
      </c>
      <c r="H40" s="336"/>
      <c r="I40" s="336">
        <f t="shared" si="5"/>
        <v>686713.66</v>
      </c>
      <c r="J40" s="336">
        <f t="shared" si="6"/>
        <v>686713.66</v>
      </c>
      <c r="K40" s="546">
        <f t="shared" si="2"/>
        <v>0</v>
      </c>
      <c r="L40" s="502"/>
      <c r="M40" s="231"/>
      <c r="N40" s="11" t="s">
        <v>243</v>
      </c>
      <c r="O40" s="341"/>
      <c r="P40" s="339"/>
    </row>
    <row r="41" spans="1:19" ht="33">
      <c r="A41" s="333" t="s">
        <v>2157</v>
      </c>
      <c r="B41" s="334" t="s">
        <v>315</v>
      </c>
      <c r="C41" s="335" t="s">
        <v>6</v>
      </c>
      <c r="D41" s="336">
        <v>107.91</v>
      </c>
      <c r="E41" s="336">
        <f>估驗單!F37</f>
        <v>107.91</v>
      </c>
      <c r="F41" s="390">
        <f t="shared" si="4"/>
        <v>0</v>
      </c>
      <c r="G41" s="336">
        <v>3114.97</v>
      </c>
      <c r="H41" s="336"/>
      <c r="I41" s="336">
        <f t="shared" si="5"/>
        <v>336136.41</v>
      </c>
      <c r="J41" s="336">
        <f t="shared" si="6"/>
        <v>336136.41</v>
      </c>
      <c r="K41" s="546">
        <f t="shared" si="2"/>
        <v>0</v>
      </c>
      <c r="L41" s="502"/>
      <c r="M41" s="231" t="s">
        <v>242</v>
      </c>
      <c r="N41" s="11" t="s">
        <v>243</v>
      </c>
      <c r="O41" s="341"/>
      <c r="P41" s="339"/>
    </row>
    <row r="42" spans="1:19" ht="33">
      <c r="A42" s="333" t="s">
        <v>2158</v>
      </c>
      <c r="B42" s="334" t="s">
        <v>24</v>
      </c>
      <c r="C42" s="335" t="s">
        <v>6</v>
      </c>
      <c r="D42" s="336">
        <v>564.01</v>
      </c>
      <c r="E42" s="336">
        <f>估驗單!F38</f>
        <v>564.01</v>
      </c>
      <c r="F42" s="390">
        <f t="shared" si="4"/>
        <v>0</v>
      </c>
      <c r="G42" s="336">
        <v>3320.96</v>
      </c>
      <c r="H42" s="336"/>
      <c r="I42" s="336">
        <f t="shared" si="5"/>
        <v>1873054.65</v>
      </c>
      <c r="J42" s="336">
        <f t="shared" si="6"/>
        <v>1873054.65</v>
      </c>
      <c r="K42" s="546">
        <f t="shared" si="2"/>
        <v>0</v>
      </c>
      <c r="L42" s="502"/>
      <c r="M42" s="231" t="s">
        <v>242</v>
      </c>
      <c r="N42" s="11" t="s">
        <v>243</v>
      </c>
      <c r="O42" s="341"/>
      <c r="P42" s="339"/>
    </row>
    <row r="43" spans="1:19" ht="33">
      <c r="A43" s="333" t="s">
        <v>2159</v>
      </c>
      <c r="B43" s="334" t="s">
        <v>193</v>
      </c>
      <c r="C43" s="335" t="s">
        <v>13</v>
      </c>
      <c r="D43" s="336">
        <v>1926.87</v>
      </c>
      <c r="E43" s="336">
        <f>估驗單!F39</f>
        <v>1926.87</v>
      </c>
      <c r="F43" s="390">
        <f t="shared" si="4"/>
        <v>0</v>
      </c>
      <c r="G43" s="336">
        <v>533.61</v>
      </c>
      <c r="H43" s="336"/>
      <c r="I43" s="336">
        <f t="shared" si="5"/>
        <v>1028197.1</v>
      </c>
      <c r="J43" s="336">
        <f t="shared" si="6"/>
        <v>1028197.1</v>
      </c>
      <c r="K43" s="546">
        <f t="shared" si="2"/>
        <v>0</v>
      </c>
      <c r="L43" s="502"/>
      <c r="M43" s="231"/>
      <c r="N43" s="11" t="s">
        <v>243</v>
      </c>
      <c r="O43" s="341"/>
      <c r="P43" s="339"/>
    </row>
    <row r="44" spans="1:19" ht="33">
      <c r="A44" s="333" t="s">
        <v>2160</v>
      </c>
      <c r="B44" s="334" t="s">
        <v>319</v>
      </c>
      <c r="C44" s="335" t="s">
        <v>13</v>
      </c>
      <c r="D44" s="336">
        <v>301.33</v>
      </c>
      <c r="E44" s="336">
        <f>估驗單!F40</f>
        <v>301.33</v>
      </c>
      <c r="F44" s="390">
        <f t="shared" si="4"/>
        <v>0</v>
      </c>
      <c r="G44" s="336">
        <v>1299.82</v>
      </c>
      <c r="H44" s="336"/>
      <c r="I44" s="336">
        <f t="shared" si="5"/>
        <v>391674.76</v>
      </c>
      <c r="J44" s="336">
        <f t="shared" si="6"/>
        <v>391674.76</v>
      </c>
      <c r="K44" s="546">
        <f t="shared" si="2"/>
        <v>0</v>
      </c>
      <c r="L44" s="502"/>
      <c r="M44" s="231"/>
      <c r="N44" s="11" t="s">
        <v>243</v>
      </c>
      <c r="O44" s="341"/>
      <c r="P44" s="339"/>
    </row>
    <row r="45" spans="1:19" ht="67.5">
      <c r="A45" s="333" t="s">
        <v>2161</v>
      </c>
      <c r="B45" s="632" t="s">
        <v>321</v>
      </c>
      <c r="C45" s="335" t="s">
        <v>17</v>
      </c>
      <c r="D45" s="336">
        <v>5991.34</v>
      </c>
      <c r="E45" s="336">
        <f>估驗單!F41</f>
        <v>5991.34</v>
      </c>
      <c r="F45" s="390">
        <f t="shared" si="4"/>
        <v>0</v>
      </c>
      <c r="G45" s="336">
        <v>60</v>
      </c>
      <c r="H45" s="336"/>
      <c r="I45" s="336">
        <f t="shared" si="5"/>
        <v>359480.4</v>
      </c>
      <c r="J45" s="336">
        <f t="shared" si="6"/>
        <v>359480.4</v>
      </c>
      <c r="K45" s="546">
        <f t="shared" si="2"/>
        <v>0</v>
      </c>
      <c r="L45" s="502"/>
      <c r="M45" s="231"/>
      <c r="N45" s="11" t="s">
        <v>243</v>
      </c>
      <c r="O45" s="341" t="s">
        <v>2995</v>
      </c>
      <c r="P45" s="339" t="s">
        <v>2881</v>
      </c>
      <c r="Q45" s="746" t="s">
        <v>2876</v>
      </c>
    </row>
    <row r="46" spans="1:19" ht="67.5">
      <c r="A46" s="333" t="s">
        <v>2162</v>
      </c>
      <c r="B46" s="632" t="s">
        <v>323</v>
      </c>
      <c r="C46" s="335" t="s">
        <v>17</v>
      </c>
      <c r="D46" s="336">
        <v>5991.34</v>
      </c>
      <c r="E46" s="336">
        <f>估驗單!F42</f>
        <v>5991.34</v>
      </c>
      <c r="F46" s="390">
        <f t="shared" si="4"/>
        <v>0</v>
      </c>
      <c r="G46" s="336">
        <v>31.9</v>
      </c>
      <c r="H46" s="336"/>
      <c r="I46" s="336">
        <f t="shared" si="5"/>
        <v>191123.75</v>
      </c>
      <c r="J46" s="336">
        <f t="shared" si="6"/>
        <v>191123.75</v>
      </c>
      <c r="K46" s="546">
        <f t="shared" si="2"/>
        <v>0</v>
      </c>
      <c r="L46" s="502"/>
      <c r="M46" s="231" t="s">
        <v>242</v>
      </c>
      <c r="N46" s="11" t="s">
        <v>243</v>
      </c>
      <c r="O46" s="341" t="s">
        <v>2995</v>
      </c>
      <c r="P46" s="339" t="s">
        <v>2881</v>
      </c>
      <c r="Q46" s="147" t="s">
        <v>2878</v>
      </c>
    </row>
    <row r="47" spans="1:19" ht="57">
      <c r="A47" s="333" t="s">
        <v>2163</v>
      </c>
      <c r="B47" s="334" t="s">
        <v>325</v>
      </c>
      <c r="C47" s="335" t="s">
        <v>17</v>
      </c>
      <c r="D47" s="336">
        <v>1180.03</v>
      </c>
      <c r="E47" s="336">
        <f>估驗單!F43</f>
        <v>1180.03</v>
      </c>
      <c r="F47" s="390">
        <f t="shared" si="4"/>
        <v>0</v>
      </c>
      <c r="G47" s="336">
        <v>107.3</v>
      </c>
      <c r="H47" s="336"/>
      <c r="I47" s="336">
        <f t="shared" si="5"/>
        <v>126617.22</v>
      </c>
      <c r="J47" s="336">
        <f t="shared" si="6"/>
        <v>126617.22</v>
      </c>
      <c r="K47" s="546">
        <f t="shared" si="2"/>
        <v>0</v>
      </c>
      <c r="L47" s="502"/>
      <c r="M47" s="231"/>
      <c r="N47" s="11" t="s">
        <v>243</v>
      </c>
      <c r="O47" s="341"/>
      <c r="P47" s="339"/>
    </row>
    <row r="48" spans="1:19" ht="33">
      <c r="A48" s="333" t="s">
        <v>2164</v>
      </c>
      <c r="B48" s="334" t="s">
        <v>327</v>
      </c>
      <c r="C48" s="335" t="s">
        <v>13</v>
      </c>
      <c r="D48" s="336">
        <v>3879.21</v>
      </c>
      <c r="E48" s="336">
        <f>估驗單!F44</f>
        <v>3879.21</v>
      </c>
      <c r="F48" s="390">
        <f t="shared" si="4"/>
        <v>0</v>
      </c>
      <c r="G48" s="336">
        <v>3092.69</v>
      </c>
      <c r="H48" s="336"/>
      <c r="I48" s="336">
        <f t="shared" si="5"/>
        <v>11997193.970000001</v>
      </c>
      <c r="J48" s="336">
        <f t="shared" si="6"/>
        <v>11997193.970000001</v>
      </c>
      <c r="K48" s="546">
        <f t="shared" si="2"/>
        <v>0</v>
      </c>
      <c r="L48" s="502"/>
      <c r="M48" s="231" t="s">
        <v>242</v>
      </c>
      <c r="N48" s="11" t="s">
        <v>243</v>
      </c>
      <c r="O48" s="341"/>
      <c r="P48" s="339"/>
    </row>
    <row r="49" spans="1:17" ht="33">
      <c r="A49" s="333" t="s">
        <v>2165</v>
      </c>
      <c r="B49" s="334" t="s">
        <v>329</v>
      </c>
      <c r="C49" s="335" t="s">
        <v>13</v>
      </c>
      <c r="D49" s="336">
        <v>462.9</v>
      </c>
      <c r="E49" s="336">
        <f>估驗單!F45</f>
        <v>462.9</v>
      </c>
      <c r="F49" s="390">
        <f t="shared" si="4"/>
        <v>0</v>
      </c>
      <c r="G49" s="336">
        <v>3961.37</v>
      </c>
      <c r="H49" s="336"/>
      <c r="I49" s="336">
        <f t="shared" si="5"/>
        <v>1833718.17</v>
      </c>
      <c r="J49" s="336">
        <f t="shared" si="6"/>
        <v>1833718.17</v>
      </c>
      <c r="K49" s="546">
        <f t="shared" si="2"/>
        <v>0</v>
      </c>
      <c r="L49" s="502"/>
      <c r="M49" s="231" t="s">
        <v>242</v>
      </c>
      <c r="N49" s="11" t="s">
        <v>243</v>
      </c>
      <c r="O49" s="341"/>
      <c r="P49" s="339"/>
    </row>
    <row r="50" spans="1:17" ht="33">
      <c r="A50" s="333" t="s">
        <v>2166</v>
      </c>
      <c r="B50" s="407" t="s">
        <v>331</v>
      </c>
      <c r="C50" s="335" t="s">
        <v>13</v>
      </c>
      <c r="D50" s="336">
        <v>5.09</v>
      </c>
      <c r="E50" s="336">
        <f>估驗單!F46</f>
        <v>5.09</v>
      </c>
      <c r="F50" s="390">
        <f t="shared" si="4"/>
        <v>0</v>
      </c>
      <c r="G50" s="336">
        <v>3965.59</v>
      </c>
      <c r="H50" s="336"/>
      <c r="I50" s="336">
        <f t="shared" si="5"/>
        <v>20184.849999999999</v>
      </c>
      <c r="J50" s="336">
        <f t="shared" si="6"/>
        <v>20184.849999999999</v>
      </c>
      <c r="K50" s="546">
        <f t="shared" si="2"/>
        <v>0</v>
      </c>
      <c r="L50" s="502"/>
      <c r="M50" s="231" t="s">
        <v>242</v>
      </c>
      <c r="N50" s="11" t="s">
        <v>243</v>
      </c>
      <c r="O50" s="474" t="s">
        <v>2893</v>
      </c>
      <c r="P50" s="339" t="s">
        <v>2880</v>
      </c>
      <c r="Q50" s="147" t="s">
        <v>2879</v>
      </c>
    </row>
    <row r="51" spans="1:17" ht="33">
      <c r="A51" s="333" t="s">
        <v>2167</v>
      </c>
      <c r="B51" s="334" t="s">
        <v>333</v>
      </c>
      <c r="C51" s="335" t="s">
        <v>13</v>
      </c>
      <c r="D51" s="336">
        <v>18.760000000000002</v>
      </c>
      <c r="E51" s="336">
        <f>估驗單!F47</f>
        <v>18.760000000000002</v>
      </c>
      <c r="F51" s="390">
        <f t="shared" si="4"/>
        <v>0</v>
      </c>
      <c r="G51" s="336">
        <v>3391.22</v>
      </c>
      <c r="H51" s="336"/>
      <c r="I51" s="336">
        <f t="shared" si="5"/>
        <v>63619.29</v>
      </c>
      <c r="J51" s="336">
        <f t="shared" si="6"/>
        <v>63619.29</v>
      </c>
      <c r="K51" s="546">
        <f t="shared" si="2"/>
        <v>0</v>
      </c>
      <c r="L51" s="502"/>
      <c r="M51" s="231" t="s">
        <v>242</v>
      </c>
      <c r="N51" s="11" t="s">
        <v>243</v>
      </c>
      <c r="O51" s="341"/>
      <c r="P51" s="339"/>
    </row>
    <row r="52" spans="1:17" ht="33">
      <c r="A52" s="333" t="s">
        <v>2168</v>
      </c>
      <c r="B52" s="334" t="s">
        <v>335</v>
      </c>
      <c r="C52" s="335" t="s">
        <v>13</v>
      </c>
      <c r="D52" s="336">
        <v>118.92</v>
      </c>
      <c r="E52" s="336">
        <f>估驗單!F48</f>
        <v>118.92</v>
      </c>
      <c r="F52" s="390">
        <f t="shared" si="4"/>
        <v>0</v>
      </c>
      <c r="G52" s="336">
        <v>773.85</v>
      </c>
      <c r="H52" s="336"/>
      <c r="I52" s="336">
        <f t="shared" si="5"/>
        <v>92026.240000000005</v>
      </c>
      <c r="J52" s="336">
        <f t="shared" si="6"/>
        <v>92026.240000000005</v>
      </c>
      <c r="K52" s="546">
        <f t="shared" si="2"/>
        <v>0</v>
      </c>
      <c r="L52" s="502"/>
      <c r="M52" s="231" t="s">
        <v>242</v>
      </c>
      <c r="N52" s="11" t="s">
        <v>243</v>
      </c>
      <c r="O52" s="341"/>
      <c r="P52" s="339"/>
    </row>
    <row r="53" spans="1:17" ht="33">
      <c r="A53" s="333" t="s">
        <v>2169</v>
      </c>
      <c r="B53" s="334" t="s">
        <v>337</v>
      </c>
      <c r="C53" s="335" t="s">
        <v>13</v>
      </c>
      <c r="D53" s="336">
        <v>173.3</v>
      </c>
      <c r="E53" s="336">
        <f>估驗單!F49</f>
        <v>173.3</v>
      </c>
      <c r="F53" s="390">
        <f t="shared" si="4"/>
        <v>0</v>
      </c>
      <c r="G53" s="336">
        <v>948.34</v>
      </c>
      <c r="H53" s="336"/>
      <c r="I53" s="336">
        <f t="shared" si="5"/>
        <v>164347.32</v>
      </c>
      <c r="J53" s="336">
        <f t="shared" si="6"/>
        <v>164347.32</v>
      </c>
      <c r="K53" s="546">
        <f t="shared" si="2"/>
        <v>0</v>
      </c>
      <c r="L53" s="502"/>
      <c r="M53" s="231" t="s">
        <v>242</v>
      </c>
      <c r="N53" s="11" t="s">
        <v>243</v>
      </c>
      <c r="O53" s="341"/>
      <c r="P53" s="339"/>
    </row>
    <row r="54" spans="1:17" ht="33">
      <c r="A54" s="333" t="s">
        <v>2170</v>
      </c>
      <c r="B54" s="334" t="s">
        <v>339</v>
      </c>
      <c r="C54" s="335" t="s">
        <v>0</v>
      </c>
      <c r="D54" s="336">
        <v>1</v>
      </c>
      <c r="E54" s="336">
        <f>估驗單!F50</f>
        <v>1</v>
      </c>
      <c r="F54" s="390">
        <f t="shared" si="4"/>
        <v>0</v>
      </c>
      <c r="G54" s="336">
        <v>144378.63</v>
      </c>
      <c r="H54" s="336"/>
      <c r="I54" s="336">
        <f t="shared" si="5"/>
        <v>144378.63</v>
      </c>
      <c r="J54" s="336">
        <f t="shared" si="6"/>
        <v>144378.63</v>
      </c>
      <c r="K54" s="546">
        <f t="shared" si="2"/>
        <v>0</v>
      </c>
      <c r="L54" s="502"/>
      <c r="M54" s="231" t="s">
        <v>242</v>
      </c>
      <c r="N54" s="11" t="s">
        <v>243</v>
      </c>
      <c r="O54" s="341"/>
      <c r="P54" s="339"/>
    </row>
    <row r="55" spans="1:17" ht="33">
      <c r="A55" s="333" t="s">
        <v>2171</v>
      </c>
      <c r="B55" s="334" t="s">
        <v>341</v>
      </c>
      <c r="C55" s="335" t="s">
        <v>223</v>
      </c>
      <c r="D55" s="336">
        <v>156.68</v>
      </c>
      <c r="E55" s="336">
        <f>估驗單!F51</f>
        <v>156.68</v>
      </c>
      <c r="F55" s="390">
        <f t="shared" si="4"/>
        <v>0</v>
      </c>
      <c r="G55" s="336">
        <v>145.21</v>
      </c>
      <c r="H55" s="336"/>
      <c r="I55" s="336">
        <f t="shared" si="5"/>
        <v>22751.5</v>
      </c>
      <c r="J55" s="336">
        <f t="shared" si="6"/>
        <v>22751.5</v>
      </c>
      <c r="K55" s="546">
        <f t="shared" si="2"/>
        <v>0</v>
      </c>
      <c r="L55" s="502"/>
      <c r="M55" s="231" t="s">
        <v>242</v>
      </c>
      <c r="N55" s="11" t="s">
        <v>243</v>
      </c>
      <c r="O55" s="341"/>
      <c r="P55" s="339"/>
    </row>
    <row r="56" spans="1:17" ht="33">
      <c r="A56" s="333" t="s">
        <v>2172</v>
      </c>
      <c r="B56" s="334" t="s">
        <v>343</v>
      </c>
      <c r="C56" s="335" t="s">
        <v>8</v>
      </c>
      <c r="D56" s="336">
        <v>689.86</v>
      </c>
      <c r="E56" s="336">
        <f>估驗單!F52</f>
        <v>689.86</v>
      </c>
      <c r="F56" s="390">
        <f t="shared" si="4"/>
        <v>0</v>
      </c>
      <c r="G56" s="336">
        <v>2755.78</v>
      </c>
      <c r="H56" s="336"/>
      <c r="I56" s="336">
        <f t="shared" si="5"/>
        <v>1901102.39</v>
      </c>
      <c r="J56" s="336">
        <f t="shared" si="6"/>
        <v>1901102.39</v>
      </c>
      <c r="K56" s="546">
        <f t="shared" si="2"/>
        <v>0</v>
      </c>
      <c r="L56" s="502"/>
      <c r="M56" s="231"/>
      <c r="N56" s="11" t="s">
        <v>243</v>
      </c>
      <c r="O56" s="341"/>
      <c r="P56" s="339"/>
    </row>
    <row r="57" spans="1:17" ht="33">
      <c r="A57" s="333" t="s">
        <v>2173</v>
      </c>
      <c r="B57" s="334" t="s">
        <v>345</v>
      </c>
      <c r="C57" s="335" t="s">
        <v>8</v>
      </c>
      <c r="D57" s="336">
        <v>12.91</v>
      </c>
      <c r="E57" s="336">
        <f>估驗單!F53</f>
        <v>12.91</v>
      </c>
      <c r="F57" s="390">
        <f t="shared" si="4"/>
        <v>0</v>
      </c>
      <c r="G57" s="336">
        <v>576.77</v>
      </c>
      <c r="H57" s="336"/>
      <c r="I57" s="336">
        <f t="shared" si="5"/>
        <v>7446.1</v>
      </c>
      <c r="J57" s="336">
        <f t="shared" si="6"/>
        <v>7446.1</v>
      </c>
      <c r="K57" s="546">
        <f t="shared" si="2"/>
        <v>0</v>
      </c>
      <c r="L57" s="502"/>
      <c r="M57" s="231"/>
      <c r="N57" s="11" t="s">
        <v>243</v>
      </c>
      <c r="O57" s="341"/>
      <c r="P57" s="339"/>
    </row>
    <row r="58" spans="1:17" ht="33">
      <c r="A58" s="333" t="s">
        <v>2174</v>
      </c>
      <c r="B58" s="334" t="s">
        <v>347</v>
      </c>
      <c r="C58" s="335" t="s">
        <v>8</v>
      </c>
      <c r="D58" s="336">
        <v>56.09</v>
      </c>
      <c r="E58" s="336">
        <f>估驗單!F54</f>
        <v>56.09</v>
      </c>
      <c r="F58" s="390">
        <f t="shared" si="4"/>
        <v>0</v>
      </c>
      <c r="G58" s="336">
        <v>615.30999999999995</v>
      </c>
      <c r="H58" s="336"/>
      <c r="I58" s="336">
        <f t="shared" si="5"/>
        <v>34512.74</v>
      </c>
      <c r="J58" s="336">
        <f t="shared" si="6"/>
        <v>34512.74</v>
      </c>
      <c r="K58" s="546">
        <f t="shared" si="2"/>
        <v>0</v>
      </c>
      <c r="L58" s="502"/>
      <c r="M58" s="231"/>
      <c r="N58" s="11" t="s">
        <v>243</v>
      </c>
      <c r="O58" s="341"/>
      <c r="P58" s="339"/>
    </row>
    <row r="59" spans="1:17" ht="33">
      <c r="A59" s="333" t="s">
        <v>2175</v>
      </c>
      <c r="B59" s="334" t="s">
        <v>349</v>
      </c>
      <c r="C59" s="335" t="s">
        <v>8</v>
      </c>
      <c r="D59" s="336">
        <v>656.91</v>
      </c>
      <c r="E59" s="336">
        <f>估驗單!F55</f>
        <v>656.91</v>
      </c>
      <c r="F59" s="390">
        <f t="shared" si="4"/>
        <v>0</v>
      </c>
      <c r="G59" s="336">
        <v>685.27</v>
      </c>
      <c r="H59" s="336"/>
      <c r="I59" s="336">
        <f t="shared" si="5"/>
        <v>450160.72</v>
      </c>
      <c r="J59" s="336">
        <f t="shared" si="6"/>
        <v>450160.72</v>
      </c>
      <c r="K59" s="546">
        <f t="shared" si="2"/>
        <v>0</v>
      </c>
      <c r="L59" s="502"/>
      <c r="M59" s="231"/>
      <c r="N59" s="11" t="s">
        <v>243</v>
      </c>
      <c r="O59" s="341"/>
      <c r="P59" s="339"/>
    </row>
    <row r="60" spans="1:17" ht="33">
      <c r="A60" s="333" t="s">
        <v>2177</v>
      </c>
      <c r="B60" s="334" t="s">
        <v>351</v>
      </c>
      <c r="C60" s="335" t="s">
        <v>8</v>
      </c>
      <c r="D60" s="336">
        <v>1254.1300000000001</v>
      </c>
      <c r="E60" s="336">
        <f>估驗單!F56</f>
        <v>1254.1300000000001</v>
      </c>
      <c r="F60" s="390">
        <f t="shared" si="4"/>
        <v>0</v>
      </c>
      <c r="G60" s="336">
        <v>699.69</v>
      </c>
      <c r="H60" s="336"/>
      <c r="I60" s="336">
        <f t="shared" si="5"/>
        <v>877502.22</v>
      </c>
      <c r="J60" s="336">
        <f t="shared" si="6"/>
        <v>877502.22</v>
      </c>
      <c r="K60" s="546">
        <f t="shared" si="2"/>
        <v>0</v>
      </c>
      <c r="L60" s="502"/>
      <c r="M60" s="231"/>
      <c r="N60" s="11" t="s">
        <v>243</v>
      </c>
      <c r="O60" s="341"/>
      <c r="P60" s="339"/>
    </row>
    <row r="61" spans="1:17" ht="33">
      <c r="A61" s="333" t="s">
        <v>2178</v>
      </c>
      <c r="B61" s="334" t="s">
        <v>353</v>
      </c>
      <c r="C61" s="335" t="s">
        <v>8</v>
      </c>
      <c r="D61" s="336">
        <v>44.64</v>
      </c>
      <c r="E61" s="336">
        <f>估驗單!F57</f>
        <v>44.64</v>
      </c>
      <c r="F61" s="390">
        <f t="shared" si="4"/>
        <v>0</v>
      </c>
      <c r="G61" s="336">
        <v>1199.27</v>
      </c>
      <c r="H61" s="336"/>
      <c r="I61" s="336">
        <f t="shared" si="5"/>
        <v>53535.41</v>
      </c>
      <c r="J61" s="336">
        <f t="shared" si="6"/>
        <v>53535.41</v>
      </c>
      <c r="K61" s="546">
        <f t="shared" si="2"/>
        <v>0</v>
      </c>
      <c r="L61" s="502"/>
      <c r="M61" s="231"/>
      <c r="N61" s="11" t="s">
        <v>243</v>
      </c>
      <c r="O61" s="341"/>
      <c r="P61" s="339"/>
    </row>
    <row r="62" spans="1:17" ht="33">
      <c r="A62" s="333" t="s">
        <v>2179</v>
      </c>
      <c r="B62" s="334" t="s">
        <v>355</v>
      </c>
      <c r="C62" s="335" t="s">
        <v>8</v>
      </c>
      <c r="D62" s="336">
        <v>142.26</v>
      </c>
      <c r="E62" s="336">
        <f>估驗單!F58</f>
        <v>142.26</v>
      </c>
      <c r="F62" s="390">
        <f t="shared" si="4"/>
        <v>0</v>
      </c>
      <c r="G62" s="336">
        <v>57.68</v>
      </c>
      <c r="H62" s="336"/>
      <c r="I62" s="336">
        <f t="shared" si="5"/>
        <v>8205.56</v>
      </c>
      <c r="J62" s="336">
        <f t="shared" si="6"/>
        <v>8205.56</v>
      </c>
      <c r="K62" s="546">
        <f t="shared" si="2"/>
        <v>0</v>
      </c>
      <c r="L62" s="502"/>
      <c r="M62" s="231"/>
      <c r="N62" s="11" t="s">
        <v>243</v>
      </c>
      <c r="O62" s="341"/>
      <c r="P62" s="339"/>
    </row>
    <row r="63" spans="1:17" ht="33">
      <c r="A63" s="333" t="s">
        <v>2181</v>
      </c>
      <c r="B63" s="334" t="s">
        <v>357</v>
      </c>
      <c r="C63" s="335" t="s">
        <v>8</v>
      </c>
      <c r="D63" s="336">
        <v>8.5</v>
      </c>
      <c r="E63" s="336">
        <f>估驗單!F59</f>
        <v>8.5</v>
      </c>
      <c r="F63" s="390">
        <f t="shared" si="4"/>
        <v>0</v>
      </c>
      <c r="G63" s="336">
        <v>138.84</v>
      </c>
      <c r="H63" s="336"/>
      <c r="I63" s="336">
        <f t="shared" si="5"/>
        <v>1180.1400000000001</v>
      </c>
      <c r="J63" s="336">
        <f t="shared" si="6"/>
        <v>1180.1400000000001</v>
      </c>
      <c r="K63" s="546">
        <f t="shared" si="2"/>
        <v>0</v>
      </c>
      <c r="L63" s="502"/>
      <c r="M63" s="231" t="s">
        <v>242</v>
      </c>
      <c r="N63" s="11" t="s">
        <v>243</v>
      </c>
      <c r="O63" s="341"/>
      <c r="P63" s="339"/>
    </row>
    <row r="64" spans="1:17" ht="33">
      <c r="A64" s="333" t="s">
        <v>2182</v>
      </c>
      <c r="B64" s="334" t="s">
        <v>359</v>
      </c>
      <c r="C64" s="335" t="s">
        <v>13</v>
      </c>
      <c r="D64" s="336">
        <v>20.48</v>
      </c>
      <c r="E64" s="336">
        <f>估驗單!F60</f>
        <v>20.48</v>
      </c>
      <c r="F64" s="390">
        <f t="shared" si="4"/>
        <v>0</v>
      </c>
      <c r="G64" s="336">
        <v>2145.31</v>
      </c>
      <c r="H64" s="336"/>
      <c r="I64" s="336">
        <f t="shared" si="5"/>
        <v>43935.95</v>
      </c>
      <c r="J64" s="336">
        <f t="shared" si="6"/>
        <v>43935.95</v>
      </c>
      <c r="K64" s="546">
        <f t="shared" si="2"/>
        <v>0</v>
      </c>
      <c r="L64" s="502"/>
      <c r="M64" s="231"/>
      <c r="N64" s="11" t="s">
        <v>243</v>
      </c>
      <c r="O64" s="341"/>
      <c r="P64" s="339"/>
    </row>
    <row r="65" spans="1:17" ht="33">
      <c r="A65" s="333" t="s">
        <v>2183</v>
      </c>
      <c r="B65" s="334" t="s">
        <v>361</v>
      </c>
      <c r="C65" s="335" t="s">
        <v>8</v>
      </c>
      <c r="D65" s="336">
        <v>56.1</v>
      </c>
      <c r="E65" s="336">
        <f>估驗單!F61</f>
        <v>56.1</v>
      </c>
      <c r="F65" s="390">
        <f t="shared" si="4"/>
        <v>0</v>
      </c>
      <c r="G65" s="336">
        <v>511.36</v>
      </c>
      <c r="H65" s="336"/>
      <c r="I65" s="336">
        <f t="shared" si="5"/>
        <v>28687.3</v>
      </c>
      <c r="J65" s="336">
        <f t="shared" si="6"/>
        <v>28687.3</v>
      </c>
      <c r="K65" s="546">
        <f t="shared" si="2"/>
        <v>0</v>
      </c>
      <c r="L65" s="502"/>
      <c r="M65" s="231" t="s">
        <v>242</v>
      </c>
      <c r="N65" s="11" t="s">
        <v>243</v>
      </c>
      <c r="O65" s="341"/>
      <c r="P65" s="339"/>
    </row>
    <row r="66" spans="1:17" ht="33">
      <c r="A66" s="333" t="s">
        <v>2184</v>
      </c>
      <c r="B66" s="334" t="s">
        <v>363</v>
      </c>
      <c r="C66" s="335" t="s">
        <v>8</v>
      </c>
      <c r="D66" s="336">
        <v>16.600000000000001</v>
      </c>
      <c r="E66" s="336">
        <f>估驗單!F62</f>
        <v>16.600000000000001</v>
      </c>
      <c r="F66" s="390">
        <f t="shared" si="4"/>
        <v>0</v>
      </c>
      <c r="G66" s="336">
        <v>829.1</v>
      </c>
      <c r="H66" s="336"/>
      <c r="I66" s="336">
        <f t="shared" si="5"/>
        <v>13763.06</v>
      </c>
      <c r="J66" s="336">
        <f t="shared" si="6"/>
        <v>13763.06</v>
      </c>
      <c r="K66" s="546">
        <f t="shared" si="2"/>
        <v>0</v>
      </c>
      <c r="L66" s="502"/>
      <c r="M66" s="231" t="s">
        <v>242</v>
      </c>
      <c r="N66" s="11" t="s">
        <v>243</v>
      </c>
      <c r="O66" s="341"/>
      <c r="P66" s="339"/>
    </row>
    <row r="67" spans="1:17" ht="33">
      <c r="A67" s="333" t="s">
        <v>2185</v>
      </c>
      <c r="B67" s="334" t="s">
        <v>365</v>
      </c>
      <c r="C67" s="335" t="s">
        <v>8</v>
      </c>
      <c r="D67" s="336">
        <v>2</v>
      </c>
      <c r="E67" s="336">
        <f>估驗單!F63</f>
        <v>2</v>
      </c>
      <c r="F67" s="390">
        <f t="shared" si="4"/>
        <v>0</v>
      </c>
      <c r="G67" s="336">
        <v>443.91</v>
      </c>
      <c r="H67" s="336"/>
      <c r="I67" s="336">
        <f t="shared" si="5"/>
        <v>887.82</v>
      </c>
      <c r="J67" s="336">
        <f t="shared" si="6"/>
        <v>887.82</v>
      </c>
      <c r="K67" s="546">
        <f t="shared" si="2"/>
        <v>0</v>
      </c>
      <c r="L67" s="502"/>
      <c r="M67" s="231" t="s">
        <v>242</v>
      </c>
      <c r="N67" s="11" t="s">
        <v>243</v>
      </c>
      <c r="O67" s="341"/>
      <c r="P67" s="339"/>
    </row>
    <row r="68" spans="1:17" ht="33">
      <c r="A68" s="333" t="s">
        <v>2186</v>
      </c>
      <c r="B68" s="334" t="s">
        <v>367</v>
      </c>
      <c r="C68" s="335" t="s">
        <v>0</v>
      </c>
      <c r="D68" s="336">
        <v>7</v>
      </c>
      <c r="E68" s="336">
        <f>估驗單!F64</f>
        <v>7</v>
      </c>
      <c r="F68" s="390">
        <f t="shared" si="4"/>
        <v>0</v>
      </c>
      <c r="G68" s="336">
        <v>26450.3</v>
      </c>
      <c r="H68" s="336"/>
      <c r="I68" s="336">
        <f t="shared" si="5"/>
        <v>185152.1</v>
      </c>
      <c r="J68" s="336">
        <f t="shared" si="6"/>
        <v>185152.1</v>
      </c>
      <c r="K68" s="546">
        <f t="shared" si="2"/>
        <v>0</v>
      </c>
      <c r="L68" s="502"/>
      <c r="M68" s="231" t="s">
        <v>242</v>
      </c>
      <c r="N68" s="11" t="s">
        <v>243</v>
      </c>
      <c r="O68" s="341"/>
      <c r="P68" s="339"/>
    </row>
    <row r="69" spans="1:17" ht="33">
      <c r="A69" s="333" t="s">
        <v>2187</v>
      </c>
      <c r="B69" s="334" t="s">
        <v>369</v>
      </c>
      <c r="C69" s="335" t="s">
        <v>8</v>
      </c>
      <c r="D69" s="336">
        <v>19.2</v>
      </c>
      <c r="E69" s="336">
        <f>估驗單!F65</f>
        <v>19.2</v>
      </c>
      <c r="F69" s="390">
        <f t="shared" si="4"/>
        <v>0</v>
      </c>
      <c r="G69" s="336">
        <v>443.91</v>
      </c>
      <c r="H69" s="336"/>
      <c r="I69" s="336">
        <f t="shared" si="5"/>
        <v>8523.07</v>
      </c>
      <c r="J69" s="336">
        <f t="shared" si="6"/>
        <v>8523.07</v>
      </c>
      <c r="K69" s="546">
        <f t="shared" si="2"/>
        <v>0</v>
      </c>
      <c r="L69" s="502"/>
      <c r="M69" s="231"/>
      <c r="N69" s="11" t="s">
        <v>243</v>
      </c>
      <c r="O69" s="341"/>
      <c r="P69" s="339"/>
    </row>
    <row r="70" spans="1:17" ht="33">
      <c r="A70" s="333" t="s">
        <v>2188</v>
      </c>
      <c r="B70" s="334" t="s">
        <v>372</v>
      </c>
      <c r="C70" s="335" t="s">
        <v>0</v>
      </c>
      <c r="D70" s="336">
        <v>2</v>
      </c>
      <c r="E70" s="336">
        <f>估驗單!F66</f>
        <v>2</v>
      </c>
      <c r="F70" s="390">
        <f t="shared" si="4"/>
        <v>0</v>
      </c>
      <c r="G70" s="336">
        <v>23899.56</v>
      </c>
      <c r="H70" s="336"/>
      <c r="I70" s="336">
        <f t="shared" ref="I70:I101" si="7">ROUND(D70*G70,2)</f>
        <v>47799.12</v>
      </c>
      <c r="J70" s="336">
        <f t="shared" ref="J70:J101" si="8">ROUND(E70*G70,2)</f>
        <v>47799.12</v>
      </c>
      <c r="K70" s="546">
        <f t="shared" si="2"/>
        <v>0</v>
      </c>
      <c r="L70" s="502"/>
      <c r="M70" s="231" t="s">
        <v>242</v>
      </c>
      <c r="N70" s="11" t="s">
        <v>243</v>
      </c>
      <c r="O70" s="341"/>
      <c r="P70" s="339"/>
    </row>
    <row r="71" spans="1:17" ht="33">
      <c r="A71" s="333" t="s">
        <v>2189</v>
      </c>
      <c r="B71" s="334" t="s">
        <v>374</v>
      </c>
      <c r="C71" s="335" t="s">
        <v>0</v>
      </c>
      <c r="D71" s="336">
        <v>8</v>
      </c>
      <c r="E71" s="336">
        <f>估驗單!F67</f>
        <v>8</v>
      </c>
      <c r="F71" s="390">
        <f t="shared" si="4"/>
        <v>0</v>
      </c>
      <c r="G71" s="336">
        <v>25125.57</v>
      </c>
      <c r="H71" s="336"/>
      <c r="I71" s="336">
        <f t="shared" si="7"/>
        <v>201004.56</v>
      </c>
      <c r="J71" s="336">
        <f t="shared" si="8"/>
        <v>201004.56</v>
      </c>
      <c r="K71" s="546">
        <f t="shared" si="2"/>
        <v>0</v>
      </c>
      <c r="L71" s="502"/>
      <c r="M71" s="231"/>
      <c r="N71" s="11" t="s">
        <v>243</v>
      </c>
      <c r="O71" s="341"/>
      <c r="P71" s="339"/>
    </row>
    <row r="72" spans="1:17" ht="33">
      <c r="A72" s="333" t="s">
        <v>2190</v>
      </c>
      <c r="B72" s="334" t="s">
        <v>376</v>
      </c>
      <c r="C72" s="335" t="s">
        <v>0</v>
      </c>
      <c r="D72" s="336">
        <v>3</v>
      </c>
      <c r="E72" s="336">
        <f>估驗單!F68</f>
        <v>3</v>
      </c>
      <c r="F72" s="390">
        <f t="shared" si="4"/>
        <v>0</v>
      </c>
      <c r="G72" s="336">
        <v>24022.04</v>
      </c>
      <c r="H72" s="336"/>
      <c r="I72" s="336">
        <f t="shared" si="7"/>
        <v>72066.12</v>
      </c>
      <c r="J72" s="336">
        <f t="shared" si="8"/>
        <v>72066.12</v>
      </c>
      <c r="K72" s="546">
        <f t="shared" si="2"/>
        <v>0</v>
      </c>
      <c r="L72" s="502"/>
      <c r="M72" s="231"/>
      <c r="N72" s="11" t="s">
        <v>243</v>
      </c>
      <c r="O72" s="341"/>
      <c r="P72" s="339"/>
    </row>
    <row r="73" spans="1:17" ht="33">
      <c r="A73" s="333" t="s">
        <v>2191</v>
      </c>
      <c r="B73" s="334" t="s">
        <v>378</v>
      </c>
      <c r="C73" s="335" t="s">
        <v>8</v>
      </c>
      <c r="D73" s="336">
        <v>30.1</v>
      </c>
      <c r="E73" s="336">
        <f>估驗單!F69</f>
        <v>30.1</v>
      </c>
      <c r="F73" s="390">
        <f t="shared" si="4"/>
        <v>0</v>
      </c>
      <c r="G73" s="336">
        <v>545.1</v>
      </c>
      <c r="H73" s="336"/>
      <c r="I73" s="336">
        <f t="shared" si="7"/>
        <v>16407.509999999998</v>
      </c>
      <c r="J73" s="336">
        <f t="shared" si="8"/>
        <v>16407.509999999998</v>
      </c>
      <c r="K73" s="546">
        <f t="shared" si="2"/>
        <v>0</v>
      </c>
      <c r="L73" s="502"/>
      <c r="M73" s="231"/>
      <c r="N73" s="11" t="s">
        <v>243</v>
      </c>
      <c r="O73" s="341"/>
      <c r="P73" s="339"/>
    </row>
    <row r="74" spans="1:17" ht="40.5">
      <c r="A74" s="503" t="s">
        <v>2192</v>
      </c>
      <c r="B74" s="504" t="s">
        <v>380</v>
      </c>
      <c r="C74" s="505" t="s">
        <v>8</v>
      </c>
      <c r="D74" s="506">
        <v>31.2</v>
      </c>
      <c r="E74" s="506">
        <f>估驗單!F70</f>
        <v>35.200000000000003</v>
      </c>
      <c r="F74" s="507">
        <f t="shared" si="4"/>
        <v>4.0000000000000036</v>
      </c>
      <c r="G74" s="506">
        <v>8355.11</v>
      </c>
      <c r="H74" s="506"/>
      <c r="I74" s="506">
        <f t="shared" si="7"/>
        <v>260679.43</v>
      </c>
      <c r="J74" s="506">
        <f t="shared" si="8"/>
        <v>294099.87</v>
      </c>
      <c r="K74" s="547">
        <f t="shared" si="2"/>
        <v>33420.44</v>
      </c>
      <c r="L74" s="510"/>
      <c r="M74" s="508"/>
      <c r="N74" s="11" t="s">
        <v>243</v>
      </c>
      <c r="O74" s="341" t="s">
        <v>2916</v>
      </c>
      <c r="P74" s="339" t="s">
        <v>3007</v>
      </c>
      <c r="Q74" s="753" t="s">
        <v>3006</v>
      </c>
    </row>
    <row r="75" spans="1:17" ht="40.5">
      <c r="A75" s="503" t="s">
        <v>2193</v>
      </c>
      <c r="B75" s="504" t="s">
        <v>383</v>
      </c>
      <c r="C75" s="505" t="s">
        <v>8</v>
      </c>
      <c r="D75" s="506">
        <v>17.899999999999999</v>
      </c>
      <c r="E75" s="506">
        <f>估驗單!F71</f>
        <v>24.3</v>
      </c>
      <c r="F75" s="507">
        <f t="shared" si="4"/>
        <v>6.4000000000000021</v>
      </c>
      <c r="G75" s="506">
        <v>5394.64</v>
      </c>
      <c r="H75" s="506"/>
      <c r="I75" s="506">
        <f t="shared" si="7"/>
        <v>96564.06</v>
      </c>
      <c r="J75" s="506">
        <f t="shared" si="8"/>
        <v>131089.75</v>
      </c>
      <c r="K75" s="547">
        <f t="shared" si="2"/>
        <v>34525.69</v>
      </c>
      <c r="L75" s="510"/>
      <c r="M75" s="508"/>
      <c r="N75" s="11" t="s">
        <v>243</v>
      </c>
      <c r="O75" s="341" t="s">
        <v>2916</v>
      </c>
      <c r="P75" s="752">
        <v>24.3</v>
      </c>
      <c r="Q75" s="753" t="s">
        <v>3006</v>
      </c>
    </row>
    <row r="76" spans="1:17" ht="33">
      <c r="A76" s="333" t="s">
        <v>2194</v>
      </c>
      <c r="B76" s="334" t="s">
        <v>386</v>
      </c>
      <c r="C76" s="335" t="s">
        <v>8</v>
      </c>
      <c r="D76" s="336">
        <v>19.600000000000001</v>
      </c>
      <c r="E76" s="336">
        <f>估驗單!F72</f>
        <v>19.600000000000001</v>
      </c>
      <c r="F76" s="390">
        <f t="shared" si="4"/>
        <v>0</v>
      </c>
      <c r="G76" s="336">
        <v>432.57</v>
      </c>
      <c r="H76" s="336"/>
      <c r="I76" s="336">
        <f t="shared" si="7"/>
        <v>8478.3700000000008</v>
      </c>
      <c r="J76" s="336">
        <f t="shared" si="8"/>
        <v>8478.3700000000008</v>
      </c>
      <c r="K76" s="546">
        <f t="shared" si="2"/>
        <v>0</v>
      </c>
      <c r="L76" s="502"/>
      <c r="M76" s="231"/>
      <c r="N76" s="11" t="s">
        <v>243</v>
      </c>
      <c r="O76" s="341"/>
      <c r="P76" s="339"/>
    </row>
    <row r="77" spans="1:17" ht="33">
      <c r="A77" s="333" t="s">
        <v>2195</v>
      </c>
      <c r="B77" s="334" t="s">
        <v>389</v>
      </c>
      <c r="C77" s="335" t="s">
        <v>8</v>
      </c>
      <c r="D77" s="336">
        <v>24.9</v>
      </c>
      <c r="E77" s="336">
        <f>估驗單!F73</f>
        <v>24.9</v>
      </c>
      <c r="F77" s="390">
        <f t="shared" ref="F77:F143" si="9">E77-D77</f>
        <v>0</v>
      </c>
      <c r="G77" s="336">
        <v>1224.22</v>
      </c>
      <c r="H77" s="336"/>
      <c r="I77" s="336">
        <f t="shared" si="7"/>
        <v>30483.08</v>
      </c>
      <c r="J77" s="336">
        <f t="shared" si="8"/>
        <v>30483.08</v>
      </c>
      <c r="K77" s="546">
        <f t="shared" ref="K77:K140" si="10">J77-I77</f>
        <v>0</v>
      </c>
      <c r="L77" s="502"/>
      <c r="M77" s="231" t="s">
        <v>242</v>
      </c>
      <c r="N77" s="11" t="s">
        <v>243</v>
      </c>
      <c r="O77" s="341"/>
      <c r="P77" s="339"/>
    </row>
    <row r="78" spans="1:17" ht="33">
      <c r="A78" s="333" t="s">
        <v>2196</v>
      </c>
      <c r="B78" s="334" t="s">
        <v>392</v>
      </c>
      <c r="C78" s="335" t="s">
        <v>8</v>
      </c>
      <c r="D78" s="336">
        <v>3.5</v>
      </c>
      <c r="E78" s="336">
        <f>估驗單!F74</f>
        <v>3.5</v>
      </c>
      <c r="F78" s="390">
        <f t="shared" si="9"/>
        <v>0</v>
      </c>
      <c r="G78" s="336">
        <v>1148.6300000000001</v>
      </c>
      <c r="H78" s="336"/>
      <c r="I78" s="336">
        <f t="shared" si="7"/>
        <v>4020.21</v>
      </c>
      <c r="J78" s="336">
        <f t="shared" si="8"/>
        <v>4020.21</v>
      </c>
      <c r="K78" s="546">
        <f t="shared" si="10"/>
        <v>0</v>
      </c>
      <c r="L78" s="502"/>
      <c r="M78" s="231" t="s">
        <v>242</v>
      </c>
      <c r="N78" s="11" t="s">
        <v>243</v>
      </c>
      <c r="O78" s="341"/>
      <c r="P78" s="339"/>
    </row>
    <row r="79" spans="1:17" ht="33">
      <c r="A79" s="333" t="s">
        <v>2197</v>
      </c>
      <c r="B79" s="334" t="s">
        <v>395</v>
      </c>
      <c r="C79" s="335" t="s">
        <v>0</v>
      </c>
      <c r="D79" s="336">
        <v>1</v>
      </c>
      <c r="E79" s="336">
        <f>估驗單!F75</f>
        <v>1</v>
      </c>
      <c r="F79" s="390">
        <f t="shared" si="9"/>
        <v>0</v>
      </c>
      <c r="G79" s="336">
        <v>5698.63</v>
      </c>
      <c r="H79" s="336"/>
      <c r="I79" s="336">
        <f t="shared" si="7"/>
        <v>5698.63</v>
      </c>
      <c r="J79" s="336">
        <f t="shared" si="8"/>
        <v>5698.63</v>
      </c>
      <c r="K79" s="546">
        <f t="shared" si="10"/>
        <v>0</v>
      </c>
      <c r="L79" s="502"/>
      <c r="M79" s="231" t="s">
        <v>242</v>
      </c>
      <c r="N79" s="11" t="s">
        <v>243</v>
      </c>
      <c r="O79" s="341"/>
      <c r="P79" s="339"/>
    </row>
    <row r="80" spans="1:17" ht="33">
      <c r="A80" s="333" t="s">
        <v>2198</v>
      </c>
      <c r="B80" s="334" t="s">
        <v>398</v>
      </c>
      <c r="C80" s="335" t="s">
        <v>0</v>
      </c>
      <c r="D80" s="336">
        <v>1</v>
      </c>
      <c r="E80" s="336">
        <f>估驗單!F76</f>
        <v>1</v>
      </c>
      <c r="F80" s="390">
        <f t="shared" si="9"/>
        <v>0</v>
      </c>
      <c r="G80" s="336">
        <v>5963.22</v>
      </c>
      <c r="H80" s="336"/>
      <c r="I80" s="336">
        <f t="shared" si="7"/>
        <v>5963.22</v>
      </c>
      <c r="J80" s="336">
        <f t="shared" si="8"/>
        <v>5963.22</v>
      </c>
      <c r="K80" s="546">
        <f t="shared" si="10"/>
        <v>0</v>
      </c>
      <c r="L80" s="502"/>
      <c r="M80" s="231" t="s">
        <v>242</v>
      </c>
      <c r="N80" s="11" t="s">
        <v>243</v>
      </c>
      <c r="O80" s="341"/>
      <c r="P80" s="339"/>
    </row>
    <row r="81" spans="1:16" ht="33">
      <c r="A81" s="333" t="s">
        <v>2199</v>
      </c>
      <c r="B81" s="334" t="s">
        <v>401</v>
      </c>
      <c r="C81" s="335" t="s">
        <v>0</v>
      </c>
      <c r="D81" s="336">
        <v>1</v>
      </c>
      <c r="E81" s="336">
        <f>估驗單!F77</f>
        <v>1</v>
      </c>
      <c r="F81" s="390">
        <f t="shared" si="9"/>
        <v>0</v>
      </c>
      <c r="G81" s="336">
        <v>1421.11</v>
      </c>
      <c r="H81" s="336"/>
      <c r="I81" s="336">
        <f t="shared" si="7"/>
        <v>1421.11</v>
      </c>
      <c r="J81" s="336">
        <f t="shared" si="8"/>
        <v>1421.11</v>
      </c>
      <c r="K81" s="546">
        <f t="shared" si="10"/>
        <v>0</v>
      </c>
      <c r="L81" s="502"/>
      <c r="M81" s="231" t="s">
        <v>242</v>
      </c>
      <c r="N81" s="11" t="s">
        <v>243</v>
      </c>
      <c r="O81" s="341"/>
      <c r="P81" s="339"/>
    </row>
    <row r="82" spans="1:16" ht="33">
      <c r="A82" s="333" t="s">
        <v>2200</v>
      </c>
      <c r="B82" s="334" t="s">
        <v>404</v>
      </c>
      <c r="C82" s="335" t="s">
        <v>0</v>
      </c>
      <c r="D82" s="336">
        <v>1</v>
      </c>
      <c r="E82" s="336">
        <f>估驗單!F78</f>
        <v>1</v>
      </c>
      <c r="F82" s="390">
        <f t="shared" si="9"/>
        <v>0</v>
      </c>
      <c r="G82" s="336">
        <v>4031.83</v>
      </c>
      <c r="H82" s="336"/>
      <c r="I82" s="336">
        <f t="shared" si="7"/>
        <v>4031.83</v>
      </c>
      <c r="J82" s="336">
        <f t="shared" si="8"/>
        <v>4031.83</v>
      </c>
      <c r="K82" s="546">
        <f t="shared" si="10"/>
        <v>0</v>
      </c>
      <c r="L82" s="502"/>
      <c r="M82" s="231" t="s">
        <v>242</v>
      </c>
      <c r="N82" s="11" t="s">
        <v>243</v>
      </c>
      <c r="O82" s="341"/>
      <c r="P82" s="339"/>
    </row>
    <row r="83" spans="1:16" ht="33">
      <c r="A83" s="333" t="s">
        <v>2201</v>
      </c>
      <c r="B83" s="334" t="s">
        <v>407</v>
      </c>
      <c r="C83" s="335" t="s">
        <v>0</v>
      </c>
      <c r="D83" s="336">
        <v>1</v>
      </c>
      <c r="E83" s="336">
        <f>估驗單!F79</f>
        <v>1</v>
      </c>
      <c r="F83" s="390">
        <f t="shared" si="9"/>
        <v>0</v>
      </c>
      <c r="G83" s="336">
        <v>3313.67</v>
      </c>
      <c r="H83" s="336"/>
      <c r="I83" s="336">
        <f t="shared" si="7"/>
        <v>3313.67</v>
      </c>
      <c r="J83" s="336">
        <f t="shared" si="8"/>
        <v>3313.67</v>
      </c>
      <c r="K83" s="546">
        <f t="shared" si="10"/>
        <v>0</v>
      </c>
      <c r="L83" s="502"/>
      <c r="M83" s="231" t="s">
        <v>242</v>
      </c>
      <c r="N83" s="11" t="s">
        <v>243</v>
      </c>
      <c r="O83" s="341"/>
      <c r="P83" s="339"/>
    </row>
    <row r="84" spans="1:16" ht="33">
      <c r="A84" s="333" t="s">
        <v>2202</v>
      </c>
      <c r="B84" s="334" t="s">
        <v>410</v>
      </c>
      <c r="C84" s="335" t="s">
        <v>8</v>
      </c>
      <c r="D84" s="336">
        <v>149.5</v>
      </c>
      <c r="E84" s="336">
        <f>估驗單!F80</f>
        <v>149.5</v>
      </c>
      <c r="F84" s="390">
        <f t="shared" si="9"/>
        <v>0</v>
      </c>
      <c r="G84" s="336">
        <v>1975.94</v>
      </c>
      <c r="H84" s="336"/>
      <c r="I84" s="336">
        <f t="shared" si="7"/>
        <v>295403.03000000003</v>
      </c>
      <c r="J84" s="336">
        <f t="shared" si="8"/>
        <v>295403.03000000003</v>
      </c>
      <c r="K84" s="546">
        <f t="shared" si="10"/>
        <v>0</v>
      </c>
      <c r="L84" s="502"/>
      <c r="M84" s="231" t="s">
        <v>242</v>
      </c>
      <c r="N84" s="11" t="s">
        <v>243</v>
      </c>
      <c r="O84" s="341"/>
      <c r="P84" s="339"/>
    </row>
    <row r="85" spans="1:16" ht="33">
      <c r="A85" s="333" t="s">
        <v>2203</v>
      </c>
      <c r="B85" s="334" t="s">
        <v>413</v>
      </c>
      <c r="C85" s="335" t="s">
        <v>8</v>
      </c>
      <c r="D85" s="336">
        <v>39.299999999999997</v>
      </c>
      <c r="E85" s="336">
        <f>估驗單!F81</f>
        <v>39.299999999999997</v>
      </c>
      <c r="F85" s="390">
        <f t="shared" si="9"/>
        <v>0</v>
      </c>
      <c r="G85" s="336">
        <v>4874.2299999999996</v>
      </c>
      <c r="H85" s="336"/>
      <c r="I85" s="336">
        <f t="shared" si="7"/>
        <v>191557.24</v>
      </c>
      <c r="J85" s="336">
        <f t="shared" si="8"/>
        <v>191557.24</v>
      </c>
      <c r="K85" s="546">
        <f t="shared" si="10"/>
        <v>0</v>
      </c>
      <c r="L85" s="502"/>
      <c r="M85" s="231" t="s">
        <v>242</v>
      </c>
      <c r="N85" s="11" t="s">
        <v>243</v>
      </c>
      <c r="O85" s="341"/>
      <c r="P85" s="339"/>
    </row>
    <row r="86" spans="1:16" ht="33">
      <c r="A86" s="333" t="s">
        <v>2204</v>
      </c>
      <c r="B86" s="334" t="s">
        <v>416</v>
      </c>
      <c r="C86" s="335" t="s">
        <v>8</v>
      </c>
      <c r="D86" s="336">
        <v>51.3</v>
      </c>
      <c r="E86" s="336">
        <f>估驗單!F82</f>
        <v>51.3</v>
      </c>
      <c r="F86" s="390">
        <f t="shared" si="9"/>
        <v>0</v>
      </c>
      <c r="G86" s="336">
        <v>2938.96</v>
      </c>
      <c r="H86" s="336"/>
      <c r="I86" s="336">
        <f t="shared" si="7"/>
        <v>150768.65</v>
      </c>
      <c r="J86" s="336">
        <f t="shared" si="8"/>
        <v>150768.65</v>
      </c>
      <c r="K86" s="546">
        <f t="shared" si="10"/>
        <v>0</v>
      </c>
      <c r="L86" s="502"/>
      <c r="M86" s="231" t="s">
        <v>242</v>
      </c>
      <c r="N86" s="11" t="s">
        <v>243</v>
      </c>
      <c r="O86" s="341"/>
      <c r="P86" s="339"/>
    </row>
    <row r="87" spans="1:16" ht="33">
      <c r="A87" s="333" t="s">
        <v>2205</v>
      </c>
      <c r="B87" s="334" t="s">
        <v>419</v>
      </c>
      <c r="C87" s="335" t="s">
        <v>0</v>
      </c>
      <c r="D87" s="336">
        <v>1</v>
      </c>
      <c r="E87" s="336">
        <f>估驗單!F83</f>
        <v>1</v>
      </c>
      <c r="F87" s="390">
        <f t="shared" si="9"/>
        <v>0</v>
      </c>
      <c r="G87" s="336">
        <v>23029.53</v>
      </c>
      <c r="H87" s="336"/>
      <c r="I87" s="336">
        <f t="shared" si="7"/>
        <v>23029.53</v>
      </c>
      <c r="J87" s="336">
        <f t="shared" si="8"/>
        <v>23029.53</v>
      </c>
      <c r="K87" s="546">
        <f t="shared" si="10"/>
        <v>0</v>
      </c>
      <c r="L87" s="502"/>
      <c r="M87" s="231"/>
      <c r="N87" s="11" t="s">
        <v>243</v>
      </c>
      <c r="O87" s="341"/>
      <c r="P87" s="339"/>
    </row>
    <row r="88" spans="1:16" ht="33">
      <c r="A88" s="333" t="s">
        <v>2206</v>
      </c>
      <c r="B88" s="334" t="s">
        <v>422</v>
      </c>
      <c r="C88" s="335" t="s">
        <v>0</v>
      </c>
      <c r="D88" s="336">
        <v>2</v>
      </c>
      <c r="E88" s="336">
        <f>估驗單!F84</f>
        <v>2</v>
      </c>
      <c r="F88" s="390">
        <f t="shared" si="9"/>
        <v>0</v>
      </c>
      <c r="G88" s="336">
        <v>18604.87</v>
      </c>
      <c r="H88" s="336"/>
      <c r="I88" s="336">
        <f t="shared" si="7"/>
        <v>37209.74</v>
      </c>
      <c r="J88" s="336">
        <f t="shared" si="8"/>
        <v>37209.74</v>
      </c>
      <c r="K88" s="546">
        <f t="shared" si="10"/>
        <v>0</v>
      </c>
      <c r="L88" s="502"/>
      <c r="M88" s="231"/>
      <c r="N88" s="11" t="s">
        <v>243</v>
      </c>
      <c r="O88" s="341"/>
      <c r="P88" s="339"/>
    </row>
    <row r="89" spans="1:16" ht="33">
      <c r="A89" s="333" t="s">
        <v>2207</v>
      </c>
      <c r="B89" s="334" t="s">
        <v>425</v>
      </c>
      <c r="C89" s="335" t="s">
        <v>0</v>
      </c>
      <c r="D89" s="336">
        <v>1</v>
      </c>
      <c r="E89" s="336">
        <f>估驗單!F85</f>
        <v>1</v>
      </c>
      <c r="F89" s="390">
        <f t="shared" si="9"/>
        <v>0</v>
      </c>
      <c r="G89" s="336">
        <v>18604.87</v>
      </c>
      <c r="H89" s="336"/>
      <c r="I89" s="336">
        <f t="shared" si="7"/>
        <v>18604.87</v>
      </c>
      <c r="J89" s="336">
        <f t="shared" si="8"/>
        <v>18604.87</v>
      </c>
      <c r="K89" s="546">
        <f t="shared" si="10"/>
        <v>0</v>
      </c>
      <c r="L89" s="502"/>
      <c r="M89" s="231" t="s">
        <v>242</v>
      </c>
      <c r="N89" s="11" t="s">
        <v>243</v>
      </c>
      <c r="O89" s="341"/>
      <c r="P89" s="339"/>
    </row>
    <row r="90" spans="1:16" ht="33">
      <c r="A90" s="333" t="s">
        <v>2208</v>
      </c>
      <c r="B90" s="334" t="s">
        <v>428</v>
      </c>
      <c r="C90" s="335" t="s">
        <v>0</v>
      </c>
      <c r="D90" s="336">
        <v>2</v>
      </c>
      <c r="E90" s="336">
        <f>估驗單!F86</f>
        <v>2</v>
      </c>
      <c r="F90" s="390">
        <f t="shared" si="9"/>
        <v>0</v>
      </c>
      <c r="G90" s="336">
        <v>11654.82</v>
      </c>
      <c r="H90" s="336"/>
      <c r="I90" s="336">
        <f t="shared" si="7"/>
        <v>23309.64</v>
      </c>
      <c r="J90" s="336">
        <f t="shared" si="8"/>
        <v>23309.64</v>
      </c>
      <c r="K90" s="546">
        <f t="shared" si="10"/>
        <v>0</v>
      </c>
      <c r="L90" s="502"/>
      <c r="M90" s="231" t="s">
        <v>242</v>
      </c>
      <c r="N90" s="11" t="s">
        <v>243</v>
      </c>
      <c r="O90" s="341"/>
      <c r="P90" s="339"/>
    </row>
    <row r="91" spans="1:16" ht="33">
      <c r="A91" s="333" t="s">
        <v>2209</v>
      </c>
      <c r="B91" s="334" t="s">
        <v>431</v>
      </c>
      <c r="C91" s="335" t="s">
        <v>0</v>
      </c>
      <c r="D91" s="336">
        <v>2</v>
      </c>
      <c r="E91" s="336">
        <f>估驗單!F87</f>
        <v>2</v>
      </c>
      <c r="F91" s="390">
        <f t="shared" si="9"/>
        <v>0</v>
      </c>
      <c r="G91" s="336">
        <v>25107.48</v>
      </c>
      <c r="H91" s="336"/>
      <c r="I91" s="336">
        <f t="shared" si="7"/>
        <v>50214.96</v>
      </c>
      <c r="J91" s="336">
        <f t="shared" si="8"/>
        <v>50214.96</v>
      </c>
      <c r="K91" s="546">
        <f t="shared" si="10"/>
        <v>0</v>
      </c>
      <c r="L91" s="502"/>
      <c r="M91" s="231" t="s">
        <v>242</v>
      </c>
      <c r="N91" s="11" t="s">
        <v>243</v>
      </c>
      <c r="O91" s="341"/>
      <c r="P91" s="339"/>
    </row>
    <row r="92" spans="1:16" ht="33">
      <c r="A92" s="333" t="s">
        <v>2210</v>
      </c>
      <c r="B92" s="334" t="s">
        <v>434</v>
      </c>
      <c r="C92" s="335" t="s">
        <v>0</v>
      </c>
      <c r="D92" s="336">
        <v>1</v>
      </c>
      <c r="E92" s="336">
        <f>估驗單!F88</f>
        <v>1</v>
      </c>
      <c r="F92" s="390">
        <f t="shared" si="9"/>
        <v>0</v>
      </c>
      <c r="G92" s="336">
        <v>22415.66</v>
      </c>
      <c r="H92" s="336"/>
      <c r="I92" s="336">
        <f t="shared" si="7"/>
        <v>22415.66</v>
      </c>
      <c r="J92" s="336">
        <f t="shared" si="8"/>
        <v>22415.66</v>
      </c>
      <c r="K92" s="546">
        <f t="shared" si="10"/>
        <v>0</v>
      </c>
      <c r="L92" s="502"/>
      <c r="M92" s="231" t="s">
        <v>242</v>
      </c>
      <c r="N92" s="11" t="s">
        <v>243</v>
      </c>
      <c r="O92" s="341"/>
      <c r="P92" s="339"/>
    </row>
    <row r="93" spans="1:16" ht="33">
      <c r="A93" s="333" t="s">
        <v>2211</v>
      </c>
      <c r="B93" s="334" t="s">
        <v>437</v>
      </c>
      <c r="C93" s="335" t="s">
        <v>0</v>
      </c>
      <c r="D93" s="336">
        <v>1</v>
      </c>
      <c r="E93" s="336">
        <f>估驗單!F89</f>
        <v>1</v>
      </c>
      <c r="F93" s="390">
        <f t="shared" si="9"/>
        <v>0</v>
      </c>
      <c r="G93" s="336">
        <v>21723.54</v>
      </c>
      <c r="H93" s="336"/>
      <c r="I93" s="336">
        <f t="shared" si="7"/>
        <v>21723.54</v>
      </c>
      <c r="J93" s="336">
        <f t="shared" si="8"/>
        <v>21723.54</v>
      </c>
      <c r="K93" s="546">
        <f t="shared" si="10"/>
        <v>0</v>
      </c>
      <c r="L93" s="502"/>
      <c r="M93" s="231" t="s">
        <v>242</v>
      </c>
      <c r="N93" s="11" t="s">
        <v>243</v>
      </c>
      <c r="O93" s="341"/>
      <c r="P93" s="339"/>
    </row>
    <row r="94" spans="1:16" ht="33">
      <c r="A94" s="333" t="s">
        <v>2212</v>
      </c>
      <c r="B94" s="334" t="s">
        <v>440</v>
      </c>
      <c r="C94" s="335" t="s">
        <v>0</v>
      </c>
      <c r="D94" s="336">
        <v>1</v>
      </c>
      <c r="E94" s="336">
        <f>估驗單!F90</f>
        <v>1</v>
      </c>
      <c r="F94" s="390">
        <f t="shared" si="9"/>
        <v>0</v>
      </c>
      <c r="G94" s="336">
        <v>22646.36</v>
      </c>
      <c r="H94" s="336"/>
      <c r="I94" s="336">
        <f t="shared" si="7"/>
        <v>22646.36</v>
      </c>
      <c r="J94" s="336">
        <f t="shared" si="8"/>
        <v>22646.36</v>
      </c>
      <c r="K94" s="546">
        <f t="shared" si="10"/>
        <v>0</v>
      </c>
      <c r="L94" s="502"/>
      <c r="M94" s="231" t="s">
        <v>242</v>
      </c>
      <c r="N94" s="11" t="s">
        <v>243</v>
      </c>
      <c r="O94" s="341"/>
      <c r="P94" s="339"/>
    </row>
    <row r="95" spans="1:16" ht="33">
      <c r="A95" s="333" t="s">
        <v>2213</v>
      </c>
      <c r="B95" s="334" t="s">
        <v>443</v>
      </c>
      <c r="C95" s="335" t="s">
        <v>0</v>
      </c>
      <c r="D95" s="336">
        <v>4</v>
      </c>
      <c r="E95" s="336">
        <f>估驗單!F91</f>
        <v>4</v>
      </c>
      <c r="F95" s="390">
        <f t="shared" si="9"/>
        <v>0</v>
      </c>
      <c r="G95" s="336">
        <v>17340.05</v>
      </c>
      <c r="H95" s="336"/>
      <c r="I95" s="336">
        <f t="shared" si="7"/>
        <v>69360.2</v>
      </c>
      <c r="J95" s="336">
        <f t="shared" si="8"/>
        <v>69360.2</v>
      </c>
      <c r="K95" s="546">
        <f t="shared" si="10"/>
        <v>0</v>
      </c>
      <c r="L95" s="502"/>
      <c r="M95" s="231" t="s">
        <v>242</v>
      </c>
      <c r="N95" s="11" t="s">
        <v>243</v>
      </c>
      <c r="O95" s="341"/>
      <c r="P95" s="339"/>
    </row>
    <row r="96" spans="1:16" ht="33">
      <c r="A96" s="333" t="s">
        <v>2214</v>
      </c>
      <c r="B96" s="334" t="s">
        <v>446</v>
      </c>
      <c r="C96" s="335" t="s">
        <v>0</v>
      </c>
      <c r="D96" s="336">
        <v>6</v>
      </c>
      <c r="E96" s="336">
        <f>估驗單!F92</f>
        <v>6</v>
      </c>
      <c r="F96" s="390">
        <f t="shared" si="9"/>
        <v>0</v>
      </c>
      <c r="G96" s="336">
        <v>17340.05</v>
      </c>
      <c r="H96" s="336"/>
      <c r="I96" s="336">
        <f t="shared" si="7"/>
        <v>104040.3</v>
      </c>
      <c r="J96" s="336">
        <f t="shared" si="8"/>
        <v>104040.3</v>
      </c>
      <c r="K96" s="546">
        <f t="shared" si="10"/>
        <v>0</v>
      </c>
      <c r="L96" s="502"/>
      <c r="M96" s="231" t="s">
        <v>242</v>
      </c>
      <c r="N96" s="11" t="s">
        <v>243</v>
      </c>
      <c r="O96" s="341"/>
      <c r="P96" s="339"/>
    </row>
    <row r="97" spans="1:17" ht="33">
      <c r="A97" s="333" t="s">
        <v>2215</v>
      </c>
      <c r="B97" s="334" t="s">
        <v>449</v>
      </c>
      <c r="C97" s="335" t="s">
        <v>0</v>
      </c>
      <c r="D97" s="336">
        <v>1</v>
      </c>
      <c r="E97" s="336">
        <f>估驗單!F93</f>
        <v>1</v>
      </c>
      <c r="F97" s="390">
        <f t="shared" si="9"/>
        <v>0</v>
      </c>
      <c r="G97" s="336">
        <v>17496.650000000001</v>
      </c>
      <c r="H97" s="336"/>
      <c r="I97" s="336">
        <f t="shared" si="7"/>
        <v>17496.650000000001</v>
      </c>
      <c r="J97" s="336">
        <f t="shared" si="8"/>
        <v>17496.650000000001</v>
      </c>
      <c r="K97" s="546">
        <f t="shared" si="10"/>
        <v>0</v>
      </c>
      <c r="L97" s="502"/>
      <c r="M97" s="231" t="s">
        <v>242</v>
      </c>
      <c r="N97" s="11" t="s">
        <v>243</v>
      </c>
      <c r="O97" s="341"/>
      <c r="P97" s="339"/>
    </row>
    <row r="98" spans="1:17" ht="33">
      <c r="A98" s="333" t="s">
        <v>2216</v>
      </c>
      <c r="B98" s="334" t="s">
        <v>452</v>
      </c>
      <c r="C98" s="335" t="s">
        <v>0</v>
      </c>
      <c r="D98" s="336">
        <v>1</v>
      </c>
      <c r="E98" s="336">
        <f>估驗單!F94</f>
        <v>1</v>
      </c>
      <c r="F98" s="390">
        <f t="shared" si="9"/>
        <v>0</v>
      </c>
      <c r="G98" s="336">
        <v>1501.66</v>
      </c>
      <c r="H98" s="336"/>
      <c r="I98" s="336">
        <f t="shared" si="7"/>
        <v>1501.66</v>
      </c>
      <c r="J98" s="336">
        <f t="shared" si="8"/>
        <v>1501.66</v>
      </c>
      <c r="K98" s="546">
        <f t="shared" si="10"/>
        <v>0</v>
      </c>
      <c r="L98" s="502"/>
      <c r="M98" s="231" t="s">
        <v>242</v>
      </c>
      <c r="N98" s="11" t="s">
        <v>243</v>
      </c>
      <c r="O98" s="341"/>
      <c r="P98" s="339"/>
    </row>
    <row r="99" spans="1:17" ht="33">
      <c r="A99" s="333" t="s">
        <v>2217</v>
      </c>
      <c r="B99" s="334" t="s">
        <v>455</v>
      </c>
      <c r="C99" s="335" t="s">
        <v>0</v>
      </c>
      <c r="D99" s="336">
        <v>1</v>
      </c>
      <c r="E99" s="336">
        <f>估驗單!F95</f>
        <v>1</v>
      </c>
      <c r="F99" s="390">
        <f t="shared" si="9"/>
        <v>0</v>
      </c>
      <c r="G99" s="336">
        <v>1240.05</v>
      </c>
      <c r="H99" s="336"/>
      <c r="I99" s="336">
        <f t="shared" si="7"/>
        <v>1240.05</v>
      </c>
      <c r="J99" s="336">
        <f t="shared" si="8"/>
        <v>1240.05</v>
      </c>
      <c r="K99" s="546">
        <f t="shared" si="10"/>
        <v>0</v>
      </c>
      <c r="L99" s="502"/>
      <c r="M99" s="231" t="s">
        <v>242</v>
      </c>
      <c r="N99" s="11" t="s">
        <v>243</v>
      </c>
      <c r="O99" s="341"/>
      <c r="P99" s="339"/>
    </row>
    <row r="100" spans="1:17" ht="33">
      <c r="A100" s="333" t="s">
        <v>2218</v>
      </c>
      <c r="B100" s="334" t="s">
        <v>458</v>
      </c>
      <c r="C100" s="335" t="s">
        <v>0</v>
      </c>
      <c r="D100" s="336">
        <v>1</v>
      </c>
      <c r="E100" s="336">
        <f>估驗單!F96</f>
        <v>1</v>
      </c>
      <c r="F100" s="390">
        <f t="shared" si="9"/>
        <v>0</v>
      </c>
      <c r="G100" s="336">
        <v>1470.75</v>
      </c>
      <c r="H100" s="336"/>
      <c r="I100" s="336">
        <f t="shared" si="7"/>
        <v>1470.75</v>
      </c>
      <c r="J100" s="336">
        <f t="shared" si="8"/>
        <v>1470.75</v>
      </c>
      <c r="K100" s="546">
        <f t="shared" si="10"/>
        <v>0</v>
      </c>
      <c r="L100" s="502"/>
      <c r="M100" s="231" t="s">
        <v>242</v>
      </c>
      <c r="N100" s="11" t="s">
        <v>243</v>
      </c>
      <c r="O100" s="341"/>
      <c r="P100" s="339"/>
    </row>
    <row r="101" spans="1:17" ht="33">
      <c r="A101" s="333" t="s">
        <v>2219</v>
      </c>
      <c r="B101" s="334" t="s">
        <v>461</v>
      </c>
      <c r="C101" s="335" t="s">
        <v>0</v>
      </c>
      <c r="D101" s="336">
        <v>1</v>
      </c>
      <c r="E101" s="336">
        <f>估驗單!F97</f>
        <v>1</v>
      </c>
      <c r="F101" s="390">
        <f t="shared" si="9"/>
        <v>0</v>
      </c>
      <c r="G101" s="336">
        <v>1326.56</v>
      </c>
      <c r="H101" s="336"/>
      <c r="I101" s="336">
        <f t="shared" si="7"/>
        <v>1326.56</v>
      </c>
      <c r="J101" s="336">
        <f t="shared" si="8"/>
        <v>1326.56</v>
      </c>
      <c r="K101" s="546">
        <f t="shared" si="10"/>
        <v>0</v>
      </c>
      <c r="L101" s="502"/>
      <c r="M101" s="231" t="s">
        <v>242</v>
      </c>
      <c r="N101" s="11" t="s">
        <v>243</v>
      </c>
      <c r="O101" s="341"/>
      <c r="P101" s="339"/>
    </row>
    <row r="102" spans="1:17" ht="33">
      <c r="A102" s="333" t="s">
        <v>2220</v>
      </c>
      <c r="B102" s="334" t="s">
        <v>464</v>
      </c>
      <c r="C102" s="335" t="s">
        <v>0</v>
      </c>
      <c r="D102" s="336">
        <v>3</v>
      </c>
      <c r="E102" s="336">
        <f>估驗單!F98</f>
        <v>3</v>
      </c>
      <c r="F102" s="390">
        <f t="shared" si="9"/>
        <v>0</v>
      </c>
      <c r="G102" s="336">
        <v>331.64</v>
      </c>
      <c r="H102" s="336"/>
      <c r="I102" s="336">
        <f t="shared" ref="I102:I125" si="11">ROUND(D102*G102,2)</f>
        <v>994.92</v>
      </c>
      <c r="J102" s="336">
        <f t="shared" ref="J102:J122" si="12">ROUND(E102*G102,2)</f>
        <v>994.92</v>
      </c>
      <c r="K102" s="546">
        <f t="shared" si="10"/>
        <v>0</v>
      </c>
      <c r="L102" s="502"/>
      <c r="M102" s="231" t="s">
        <v>242</v>
      </c>
      <c r="N102" s="11" t="s">
        <v>243</v>
      </c>
      <c r="O102" s="341"/>
      <c r="P102" s="339"/>
    </row>
    <row r="103" spans="1:17" ht="33">
      <c r="A103" s="333" t="s">
        <v>2221</v>
      </c>
      <c r="B103" s="334" t="s">
        <v>467</v>
      </c>
      <c r="C103" s="335" t="s">
        <v>0</v>
      </c>
      <c r="D103" s="336">
        <v>7</v>
      </c>
      <c r="E103" s="336">
        <f>估驗單!F99</f>
        <v>7</v>
      </c>
      <c r="F103" s="390">
        <f t="shared" si="9"/>
        <v>0</v>
      </c>
      <c r="G103" s="336">
        <v>952.18</v>
      </c>
      <c r="H103" s="336"/>
      <c r="I103" s="336">
        <f t="shared" si="11"/>
        <v>6665.26</v>
      </c>
      <c r="J103" s="336">
        <f t="shared" si="12"/>
        <v>6665.26</v>
      </c>
      <c r="K103" s="546">
        <f t="shared" si="10"/>
        <v>0</v>
      </c>
      <c r="L103" s="502"/>
      <c r="M103" s="231" t="s">
        <v>242</v>
      </c>
      <c r="N103" s="11" t="s">
        <v>243</v>
      </c>
      <c r="O103" s="341"/>
      <c r="P103" s="339"/>
    </row>
    <row r="104" spans="1:17" ht="33">
      <c r="A104" s="333" t="s">
        <v>2222</v>
      </c>
      <c r="B104" s="334" t="s">
        <v>470</v>
      </c>
      <c r="C104" s="335" t="s">
        <v>0</v>
      </c>
      <c r="D104" s="336">
        <v>1</v>
      </c>
      <c r="E104" s="336">
        <f>估驗單!F100</f>
        <v>1</v>
      </c>
      <c r="F104" s="390">
        <f t="shared" si="9"/>
        <v>0</v>
      </c>
      <c r="G104" s="336">
        <v>272825.21000000002</v>
      </c>
      <c r="H104" s="336"/>
      <c r="I104" s="336">
        <f t="shared" si="11"/>
        <v>272825.21000000002</v>
      </c>
      <c r="J104" s="336">
        <f t="shared" si="12"/>
        <v>272825.21000000002</v>
      </c>
      <c r="K104" s="546">
        <f t="shared" si="10"/>
        <v>0</v>
      </c>
      <c r="L104" s="502"/>
      <c r="M104" s="231" t="s">
        <v>242</v>
      </c>
      <c r="N104" s="11" t="s">
        <v>243</v>
      </c>
      <c r="O104" s="341"/>
      <c r="P104" s="339"/>
    </row>
    <row r="105" spans="1:17" ht="33">
      <c r="A105" s="333" t="s">
        <v>2223</v>
      </c>
      <c r="B105" s="334" t="s">
        <v>473</v>
      </c>
      <c r="C105" s="335" t="s">
        <v>13</v>
      </c>
      <c r="D105" s="336">
        <v>759.43</v>
      </c>
      <c r="E105" s="336">
        <f>估驗單!F101</f>
        <v>759.43</v>
      </c>
      <c r="F105" s="390">
        <f t="shared" si="9"/>
        <v>0</v>
      </c>
      <c r="G105" s="336">
        <v>647.65</v>
      </c>
      <c r="H105" s="336"/>
      <c r="I105" s="336">
        <f t="shared" si="11"/>
        <v>491844.84</v>
      </c>
      <c r="J105" s="336">
        <f t="shared" si="12"/>
        <v>491844.84</v>
      </c>
      <c r="K105" s="546">
        <f t="shared" si="10"/>
        <v>0</v>
      </c>
      <c r="L105" s="502"/>
      <c r="M105" s="231" t="s">
        <v>242</v>
      </c>
      <c r="N105" s="11" t="s">
        <v>243</v>
      </c>
      <c r="O105" s="341"/>
      <c r="P105" s="339"/>
    </row>
    <row r="106" spans="1:17" ht="33">
      <c r="A106" s="333" t="s">
        <v>2224</v>
      </c>
      <c r="B106" s="334" t="s">
        <v>476</v>
      </c>
      <c r="C106" s="335" t="s">
        <v>15</v>
      </c>
      <c r="D106" s="336">
        <v>1</v>
      </c>
      <c r="E106" s="336">
        <f>估驗單!F102</f>
        <v>1</v>
      </c>
      <c r="F106" s="390">
        <f t="shared" si="9"/>
        <v>0</v>
      </c>
      <c r="G106" s="336">
        <v>10412.73</v>
      </c>
      <c r="H106" s="336"/>
      <c r="I106" s="336">
        <f t="shared" si="11"/>
        <v>10412.73</v>
      </c>
      <c r="J106" s="336">
        <f t="shared" si="12"/>
        <v>10412.73</v>
      </c>
      <c r="K106" s="546">
        <f t="shared" si="10"/>
        <v>0</v>
      </c>
      <c r="L106" s="502"/>
      <c r="M106" s="231"/>
      <c r="N106" s="11" t="s">
        <v>243</v>
      </c>
      <c r="O106" s="341"/>
      <c r="P106" s="339"/>
    </row>
    <row r="107" spans="1:17" ht="33">
      <c r="A107" s="333" t="s">
        <v>2225</v>
      </c>
      <c r="B107" s="334" t="s">
        <v>479</v>
      </c>
      <c r="C107" s="335" t="s">
        <v>15</v>
      </c>
      <c r="D107" s="336">
        <v>3</v>
      </c>
      <c r="E107" s="336">
        <f>估驗單!F103</f>
        <v>3</v>
      </c>
      <c r="F107" s="390">
        <f t="shared" si="9"/>
        <v>0</v>
      </c>
      <c r="G107" s="336">
        <v>4575.03</v>
      </c>
      <c r="H107" s="336"/>
      <c r="I107" s="336">
        <f t="shared" si="11"/>
        <v>13725.09</v>
      </c>
      <c r="J107" s="336">
        <f t="shared" si="12"/>
        <v>13725.09</v>
      </c>
      <c r="K107" s="546">
        <f t="shared" si="10"/>
        <v>0</v>
      </c>
      <c r="L107" s="502"/>
      <c r="M107" s="231"/>
      <c r="N107" s="11" t="s">
        <v>243</v>
      </c>
      <c r="O107" s="341"/>
      <c r="P107" s="339"/>
    </row>
    <row r="108" spans="1:17" ht="33.75">
      <c r="A108" s="333" t="s">
        <v>2226</v>
      </c>
      <c r="B108" s="334" t="s">
        <v>482</v>
      </c>
      <c r="C108" s="335" t="s">
        <v>483</v>
      </c>
      <c r="D108" s="336">
        <v>88.17</v>
      </c>
      <c r="E108" s="336">
        <f>估驗單!F104</f>
        <v>88.17</v>
      </c>
      <c r="F108" s="390">
        <f t="shared" si="9"/>
        <v>0</v>
      </c>
      <c r="G108" s="336">
        <v>15299.17</v>
      </c>
      <c r="H108" s="336"/>
      <c r="I108" s="336">
        <f t="shared" si="11"/>
        <v>1348927.82</v>
      </c>
      <c r="J108" s="336">
        <f t="shared" si="12"/>
        <v>1348927.82</v>
      </c>
      <c r="K108" s="546">
        <f t="shared" si="10"/>
        <v>0</v>
      </c>
      <c r="L108" s="502"/>
      <c r="M108" s="231"/>
      <c r="N108" s="11" t="s">
        <v>243</v>
      </c>
      <c r="O108" s="474" t="s">
        <v>2912</v>
      </c>
      <c r="P108" s="339" t="s">
        <v>2882</v>
      </c>
      <c r="Q108" s="245" t="s">
        <v>2875</v>
      </c>
    </row>
    <row r="109" spans="1:17" ht="33">
      <c r="A109" s="333" t="s">
        <v>2227</v>
      </c>
      <c r="B109" s="334" t="s">
        <v>486</v>
      </c>
      <c r="C109" s="335" t="s">
        <v>0</v>
      </c>
      <c r="D109" s="336">
        <v>25</v>
      </c>
      <c r="E109" s="336">
        <f>估驗單!F105</f>
        <v>25</v>
      </c>
      <c r="F109" s="390">
        <f t="shared" si="9"/>
        <v>0</v>
      </c>
      <c r="G109" s="336">
        <v>4498.3100000000004</v>
      </c>
      <c r="H109" s="336"/>
      <c r="I109" s="336">
        <f t="shared" si="11"/>
        <v>112457.75</v>
      </c>
      <c r="J109" s="336">
        <f t="shared" si="12"/>
        <v>112457.75</v>
      </c>
      <c r="K109" s="546">
        <f t="shared" si="10"/>
        <v>0</v>
      </c>
      <c r="L109" s="502"/>
      <c r="M109" s="231" t="s">
        <v>242</v>
      </c>
      <c r="N109" s="11" t="s">
        <v>243</v>
      </c>
      <c r="O109" s="341"/>
      <c r="P109" s="339"/>
    </row>
    <row r="110" spans="1:17" ht="33">
      <c r="A110" s="333" t="s">
        <v>2228</v>
      </c>
      <c r="B110" s="334" t="s">
        <v>489</v>
      </c>
      <c r="C110" s="335" t="s">
        <v>0</v>
      </c>
      <c r="D110" s="336">
        <v>13</v>
      </c>
      <c r="E110" s="336">
        <f>估驗單!F106</f>
        <v>13</v>
      </c>
      <c r="F110" s="390">
        <f t="shared" si="9"/>
        <v>0</v>
      </c>
      <c r="G110" s="336">
        <v>3353.5</v>
      </c>
      <c r="H110" s="336"/>
      <c r="I110" s="336">
        <f t="shared" si="11"/>
        <v>43595.5</v>
      </c>
      <c r="J110" s="336">
        <f t="shared" si="12"/>
        <v>43595.5</v>
      </c>
      <c r="K110" s="546">
        <f t="shared" si="10"/>
        <v>0</v>
      </c>
      <c r="L110" s="502"/>
      <c r="M110" s="231" t="s">
        <v>242</v>
      </c>
      <c r="N110" s="11" t="s">
        <v>243</v>
      </c>
      <c r="O110" s="341"/>
      <c r="P110" s="339"/>
    </row>
    <row r="111" spans="1:17" ht="33">
      <c r="A111" s="333" t="s">
        <v>2229</v>
      </c>
      <c r="B111" s="334" t="s">
        <v>492</v>
      </c>
      <c r="C111" s="335" t="s">
        <v>8</v>
      </c>
      <c r="D111" s="336">
        <v>9.8000000000000007</v>
      </c>
      <c r="E111" s="336">
        <f>估驗單!F107</f>
        <v>9.8000000000000007</v>
      </c>
      <c r="F111" s="390">
        <f t="shared" si="9"/>
        <v>0</v>
      </c>
      <c r="G111" s="336">
        <v>9873.85</v>
      </c>
      <c r="H111" s="336"/>
      <c r="I111" s="336">
        <f t="shared" si="11"/>
        <v>96763.73</v>
      </c>
      <c r="J111" s="336">
        <f t="shared" si="12"/>
        <v>96763.73</v>
      </c>
      <c r="K111" s="546">
        <f t="shared" si="10"/>
        <v>0</v>
      </c>
      <c r="L111" s="502"/>
      <c r="M111" s="231" t="s">
        <v>242</v>
      </c>
      <c r="N111" s="11" t="s">
        <v>243</v>
      </c>
      <c r="O111" s="341"/>
      <c r="P111" s="339"/>
    </row>
    <row r="112" spans="1:17" ht="33">
      <c r="A112" s="333" t="s">
        <v>2230</v>
      </c>
      <c r="B112" s="334" t="s">
        <v>495</v>
      </c>
      <c r="C112" s="335" t="s">
        <v>8</v>
      </c>
      <c r="D112" s="336">
        <v>6.2</v>
      </c>
      <c r="E112" s="336">
        <f>估驗單!F108</f>
        <v>6.2</v>
      </c>
      <c r="F112" s="390">
        <f t="shared" si="9"/>
        <v>0</v>
      </c>
      <c r="G112" s="336">
        <v>6554</v>
      </c>
      <c r="H112" s="336"/>
      <c r="I112" s="336">
        <f t="shared" si="11"/>
        <v>40634.800000000003</v>
      </c>
      <c r="J112" s="336">
        <f t="shared" si="12"/>
        <v>40634.800000000003</v>
      </c>
      <c r="K112" s="546">
        <f t="shared" si="10"/>
        <v>0</v>
      </c>
      <c r="L112" s="502"/>
      <c r="M112" s="231" t="s">
        <v>242</v>
      </c>
      <c r="N112" s="11" t="s">
        <v>243</v>
      </c>
      <c r="O112" s="341"/>
      <c r="P112" s="339"/>
    </row>
    <row r="113" spans="1:17" ht="33">
      <c r="A113" s="333" t="s">
        <v>2231</v>
      </c>
      <c r="B113" s="334" t="s">
        <v>498</v>
      </c>
      <c r="C113" s="335" t="s">
        <v>8</v>
      </c>
      <c r="D113" s="336">
        <v>3.3</v>
      </c>
      <c r="E113" s="336">
        <f>估驗單!F109</f>
        <v>3.3</v>
      </c>
      <c r="F113" s="390">
        <f t="shared" si="9"/>
        <v>0</v>
      </c>
      <c r="G113" s="336">
        <v>8390.27</v>
      </c>
      <c r="H113" s="336"/>
      <c r="I113" s="336">
        <f t="shared" si="11"/>
        <v>27687.89</v>
      </c>
      <c r="J113" s="336">
        <f t="shared" si="12"/>
        <v>27687.89</v>
      </c>
      <c r="K113" s="546">
        <f t="shared" si="10"/>
        <v>0</v>
      </c>
      <c r="L113" s="502"/>
      <c r="M113" s="231" t="s">
        <v>242</v>
      </c>
      <c r="N113" s="11" t="s">
        <v>243</v>
      </c>
      <c r="O113" s="341"/>
      <c r="P113" s="339"/>
    </row>
    <row r="114" spans="1:17" ht="33">
      <c r="A114" s="333" t="s">
        <v>2232</v>
      </c>
      <c r="B114" s="334" t="s">
        <v>501</v>
      </c>
      <c r="C114" s="335" t="s">
        <v>8</v>
      </c>
      <c r="D114" s="336">
        <v>40.6</v>
      </c>
      <c r="E114" s="336">
        <f>估驗單!F110</f>
        <v>40.6</v>
      </c>
      <c r="F114" s="390">
        <f t="shared" si="9"/>
        <v>0</v>
      </c>
      <c r="G114" s="336">
        <v>671.95</v>
      </c>
      <c r="H114" s="336"/>
      <c r="I114" s="336">
        <f t="shared" si="11"/>
        <v>27281.17</v>
      </c>
      <c r="J114" s="336">
        <f t="shared" si="12"/>
        <v>27281.17</v>
      </c>
      <c r="K114" s="546">
        <f t="shared" si="10"/>
        <v>0</v>
      </c>
      <c r="L114" s="502"/>
      <c r="M114" s="231"/>
      <c r="N114" s="11" t="s">
        <v>243</v>
      </c>
      <c r="O114" s="341"/>
      <c r="P114" s="339"/>
    </row>
    <row r="115" spans="1:17" ht="33">
      <c r="A115" s="333" t="s">
        <v>2233</v>
      </c>
      <c r="B115" s="334" t="s">
        <v>504</v>
      </c>
      <c r="C115" s="335" t="s">
        <v>8</v>
      </c>
      <c r="D115" s="336">
        <v>176.7</v>
      </c>
      <c r="E115" s="336">
        <f>估驗單!F111</f>
        <v>176.7</v>
      </c>
      <c r="F115" s="390">
        <f t="shared" si="9"/>
        <v>0</v>
      </c>
      <c r="G115" s="336">
        <v>658.27</v>
      </c>
      <c r="H115" s="336"/>
      <c r="I115" s="336">
        <f t="shared" si="11"/>
        <v>116316.31</v>
      </c>
      <c r="J115" s="336">
        <f t="shared" si="12"/>
        <v>116316.31</v>
      </c>
      <c r="K115" s="546">
        <f t="shared" si="10"/>
        <v>0</v>
      </c>
      <c r="L115" s="502"/>
      <c r="M115" s="231"/>
      <c r="N115" s="11" t="s">
        <v>243</v>
      </c>
      <c r="O115" s="341"/>
      <c r="P115" s="339"/>
    </row>
    <row r="116" spans="1:17" ht="33">
      <c r="A116" s="333" t="s">
        <v>2234</v>
      </c>
      <c r="B116" s="334" t="s">
        <v>507</v>
      </c>
      <c r="C116" s="335" t="s">
        <v>8</v>
      </c>
      <c r="D116" s="336">
        <v>251.7</v>
      </c>
      <c r="E116" s="336">
        <f>估驗單!F112</f>
        <v>251.7</v>
      </c>
      <c r="F116" s="390">
        <f t="shared" si="9"/>
        <v>0</v>
      </c>
      <c r="G116" s="336">
        <v>730.37</v>
      </c>
      <c r="H116" s="336"/>
      <c r="I116" s="336">
        <f t="shared" si="11"/>
        <v>183834.13</v>
      </c>
      <c r="J116" s="336">
        <f t="shared" si="12"/>
        <v>183834.13</v>
      </c>
      <c r="K116" s="546">
        <f t="shared" si="10"/>
        <v>0</v>
      </c>
      <c r="L116" s="502"/>
      <c r="M116" s="231"/>
      <c r="N116" s="11" t="s">
        <v>243</v>
      </c>
      <c r="O116" s="341"/>
      <c r="P116" s="339"/>
    </row>
    <row r="117" spans="1:17" ht="33">
      <c r="A117" s="333" t="s">
        <v>2235</v>
      </c>
      <c r="B117" s="334" t="s">
        <v>510</v>
      </c>
      <c r="C117" s="335" t="s">
        <v>8</v>
      </c>
      <c r="D117" s="336">
        <v>6.8</v>
      </c>
      <c r="E117" s="336">
        <f>估驗單!F113</f>
        <v>6.8</v>
      </c>
      <c r="F117" s="390">
        <f t="shared" si="9"/>
        <v>0</v>
      </c>
      <c r="G117" s="336">
        <v>406.38</v>
      </c>
      <c r="H117" s="336"/>
      <c r="I117" s="336">
        <f t="shared" si="11"/>
        <v>2763.38</v>
      </c>
      <c r="J117" s="336">
        <f t="shared" si="12"/>
        <v>2763.38</v>
      </c>
      <c r="K117" s="546">
        <f t="shared" si="10"/>
        <v>0</v>
      </c>
      <c r="L117" s="502"/>
      <c r="M117" s="231"/>
      <c r="N117" s="11" t="s">
        <v>243</v>
      </c>
      <c r="O117" s="341"/>
      <c r="P117" s="339"/>
    </row>
    <row r="118" spans="1:17" ht="33">
      <c r="A118" s="333" t="s">
        <v>2236</v>
      </c>
      <c r="B118" s="334" t="s">
        <v>513</v>
      </c>
      <c r="C118" s="335" t="s">
        <v>8</v>
      </c>
      <c r="D118" s="336">
        <v>44.2</v>
      </c>
      <c r="E118" s="336">
        <f>估驗單!F114</f>
        <v>44.2</v>
      </c>
      <c r="F118" s="390">
        <f t="shared" si="9"/>
        <v>0</v>
      </c>
      <c r="G118" s="336">
        <v>457.88</v>
      </c>
      <c r="H118" s="336"/>
      <c r="I118" s="336">
        <f t="shared" si="11"/>
        <v>20238.3</v>
      </c>
      <c r="J118" s="336">
        <f t="shared" si="12"/>
        <v>20238.3</v>
      </c>
      <c r="K118" s="546">
        <f t="shared" si="10"/>
        <v>0</v>
      </c>
      <c r="L118" s="502"/>
      <c r="M118" s="231"/>
      <c r="N118" s="11" t="s">
        <v>243</v>
      </c>
      <c r="O118" s="341"/>
      <c r="P118" s="339"/>
    </row>
    <row r="119" spans="1:17" ht="33">
      <c r="A119" s="333" t="s">
        <v>2237</v>
      </c>
      <c r="B119" s="334" t="s">
        <v>516</v>
      </c>
      <c r="C119" s="335" t="s">
        <v>8</v>
      </c>
      <c r="D119" s="336">
        <v>10.7</v>
      </c>
      <c r="E119" s="336">
        <f>估驗單!F115</f>
        <v>10.7</v>
      </c>
      <c r="F119" s="390">
        <f t="shared" si="9"/>
        <v>0</v>
      </c>
      <c r="G119" s="336">
        <v>499.08</v>
      </c>
      <c r="H119" s="336"/>
      <c r="I119" s="336">
        <f t="shared" si="11"/>
        <v>5340.16</v>
      </c>
      <c r="J119" s="336">
        <f t="shared" si="12"/>
        <v>5340.16</v>
      </c>
      <c r="K119" s="546">
        <f t="shared" si="10"/>
        <v>0</v>
      </c>
      <c r="L119" s="502"/>
      <c r="M119" s="231"/>
      <c r="N119" s="11" t="s">
        <v>243</v>
      </c>
      <c r="O119" s="341"/>
      <c r="P119" s="339"/>
    </row>
    <row r="120" spans="1:17" ht="33">
      <c r="A120" s="333" t="s">
        <v>2238</v>
      </c>
      <c r="B120" s="334" t="s">
        <v>519</v>
      </c>
      <c r="C120" s="335" t="s">
        <v>8</v>
      </c>
      <c r="D120" s="336">
        <v>62.5</v>
      </c>
      <c r="E120" s="336">
        <f>估驗單!F116</f>
        <v>62.5</v>
      </c>
      <c r="F120" s="390">
        <f t="shared" si="9"/>
        <v>0</v>
      </c>
      <c r="G120" s="336">
        <v>545.82000000000005</v>
      </c>
      <c r="H120" s="336"/>
      <c r="I120" s="336">
        <f t="shared" si="11"/>
        <v>34113.75</v>
      </c>
      <c r="J120" s="336">
        <f t="shared" si="12"/>
        <v>34113.75</v>
      </c>
      <c r="K120" s="546">
        <f t="shared" si="10"/>
        <v>0</v>
      </c>
      <c r="L120" s="502"/>
      <c r="M120" s="231"/>
      <c r="N120" s="11" t="s">
        <v>243</v>
      </c>
      <c r="O120" s="341"/>
      <c r="P120" s="339"/>
    </row>
    <row r="121" spans="1:17" ht="33">
      <c r="A121" s="333" t="s">
        <v>2239</v>
      </c>
      <c r="B121" s="334" t="s">
        <v>522</v>
      </c>
      <c r="C121" s="335" t="s">
        <v>8</v>
      </c>
      <c r="D121" s="336">
        <v>84.8</v>
      </c>
      <c r="E121" s="336">
        <f>估驗單!F117</f>
        <v>84.8</v>
      </c>
      <c r="F121" s="390">
        <f t="shared" si="9"/>
        <v>0</v>
      </c>
      <c r="G121" s="336">
        <v>7340.02</v>
      </c>
      <c r="H121" s="336"/>
      <c r="I121" s="336">
        <f t="shared" si="11"/>
        <v>622433.69999999995</v>
      </c>
      <c r="J121" s="336">
        <f t="shared" si="12"/>
        <v>622433.69999999995</v>
      </c>
      <c r="K121" s="546">
        <f t="shared" si="10"/>
        <v>0</v>
      </c>
      <c r="L121" s="502"/>
      <c r="M121" s="231"/>
      <c r="N121" s="11" t="s">
        <v>243</v>
      </c>
      <c r="O121" s="341"/>
      <c r="P121" s="339"/>
    </row>
    <row r="122" spans="1:17" ht="45" customHeight="1">
      <c r="A122" s="503" t="s">
        <v>2240</v>
      </c>
      <c r="B122" s="504" t="s">
        <v>525</v>
      </c>
      <c r="C122" s="505" t="s">
        <v>0</v>
      </c>
      <c r="D122" s="506">
        <v>2</v>
      </c>
      <c r="E122" s="506">
        <v>0</v>
      </c>
      <c r="F122" s="509">
        <f t="shared" si="9"/>
        <v>-2</v>
      </c>
      <c r="G122" s="506">
        <v>913306.18</v>
      </c>
      <c r="H122" s="506"/>
      <c r="I122" s="506">
        <f t="shared" si="11"/>
        <v>1826612.36</v>
      </c>
      <c r="J122" s="506">
        <f t="shared" si="12"/>
        <v>0</v>
      </c>
      <c r="K122" s="547"/>
      <c r="L122" s="510">
        <f>J122-I122</f>
        <v>-1826612.36</v>
      </c>
      <c r="M122" s="508"/>
      <c r="N122" s="11" t="s">
        <v>243</v>
      </c>
      <c r="O122" s="1007" t="s">
        <v>2883</v>
      </c>
      <c r="P122" s="339"/>
      <c r="Q122" s="1010" t="s">
        <v>3026</v>
      </c>
    </row>
    <row r="123" spans="1:17" ht="27.95" customHeight="1">
      <c r="A123" s="503" t="s">
        <v>2606</v>
      </c>
      <c r="B123" s="504" t="s">
        <v>2609</v>
      </c>
      <c r="C123" s="505" t="s">
        <v>0</v>
      </c>
      <c r="D123" s="511">
        <v>0</v>
      </c>
      <c r="E123" s="511">
        <v>1</v>
      </c>
      <c r="F123" s="507">
        <f t="shared" si="9"/>
        <v>1</v>
      </c>
      <c r="G123" s="511">
        <v>0</v>
      </c>
      <c r="H123" s="511">
        <v>704273.82</v>
      </c>
      <c r="I123" s="506">
        <f t="shared" si="11"/>
        <v>0</v>
      </c>
      <c r="J123" s="506">
        <f>ROUND(E123*H123,2)</f>
        <v>704273.82</v>
      </c>
      <c r="K123" s="547">
        <f t="shared" si="10"/>
        <v>704273.82</v>
      </c>
      <c r="L123" s="533"/>
      <c r="M123" s="768" t="s">
        <v>3025</v>
      </c>
      <c r="N123" s="11"/>
      <c r="O123" s="1008"/>
      <c r="P123" s="339" t="s">
        <v>2884</v>
      </c>
      <c r="Q123" s="1011"/>
    </row>
    <row r="124" spans="1:17" ht="27.95" customHeight="1">
      <c r="A124" s="503" t="s">
        <v>2607</v>
      </c>
      <c r="B124" s="504" t="s">
        <v>2610</v>
      </c>
      <c r="C124" s="505" t="s">
        <v>0</v>
      </c>
      <c r="D124" s="511">
        <v>0</v>
      </c>
      <c r="E124" s="511">
        <v>1</v>
      </c>
      <c r="F124" s="507">
        <f t="shared" si="9"/>
        <v>1</v>
      </c>
      <c r="G124" s="511">
        <v>0</v>
      </c>
      <c r="H124" s="511">
        <v>1255553.18</v>
      </c>
      <c r="I124" s="506">
        <f t="shared" si="11"/>
        <v>0</v>
      </c>
      <c r="J124" s="506">
        <f>ROUND(E124*H124,2)</f>
        <v>1255553.18</v>
      </c>
      <c r="K124" s="547">
        <f t="shared" si="10"/>
        <v>1255553.18</v>
      </c>
      <c r="L124" s="533"/>
      <c r="M124" s="768" t="s">
        <v>3025</v>
      </c>
      <c r="N124" s="11"/>
      <c r="O124" s="1008"/>
      <c r="P124" s="339" t="s">
        <v>2885</v>
      </c>
      <c r="Q124" s="1011"/>
    </row>
    <row r="125" spans="1:17" ht="27.95" customHeight="1">
      <c r="A125" s="503" t="s">
        <v>2608</v>
      </c>
      <c r="B125" s="504" t="s">
        <v>2611</v>
      </c>
      <c r="C125" s="505" t="s">
        <v>0</v>
      </c>
      <c r="D125" s="511">
        <v>0</v>
      </c>
      <c r="E125" s="511">
        <v>1</v>
      </c>
      <c r="F125" s="507">
        <f t="shared" si="9"/>
        <v>1</v>
      </c>
      <c r="G125" s="511">
        <v>0</v>
      </c>
      <c r="H125" s="511">
        <v>1277917.6000000001</v>
      </c>
      <c r="I125" s="506">
        <f t="shared" si="11"/>
        <v>0</v>
      </c>
      <c r="J125" s="506">
        <f>ROUND(E125*H125,2)</f>
        <v>1277917.6000000001</v>
      </c>
      <c r="K125" s="547">
        <f t="shared" si="10"/>
        <v>1277917.6000000001</v>
      </c>
      <c r="L125" s="533"/>
      <c r="M125" s="768" t="s">
        <v>3025</v>
      </c>
      <c r="N125" s="11"/>
      <c r="O125" s="1009"/>
      <c r="P125" s="339" t="s">
        <v>2886</v>
      </c>
      <c r="Q125" s="1011"/>
    </row>
    <row r="126" spans="1:17" ht="33">
      <c r="A126" s="406" t="s">
        <v>2241</v>
      </c>
      <c r="B126" s="407" t="s">
        <v>527</v>
      </c>
      <c r="C126" s="408" t="s">
        <v>4</v>
      </c>
      <c r="D126" s="409"/>
      <c r="E126" s="409">
        <f>估驗單!F119</f>
        <v>0</v>
      </c>
      <c r="F126" s="410">
        <f t="shared" si="9"/>
        <v>0</v>
      </c>
      <c r="G126" s="409">
        <f>I126</f>
        <v>45369259.610000014</v>
      </c>
      <c r="H126" s="409"/>
      <c r="I126" s="409">
        <f>SUM(I127:I165)</f>
        <v>45369259.610000014</v>
      </c>
      <c r="J126" s="409">
        <f>SUM(J127:J165)</f>
        <v>45442982.900000013</v>
      </c>
      <c r="K126" s="542">
        <f>SUM(K127:K165)</f>
        <v>240343.79999999976</v>
      </c>
      <c r="L126" s="534">
        <f>SUM(L127:L165)</f>
        <v>-166620.51</v>
      </c>
      <c r="M126" s="288" t="s">
        <v>242</v>
      </c>
      <c r="N126" s="11" t="s">
        <v>243</v>
      </c>
      <c r="O126" s="338"/>
      <c r="P126" s="339"/>
    </row>
    <row r="127" spans="1:17" ht="33">
      <c r="A127" s="333" t="s">
        <v>2154</v>
      </c>
      <c r="B127" s="334" t="s">
        <v>310</v>
      </c>
      <c r="C127" s="335" t="s">
        <v>223</v>
      </c>
      <c r="D127" s="336">
        <v>928.51</v>
      </c>
      <c r="E127" s="336">
        <f>估驗單!F120</f>
        <v>928.51</v>
      </c>
      <c r="F127" s="390">
        <f t="shared" si="9"/>
        <v>0</v>
      </c>
      <c r="G127" s="336">
        <v>320.72000000000003</v>
      </c>
      <c r="H127" s="336"/>
      <c r="I127" s="336">
        <f t="shared" ref="I127:I165" si="13">ROUND(D127*G127,2)</f>
        <v>297791.73</v>
      </c>
      <c r="J127" s="336">
        <f t="shared" ref="J127:J165" si="14">ROUND(E127*G127,2)</f>
        <v>297791.73</v>
      </c>
      <c r="K127" s="546">
        <f t="shared" si="10"/>
        <v>0</v>
      </c>
      <c r="L127" s="502"/>
      <c r="M127" s="231" t="s">
        <v>242</v>
      </c>
      <c r="N127" s="11" t="s">
        <v>243</v>
      </c>
      <c r="O127" s="341"/>
      <c r="P127" s="339"/>
      <c r="Q127" s="342"/>
    </row>
    <row r="128" spans="1:17" ht="33">
      <c r="A128" s="333" t="s">
        <v>2155</v>
      </c>
      <c r="B128" s="334" t="s">
        <v>315</v>
      </c>
      <c r="C128" s="335" t="s">
        <v>6</v>
      </c>
      <c r="D128" s="336">
        <v>26.33</v>
      </c>
      <c r="E128" s="336">
        <f>估驗單!F121</f>
        <v>26.33</v>
      </c>
      <c r="F128" s="390">
        <f t="shared" si="9"/>
        <v>0</v>
      </c>
      <c r="G128" s="336">
        <v>3114.97</v>
      </c>
      <c r="H128" s="336"/>
      <c r="I128" s="336">
        <f t="shared" si="13"/>
        <v>82017.16</v>
      </c>
      <c r="J128" s="336">
        <f t="shared" si="14"/>
        <v>82017.16</v>
      </c>
      <c r="K128" s="546">
        <f t="shared" si="10"/>
        <v>0</v>
      </c>
      <c r="L128" s="502"/>
      <c r="M128" s="231" t="s">
        <v>242</v>
      </c>
      <c r="N128" s="11" t="s">
        <v>243</v>
      </c>
      <c r="O128" s="341"/>
      <c r="P128" s="339"/>
    </row>
    <row r="129" spans="1:17" ht="33">
      <c r="A129" s="333" t="s">
        <v>2156</v>
      </c>
      <c r="B129" s="334" t="s">
        <v>24</v>
      </c>
      <c r="C129" s="335" t="s">
        <v>6</v>
      </c>
      <c r="D129" s="336">
        <v>36.86</v>
      </c>
      <c r="E129" s="336">
        <f>估驗單!F122</f>
        <v>36.86</v>
      </c>
      <c r="F129" s="390">
        <f t="shared" si="9"/>
        <v>0</v>
      </c>
      <c r="G129" s="336">
        <v>3320.96</v>
      </c>
      <c r="H129" s="336"/>
      <c r="I129" s="336">
        <f t="shared" si="13"/>
        <v>122410.59</v>
      </c>
      <c r="J129" s="336">
        <f t="shared" si="14"/>
        <v>122410.59</v>
      </c>
      <c r="K129" s="546">
        <f t="shared" si="10"/>
        <v>0</v>
      </c>
      <c r="L129" s="502"/>
      <c r="M129" s="231" t="s">
        <v>242</v>
      </c>
      <c r="N129" s="11" t="s">
        <v>243</v>
      </c>
      <c r="O129" s="341"/>
      <c r="P129" s="339"/>
    </row>
    <row r="130" spans="1:17" ht="33">
      <c r="A130" s="333" t="s">
        <v>2157</v>
      </c>
      <c r="B130" s="334" t="s">
        <v>528</v>
      </c>
      <c r="C130" s="335" t="s">
        <v>6</v>
      </c>
      <c r="D130" s="336">
        <v>654.83000000000004</v>
      </c>
      <c r="E130" s="336">
        <f>估驗單!F123</f>
        <v>654.83000000000004</v>
      </c>
      <c r="F130" s="390">
        <f t="shared" si="9"/>
        <v>0</v>
      </c>
      <c r="G130" s="336">
        <v>3643.53</v>
      </c>
      <c r="H130" s="336"/>
      <c r="I130" s="336">
        <f t="shared" si="13"/>
        <v>2385892.75</v>
      </c>
      <c r="J130" s="336">
        <f t="shared" si="14"/>
        <v>2385892.75</v>
      </c>
      <c r="K130" s="546">
        <f t="shared" si="10"/>
        <v>0</v>
      </c>
      <c r="L130" s="502"/>
      <c r="M130" s="231" t="s">
        <v>242</v>
      </c>
      <c r="N130" s="11" t="s">
        <v>243</v>
      </c>
      <c r="O130" s="341"/>
      <c r="P130" s="339"/>
    </row>
    <row r="131" spans="1:17" ht="33">
      <c r="A131" s="333" t="s">
        <v>2158</v>
      </c>
      <c r="B131" s="334" t="s">
        <v>192</v>
      </c>
      <c r="C131" s="335" t="s">
        <v>17</v>
      </c>
      <c r="D131" s="336">
        <v>6240.88</v>
      </c>
      <c r="E131" s="336">
        <f>估驗單!F124</f>
        <v>6240.88</v>
      </c>
      <c r="F131" s="390">
        <f t="shared" si="9"/>
        <v>0</v>
      </c>
      <c r="G131" s="336">
        <v>36.4</v>
      </c>
      <c r="H131" s="336"/>
      <c r="I131" s="336">
        <f t="shared" si="13"/>
        <v>227168.03</v>
      </c>
      <c r="J131" s="336">
        <f t="shared" si="14"/>
        <v>227168.03</v>
      </c>
      <c r="K131" s="546">
        <f t="shared" si="10"/>
        <v>0</v>
      </c>
      <c r="L131" s="502"/>
      <c r="M131" s="231"/>
      <c r="N131" s="11" t="s">
        <v>243</v>
      </c>
      <c r="O131" s="341"/>
      <c r="P131" s="339"/>
    </row>
    <row r="132" spans="1:17" ht="33">
      <c r="A132" s="333" t="s">
        <v>2159</v>
      </c>
      <c r="B132" s="334" t="s">
        <v>530</v>
      </c>
      <c r="C132" s="335" t="s">
        <v>17</v>
      </c>
      <c r="D132" s="336">
        <v>102796.95</v>
      </c>
      <c r="E132" s="336">
        <f>估驗單!F125</f>
        <v>102796.95</v>
      </c>
      <c r="F132" s="390">
        <f t="shared" si="9"/>
        <v>0</v>
      </c>
      <c r="G132" s="336">
        <v>38.71</v>
      </c>
      <c r="H132" s="336"/>
      <c r="I132" s="336">
        <f t="shared" si="13"/>
        <v>3979269.93</v>
      </c>
      <c r="J132" s="336">
        <f t="shared" si="14"/>
        <v>3979269.93</v>
      </c>
      <c r="K132" s="546">
        <f t="shared" si="10"/>
        <v>0</v>
      </c>
      <c r="L132" s="502"/>
      <c r="M132" s="231"/>
      <c r="N132" s="11" t="s">
        <v>243</v>
      </c>
      <c r="O132" s="341"/>
      <c r="P132" s="339"/>
    </row>
    <row r="133" spans="1:17" ht="33">
      <c r="A133" s="333" t="s">
        <v>2160</v>
      </c>
      <c r="B133" s="334" t="s">
        <v>532</v>
      </c>
      <c r="C133" s="335" t="s">
        <v>13</v>
      </c>
      <c r="D133" s="336">
        <v>223.3</v>
      </c>
      <c r="E133" s="336">
        <f>估驗單!F126</f>
        <v>223.3</v>
      </c>
      <c r="F133" s="390">
        <f t="shared" si="9"/>
        <v>0</v>
      </c>
      <c r="G133" s="336">
        <v>1154.9100000000001</v>
      </c>
      <c r="H133" s="336"/>
      <c r="I133" s="336">
        <f t="shared" si="13"/>
        <v>257891.4</v>
      </c>
      <c r="J133" s="336">
        <f t="shared" si="14"/>
        <v>257891.4</v>
      </c>
      <c r="K133" s="546">
        <f t="shared" si="10"/>
        <v>0</v>
      </c>
      <c r="L133" s="502"/>
      <c r="M133" s="231"/>
      <c r="N133" s="11" t="s">
        <v>243</v>
      </c>
      <c r="O133" s="341"/>
      <c r="P133" s="339"/>
    </row>
    <row r="134" spans="1:17" ht="45">
      <c r="A134" s="503" t="s">
        <v>2161</v>
      </c>
      <c r="B134" s="504" t="s">
        <v>534</v>
      </c>
      <c r="C134" s="505" t="s">
        <v>13</v>
      </c>
      <c r="D134" s="506">
        <v>450.04</v>
      </c>
      <c r="E134" s="506">
        <f>估驗單!F127</f>
        <v>484.31400000000008</v>
      </c>
      <c r="F134" s="507">
        <f t="shared" si="9"/>
        <v>34.274000000000058</v>
      </c>
      <c r="G134" s="506">
        <v>982.93</v>
      </c>
      <c r="H134" s="506"/>
      <c r="I134" s="506">
        <f t="shared" si="13"/>
        <v>442357.82</v>
      </c>
      <c r="J134" s="506">
        <f t="shared" si="14"/>
        <v>476046.76</v>
      </c>
      <c r="K134" s="547">
        <f t="shared" si="10"/>
        <v>33688.94</v>
      </c>
      <c r="L134" s="510"/>
      <c r="M134" s="508"/>
      <c r="N134" s="11" t="s">
        <v>243</v>
      </c>
      <c r="O134" s="341" t="s">
        <v>3017</v>
      </c>
      <c r="P134" s="339"/>
      <c r="Q134" s="586" t="s">
        <v>3018</v>
      </c>
    </row>
    <row r="135" spans="1:17" ht="45">
      <c r="A135" s="503" t="s">
        <v>2162</v>
      </c>
      <c r="B135" s="504" t="s">
        <v>536</v>
      </c>
      <c r="C135" s="505" t="s">
        <v>13</v>
      </c>
      <c r="D135" s="506">
        <v>28.27</v>
      </c>
      <c r="E135" s="506">
        <f>估驗單!F128</f>
        <v>42.534999999999997</v>
      </c>
      <c r="F135" s="507">
        <f t="shared" si="9"/>
        <v>14.264999999999997</v>
      </c>
      <c r="G135" s="506">
        <v>804.75</v>
      </c>
      <c r="H135" s="506"/>
      <c r="I135" s="506">
        <f t="shared" si="13"/>
        <v>22750.28</v>
      </c>
      <c r="J135" s="506">
        <f t="shared" si="14"/>
        <v>34230.04</v>
      </c>
      <c r="K135" s="547">
        <f t="shared" si="10"/>
        <v>11479.760000000002</v>
      </c>
      <c r="L135" s="510"/>
      <c r="M135" s="508"/>
      <c r="N135" s="11" t="s">
        <v>243</v>
      </c>
      <c r="O135" s="341" t="s">
        <v>3017</v>
      </c>
      <c r="P135" s="339"/>
      <c r="Q135" s="586" t="s">
        <v>3018</v>
      </c>
    </row>
    <row r="136" spans="1:17" ht="33">
      <c r="A136" s="333" t="s">
        <v>2163</v>
      </c>
      <c r="B136" s="334" t="s">
        <v>538</v>
      </c>
      <c r="C136" s="335" t="s">
        <v>539</v>
      </c>
      <c r="D136" s="336">
        <v>25655</v>
      </c>
      <c r="E136" s="336">
        <f>估驗單!F129</f>
        <v>25655</v>
      </c>
      <c r="F136" s="390">
        <f t="shared" si="9"/>
        <v>0</v>
      </c>
      <c r="G136" s="336">
        <v>75</v>
      </c>
      <c r="H136" s="336"/>
      <c r="I136" s="336">
        <f t="shared" si="13"/>
        <v>1924125</v>
      </c>
      <c r="J136" s="336">
        <f t="shared" si="14"/>
        <v>1924125</v>
      </c>
      <c r="K136" s="546">
        <f t="shared" si="10"/>
        <v>0</v>
      </c>
      <c r="L136" s="502"/>
      <c r="M136" s="231" t="s">
        <v>242</v>
      </c>
      <c r="N136" s="11" t="s">
        <v>243</v>
      </c>
      <c r="O136" s="341"/>
      <c r="P136" s="339"/>
    </row>
    <row r="137" spans="1:17" ht="33">
      <c r="A137" s="333" t="s">
        <v>2164</v>
      </c>
      <c r="B137" s="334" t="s">
        <v>321</v>
      </c>
      <c r="C137" s="335" t="s">
        <v>17</v>
      </c>
      <c r="D137" s="336">
        <v>3691</v>
      </c>
      <c r="E137" s="336">
        <f>估驗單!F130</f>
        <v>3691</v>
      </c>
      <c r="F137" s="390">
        <f t="shared" si="9"/>
        <v>0</v>
      </c>
      <c r="G137" s="336">
        <v>60</v>
      </c>
      <c r="H137" s="336"/>
      <c r="I137" s="336">
        <f t="shared" si="13"/>
        <v>221460</v>
      </c>
      <c r="J137" s="336">
        <f t="shared" si="14"/>
        <v>221460</v>
      </c>
      <c r="K137" s="546">
        <f t="shared" si="10"/>
        <v>0</v>
      </c>
      <c r="L137" s="502"/>
      <c r="M137" s="231"/>
      <c r="N137" s="11" t="s">
        <v>243</v>
      </c>
      <c r="O137" s="341"/>
      <c r="P137" s="339"/>
    </row>
    <row r="138" spans="1:17" ht="33">
      <c r="A138" s="333" t="s">
        <v>2165</v>
      </c>
      <c r="B138" s="334" t="s">
        <v>323</v>
      </c>
      <c r="C138" s="335" t="s">
        <v>17</v>
      </c>
      <c r="D138" s="336">
        <v>3691</v>
      </c>
      <c r="E138" s="336">
        <f>估驗單!F131</f>
        <v>3691</v>
      </c>
      <c r="F138" s="390">
        <f t="shared" si="9"/>
        <v>0</v>
      </c>
      <c r="G138" s="336">
        <v>31.9</v>
      </c>
      <c r="H138" s="336"/>
      <c r="I138" s="336">
        <f t="shared" si="13"/>
        <v>117742.9</v>
      </c>
      <c r="J138" s="336">
        <f t="shared" si="14"/>
        <v>117742.9</v>
      </c>
      <c r="K138" s="546">
        <f t="shared" si="10"/>
        <v>0</v>
      </c>
      <c r="L138" s="502"/>
      <c r="M138" s="231" t="s">
        <v>242</v>
      </c>
      <c r="N138" s="11" t="s">
        <v>243</v>
      </c>
      <c r="O138" s="341"/>
      <c r="P138" s="339"/>
    </row>
    <row r="139" spans="1:17" ht="33">
      <c r="A139" s="333" t="s">
        <v>2166</v>
      </c>
      <c r="B139" s="334" t="s">
        <v>542</v>
      </c>
      <c r="C139" s="335" t="s">
        <v>17</v>
      </c>
      <c r="D139" s="336">
        <v>2162</v>
      </c>
      <c r="E139" s="336">
        <f>估驗單!F132</f>
        <v>2162</v>
      </c>
      <c r="F139" s="390">
        <f t="shared" si="9"/>
        <v>0</v>
      </c>
      <c r="G139" s="336">
        <v>278.08</v>
      </c>
      <c r="H139" s="336"/>
      <c r="I139" s="336">
        <f t="shared" si="13"/>
        <v>601208.96</v>
      </c>
      <c r="J139" s="336">
        <f t="shared" si="14"/>
        <v>601208.96</v>
      </c>
      <c r="K139" s="546">
        <f t="shared" si="10"/>
        <v>0</v>
      </c>
      <c r="L139" s="502"/>
      <c r="M139" s="231" t="s">
        <v>242</v>
      </c>
      <c r="N139" s="11" t="s">
        <v>243</v>
      </c>
      <c r="O139" s="341"/>
      <c r="P139" s="339"/>
    </row>
    <row r="140" spans="1:17" ht="33">
      <c r="A140" s="333" t="s">
        <v>2167</v>
      </c>
      <c r="B140" s="334" t="s">
        <v>544</v>
      </c>
      <c r="C140" s="335" t="s">
        <v>13</v>
      </c>
      <c r="D140" s="336">
        <v>99.7</v>
      </c>
      <c r="E140" s="336">
        <f>估驗單!F133</f>
        <v>99.7</v>
      </c>
      <c r="F140" s="390">
        <f t="shared" si="9"/>
        <v>0</v>
      </c>
      <c r="G140" s="336">
        <v>1399.92</v>
      </c>
      <c r="H140" s="336"/>
      <c r="I140" s="336">
        <f t="shared" si="13"/>
        <v>139572.01999999999</v>
      </c>
      <c r="J140" s="336">
        <f t="shared" si="14"/>
        <v>139572.01999999999</v>
      </c>
      <c r="K140" s="546">
        <f t="shared" si="10"/>
        <v>0</v>
      </c>
      <c r="L140" s="502"/>
      <c r="M140" s="231"/>
      <c r="N140" s="11" t="s">
        <v>243</v>
      </c>
      <c r="O140" s="341"/>
      <c r="P140" s="339"/>
    </row>
    <row r="141" spans="1:17" ht="57">
      <c r="A141" s="503" t="s">
        <v>2168</v>
      </c>
      <c r="B141" s="504" t="s">
        <v>325</v>
      </c>
      <c r="C141" s="505" t="s">
        <v>17</v>
      </c>
      <c r="D141" s="506">
        <v>95900</v>
      </c>
      <c r="E141" s="506">
        <f>估驗單!F134</f>
        <v>96604.35</v>
      </c>
      <c r="F141" s="507">
        <f t="shared" si="9"/>
        <v>704.35000000000582</v>
      </c>
      <c r="G141" s="506">
        <v>107.3</v>
      </c>
      <c r="H141" s="506"/>
      <c r="I141" s="506">
        <f t="shared" si="13"/>
        <v>10290070</v>
      </c>
      <c r="J141" s="506">
        <f t="shared" si="14"/>
        <v>10365646.76</v>
      </c>
      <c r="K141" s="547">
        <f t="shared" ref="K141:K204" si="15">J141-I141</f>
        <v>75576.759999999776</v>
      </c>
      <c r="L141" s="510"/>
      <c r="M141" s="508"/>
      <c r="N141" s="11" t="s">
        <v>243</v>
      </c>
      <c r="O141" s="341" t="s">
        <v>2992</v>
      </c>
      <c r="P141" s="339"/>
      <c r="Q141" s="756" t="s">
        <v>3016</v>
      </c>
    </row>
    <row r="142" spans="1:17" ht="33">
      <c r="A142" s="503" t="s">
        <v>2169</v>
      </c>
      <c r="B142" s="504" t="s">
        <v>222</v>
      </c>
      <c r="C142" s="505" t="s">
        <v>13</v>
      </c>
      <c r="D142" s="506">
        <v>438.86</v>
      </c>
      <c r="E142" s="506">
        <f>估驗單!F135</f>
        <v>611.66</v>
      </c>
      <c r="F142" s="507">
        <f t="shared" si="9"/>
        <v>172.79999999999995</v>
      </c>
      <c r="G142" s="506">
        <v>692.12</v>
      </c>
      <c r="H142" s="506"/>
      <c r="I142" s="506">
        <f t="shared" si="13"/>
        <v>303743.78000000003</v>
      </c>
      <c r="J142" s="506">
        <f t="shared" si="14"/>
        <v>423342.12</v>
      </c>
      <c r="K142" s="547">
        <f t="shared" si="15"/>
        <v>119598.33999999997</v>
      </c>
      <c r="L142" s="510"/>
      <c r="M142" s="508"/>
      <c r="N142" s="11" t="s">
        <v>243</v>
      </c>
      <c r="O142" s="341" t="s">
        <v>2953</v>
      </c>
      <c r="P142" s="339" t="s">
        <v>2929</v>
      </c>
      <c r="Q142" s="147" t="s">
        <v>2928</v>
      </c>
    </row>
    <row r="143" spans="1:17" ht="33">
      <c r="A143" s="333" t="s">
        <v>2170</v>
      </c>
      <c r="B143" s="334" t="s">
        <v>194</v>
      </c>
      <c r="C143" s="335" t="s">
        <v>23</v>
      </c>
      <c r="D143" s="336">
        <v>342.71</v>
      </c>
      <c r="E143" s="336">
        <f>估驗單!F136</f>
        <v>342.71</v>
      </c>
      <c r="F143" s="390">
        <f t="shared" si="9"/>
        <v>0</v>
      </c>
      <c r="G143" s="336">
        <v>48.28</v>
      </c>
      <c r="H143" s="336"/>
      <c r="I143" s="336">
        <f t="shared" si="13"/>
        <v>16546.04</v>
      </c>
      <c r="J143" s="336">
        <f t="shared" si="14"/>
        <v>16546.04</v>
      </c>
      <c r="K143" s="546">
        <f t="shared" si="15"/>
        <v>0</v>
      </c>
      <c r="L143" s="502"/>
      <c r="M143" s="231" t="s">
        <v>242</v>
      </c>
      <c r="N143" s="11" t="s">
        <v>243</v>
      </c>
      <c r="O143" s="341"/>
      <c r="P143" s="339"/>
    </row>
    <row r="144" spans="1:17" ht="33">
      <c r="A144" s="503" t="s">
        <v>2171</v>
      </c>
      <c r="B144" s="504" t="s">
        <v>205</v>
      </c>
      <c r="C144" s="505" t="s">
        <v>23</v>
      </c>
      <c r="D144" s="506">
        <v>231.09</v>
      </c>
      <c r="E144" s="506">
        <f>估驗單!F137</f>
        <v>0</v>
      </c>
      <c r="F144" s="510">
        <f t="shared" ref="F144:F207" si="16">E144-D144</f>
        <v>-231.09</v>
      </c>
      <c r="G144" s="506">
        <v>721.02</v>
      </c>
      <c r="H144" s="506"/>
      <c r="I144" s="506">
        <f t="shared" si="13"/>
        <v>166620.51</v>
      </c>
      <c r="J144" s="506">
        <f t="shared" si="14"/>
        <v>0</v>
      </c>
      <c r="K144" s="547"/>
      <c r="L144" s="510">
        <f>J144-I144</f>
        <v>-166620.51</v>
      </c>
      <c r="M144" s="508" t="s">
        <v>242</v>
      </c>
      <c r="N144" s="11" t="s">
        <v>243</v>
      </c>
      <c r="O144" s="474" t="s">
        <v>3010</v>
      </c>
      <c r="P144" s="339"/>
      <c r="Q144" s="147" t="s">
        <v>3028</v>
      </c>
    </row>
    <row r="145" spans="1:16" ht="33">
      <c r="A145" s="333" t="s">
        <v>2172</v>
      </c>
      <c r="B145" s="334" t="s">
        <v>548</v>
      </c>
      <c r="C145" s="335" t="s">
        <v>13</v>
      </c>
      <c r="D145" s="336">
        <v>27956</v>
      </c>
      <c r="E145" s="336">
        <f>估驗單!F138</f>
        <v>27956</v>
      </c>
      <c r="F145" s="390">
        <f t="shared" si="16"/>
        <v>0</v>
      </c>
      <c r="G145" s="336">
        <v>28</v>
      </c>
      <c r="H145" s="336"/>
      <c r="I145" s="336">
        <f t="shared" si="13"/>
        <v>782768</v>
      </c>
      <c r="J145" s="336">
        <f t="shared" si="14"/>
        <v>782768</v>
      </c>
      <c r="K145" s="546">
        <f t="shared" si="15"/>
        <v>0</v>
      </c>
      <c r="L145" s="502"/>
      <c r="M145" s="231"/>
      <c r="N145" s="11" t="s">
        <v>243</v>
      </c>
      <c r="O145" s="341"/>
      <c r="P145" s="339"/>
    </row>
    <row r="146" spans="1:16" ht="33">
      <c r="A146" s="333" t="s">
        <v>2173</v>
      </c>
      <c r="B146" s="334" t="s">
        <v>2242</v>
      </c>
      <c r="C146" s="335" t="s">
        <v>8</v>
      </c>
      <c r="D146" s="336">
        <v>322</v>
      </c>
      <c r="E146" s="336">
        <f>估驗單!F139</f>
        <v>322</v>
      </c>
      <c r="F146" s="390">
        <f t="shared" si="16"/>
        <v>0</v>
      </c>
      <c r="G146" s="336">
        <v>19011.37</v>
      </c>
      <c r="H146" s="336"/>
      <c r="I146" s="336">
        <f t="shared" si="13"/>
        <v>6121661.1399999997</v>
      </c>
      <c r="J146" s="336">
        <f t="shared" si="14"/>
        <v>6121661.1399999997</v>
      </c>
      <c r="K146" s="546">
        <f t="shared" si="15"/>
        <v>0</v>
      </c>
      <c r="L146" s="502"/>
      <c r="M146" s="231"/>
      <c r="N146" s="11" t="s">
        <v>243</v>
      </c>
      <c r="O146" s="341"/>
      <c r="P146" s="339"/>
    </row>
    <row r="147" spans="1:16" ht="33">
      <c r="A147" s="333" t="s">
        <v>2174</v>
      </c>
      <c r="B147" s="334" t="s">
        <v>552</v>
      </c>
      <c r="C147" s="335" t="s">
        <v>13</v>
      </c>
      <c r="D147" s="336">
        <v>100</v>
      </c>
      <c r="E147" s="336">
        <f>估驗單!F140</f>
        <v>100</v>
      </c>
      <c r="F147" s="390">
        <f t="shared" si="16"/>
        <v>0</v>
      </c>
      <c r="G147" s="336">
        <v>373.08</v>
      </c>
      <c r="H147" s="336"/>
      <c r="I147" s="336">
        <f t="shared" si="13"/>
        <v>37308</v>
      </c>
      <c r="J147" s="336">
        <f t="shared" si="14"/>
        <v>37308</v>
      </c>
      <c r="K147" s="546">
        <f t="shared" si="15"/>
        <v>0</v>
      </c>
      <c r="L147" s="502"/>
      <c r="M147" s="231" t="s">
        <v>242</v>
      </c>
      <c r="N147" s="11" t="s">
        <v>243</v>
      </c>
      <c r="O147" s="341"/>
      <c r="P147" s="339"/>
    </row>
    <row r="148" spans="1:16" ht="33">
      <c r="A148" s="333" t="s">
        <v>2175</v>
      </c>
      <c r="B148" s="334" t="s">
        <v>554</v>
      </c>
      <c r="C148" s="335" t="s">
        <v>13</v>
      </c>
      <c r="D148" s="336">
        <v>83</v>
      </c>
      <c r="E148" s="336">
        <f>估驗單!F141</f>
        <v>83</v>
      </c>
      <c r="F148" s="390">
        <f t="shared" si="16"/>
        <v>0</v>
      </c>
      <c r="G148" s="336">
        <v>616.49</v>
      </c>
      <c r="H148" s="336"/>
      <c r="I148" s="336">
        <f t="shared" si="13"/>
        <v>51168.67</v>
      </c>
      <c r="J148" s="336">
        <f t="shared" si="14"/>
        <v>51168.67</v>
      </c>
      <c r="K148" s="546">
        <f t="shared" si="15"/>
        <v>0</v>
      </c>
      <c r="L148" s="502"/>
      <c r="M148" s="231" t="s">
        <v>242</v>
      </c>
      <c r="N148" s="11" t="s">
        <v>243</v>
      </c>
      <c r="O148" s="341"/>
      <c r="P148" s="339"/>
    </row>
    <row r="149" spans="1:16" ht="33">
      <c r="A149" s="333" t="s">
        <v>2177</v>
      </c>
      <c r="B149" s="334" t="s">
        <v>556</v>
      </c>
      <c r="C149" s="335" t="s">
        <v>13</v>
      </c>
      <c r="D149" s="336">
        <v>2.1</v>
      </c>
      <c r="E149" s="336">
        <f>估驗單!F142</f>
        <v>2.1</v>
      </c>
      <c r="F149" s="390">
        <f t="shared" si="16"/>
        <v>0</v>
      </c>
      <c r="G149" s="336">
        <v>1874.26</v>
      </c>
      <c r="H149" s="336"/>
      <c r="I149" s="336">
        <f t="shared" si="13"/>
        <v>3935.95</v>
      </c>
      <c r="J149" s="336">
        <f t="shared" si="14"/>
        <v>3935.95</v>
      </c>
      <c r="K149" s="546">
        <f t="shared" si="15"/>
        <v>0</v>
      </c>
      <c r="L149" s="502"/>
      <c r="M149" s="231" t="s">
        <v>242</v>
      </c>
      <c r="N149" s="11" t="s">
        <v>243</v>
      </c>
      <c r="O149" s="341"/>
      <c r="P149" s="339"/>
    </row>
    <row r="150" spans="1:16" ht="33">
      <c r="A150" s="333" t="s">
        <v>2178</v>
      </c>
      <c r="B150" s="334" t="s">
        <v>558</v>
      </c>
      <c r="C150" s="335" t="s">
        <v>8</v>
      </c>
      <c r="D150" s="336">
        <v>62</v>
      </c>
      <c r="E150" s="336">
        <f>估驗單!F143</f>
        <v>62</v>
      </c>
      <c r="F150" s="390">
        <f t="shared" si="16"/>
        <v>0</v>
      </c>
      <c r="G150" s="336">
        <v>2388.4299999999998</v>
      </c>
      <c r="H150" s="336"/>
      <c r="I150" s="336">
        <f t="shared" si="13"/>
        <v>148082.66</v>
      </c>
      <c r="J150" s="336">
        <f t="shared" si="14"/>
        <v>148082.66</v>
      </c>
      <c r="K150" s="546">
        <f t="shared" si="15"/>
        <v>0</v>
      </c>
      <c r="L150" s="502"/>
      <c r="M150" s="231"/>
      <c r="N150" s="11" t="s">
        <v>243</v>
      </c>
      <c r="O150" s="341"/>
      <c r="P150" s="339"/>
    </row>
    <row r="151" spans="1:16" ht="33">
      <c r="A151" s="333" t="s">
        <v>2179</v>
      </c>
      <c r="B151" s="334" t="s">
        <v>560</v>
      </c>
      <c r="C151" s="335" t="s">
        <v>8</v>
      </c>
      <c r="D151" s="336">
        <v>33</v>
      </c>
      <c r="E151" s="336">
        <f>估驗單!F144</f>
        <v>33</v>
      </c>
      <c r="F151" s="390">
        <f t="shared" si="16"/>
        <v>0</v>
      </c>
      <c r="G151" s="336">
        <v>12777.68</v>
      </c>
      <c r="H151" s="336"/>
      <c r="I151" s="336">
        <f t="shared" si="13"/>
        <v>421663.44</v>
      </c>
      <c r="J151" s="336">
        <f t="shared" si="14"/>
        <v>421663.44</v>
      </c>
      <c r="K151" s="546">
        <f t="shared" si="15"/>
        <v>0</v>
      </c>
      <c r="L151" s="502"/>
      <c r="M151" s="231"/>
      <c r="N151" s="11" t="s">
        <v>243</v>
      </c>
      <c r="O151" s="341"/>
      <c r="P151" s="339"/>
    </row>
    <row r="152" spans="1:16" ht="33">
      <c r="A152" s="333" t="s">
        <v>2181</v>
      </c>
      <c r="B152" s="334" t="s">
        <v>562</v>
      </c>
      <c r="C152" s="335" t="s">
        <v>8</v>
      </c>
      <c r="D152" s="336">
        <v>32.6</v>
      </c>
      <c r="E152" s="336">
        <f>估驗單!F145</f>
        <v>32.6</v>
      </c>
      <c r="F152" s="390">
        <f t="shared" si="16"/>
        <v>0</v>
      </c>
      <c r="G152" s="336">
        <v>71914.34</v>
      </c>
      <c r="H152" s="336"/>
      <c r="I152" s="336">
        <f t="shared" si="13"/>
        <v>2344407.48</v>
      </c>
      <c r="J152" s="336">
        <f t="shared" si="14"/>
        <v>2344407.48</v>
      </c>
      <c r="K152" s="546">
        <f t="shared" si="15"/>
        <v>0</v>
      </c>
      <c r="L152" s="502"/>
      <c r="M152" s="231"/>
      <c r="N152" s="11" t="s">
        <v>243</v>
      </c>
      <c r="O152" s="341"/>
      <c r="P152" s="339"/>
    </row>
    <row r="153" spans="1:16" ht="33">
      <c r="A153" s="333" t="s">
        <v>2182</v>
      </c>
      <c r="B153" s="334" t="s">
        <v>564</v>
      </c>
      <c r="C153" s="335" t="s">
        <v>8</v>
      </c>
      <c r="D153" s="336">
        <v>32.6</v>
      </c>
      <c r="E153" s="336">
        <f>估驗單!F146</f>
        <v>32.6</v>
      </c>
      <c r="F153" s="390">
        <f t="shared" si="16"/>
        <v>0</v>
      </c>
      <c r="G153" s="336">
        <v>189793.78</v>
      </c>
      <c r="H153" s="336"/>
      <c r="I153" s="336">
        <f t="shared" si="13"/>
        <v>6187277.2300000004</v>
      </c>
      <c r="J153" s="336">
        <f t="shared" si="14"/>
        <v>6187277.2300000004</v>
      </c>
      <c r="K153" s="546">
        <f t="shared" si="15"/>
        <v>0</v>
      </c>
      <c r="L153" s="502"/>
      <c r="M153" s="231"/>
      <c r="N153" s="11" t="s">
        <v>243</v>
      </c>
      <c r="O153" s="341"/>
      <c r="P153" s="339"/>
    </row>
    <row r="154" spans="1:16" ht="33">
      <c r="A154" s="333" t="s">
        <v>2183</v>
      </c>
      <c r="B154" s="334" t="s">
        <v>567</v>
      </c>
      <c r="C154" s="335" t="s">
        <v>0</v>
      </c>
      <c r="D154" s="336">
        <v>1</v>
      </c>
      <c r="E154" s="336">
        <f>估驗單!F147</f>
        <v>1</v>
      </c>
      <c r="F154" s="390">
        <f t="shared" si="16"/>
        <v>0</v>
      </c>
      <c r="G154" s="336">
        <v>78208.240000000005</v>
      </c>
      <c r="H154" s="336"/>
      <c r="I154" s="336">
        <f t="shared" si="13"/>
        <v>78208.240000000005</v>
      </c>
      <c r="J154" s="336">
        <f t="shared" si="14"/>
        <v>78208.240000000005</v>
      </c>
      <c r="K154" s="546">
        <f t="shared" si="15"/>
        <v>0</v>
      </c>
      <c r="L154" s="502"/>
      <c r="M154" s="231"/>
      <c r="N154" s="11" t="s">
        <v>243</v>
      </c>
      <c r="O154" s="341"/>
      <c r="P154" s="339"/>
    </row>
    <row r="155" spans="1:16" ht="33">
      <c r="A155" s="333" t="s">
        <v>2184</v>
      </c>
      <c r="B155" s="334" t="s">
        <v>570</v>
      </c>
      <c r="C155" s="335" t="s">
        <v>8</v>
      </c>
      <c r="D155" s="336">
        <v>9.6</v>
      </c>
      <c r="E155" s="336">
        <f>估驗單!F148</f>
        <v>9.6</v>
      </c>
      <c r="F155" s="390">
        <f t="shared" si="16"/>
        <v>0</v>
      </c>
      <c r="G155" s="336">
        <v>4213.4799999999996</v>
      </c>
      <c r="H155" s="336"/>
      <c r="I155" s="336">
        <f t="shared" si="13"/>
        <v>40449.410000000003</v>
      </c>
      <c r="J155" s="336">
        <f t="shared" si="14"/>
        <v>40449.410000000003</v>
      </c>
      <c r="K155" s="546">
        <f t="shared" si="15"/>
        <v>0</v>
      </c>
      <c r="L155" s="502"/>
      <c r="M155" s="231"/>
      <c r="N155" s="11" t="s">
        <v>243</v>
      </c>
      <c r="O155" s="341"/>
      <c r="P155" s="339"/>
    </row>
    <row r="156" spans="1:16" ht="33">
      <c r="A156" s="333" t="s">
        <v>2185</v>
      </c>
      <c r="B156" s="334" t="s">
        <v>573</v>
      </c>
      <c r="C156" s="335" t="s">
        <v>0</v>
      </c>
      <c r="D156" s="336">
        <v>1</v>
      </c>
      <c r="E156" s="336">
        <f>估驗單!F149</f>
        <v>1</v>
      </c>
      <c r="F156" s="390">
        <f t="shared" si="16"/>
        <v>0</v>
      </c>
      <c r="G156" s="336">
        <v>2005.23</v>
      </c>
      <c r="H156" s="336"/>
      <c r="I156" s="336">
        <f t="shared" si="13"/>
        <v>2005.23</v>
      </c>
      <c r="J156" s="336">
        <f t="shared" si="14"/>
        <v>2005.23</v>
      </c>
      <c r="K156" s="546">
        <f t="shared" si="15"/>
        <v>0</v>
      </c>
      <c r="L156" s="502"/>
      <c r="M156" s="231" t="s">
        <v>242</v>
      </c>
      <c r="N156" s="11" t="s">
        <v>243</v>
      </c>
      <c r="O156" s="341"/>
      <c r="P156" s="339"/>
    </row>
    <row r="157" spans="1:16" ht="33">
      <c r="A157" s="333" t="s">
        <v>2186</v>
      </c>
      <c r="B157" s="334" t="s">
        <v>576</v>
      </c>
      <c r="C157" s="335" t="s">
        <v>8</v>
      </c>
      <c r="D157" s="336">
        <v>32.6</v>
      </c>
      <c r="E157" s="336">
        <f>估驗單!F150</f>
        <v>32.6</v>
      </c>
      <c r="F157" s="390">
        <f t="shared" si="16"/>
        <v>0</v>
      </c>
      <c r="G157" s="336">
        <v>21727.78</v>
      </c>
      <c r="H157" s="336"/>
      <c r="I157" s="336">
        <f t="shared" si="13"/>
        <v>708325.63</v>
      </c>
      <c r="J157" s="336">
        <f t="shared" si="14"/>
        <v>708325.63</v>
      </c>
      <c r="K157" s="546">
        <f t="shared" si="15"/>
        <v>0</v>
      </c>
      <c r="L157" s="502"/>
      <c r="M157" s="231"/>
      <c r="N157" s="11" t="s">
        <v>243</v>
      </c>
      <c r="O157" s="341"/>
      <c r="P157" s="339"/>
    </row>
    <row r="158" spans="1:16" ht="33">
      <c r="A158" s="333" t="s">
        <v>2187</v>
      </c>
      <c r="B158" s="334" t="s">
        <v>579</v>
      </c>
      <c r="C158" s="335" t="s">
        <v>8</v>
      </c>
      <c r="D158" s="336">
        <v>32.6</v>
      </c>
      <c r="E158" s="336">
        <f>估驗單!F151</f>
        <v>32.6</v>
      </c>
      <c r="F158" s="390">
        <f t="shared" si="16"/>
        <v>0</v>
      </c>
      <c r="G158" s="336">
        <v>15955.67</v>
      </c>
      <c r="H158" s="336"/>
      <c r="I158" s="336">
        <f t="shared" si="13"/>
        <v>520154.84</v>
      </c>
      <c r="J158" s="336">
        <f t="shared" si="14"/>
        <v>520154.84</v>
      </c>
      <c r="K158" s="546">
        <f t="shared" si="15"/>
        <v>0</v>
      </c>
      <c r="L158" s="502"/>
      <c r="M158" s="231"/>
      <c r="N158" s="11" t="s">
        <v>243</v>
      </c>
      <c r="O158" s="341"/>
      <c r="P158" s="339"/>
    </row>
    <row r="159" spans="1:16" ht="33">
      <c r="A159" s="333" t="s">
        <v>2188</v>
      </c>
      <c r="B159" s="334" t="s">
        <v>582</v>
      </c>
      <c r="C159" s="335" t="s">
        <v>583</v>
      </c>
      <c r="D159" s="336">
        <v>4</v>
      </c>
      <c r="E159" s="336">
        <f>估驗單!F152</f>
        <v>4</v>
      </c>
      <c r="F159" s="390">
        <f t="shared" si="16"/>
        <v>0</v>
      </c>
      <c r="G159" s="336">
        <v>299.98</v>
      </c>
      <c r="H159" s="336"/>
      <c r="I159" s="336">
        <f t="shared" si="13"/>
        <v>1199.92</v>
      </c>
      <c r="J159" s="336">
        <f t="shared" si="14"/>
        <v>1199.92</v>
      </c>
      <c r="K159" s="546">
        <f t="shared" si="15"/>
        <v>0</v>
      </c>
      <c r="L159" s="502"/>
      <c r="M159" s="231"/>
      <c r="N159" s="11" t="s">
        <v>243</v>
      </c>
      <c r="O159" s="341"/>
      <c r="P159" s="339"/>
    </row>
    <row r="160" spans="1:16" ht="33">
      <c r="A160" s="343" t="s">
        <v>2189</v>
      </c>
      <c r="B160" s="344" t="s">
        <v>2346</v>
      </c>
      <c r="C160" s="345" t="s">
        <v>8</v>
      </c>
      <c r="D160" s="340">
        <v>4.8</v>
      </c>
      <c r="E160" s="336">
        <f>估驗單!F153</f>
        <v>4.8</v>
      </c>
      <c r="F160" s="390">
        <f t="shared" si="16"/>
        <v>0</v>
      </c>
      <c r="G160" s="340">
        <v>119.99</v>
      </c>
      <c r="H160" s="340"/>
      <c r="I160" s="336">
        <f t="shared" si="13"/>
        <v>575.95000000000005</v>
      </c>
      <c r="J160" s="336">
        <f t="shared" si="14"/>
        <v>575.95000000000005</v>
      </c>
      <c r="K160" s="546">
        <f t="shared" si="15"/>
        <v>0</v>
      </c>
      <c r="L160" s="502"/>
      <c r="M160" s="346"/>
      <c r="N160" s="347" t="s">
        <v>243</v>
      </c>
      <c r="O160" s="354"/>
      <c r="P160" s="322"/>
    </row>
    <row r="161" spans="1:19" ht="33">
      <c r="A161" s="333" t="s">
        <v>2190</v>
      </c>
      <c r="B161" s="334" t="s">
        <v>589</v>
      </c>
      <c r="C161" s="335" t="s">
        <v>0</v>
      </c>
      <c r="D161" s="336">
        <v>1</v>
      </c>
      <c r="E161" s="336">
        <f>估驗單!F154</f>
        <v>1</v>
      </c>
      <c r="F161" s="390">
        <f t="shared" si="16"/>
        <v>0</v>
      </c>
      <c r="G161" s="336">
        <v>849172.02</v>
      </c>
      <c r="H161" s="336"/>
      <c r="I161" s="336">
        <f t="shared" si="13"/>
        <v>849172.02</v>
      </c>
      <c r="J161" s="336">
        <f t="shared" si="14"/>
        <v>849172.02</v>
      </c>
      <c r="K161" s="546">
        <f t="shared" si="15"/>
        <v>0</v>
      </c>
      <c r="L161" s="502"/>
      <c r="M161" s="231"/>
      <c r="N161" s="11" t="s">
        <v>243</v>
      </c>
      <c r="O161" s="341"/>
      <c r="P161" s="339"/>
    </row>
    <row r="162" spans="1:19" ht="33">
      <c r="A162" s="333" t="s">
        <v>2191</v>
      </c>
      <c r="B162" s="334" t="s">
        <v>592</v>
      </c>
      <c r="C162" s="335" t="s">
        <v>0</v>
      </c>
      <c r="D162" s="336">
        <v>1</v>
      </c>
      <c r="E162" s="336">
        <f>估驗單!F155</f>
        <v>1</v>
      </c>
      <c r="F162" s="390">
        <f t="shared" si="16"/>
        <v>0</v>
      </c>
      <c r="G162" s="336">
        <v>2066157.04</v>
      </c>
      <c r="H162" s="336"/>
      <c r="I162" s="336">
        <f t="shared" si="13"/>
        <v>2066157.04</v>
      </c>
      <c r="J162" s="336">
        <f t="shared" si="14"/>
        <v>2066157.04</v>
      </c>
      <c r="K162" s="546">
        <f t="shared" si="15"/>
        <v>0</v>
      </c>
      <c r="L162" s="502"/>
      <c r="M162" s="231" t="s">
        <v>242</v>
      </c>
      <c r="N162" s="11" t="s">
        <v>243</v>
      </c>
      <c r="O162" s="341"/>
      <c r="P162" s="339"/>
    </row>
    <row r="163" spans="1:19" ht="33" customHeight="1">
      <c r="A163" s="333" t="s">
        <v>2192</v>
      </c>
      <c r="B163" s="334" t="s">
        <v>1360</v>
      </c>
      <c r="C163" s="335" t="s">
        <v>606</v>
      </c>
      <c r="D163" s="336">
        <v>2</v>
      </c>
      <c r="E163" s="336">
        <f>估驗單!F156</f>
        <v>2</v>
      </c>
      <c r="F163" s="390">
        <f t="shared" si="16"/>
        <v>0</v>
      </c>
      <c r="G163" s="336">
        <v>201796.15</v>
      </c>
      <c r="H163" s="336"/>
      <c r="I163" s="336">
        <f t="shared" si="13"/>
        <v>403592.3</v>
      </c>
      <c r="J163" s="336">
        <f t="shared" si="14"/>
        <v>403592.3</v>
      </c>
      <c r="K163" s="546">
        <f t="shared" si="15"/>
        <v>0</v>
      </c>
      <c r="L163" s="502"/>
      <c r="M163" s="231" t="s">
        <v>242</v>
      </c>
      <c r="N163" s="11" t="s">
        <v>243</v>
      </c>
      <c r="O163" s="341"/>
      <c r="P163" s="339"/>
    </row>
    <row r="164" spans="1:19" s="356" customFormat="1" ht="33" customHeight="1">
      <c r="A164" s="343">
        <v>38</v>
      </c>
      <c r="B164" s="344" t="s">
        <v>2347</v>
      </c>
      <c r="C164" s="345" t="s">
        <v>2348</v>
      </c>
      <c r="D164" s="340">
        <v>96850</v>
      </c>
      <c r="E164" s="336">
        <f>估驗單!F157</f>
        <v>96850</v>
      </c>
      <c r="F164" s="390">
        <f t="shared" si="16"/>
        <v>0</v>
      </c>
      <c r="G164" s="340">
        <v>16.21</v>
      </c>
      <c r="H164" s="340"/>
      <c r="I164" s="336">
        <f t="shared" si="13"/>
        <v>1569938.5</v>
      </c>
      <c r="J164" s="336">
        <f t="shared" si="14"/>
        <v>1569938.5</v>
      </c>
      <c r="K164" s="546">
        <f t="shared" si="15"/>
        <v>0</v>
      </c>
      <c r="L164" s="502"/>
      <c r="M164" s="757"/>
      <c r="N164" s="347"/>
      <c r="O164" s="517"/>
      <c r="P164" s="349"/>
      <c r="Q164" s="325"/>
    </row>
    <row r="165" spans="1:19" s="359" customFormat="1" ht="33" customHeight="1">
      <c r="A165" s="343">
        <v>39</v>
      </c>
      <c r="B165" s="344" t="s">
        <v>2352</v>
      </c>
      <c r="C165" s="345" t="s">
        <v>2353</v>
      </c>
      <c r="D165" s="340">
        <v>18</v>
      </c>
      <c r="E165" s="336">
        <f>估驗單!F158</f>
        <v>18</v>
      </c>
      <c r="F165" s="390">
        <f t="shared" si="16"/>
        <v>0</v>
      </c>
      <c r="G165" s="340">
        <v>79587.17</v>
      </c>
      <c r="H165" s="340"/>
      <c r="I165" s="336">
        <f t="shared" si="13"/>
        <v>1432569.06</v>
      </c>
      <c r="J165" s="336">
        <f t="shared" si="14"/>
        <v>1432569.06</v>
      </c>
      <c r="K165" s="546">
        <f t="shared" si="15"/>
        <v>0</v>
      </c>
      <c r="L165" s="502"/>
      <c r="M165" s="346"/>
      <c r="N165" s="357"/>
      <c r="O165" s="355"/>
      <c r="P165" s="349"/>
      <c r="Q165" s="358"/>
      <c r="S165" s="359" t="s">
        <v>2357</v>
      </c>
    </row>
    <row r="166" spans="1:19" ht="33">
      <c r="A166" s="406" t="s">
        <v>2243</v>
      </c>
      <c r="B166" s="407" t="s">
        <v>594</v>
      </c>
      <c r="C166" s="408" t="s">
        <v>4</v>
      </c>
      <c r="D166" s="409"/>
      <c r="E166" s="409">
        <f>估驗單!F159</f>
        <v>0</v>
      </c>
      <c r="F166" s="410">
        <f t="shared" si="16"/>
        <v>0</v>
      </c>
      <c r="G166" s="409">
        <f>I166</f>
        <v>31723888.269999996</v>
      </c>
      <c r="H166" s="409"/>
      <c r="I166" s="448">
        <f>SUM(I167:I194)</f>
        <v>31723888.269999996</v>
      </c>
      <c r="J166" s="448">
        <f>SUM(J167:J194)</f>
        <v>35058442.640000001</v>
      </c>
      <c r="K166" s="543">
        <f>SUM(K167:K194)</f>
        <v>3573708.53</v>
      </c>
      <c r="L166" s="452">
        <f>SUM(L167:L194)</f>
        <v>-239154.16</v>
      </c>
      <c r="M166" s="288" t="s">
        <v>242</v>
      </c>
      <c r="N166" s="11" t="s">
        <v>243</v>
      </c>
      <c r="O166" s="338"/>
      <c r="P166" s="339"/>
    </row>
    <row r="167" spans="1:19" ht="33">
      <c r="A167" s="333" t="s">
        <v>2154</v>
      </c>
      <c r="B167" s="334" t="s">
        <v>315</v>
      </c>
      <c r="C167" s="335" t="s">
        <v>6</v>
      </c>
      <c r="D167" s="336">
        <v>22</v>
      </c>
      <c r="E167" s="336">
        <f>估驗單!F160</f>
        <v>22</v>
      </c>
      <c r="F167" s="390">
        <f t="shared" si="16"/>
        <v>0</v>
      </c>
      <c r="G167" s="336">
        <v>3114.97</v>
      </c>
      <c r="H167" s="336"/>
      <c r="I167" s="336">
        <f t="shared" ref="I167:I194" si="17">ROUND(D167*G167,2)</f>
        <v>68529.34</v>
      </c>
      <c r="J167" s="336">
        <f t="shared" ref="J167:J194" si="18">ROUND(E167*G167,2)</f>
        <v>68529.34</v>
      </c>
      <c r="K167" s="546">
        <f t="shared" si="15"/>
        <v>0</v>
      </c>
      <c r="L167" s="502"/>
      <c r="M167" s="231" t="s">
        <v>242</v>
      </c>
      <c r="N167" s="11" t="s">
        <v>243</v>
      </c>
      <c r="O167" s="341"/>
      <c r="P167" s="339"/>
    </row>
    <row r="168" spans="1:19" ht="33">
      <c r="A168" s="333" t="s">
        <v>2155</v>
      </c>
      <c r="B168" s="334" t="s">
        <v>24</v>
      </c>
      <c r="C168" s="335" t="s">
        <v>6</v>
      </c>
      <c r="D168" s="336">
        <v>302</v>
      </c>
      <c r="E168" s="336">
        <f>估驗單!F161</f>
        <v>302</v>
      </c>
      <c r="F168" s="390">
        <f t="shared" si="16"/>
        <v>0</v>
      </c>
      <c r="G168" s="336">
        <v>3320.96</v>
      </c>
      <c r="H168" s="336"/>
      <c r="I168" s="336">
        <f t="shared" si="17"/>
        <v>1002929.92</v>
      </c>
      <c r="J168" s="336">
        <f t="shared" si="18"/>
        <v>1002929.92</v>
      </c>
      <c r="K168" s="546"/>
      <c r="L168" s="453"/>
      <c r="M168" s="234"/>
      <c r="N168" s="11" t="s">
        <v>243</v>
      </c>
      <c r="O168" s="338"/>
      <c r="P168" s="339"/>
    </row>
    <row r="169" spans="1:19" ht="33">
      <c r="A169" s="333" t="s">
        <v>2156</v>
      </c>
      <c r="B169" s="334" t="s">
        <v>528</v>
      </c>
      <c r="C169" s="335" t="s">
        <v>6</v>
      </c>
      <c r="D169" s="336">
        <v>0</v>
      </c>
      <c r="E169" s="336">
        <f>估驗單!F162</f>
        <v>0</v>
      </c>
      <c r="F169" s="390">
        <f t="shared" si="16"/>
        <v>0</v>
      </c>
      <c r="G169" s="340">
        <v>3643.53</v>
      </c>
      <c r="H169" s="340"/>
      <c r="I169" s="336">
        <f t="shared" si="17"/>
        <v>0</v>
      </c>
      <c r="J169" s="336">
        <f t="shared" si="18"/>
        <v>0</v>
      </c>
      <c r="K169" s="546">
        <f t="shared" si="15"/>
        <v>0</v>
      </c>
      <c r="L169" s="502"/>
      <c r="M169" s="231" t="s">
        <v>242</v>
      </c>
      <c r="N169" s="11" t="s">
        <v>243</v>
      </c>
      <c r="O169" s="341"/>
      <c r="P169" s="339"/>
      <c r="Q169" s="358"/>
    </row>
    <row r="170" spans="1:19" ht="33">
      <c r="A170" s="503" t="s">
        <v>2157</v>
      </c>
      <c r="B170" s="504" t="s">
        <v>595</v>
      </c>
      <c r="C170" s="505" t="s">
        <v>6</v>
      </c>
      <c r="D170" s="506">
        <v>1090</v>
      </c>
      <c r="E170" s="506">
        <f>估驗單!F163</f>
        <v>1501.8982857142857</v>
      </c>
      <c r="F170" s="507">
        <f t="shared" si="16"/>
        <v>411.89828571428575</v>
      </c>
      <c r="G170" s="506">
        <v>199.99</v>
      </c>
      <c r="H170" s="506"/>
      <c r="I170" s="506">
        <f t="shared" si="17"/>
        <v>217989.1</v>
      </c>
      <c r="J170" s="506">
        <f t="shared" si="18"/>
        <v>300364.64</v>
      </c>
      <c r="K170" s="547">
        <f t="shared" si="15"/>
        <v>82375.540000000008</v>
      </c>
      <c r="L170" s="510"/>
      <c r="M170" s="508" t="s">
        <v>242</v>
      </c>
      <c r="N170" s="11" t="s">
        <v>243</v>
      </c>
      <c r="O170" s="341"/>
      <c r="P170" s="339"/>
      <c r="Q170" s="245" t="s">
        <v>3029</v>
      </c>
    </row>
    <row r="171" spans="1:19" ht="71.25">
      <c r="A171" s="503" t="s">
        <v>2158</v>
      </c>
      <c r="B171" s="504" t="s">
        <v>534</v>
      </c>
      <c r="C171" s="505" t="s">
        <v>13</v>
      </c>
      <c r="D171" s="506">
        <v>1203</v>
      </c>
      <c r="E171" s="506">
        <f>估驗單!F164</f>
        <v>1274.9890000000003</v>
      </c>
      <c r="F171" s="507">
        <f t="shared" si="16"/>
        <v>71.98900000000026</v>
      </c>
      <c r="G171" s="506">
        <v>982.93</v>
      </c>
      <c r="H171" s="506"/>
      <c r="I171" s="506">
        <f t="shared" si="17"/>
        <v>1182464.79</v>
      </c>
      <c r="J171" s="506">
        <f t="shared" si="18"/>
        <v>1253224.94</v>
      </c>
      <c r="K171" s="547">
        <f t="shared" si="15"/>
        <v>70760.149999999907</v>
      </c>
      <c r="L171" s="510"/>
      <c r="M171" s="508"/>
      <c r="N171" s="11" t="s">
        <v>243</v>
      </c>
      <c r="O171" s="341" t="s">
        <v>3032</v>
      </c>
      <c r="P171" s="339" t="s">
        <v>2927</v>
      </c>
      <c r="Q171" s="758" t="s">
        <v>3036</v>
      </c>
    </row>
    <row r="172" spans="1:19" ht="71.25">
      <c r="A172" s="503" t="s">
        <v>2159</v>
      </c>
      <c r="B172" s="504" t="s">
        <v>536</v>
      </c>
      <c r="C172" s="505" t="s">
        <v>13</v>
      </c>
      <c r="D172" s="506">
        <v>393</v>
      </c>
      <c r="E172" s="506">
        <f>估驗單!F165</f>
        <v>821.92359999999985</v>
      </c>
      <c r="F172" s="507">
        <f t="shared" si="16"/>
        <v>428.92359999999985</v>
      </c>
      <c r="G172" s="506">
        <v>804.75</v>
      </c>
      <c r="H172" s="506"/>
      <c r="I172" s="506">
        <f t="shared" si="17"/>
        <v>316266.75</v>
      </c>
      <c r="J172" s="506">
        <f t="shared" si="18"/>
        <v>661443.02</v>
      </c>
      <c r="K172" s="547">
        <f t="shared" si="15"/>
        <v>345176.27</v>
      </c>
      <c r="L172" s="510"/>
      <c r="M172" s="508"/>
      <c r="N172" s="11" t="s">
        <v>243</v>
      </c>
      <c r="O172" s="341" t="s">
        <v>3032</v>
      </c>
      <c r="P172" s="339" t="s">
        <v>2927</v>
      </c>
      <c r="Q172" s="758" t="s">
        <v>3036</v>
      </c>
    </row>
    <row r="173" spans="1:19" ht="71.25">
      <c r="A173" s="503" t="s">
        <v>2160</v>
      </c>
      <c r="B173" s="504" t="s">
        <v>192</v>
      </c>
      <c r="C173" s="505" t="s">
        <v>17</v>
      </c>
      <c r="D173" s="506">
        <v>13138</v>
      </c>
      <c r="E173" s="506">
        <f>估驗單!F166</f>
        <v>35217.512975700003</v>
      </c>
      <c r="F173" s="507">
        <f t="shared" si="16"/>
        <v>22079.512975700003</v>
      </c>
      <c r="G173" s="506">
        <v>36.4</v>
      </c>
      <c r="H173" s="506"/>
      <c r="I173" s="506">
        <f t="shared" si="17"/>
        <v>478223.2</v>
      </c>
      <c r="J173" s="506">
        <f t="shared" si="18"/>
        <v>1281917.47</v>
      </c>
      <c r="K173" s="547">
        <f t="shared" si="15"/>
        <v>803694.27</v>
      </c>
      <c r="L173" s="510"/>
      <c r="M173" s="508"/>
      <c r="N173" s="11" t="s">
        <v>243</v>
      </c>
      <c r="O173" s="341" t="s">
        <v>3032</v>
      </c>
      <c r="P173" s="339" t="s">
        <v>2927</v>
      </c>
      <c r="Q173" s="758" t="s">
        <v>3038</v>
      </c>
    </row>
    <row r="174" spans="1:19" ht="99.75">
      <c r="A174" s="503" t="s">
        <v>2161</v>
      </c>
      <c r="B174" s="504" t="s">
        <v>530</v>
      </c>
      <c r="C174" s="505" t="s">
        <v>17</v>
      </c>
      <c r="D174" s="506">
        <v>15589</v>
      </c>
      <c r="E174" s="506">
        <f>估驗單!F167</f>
        <v>25125.1749375</v>
      </c>
      <c r="F174" s="507">
        <f t="shared" si="16"/>
        <v>9536.1749374999999</v>
      </c>
      <c r="G174" s="506">
        <v>38.71</v>
      </c>
      <c r="H174" s="506"/>
      <c r="I174" s="506">
        <f t="shared" si="17"/>
        <v>603450.18999999994</v>
      </c>
      <c r="J174" s="506">
        <f t="shared" si="18"/>
        <v>972595.52</v>
      </c>
      <c r="K174" s="547">
        <f t="shared" si="15"/>
        <v>369145.33000000007</v>
      </c>
      <c r="L174" s="510"/>
      <c r="M174" s="508"/>
      <c r="N174" s="11" t="s">
        <v>243</v>
      </c>
      <c r="O174" s="341" t="s">
        <v>3033</v>
      </c>
      <c r="P174" s="339" t="s">
        <v>2927</v>
      </c>
      <c r="Q174" s="758" t="s">
        <v>3037</v>
      </c>
    </row>
    <row r="175" spans="1:19" ht="33">
      <c r="A175" s="343" t="s">
        <v>2162</v>
      </c>
      <c r="B175" s="344" t="s">
        <v>597</v>
      </c>
      <c r="C175" s="345" t="s">
        <v>13</v>
      </c>
      <c r="D175" s="340">
        <v>776</v>
      </c>
      <c r="E175" s="336">
        <f>估驗單!F168</f>
        <v>776</v>
      </c>
      <c r="F175" s="390">
        <f t="shared" si="16"/>
        <v>0</v>
      </c>
      <c r="G175" s="340">
        <v>2510.64</v>
      </c>
      <c r="H175" s="340"/>
      <c r="I175" s="336">
        <f t="shared" si="17"/>
        <v>1948256.64</v>
      </c>
      <c r="J175" s="336">
        <f t="shared" si="18"/>
        <v>1948256.64</v>
      </c>
      <c r="K175" s="546">
        <f t="shared" si="15"/>
        <v>0</v>
      </c>
      <c r="L175" s="502"/>
      <c r="M175" s="346"/>
      <c r="N175" s="347" t="s">
        <v>243</v>
      </c>
      <c r="O175" s="354"/>
      <c r="P175" s="349"/>
    </row>
    <row r="176" spans="1:19" ht="33">
      <c r="A176" s="503" t="s">
        <v>2163</v>
      </c>
      <c r="B176" s="504" t="s">
        <v>599</v>
      </c>
      <c r="C176" s="505" t="s">
        <v>223</v>
      </c>
      <c r="D176" s="506">
        <v>235</v>
      </c>
      <c r="E176" s="506">
        <f>估驗單!F169</f>
        <v>251.85</v>
      </c>
      <c r="F176" s="507">
        <f t="shared" si="16"/>
        <v>16.849999999999994</v>
      </c>
      <c r="G176" s="506">
        <v>3297.86</v>
      </c>
      <c r="H176" s="506"/>
      <c r="I176" s="506">
        <f t="shared" si="17"/>
        <v>774997.1</v>
      </c>
      <c r="J176" s="506">
        <f t="shared" si="18"/>
        <v>830566.04</v>
      </c>
      <c r="K176" s="547">
        <f t="shared" si="15"/>
        <v>55568.940000000061</v>
      </c>
      <c r="L176" s="510"/>
      <c r="M176" s="508"/>
      <c r="N176" s="11" t="s">
        <v>243</v>
      </c>
      <c r="O176" s="341" t="s">
        <v>2931</v>
      </c>
      <c r="P176" s="339" t="s">
        <v>2927</v>
      </c>
      <c r="Q176" s="753" t="s">
        <v>2932</v>
      </c>
    </row>
    <row r="177" spans="1:19" ht="33">
      <c r="A177" s="503" t="s">
        <v>2164</v>
      </c>
      <c r="B177" s="504" t="s">
        <v>601</v>
      </c>
      <c r="C177" s="505" t="s">
        <v>13</v>
      </c>
      <c r="D177" s="506">
        <v>102</v>
      </c>
      <c r="E177" s="506">
        <f>估驗單!F170</f>
        <v>173.82</v>
      </c>
      <c r="F177" s="507">
        <f t="shared" si="16"/>
        <v>71.819999999999993</v>
      </c>
      <c r="G177" s="506">
        <v>2952.01</v>
      </c>
      <c r="H177" s="506"/>
      <c r="I177" s="506">
        <f t="shared" si="17"/>
        <v>301105.02</v>
      </c>
      <c r="J177" s="506">
        <f t="shared" si="18"/>
        <v>513118.38</v>
      </c>
      <c r="K177" s="547">
        <f t="shared" si="15"/>
        <v>212013.36</v>
      </c>
      <c r="L177" s="510"/>
      <c r="M177" s="508"/>
      <c r="N177" s="11" t="s">
        <v>243</v>
      </c>
      <c r="O177" s="341" t="s">
        <v>2917</v>
      </c>
      <c r="P177" s="339" t="s">
        <v>2927</v>
      </c>
      <c r="Q177" s="245" t="s">
        <v>2918</v>
      </c>
    </row>
    <row r="178" spans="1:19" ht="45">
      <c r="A178" s="631" t="s">
        <v>2165</v>
      </c>
      <c r="B178" s="632" t="s">
        <v>603</v>
      </c>
      <c r="C178" s="633" t="s">
        <v>13</v>
      </c>
      <c r="D178" s="634">
        <v>400</v>
      </c>
      <c r="E178" s="634">
        <f>估驗單!F171</f>
        <v>400</v>
      </c>
      <c r="F178" s="635">
        <f t="shared" si="16"/>
        <v>0</v>
      </c>
      <c r="G178" s="634">
        <v>1454.49</v>
      </c>
      <c r="H178" s="634"/>
      <c r="I178" s="634">
        <f t="shared" si="17"/>
        <v>581796</v>
      </c>
      <c r="J178" s="634">
        <f t="shared" si="18"/>
        <v>581796</v>
      </c>
      <c r="K178" s="636">
        <f t="shared" si="15"/>
        <v>0</v>
      </c>
      <c r="L178" s="637"/>
      <c r="M178" s="638" t="s">
        <v>242</v>
      </c>
      <c r="N178" s="11" t="s">
        <v>243</v>
      </c>
      <c r="O178" s="341" t="s">
        <v>2960</v>
      </c>
      <c r="P178" s="339" t="s">
        <v>2996</v>
      </c>
      <c r="Q178" s="756" t="s">
        <v>2936</v>
      </c>
    </row>
    <row r="179" spans="1:19" ht="33">
      <c r="A179" s="333" t="s">
        <v>2166</v>
      </c>
      <c r="B179" s="334" t="s">
        <v>605</v>
      </c>
      <c r="C179" s="335" t="s">
        <v>606</v>
      </c>
      <c r="D179" s="336">
        <v>333</v>
      </c>
      <c r="E179" s="336">
        <f>估驗單!F172</f>
        <v>333</v>
      </c>
      <c r="F179" s="390">
        <f t="shared" si="16"/>
        <v>0</v>
      </c>
      <c r="G179" s="336">
        <v>434.98</v>
      </c>
      <c r="H179" s="336"/>
      <c r="I179" s="336">
        <f t="shared" si="17"/>
        <v>144848.34</v>
      </c>
      <c r="J179" s="336">
        <f t="shared" si="18"/>
        <v>144848.34</v>
      </c>
      <c r="K179" s="546">
        <f t="shared" si="15"/>
        <v>0</v>
      </c>
      <c r="L179" s="502"/>
      <c r="M179" s="231" t="s">
        <v>242</v>
      </c>
      <c r="N179" s="11" t="s">
        <v>243</v>
      </c>
      <c r="O179" s="341"/>
      <c r="P179" s="339"/>
    </row>
    <row r="180" spans="1:19" ht="33">
      <c r="A180" s="631" t="s">
        <v>2167</v>
      </c>
      <c r="B180" s="632" t="s">
        <v>608</v>
      </c>
      <c r="C180" s="633" t="s">
        <v>13</v>
      </c>
      <c r="D180" s="634">
        <v>1702</v>
      </c>
      <c r="E180" s="634">
        <f>估驗單!G173</f>
        <v>1702</v>
      </c>
      <c r="F180" s="635">
        <f t="shared" si="16"/>
        <v>0</v>
      </c>
      <c r="G180" s="634">
        <v>885.76</v>
      </c>
      <c r="H180" s="634"/>
      <c r="I180" s="634">
        <f t="shared" si="17"/>
        <v>1507563.52</v>
      </c>
      <c r="J180" s="634">
        <f t="shared" si="18"/>
        <v>1507563.52</v>
      </c>
      <c r="K180" s="636"/>
      <c r="L180" s="639"/>
      <c r="M180" s="638"/>
      <c r="N180" s="11" t="s">
        <v>243</v>
      </c>
      <c r="O180" s="341" t="s">
        <v>2962</v>
      </c>
      <c r="P180" s="339" t="s">
        <v>2998</v>
      </c>
      <c r="Q180" s="147" t="s">
        <v>2963</v>
      </c>
    </row>
    <row r="181" spans="1:19" ht="33">
      <c r="A181" s="333" t="s">
        <v>2168</v>
      </c>
      <c r="B181" s="334" t="s">
        <v>357</v>
      </c>
      <c r="C181" s="335" t="s">
        <v>8</v>
      </c>
      <c r="D181" s="336">
        <v>49</v>
      </c>
      <c r="E181" s="336">
        <f>估驗單!F174</f>
        <v>49</v>
      </c>
      <c r="F181" s="390">
        <f t="shared" si="16"/>
        <v>0</v>
      </c>
      <c r="G181" s="336">
        <v>138.84</v>
      </c>
      <c r="H181" s="336"/>
      <c r="I181" s="336">
        <f t="shared" si="17"/>
        <v>6803.16</v>
      </c>
      <c r="J181" s="336">
        <f t="shared" si="18"/>
        <v>6803.16</v>
      </c>
      <c r="K181" s="546">
        <f t="shared" si="15"/>
        <v>0</v>
      </c>
      <c r="L181" s="502"/>
      <c r="M181" s="231" t="s">
        <v>242</v>
      </c>
      <c r="N181" s="11" t="s">
        <v>243</v>
      </c>
      <c r="O181" s="341"/>
      <c r="P181" s="339"/>
    </row>
    <row r="182" spans="1:19" ht="33">
      <c r="A182" s="333" t="s">
        <v>2169</v>
      </c>
      <c r="B182" s="334" t="s">
        <v>611</v>
      </c>
      <c r="C182" s="335" t="s">
        <v>8</v>
      </c>
      <c r="D182" s="336">
        <v>85</v>
      </c>
      <c r="E182" s="336">
        <f>估驗單!F175</f>
        <v>85</v>
      </c>
      <c r="F182" s="390">
        <f t="shared" si="16"/>
        <v>0</v>
      </c>
      <c r="G182" s="336">
        <v>326.27999999999997</v>
      </c>
      <c r="H182" s="336"/>
      <c r="I182" s="336">
        <f t="shared" si="17"/>
        <v>27733.8</v>
      </c>
      <c r="J182" s="336">
        <f t="shared" si="18"/>
        <v>27733.8</v>
      </c>
      <c r="K182" s="546">
        <f t="shared" si="15"/>
        <v>0</v>
      </c>
      <c r="L182" s="502"/>
      <c r="M182" s="231" t="s">
        <v>242</v>
      </c>
      <c r="N182" s="11" t="s">
        <v>243</v>
      </c>
      <c r="O182" s="341"/>
      <c r="P182" s="339"/>
    </row>
    <row r="183" spans="1:19" ht="33">
      <c r="A183" s="503" t="s">
        <v>2170</v>
      </c>
      <c r="B183" s="504" t="s">
        <v>222</v>
      </c>
      <c r="C183" s="505" t="s">
        <v>13</v>
      </c>
      <c r="D183" s="506">
        <v>385</v>
      </c>
      <c r="E183" s="506">
        <f>估驗單!F176</f>
        <v>2005</v>
      </c>
      <c r="F183" s="507">
        <f t="shared" si="16"/>
        <v>1620</v>
      </c>
      <c r="G183" s="506">
        <v>692.12</v>
      </c>
      <c r="H183" s="506"/>
      <c r="I183" s="506">
        <f t="shared" si="17"/>
        <v>266466.2</v>
      </c>
      <c r="J183" s="506">
        <f t="shared" si="18"/>
        <v>1387700.6</v>
      </c>
      <c r="K183" s="547">
        <f t="shared" si="15"/>
        <v>1121234.4000000001</v>
      </c>
      <c r="L183" s="510"/>
      <c r="M183" s="508"/>
      <c r="N183" s="11" t="s">
        <v>243</v>
      </c>
      <c r="O183" s="341" t="s">
        <v>2953</v>
      </c>
      <c r="P183" s="339" t="s">
        <v>3060</v>
      </c>
      <c r="Q183" s="586" t="s">
        <v>3030</v>
      </c>
    </row>
    <row r="184" spans="1:19" ht="33">
      <c r="A184" s="333" t="s">
        <v>2171</v>
      </c>
      <c r="B184" s="334" t="s">
        <v>615</v>
      </c>
      <c r="C184" s="335" t="s">
        <v>8</v>
      </c>
      <c r="D184" s="336">
        <v>0</v>
      </c>
      <c r="E184" s="336">
        <f>估驗單!F177</f>
        <v>0</v>
      </c>
      <c r="F184" s="390">
        <f t="shared" si="16"/>
        <v>0</v>
      </c>
      <c r="G184" s="336">
        <v>1706.44</v>
      </c>
      <c r="H184" s="336"/>
      <c r="I184" s="336">
        <f t="shared" si="17"/>
        <v>0</v>
      </c>
      <c r="J184" s="336">
        <f t="shared" si="18"/>
        <v>0</v>
      </c>
      <c r="K184" s="546">
        <f t="shared" si="15"/>
        <v>0</v>
      </c>
      <c r="L184" s="502"/>
      <c r="M184" s="231"/>
      <c r="N184" s="11" t="s">
        <v>243</v>
      </c>
      <c r="O184" s="341"/>
      <c r="P184" s="339"/>
    </row>
    <row r="185" spans="1:19" ht="33">
      <c r="A185" s="333" t="s">
        <v>2172</v>
      </c>
      <c r="B185" s="334" t="s">
        <v>618</v>
      </c>
      <c r="C185" s="335" t="s">
        <v>23</v>
      </c>
      <c r="D185" s="336">
        <v>1070.5</v>
      </c>
      <c r="E185" s="336">
        <f>估驗單!F178</f>
        <v>1070.5</v>
      </c>
      <c r="F185" s="390">
        <f t="shared" si="16"/>
        <v>0</v>
      </c>
      <c r="G185" s="336">
        <v>49</v>
      </c>
      <c r="H185" s="336"/>
      <c r="I185" s="336">
        <f t="shared" si="17"/>
        <v>52454.5</v>
      </c>
      <c r="J185" s="336">
        <f t="shared" si="18"/>
        <v>52454.5</v>
      </c>
      <c r="K185" s="546">
        <f t="shared" si="15"/>
        <v>0</v>
      </c>
      <c r="L185" s="502"/>
      <c r="M185" s="231" t="s">
        <v>242</v>
      </c>
      <c r="N185" s="11" t="s">
        <v>243</v>
      </c>
      <c r="O185" s="341"/>
      <c r="P185" s="339"/>
    </row>
    <row r="186" spans="1:19" ht="33">
      <c r="A186" s="333" t="s">
        <v>2173</v>
      </c>
      <c r="B186" s="334" t="s">
        <v>621</v>
      </c>
      <c r="C186" s="335" t="s">
        <v>19</v>
      </c>
      <c r="D186" s="336">
        <v>2</v>
      </c>
      <c r="E186" s="336">
        <f>估驗單!F179</f>
        <v>2</v>
      </c>
      <c r="F186" s="390">
        <f t="shared" si="16"/>
        <v>0</v>
      </c>
      <c r="G186" s="336">
        <v>5349708.26</v>
      </c>
      <c r="H186" s="336"/>
      <c r="I186" s="336">
        <f t="shared" si="17"/>
        <v>10699416.52</v>
      </c>
      <c r="J186" s="336">
        <f t="shared" si="18"/>
        <v>10699416.52</v>
      </c>
      <c r="K186" s="546">
        <f t="shared" si="15"/>
        <v>0</v>
      </c>
      <c r="L186" s="502"/>
      <c r="M186" s="231" t="s">
        <v>242</v>
      </c>
      <c r="N186" s="11" t="s">
        <v>243</v>
      </c>
      <c r="O186" s="341"/>
      <c r="P186" s="339"/>
    </row>
    <row r="187" spans="1:19" ht="42.75">
      <c r="A187" s="333" t="s">
        <v>2174</v>
      </c>
      <c r="B187" s="334" t="s">
        <v>1368</v>
      </c>
      <c r="C187" s="335" t="s">
        <v>8</v>
      </c>
      <c r="D187" s="336">
        <v>571.08000000000004</v>
      </c>
      <c r="E187" s="336">
        <f>估驗單!F180</f>
        <v>571.08000000000004</v>
      </c>
      <c r="F187" s="390">
        <f t="shared" si="16"/>
        <v>0</v>
      </c>
      <c r="G187" s="336">
        <v>5456.33</v>
      </c>
      <c r="H187" s="336"/>
      <c r="I187" s="336">
        <f t="shared" si="17"/>
        <v>3116000.94</v>
      </c>
      <c r="J187" s="336">
        <f t="shared" si="18"/>
        <v>3116000.94</v>
      </c>
      <c r="K187" s="546">
        <f t="shared" si="15"/>
        <v>0</v>
      </c>
      <c r="L187" s="502"/>
      <c r="M187" s="231" t="s">
        <v>242</v>
      </c>
      <c r="N187" s="11" t="s">
        <v>243</v>
      </c>
      <c r="O187" s="341"/>
      <c r="P187" s="339"/>
    </row>
    <row r="188" spans="1:19" ht="33">
      <c r="A188" s="503" t="s">
        <v>2175</v>
      </c>
      <c r="B188" s="504" t="s">
        <v>1370</v>
      </c>
      <c r="C188" s="505" t="s">
        <v>6</v>
      </c>
      <c r="D188" s="506">
        <v>161.38999999999999</v>
      </c>
      <c r="E188" s="506">
        <f>估驗單!F181</f>
        <v>0</v>
      </c>
      <c r="F188" s="519">
        <f t="shared" si="16"/>
        <v>-161.38999999999999</v>
      </c>
      <c r="G188" s="506">
        <v>1481.84</v>
      </c>
      <c r="H188" s="506"/>
      <c r="I188" s="506">
        <f t="shared" si="17"/>
        <v>239154.16</v>
      </c>
      <c r="J188" s="506">
        <f t="shared" si="18"/>
        <v>0</v>
      </c>
      <c r="K188" s="547"/>
      <c r="L188" s="510">
        <f>J188-I188</f>
        <v>-239154.16</v>
      </c>
      <c r="M188" s="508" t="s">
        <v>242</v>
      </c>
      <c r="N188" s="11" t="s">
        <v>243</v>
      </c>
      <c r="O188" s="769" t="s">
        <v>3009</v>
      </c>
      <c r="P188" s="339"/>
      <c r="Q188" s="245" t="s">
        <v>3027</v>
      </c>
    </row>
    <row r="189" spans="1:19" s="352" customFormat="1" ht="56.25">
      <c r="A189" s="512">
        <v>24</v>
      </c>
      <c r="B189" s="513" t="s">
        <v>1372</v>
      </c>
      <c r="C189" s="514" t="s">
        <v>13</v>
      </c>
      <c r="D189" s="515">
        <v>634.14</v>
      </c>
      <c r="E189" s="506">
        <f>估驗單!F182</f>
        <v>776.79333333333329</v>
      </c>
      <c r="F189" s="507">
        <f t="shared" si="16"/>
        <v>142.65333333333331</v>
      </c>
      <c r="G189" s="515">
        <v>3120.65</v>
      </c>
      <c r="H189" s="515"/>
      <c r="I189" s="506">
        <f t="shared" si="17"/>
        <v>1978928.99</v>
      </c>
      <c r="J189" s="506">
        <f t="shared" si="18"/>
        <v>2424100.12</v>
      </c>
      <c r="K189" s="547">
        <f t="shared" si="15"/>
        <v>445171.13000000012</v>
      </c>
      <c r="L189" s="510"/>
      <c r="M189" s="527"/>
      <c r="N189" s="347" t="s">
        <v>243</v>
      </c>
      <c r="O189" s="341" t="s">
        <v>3034</v>
      </c>
      <c r="P189" s="339" t="s">
        <v>2927</v>
      </c>
      <c r="Q189" s="325" t="s">
        <v>3035</v>
      </c>
      <c r="S189" s="361"/>
    </row>
    <row r="190" spans="1:19" s="363" customFormat="1" ht="33">
      <c r="A190" s="343">
        <v>25</v>
      </c>
      <c r="B190" s="344" t="s">
        <v>2346</v>
      </c>
      <c r="C190" s="345" t="s">
        <v>8</v>
      </c>
      <c r="D190" s="340">
        <f>295*0.7+76*0.75+40*2</f>
        <v>343.5</v>
      </c>
      <c r="E190" s="336">
        <f>估驗單!F183</f>
        <v>343.5</v>
      </c>
      <c r="F190" s="390">
        <f t="shared" si="16"/>
        <v>0</v>
      </c>
      <c r="G190" s="340">
        <v>119.99</v>
      </c>
      <c r="H190" s="340"/>
      <c r="I190" s="336">
        <f t="shared" si="17"/>
        <v>41216.57</v>
      </c>
      <c r="J190" s="336">
        <f t="shared" si="18"/>
        <v>41216.57</v>
      </c>
      <c r="K190" s="546">
        <f t="shared" si="15"/>
        <v>0</v>
      </c>
      <c r="L190" s="502"/>
      <c r="M190" s="346"/>
      <c r="N190" s="347" t="s">
        <v>243</v>
      </c>
      <c r="O190" s="354"/>
      <c r="P190" s="322"/>
      <c r="Q190" s="362"/>
    </row>
    <row r="191" spans="1:19" s="363" customFormat="1" ht="16.5">
      <c r="A191" s="343">
        <v>26</v>
      </c>
      <c r="B191" s="344" t="s">
        <v>2367</v>
      </c>
      <c r="C191" s="345" t="s">
        <v>2368</v>
      </c>
      <c r="D191" s="340">
        <f>295+76+80</f>
        <v>451</v>
      </c>
      <c r="E191" s="336">
        <f>估驗單!F184</f>
        <v>451</v>
      </c>
      <c r="F191" s="390">
        <f t="shared" si="16"/>
        <v>0</v>
      </c>
      <c r="G191" s="340">
        <v>324.97000000000003</v>
      </c>
      <c r="H191" s="340"/>
      <c r="I191" s="336">
        <f t="shared" si="17"/>
        <v>146561.47</v>
      </c>
      <c r="J191" s="336">
        <f t="shared" si="18"/>
        <v>146561.47</v>
      </c>
      <c r="K191" s="546">
        <f t="shared" si="15"/>
        <v>0</v>
      </c>
      <c r="L191" s="502"/>
      <c r="M191" s="346"/>
      <c r="N191" s="347"/>
      <c r="O191" s="354"/>
      <c r="P191" s="322"/>
      <c r="Q191" s="362"/>
    </row>
    <row r="192" spans="1:19" ht="33">
      <c r="A192" s="333">
        <v>28</v>
      </c>
      <c r="B192" s="334" t="s">
        <v>1377</v>
      </c>
      <c r="C192" s="335" t="s">
        <v>6</v>
      </c>
      <c r="D192" s="336">
        <v>1513</v>
      </c>
      <c r="E192" s="336">
        <f>估驗單!F185</f>
        <v>1513</v>
      </c>
      <c r="F192" s="390">
        <f t="shared" si="16"/>
        <v>0</v>
      </c>
      <c r="G192" s="336">
        <v>926.62</v>
      </c>
      <c r="H192" s="336"/>
      <c r="I192" s="336">
        <f t="shared" si="17"/>
        <v>1401976.06</v>
      </c>
      <c r="J192" s="336">
        <f t="shared" si="18"/>
        <v>1401976.06</v>
      </c>
      <c r="K192" s="546">
        <f t="shared" si="15"/>
        <v>0</v>
      </c>
      <c r="L192" s="502"/>
      <c r="M192" s="231"/>
      <c r="N192" s="11" t="s">
        <v>243</v>
      </c>
      <c r="O192" s="364"/>
      <c r="P192" s="365"/>
      <c r="Q192" s="325"/>
      <c r="S192" s="82">
        <f>(1.5*1.5*0.45*0.45)^(1/2)*(295+57.3)*0.15</f>
        <v>35.670375000000007</v>
      </c>
    </row>
    <row r="193" spans="1:19" s="368" customFormat="1" ht="52.5">
      <c r="A193" s="333">
        <v>29</v>
      </c>
      <c r="B193" s="334" t="s">
        <v>2375</v>
      </c>
      <c r="C193" s="335" t="s">
        <v>6</v>
      </c>
      <c r="D193" s="336">
        <v>1177.9000000000001</v>
      </c>
      <c r="E193" s="336">
        <f>估驗單!F186</f>
        <v>1177.9000000000001</v>
      </c>
      <c r="F193" s="390">
        <f t="shared" si="16"/>
        <v>0</v>
      </c>
      <c r="G193" s="336">
        <v>3832.9</v>
      </c>
      <c r="H193" s="336"/>
      <c r="I193" s="336">
        <f t="shared" si="17"/>
        <v>4514772.91</v>
      </c>
      <c r="J193" s="336">
        <f t="shared" si="18"/>
        <v>4514772.91</v>
      </c>
      <c r="K193" s="546">
        <f t="shared" si="15"/>
        <v>0</v>
      </c>
      <c r="L193" s="502"/>
      <c r="M193" s="231"/>
      <c r="N193" s="11" t="s">
        <v>243</v>
      </c>
      <c r="O193" s="433" t="s">
        <v>2913</v>
      </c>
      <c r="P193" s="366"/>
      <c r="Q193" s="367"/>
      <c r="S193" s="369" t="s">
        <v>2380</v>
      </c>
    </row>
    <row r="194" spans="1:19" s="368" customFormat="1" ht="33" customHeight="1">
      <c r="A194" s="503">
        <v>30</v>
      </c>
      <c r="B194" s="504" t="s">
        <v>1380</v>
      </c>
      <c r="C194" s="505" t="s">
        <v>13</v>
      </c>
      <c r="D194" s="506">
        <v>442.5</v>
      </c>
      <c r="E194" s="506">
        <f>估驗單!F187</f>
        <v>734.29600000000005</v>
      </c>
      <c r="F194" s="507">
        <f t="shared" si="16"/>
        <v>291.79600000000005</v>
      </c>
      <c r="G194" s="506">
        <v>234.99</v>
      </c>
      <c r="H194" s="506"/>
      <c r="I194" s="506">
        <f t="shared" si="17"/>
        <v>103983.08</v>
      </c>
      <c r="J194" s="506">
        <f t="shared" si="18"/>
        <v>172552.22</v>
      </c>
      <c r="K194" s="547">
        <f t="shared" si="15"/>
        <v>68569.14</v>
      </c>
      <c r="L194" s="510"/>
      <c r="M194" s="508"/>
      <c r="N194" s="11"/>
      <c r="O194" s="754" t="s">
        <v>2915</v>
      </c>
      <c r="P194" s="755" t="s">
        <v>2926</v>
      </c>
      <c r="Q194" s="325" t="s">
        <v>2933</v>
      </c>
      <c r="S194" s="369"/>
    </row>
    <row r="195" spans="1:19" ht="33">
      <c r="A195" s="406" t="s">
        <v>2244</v>
      </c>
      <c r="B195" s="407" t="s">
        <v>623</v>
      </c>
      <c r="C195" s="408" t="s">
        <v>4</v>
      </c>
      <c r="D195" s="409"/>
      <c r="E195" s="409">
        <f>估驗單!F188</f>
        <v>0</v>
      </c>
      <c r="F195" s="410">
        <f t="shared" si="16"/>
        <v>0</v>
      </c>
      <c r="G195" s="409">
        <f>I195</f>
        <v>28004421.200000003</v>
      </c>
      <c r="H195" s="409"/>
      <c r="I195" s="409">
        <f>SUM(I196:I214)</f>
        <v>28004421.200000003</v>
      </c>
      <c r="J195" s="409">
        <f>SUM(J196:J214)</f>
        <v>33518571.399999999</v>
      </c>
      <c r="K195" s="409">
        <f>SUM(K196:K214)</f>
        <v>5987095.5399999991</v>
      </c>
      <c r="L195" s="452">
        <f>SUM(L196:L214)</f>
        <v>-472945.33999999991</v>
      </c>
      <c r="M195" s="288" t="s">
        <v>242</v>
      </c>
      <c r="N195" s="11" t="s">
        <v>243</v>
      </c>
      <c r="O195" s="338"/>
      <c r="P195" s="339"/>
    </row>
    <row r="196" spans="1:19" ht="33">
      <c r="A196" s="503" t="s">
        <v>2154</v>
      </c>
      <c r="B196" s="504" t="s">
        <v>315</v>
      </c>
      <c r="C196" s="505" t="s">
        <v>6</v>
      </c>
      <c r="D196" s="506">
        <v>252</v>
      </c>
      <c r="E196" s="506">
        <f>估驗單!F189</f>
        <v>109.33</v>
      </c>
      <c r="F196" s="519">
        <f t="shared" si="16"/>
        <v>-142.67000000000002</v>
      </c>
      <c r="G196" s="506">
        <v>3114.97</v>
      </c>
      <c r="H196" s="506"/>
      <c r="I196" s="506">
        <f t="shared" ref="I196:I214" si="19">ROUND(D196*G196,2)</f>
        <v>784972.44</v>
      </c>
      <c r="J196" s="506">
        <f t="shared" ref="J196:J214" si="20">ROUND(E196*G196,2)</f>
        <v>340559.67</v>
      </c>
      <c r="K196" s="547"/>
      <c r="L196" s="519">
        <f>J196-I196</f>
        <v>-444412.76999999996</v>
      </c>
      <c r="M196" s="520"/>
      <c r="N196" s="11" t="s">
        <v>243</v>
      </c>
      <c r="O196" s="341" t="s">
        <v>2961</v>
      </c>
      <c r="P196" s="339"/>
      <c r="Q196" s="293" t="s">
        <v>3039</v>
      </c>
    </row>
    <row r="197" spans="1:19" ht="33">
      <c r="A197" s="333" t="s">
        <v>2155</v>
      </c>
      <c r="B197" s="334" t="s">
        <v>24</v>
      </c>
      <c r="C197" s="335" t="s">
        <v>6</v>
      </c>
      <c r="D197" s="336">
        <v>2490</v>
      </c>
      <c r="E197" s="336">
        <f>估驗單!F190</f>
        <v>2490</v>
      </c>
      <c r="F197" s="390">
        <f t="shared" si="16"/>
        <v>0</v>
      </c>
      <c r="G197" s="336">
        <v>3320.96</v>
      </c>
      <c r="H197" s="336"/>
      <c r="I197" s="336">
        <f t="shared" si="19"/>
        <v>8269190.4000000004</v>
      </c>
      <c r="J197" s="336">
        <f t="shared" si="20"/>
        <v>8269190.4000000004</v>
      </c>
      <c r="K197" s="546">
        <f t="shared" si="15"/>
        <v>0</v>
      </c>
      <c r="L197" s="502"/>
      <c r="M197" s="231" t="s">
        <v>242</v>
      </c>
      <c r="N197" s="11" t="s">
        <v>243</v>
      </c>
      <c r="O197" s="433" t="s">
        <v>2940</v>
      </c>
      <c r="P197" s="339"/>
    </row>
    <row r="198" spans="1:19" ht="33">
      <c r="A198" s="333" t="s">
        <v>2156</v>
      </c>
      <c r="B198" s="334" t="s">
        <v>624</v>
      </c>
      <c r="C198" s="335" t="s">
        <v>6</v>
      </c>
      <c r="D198" s="336">
        <v>998</v>
      </c>
      <c r="E198" s="336">
        <f>估驗單!F191</f>
        <v>998</v>
      </c>
      <c r="F198" s="390">
        <f t="shared" si="16"/>
        <v>0</v>
      </c>
      <c r="G198" s="336">
        <v>1749.16</v>
      </c>
      <c r="H198" s="336"/>
      <c r="I198" s="336">
        <f t="shared" si="19"/>
        <v>1745661.68</v>
      </c>
      <c r="J198" s="336">
        <f t="shared" si="20"/>
        <v>1745661.68</v>
      </c>
      <c r="K198" s="546">
        <f t="shared" si="15"/>
        <v>0</v>
      </c>
      <c r="L198" s="502"/>
      <c r="M198" s="231" t="s">
        <v>242</v>
      </c>
      <c r="N198" s="11" t="s">
        <v>243</v>
      </c>
      <c r="O198" s="341"/>
      <c r="P198" s="339"/>
    </row>
    <row r="199" spans="1:19" ht="33">
      <c r="A199" s="503" t="s">
        <v>2157</v>
      </c>
      <c r="B199" s="504" t="s">
        <v>595</v>
      </c>
      <c r="C199" s="505" t="s">
        <v>6</v>
      </c>
      <c r="D199" s="506">
        <v>3740</v>
      </c>
      <c r="E199" s="506">
        <f>估驗單!F192</f>
        <v>3597.33</v>
      </c>
      <c r="F199" s="519">
        <f t="shared" si="16"/>
        <v>-142.67000000000007</v>
      </c>
      <c r="G199" s="506">
        <v>199.99</v>
      </c>
      <c r="H199" s="506"/>
      <c r="I199" s="506">
        <f t="shared" si="19"/>
        <v>747962.6</v>
      </c>
      <c r="J199" s="506">
        <f t="shared" si="20"/>
        <v>719430.03</v>
      </c>
      <c r="K199" s="547"/>
      <c r="L199" s="519">
        <f>J199-I199</f>
        <v>-28532.569999999949</v>
      </c>
      <c r="M199" s="508" t="s">
        <v>242</v>
      </c>
      <c r="N199" s="11" t="s">
        <v>243</v>
      </c>
      <c r="O199" s="341" t="s">
        <v>2961</v>
      </c>
      <c r="P199" s="339"/>
      <c r="Q199" s="82" t="s">
        <v>2941</v>
      </c>
    </row>
    <row r="200" spans="1:19" s="325" customFormat="1" ht="56.25">
      <c r="A200" s="503" t="s">
        <v>2158</v>
      </c>
      <c r="B200" s="504" t="s">
        <v>534</v>
      </c>
      <c r="C200" s="505" t="s">
        <v>13</v>
      </c>
      <c r="D200" s="506">
        <v>4240</v>
      </c>
      <c r="E200" s="506">
        <f>估驗單!F193</f>
        <v>4949.6072000000013</v>
      </c>
      <c r="F200" s="507">
        <f t="shared" si="16"/>
        <v>709.60720000000128</v>
      </c>
      <c r="G200" s="506">
        <v>982.93</v>
      </c>
      <c r="H200" s="506"/>
      <c r="I200" s="506">
        <f t="shared" si="19"/>
        <v>4167623.2</v>
      </c>
      <c r="J200" s="506">
        <f t="shared" si="20"/>
        <v>4865117.41</v>
      </c>
      <c r="K200" s="547">
        <f t="shared" si="15"/>
        <v>697494.21</v>
      </c>
      <c r="L200" s="510"/>
      <c r="M200" s="508"/>
      <c r="N200" s="11" t="s">
        <v>243</v>
      </c>
      <c r="O200" s="341" t="s">
        <v>3041</v>
      </c>
      <c r="P200" s="360"/>
      <c r="Q200" s="325" t="s">
        <v>3040</v>
      </c>
    </row>
    <row r="201" spans="1:19" s="325" customFormat="1" ht="56.25">
      <c r="A201" s="503" t="s">
        <v>2159</v>
      </c>
      <c r="B201" s="504" t="s">
        <v>626</v>
      </c>
      <c r="C201" s="505" t="s">
        <v>13</v>
      </c>
      <c r="D201" s="506">
        <v>38</v>
      </c>
      <c r="E201" s="506">
        <f>估驗單!F194</f>
        <v>49.359999999999992</v>
      </c>
      <c r="F201" s="507">
        <f t="shared" si="16"/>
        <v>11.359999999999992</v>
      </c>
      <c r="G201" s="506">
        <v>698.28</v>
      </c>
      <c r="H201" s="506"/>
      <c r="I201" s="506">
        <f t="shared" si="19"/>
        <v>26534.639999999999</v>
      </c>
      <c r="J201" s="506">
        <f t="shared" si="20"/>
        <v>34467.1</v>
      </c>
      <c r="K201" s="547">
        <f t="shared" si="15"/>
        <v>7932.4599999999991</v>
      </c>
      <c r="L201" s="510"/>
      <c r="M201" s="508"/>
      <c r="N201" s="11" t="s">
        <v>243</v>
      </c>
      <c r="O201" s="341" t="s">
        <v>3041</v>
      </c>
      <c r="P201" s="339"/>
      <c r="Q201" s="325" t="s">
        <v>3040</v>
      </c>
    </row>
    <row r="202" spans="1:19" s="325" customFormat="1" ht="56.25">
      <c r="A202" s="503" t="s">
        <v>2160</v>
      </c>
      <c r="B202" s="504" t="s">
        <v>536</v>
      </c>
      <c r="C202" s="505" t="s">
        <v>13</v>
      </c>
      <c r="D202" s="506">
        <v>783</v>
      </c>
      <c r="E202" s="506">
        <f>估驗單!F195</f>
        <v>1409.35</v>
      </c>
      <c r="F202" s="507">
        <f t="shared" si="16"/>
        <v>626.34999999999991</v>
      </c>
      <c r="G202" s="506">
        <v>804.75</v>
      </c>
      <c r="H202" s="506"/>
      <c r="I202" s="506">
        <f t="shared" si="19"/>
        <v>630119.25</v>
      </c>
      <c r="J202" s="506">
        <f t="shared" si="20"/>
        <v>1134174.4099999999</v>
      </c>
      <c r="K202" s="547">
        <f t="shared" si="15"/>
        <v>504055.15999999992</v>
      </c>
      <c r="L202" s="510"/>
      <c r="M202" s="508"/>
      <c r="N202" s="11" t="s">
        <v>243</v>
      </c>
      <c r="O202" s="341" t="s">
        <v>3041</v>
      </c>
      <c r="P202" s="339"/>
      <c r="Q202" s="325" t="s">
        <v>3040</v>
      </c>
    </row>
    <row r="203" spans="1:19" s="325" customFormat="1" ht="56.25">
      <c r="A203" s="503" t="s">
        <v>2161</v>
      </c>
      <c r="B203" s="504" t="s">
        <v>193</v>
      </c>
      <c r="C203" s="505" t="s">
        <v>13</v>
      </c>
      <c r="D203" s="506">
        <v>300</v>
      </c>
      <c r="E203" s="506">
        <f>估驗單!F196</f>
        <v>761.34</v>
      </c>
      <c r="F203" s="507">
        <f t="shared" si="16"/>
        <v>461.34000000000003</v>
      </c>
      <c r="G203" s="506">
        <v>533.61</v>
      </c>
      <c r="H203" s="506"/>
      <c r="I203" s="506">
        <f t="shared" si="19"/>
        <v>160083</v>
      </c>
      <c r="J203" s="506">
        <f t="shared" si="20"/>
        <v>406258.64</v>
      </c>
      <c r="K203" s="547">
        <f t="shared" si="15"/>
        <v>246175.64</v>
      </c>
      <c r="L203" s="510"/>
      <c r="M203" s="508"/>
      <c r="N203" s="11" t="s">
        <v>243</v>
      </c>
      <c r="O203" s="341" t="s">
        <v>3041</v>
      </c>
      <c r="P203" s="360"/>
      <c r="Q203" s="325" t="s">
        <v>3040</v>
      </c>
    </row>
    <row r="204" spans="1:19" s="325" customFormat="1" ht="56.25">
      <c r="A204" s="503" t="s">
        <v>2162</v>
      </c>
      <c r="B204" s="504" t="s">
        <v>192</v>
      </c>
      <c r="C204" s="505" t="s">
        <v>17</v>
      </c>
      <c r="D204" s="506">
        <v>137462</v>
      </c>
      <c r="E204" s="506">
        <f>估驗單!F197</f>
        <v>207085.17276800002</v>
      </c>
      <c r="F204" s="507">
        <f t="shared" si="16"/>
        <v>69623.172768000019</v>
      </c>
      <c r="G204" s="506">
        <v>36.4</v>
      </c>
      <c r="H204" s="506"/>
      <c r="I204" s="506">
        <f t="shared" si="19"/>
        <v>5003616.8</v>
      </c>
      <c r="J204" s="506">
        <f t="shared" si="20"/>
        <v>7537900.29</v>
      </c>
      <c r="K204" s="547">
        <f t="shared" si="15"/>
        <v>2534283.4900000002</v>
      </c>
      <c r="L204" s="510"/>
      <c r="M204" s="508"/>
      <c r="N204" s="11" t="s">
        <v>243</v>
      </c>
      <c r="O204" s="341" t="s">
        <v>3041</v>
      </c>
      <c r="P204" s="339"/>
      <c r="Q204" s="325" t="s">
        <v>3040</v>
      </c>
    </row>
    <row r="205" spans="1:19" s="325" customFormat="1" ht="56.25">
      <c r="A205" s="503" t="s">
        <v>2163</v>
      </c>
      <c r="B205" s="504" t="s">
        <v>530</v>
      </c>
      <c r="C205" s="505" t="s">
        <v>17</v>
      </c>
      <c r="D205" s="506">
        <v>116638</v>
      </c>
      <c r="E205" s="506">
        <f>估驗單!F198</f>
        <v>168230.73</v>
      </c>
      <c r="F205" s="507">
        <f t="shared" si="16"/>
        <v>51592.73000000001</v>
      </c>
      <c r="G205" s="506">
        <v>38.71</v>
      </c>
      <c r="H205" s="506"/>
      <c r="I205" s="506">
        <f t="shared" si="19"/>
        <v>4515056.9800000004</v>
      </c>
      <c r="J205" s="506">
        <f t="shared" si="20"/>
        <v>6512211.5599999996</v>
      </c>
      <c r="K205" s="547">
        <f t="shared" ref="K205:K268" si="21">J205-I205</f>
        <v>1997154.5799999991</v>
      </c>
      <c r="L205" s="510"/>
      <c r="M205" s="508"/>
      <c r="N205" s="11" t="s">
        <v>243</v>
      </c>
      <c r="O205" s="341" t="s">
        <v>3041</v>
      </c>
      <c r="P205" s="339"/>
      <c r="Q205" s="325" t="s">
        <v>3040</v>
      </c>
    </row>
    <row r="206" spans="1:19" s="325" customFormat="1" ht="33">
      <c r="A206" s="333" t="s">
        <v>2164</v>
      </c>
      <c r="B206" s="334" t="s">
        <v>628</v>
      </c>
      <c r="C206" s="335" t="s">
        <v>8</v>
      </c>
      <c r="D206" s="336">
        <v>112</v>
      </c>
      <c r="E206" s="336">
        <f>估驗單!F199</f>
        <v>112</v>
      </c>
      <c r="F206" s="390">
        <f t="shared" si="16"/>
        <v>0</v>
      </c>
      <c r="G206" s="336">
        <v>2865.8</v>
      </c>
      <c r="H206" s="336"/>
      <c r="I206" s="336">
        <f t="shared" si="19"/>
        <v>320969.59999999998</v>
      </c>
      <c r="J206" s="336">
        <f t="shared" si="20"/>
        <v>320969.59999999998</v>
      </c>
      <c r="K206" s="546"/>
      <c r="L206" s="453"/>
      <c r="M206" s="234" t="s">
        <v>2496</v>
      </c>
      <c r="N206" s="11" t="s">
        <v>243</v>
      </c>
      <c r="O206" s="325" t="s">
        <v>2947</v>
      </c>
      <c r="P206" s="770" t="s">
        <v>3042</v>
      </c>
      <c r="Q206" s="325" t="s">
        <v>2947</v>
      </c>
    </row>
    <row r="207" spans="1:19" s="325" customFormat="1" ht="33">
      <c r="A207" s="333" t="s">
        <v>2165</v>
      </c>
      <c r="B207" s="334" t="s">
        <v>630</v>
      </c>
      <c r="C207" s="335" t="s">
        <v>0</v>
      </c>
      <c r="D207" s="336">
        <v>47</v>
      </c>
      <c r="E207" s="336">
        <f>估驗單!F200</f>
        <v>47</v>
      </c>
      <c r="F207" s="390">
        <f t="shared" si="16"/>
        <v>0</v>
      </c>
      <c r="G207" s="336">
        <v>1477.97</v>
      </c>
      <c r="H207" s="336"/>
      <c r="I207" s="336">
        <f t="shared" si="19"/>
        <v>69464.59</v>
      </c>
      <c r="J207" s="336">
        <f t="shared" si="20"/>
        <v>69464.59</v>
      </c>
      <c r="K207" s="546">
        <f t="shared" si="21"/>
        <v>0</v>
      </c>
      <c r="L207" s="502"/>
      <c r="M207" s="234"/>
      <c r="N207" s="11" t="s">
        <v>243</v>
      </c>
      <c r="O207" s="341"/>
      <c r="P207" s="339"/>
    </row>
    <row r="208" spans="1:19" s="325" customFormat="1" ht="42.75">
      <c r="A208" s="333" t="s">
        <v>2166</v>
      </c>
      <c r="B208" s="334" t="s">
        <v>632</v>
      </c>
      <c r="C208" s="335" t="s">
        <v>8</v>
      </c>
      <c r="D208" s="336">
        <v>148</v>
      </c>
      <c r="E208" s="336">
        <f>估驗單!F201</f>
        <v>148</v>
      </c>
      <c r="F208" s="390">
        <f t="shared" ref="F208:F270" si="22">E208-D208</f>
        <v>0</v>
      </c>
      <c r="G208" s="336">
        <v>151.71</v>
      </c>
      <c r="H208" s="336"/>
      <c r="I208" s="336">
        <f t="shared" si="19"/>
        <v>22453.08</v>
      </c>
      <c r="J208" s="336">
        <f t="shared" si="20"/>
        <v>22453.08</v>
      </c>
      <c r="K208" s="546">
        <f t="shared" si="21"/>
        <v>0</v>
      </c>
      <c r="L208" s="502"/>
      <c r="M208" s="231" t="s">
        <v>242</v>
      </c>
      <c r="N208" s="11" t="s">
        <v>243</v>
      </c>
      <c r="O208" s="341"/>
      <c r="P208" s="339"/>
    </row>
    <row r="209" spans="1:16" s="325" customFormat="1" ht="33">
      <c r="A209" s="333" t="s">
        <v>2167</v>
      </c>
      <c r="B209" s="334" t="s">
        <v>634</v>
      </c>
      <c r="C209" s="335" t="s">
        <v>15</v>
      </c>
      <c r="D209" s="336">
        <v>6</v>
      </c>
      <c r="E209" s="336">
        <f>估驗單!F202</f>
        <v>6</v>
      </c>
      <c r="F209" s="390">
        <f t="shared" si="22"/>
        <v>0</v>
      </c>
      <c r="G209" s="336">
        <v>15778.75</v>
      </c>
      <c r="H209" s="336"/>
      <c r="I209" s="336">
        <f t="shared" si="19"/>
        <v>94672.5</v>
      </c>
      <c r="J209" s="336">
        <f t="shared" si="20"/>
        <v>94672.5</v>
      </c>
      <c r="K209" s="546">
        <f t="shared" si="21"/>
        <v>0</v>
      </c>
      <c r="L209" s="502"/>
      <c r="M209" s="231" t="s">
        <v>242</v>
      </c>
      <c r="N209" s="11" t="s">
        <v>243</v>
      </c>
      <c r="O209" s="341"/>
      <c r="P209" s="339"/>
    </row>
    <row r="210" spans="1:16" s="325" customFormat="1" ht="33">
      <c r="A210" s="333" t="s">
        <v>2168</v>
      </c>
      <c r="B210" s="334" t="s">
        <v>357</v>
      </c>
      <c r="C210" s="335" t="s">
        <v>8</v>
      </c>
      <c r="D210" s="336">
        <v>746</v>
      </c>
      <c r="E210" s="336">
        <f>估驗單!F203</f>
        <v>746</v>
      </c>
      <c r="F210" s="390">
        <f t="shared" si="22"/>
        <v>0</v>
      </c>
      <c r="G210" s="336">
        <v>138.84</v>
      </c>
      <c r="H210" s="336"/>
      <c r="I210" s="336">
        <f t="shared" si="19"/>
        <v>103574.64</v>
      </c>
      <c r="J210" s="336">
        <f t="shared" si="20"/>
        <v>103574.64</v>
      </c>
      <c r="K210" s="546"/>
      <c r="L210" s="453"/>
      <c r="M210" s="234"/>
      <c r="N210" s="11" t="s">
        <v>243</v>
      </c>
      <c r="O210" s="341"/>
      <c r="P210" s="339"/>
    </row>
    <row r="211" spans="1:16" s="325" customFormat="1" ht="33">
      <c r="A211" s="333" t="s">
        <v>2169</v>
      </c>
      <c r="B211" s="334" t="s">
        <v>611</v>
      </c>
      <c r="C211" s="335" t="s">
        <v>8</v>
      </c>
      <c r="D211" s="336">
        <v>1740</v>
      </c>
      <c r="E211" s="336">
        <f>估驗單!F204</f>
        <v>1740</v>
      </c>
      <c r="F211" s="390">
        <f t="shared" si="22"/>
        <v>0</v>
      </c>
      <c r="G211" s="336">
        <v>326.27999999999997</v>
      </c>
      <c r="H211" s="336"/>
      <c r="I211" s="336">
        <f t="shared" si="19"/>
        <v>567727.19999999995</v>
      </c>
      <c r="J211" s="336">
        <f t="shared" si="20"/>
        <v>567727.19999999995</v>
      </c>
      <c r="K211" s="546"/>
      <c r="L211" s="453"/>
      <c r="M211" s="234"/>
      <c r="N211" s="11" t="s">
        <v>243</v>
      </c>
      <c r="O211" s="341"/>
      <c r="P211" s="339"/>
    </row>
    <row r="212" spans="1:16" s="325" customFormat="1" ht="33">
      <c r="A212" s="333" t="s">
        <v>2170</v>
      </c>
      <c r="B212" s="334" t="s">
        <v>222</v>
      </c>
      <c r="C212" s="335" t="s">
        <v>13</v>
      </c>
      <c r="D212" s="336">
        <v>783</v>
      </c>
      <c r="E212" s="336">
        <f>估驗單!F205</f>
        <v>783</v>
      </c>
      <c r="F212" s="390">
        <f t="shared" si="22"/>
        <v>0</v>
      </c>
      <c r="G212" s="336">
        <v>692.12</v>
      </c>
      <c r="H212" s="336"/>
      <c r="I212" s="336">
        <f t="shared" si="19"/>
        <v>541929.96</v>
      </c>
      <c r="J212" s="336">
        <f t="shared" si="20"/>
        <v>541929.96</v>
      </c>
      <c r="K212" s="546">
        <f t="shared" si="21"/>
        <v>0</v>
      </c>
      <c r="L212" s="502"/>
      <c r="M212" s="231"/>
      <c r="N212" s="11" t="s">
        <v>243</v>
      </c>
      <c r="O212" s="341"/>
      <c r="P212" s="339"/>
    </row>
    <row r="213" spans="1:16" s="325" customFormat="1" ht="33">
      <c r="A213" s="333" t="s">
        <v>2171</v>
      </c>
      <c r="B213" s="334" t="s">
        <v>640</v>
      </c>
      <c r="C213" s="335" t="s">
        <v>15</v>
      </c>
      <c r="D213" s="336">
        <v>1</v>
      </c>
      <c r="E213" s="336">
        <f>估驗單!F206</f>
        <v>1</v>
      </c>
      <c r="F213" s="390">
        <f t="shared" si="22"/>
        <v>0</v>
      </c>
      <c r="G213" s="336">
        <v>214228.32</v>
      </c>
      <c r="H213" s="336"/>
      <c r="I213" s="336">
        <f t="shared" si="19"/>
        <v>214228.32</v>
      </c>
      <c r="J213" s="336">
        <f t="shared" si="20"/>
        <v>214228.32</v>
      </c>
      <c r="K213" s="546">
        <f t="shared" si="21"/>
        <v>0</v>
      </c>
      <c r="L213" s="502"/>
      <c r="M213" s="231" t="s">
        <v>242</v>
      </c>
      <c r="N213" s="11" t="s">
        <v>243</v>
      </c>
      <c r="O213" s="341"/>
      <c r="P213" s="339"/>
    </row>
    <row r="214" spans="1:16" s="325" customFormat="1" ht="33">
      <c r="A214" s="333" t="s">
        <v>2172</v>
      </c>
      <c r="B214" s="334" t="s">
        <v>643</v>
      </c>
      <c r="C214" s="335" t="s">
        <v>5</v>
      </c>
      <c r="D214" s="336">
        <v>44</v>
      </c>
      <c r="E214" s="336">
        <f>估驗單!F207</f>
        <v>44</v>
      </c>
      <c r="F214" s="390">
        <f t="shared" si="22"/>
        <v>0</v>
      </c>
      <c r="G214" s="336">
        <v>422.28</v>
      </c>
      <c r="H214" s="336"/>
      <c r="I214" s="336">
        <f t="shared" si="19"/>
        <v>18580.32</v>
      </c>
      <c r="J214" s="336">
        <f t="shared" si="20"/>
        <v>18580.32</v>
      </c>
      <c r="K214" s="546">
        <f t="shared" si="21"/>
        <v>0</v>
      </c>
      <c r="L214" s="502"/>
      <c r="M214" s="231" t="s">
        <v>242</v>
      </c>
      <c r="N214" s="11" t="s">
        <v>243</v>
      </c>
      <c r="O214" s="341"/>
      <c r="P214" s="339"/>
    </row>
    <row r="215" spans="1:16" s="325" customFormat="1" ht="33">
      <c r="A215" s="406" t="s">
        <v>2245</v>
      </c>
      <c r="B215" s="407" t="s">
        <v>645</v>
      </c>
      <c r="C215" s="408" t="s">
        <v>4</v>
      </c>
      <c r="D215" s="409"/>
      <c r="E215" s="409"/>
      <c r="F215" s="410"/>
      <c r="G215" s="409">
        <f>I215</f>
        <v>13631722.120000003</v>
      </c>
      <c r="H215" s="409"/>
      <c r="I215" s="409">
        <f>SUM(I216:I231)</f>
        <v>13631722.120000003</v>
      </c>
      <c r="J215" s="409">
        <f>SUM(J216:J231)</f>
        <v>13631722.120000003</v>
      </c>
      <c r="K215" s="542">
        <f>SUM(K216:K231)</f>
        <v>0</v>
      </c>
      <c r="L215" s="452">
        <f>SUM(L216:L231)</f>
        <v>0</v>
      </c>
      <c r="M215" s="288" t="s">
        <v>242</v>
      </c>
      <c r="N215" s="11" t="s">
        <v>243</v>
      </c>
      <c r="O215" s="338"/>
      <c r="P215" s="339"/>
    </row>
    <row r="216" spans="1:16" s="325" customFormat="1" ht="33">
      <c r="A216" s="333" t="s">
        <v>2154</v>
      </c>
      <c r="B216" s="334" t="s">
        <v>646</v>
      </c>
      <c r="C216" s="335" t="s">
        <v>6</v>
      </c>
      <c r="D216" s="336">
        <v>230</v>
      </c>
      <c r="E216" s="336">
        <f>估驗單!F209</f>
        <v>230</v>
      </c>
      <c r="F216" s="390">
        <f t="shared" si="22"/>
        <v>0</v>
      </c>
      <c r="G216" s="336">
        <v>7517.15</v>
      </c>
      <c r="H216" s="336"/>
      <c r="I216" s="336">
        <f t="shared" ref="I216:I231" si="23">ROUND(D216*G216,2)</f>
        <v>1728944.5</v>
      </c>
      <c r="J216" s="336">
        <f t="shared" ref="J216:J231" si="24">ROUND(E216*G216,2)</f>
        <v>1728944.5</v>
      </c>
      <c r="K216" s="546">
        <f t="shared" si="21"/>
        <v>0</v>
      </c>
      <c r="L216" s="502"/>
      <c r="M216" s="231" t="s">
        <v>242</v>
      </c>
      <c r="N216" s="11" t="s">
        <v>243</v>
      </c>
      <c r="O216" s="341"/>
      <c r="P216" s="339"/>
    </row>
    <row r="217" spans="1:16" s="325" customFormat="1" ht="33">
      <c r="A217" s="333" t="s">
        <v>2155</v>
      </c>
      <c r="B217" s="334" t="s">
        <v>648</v>
      </c>
      <c r="C217" s="335" t="s">
        <v>6</v>
      </c>
      <c r="D217" s="336">
        <v>689</v>
      </c>
      <c r="E217" s="336">
        <f>估驗單!F210</f>
        <v>689</v>
      </c>
      <c r="F217" s="390">
        <f t="shared" si="22"/>
        <v>0</v>
      </c>
      <c r="G217" s="336">
        <v>7496.55</v>
      </c>
      <c r="H217" s="336"/>
      <c r="I217" s="336">
        <f t="shared" si="23"/>
        <v>5165122.95</v>
      </c>
      <c r="J217" s="336">
        <f t="shared" si="24"/>
        <v>5165122.95</v>
      </c>
      <c r="K217" s="546">
        <f t="shared" si="21"/>
        <v>0</v>
      </c>
      <c r="L217" s="502"/>
      <c r="M217" s="231" t="s">
        <v>242</v>
      </c>
      <c r="N217" s="11" t="s">
        <v>243</v>
      </c>
      <c r="O217" s="341"/>
      <c r="P217" s="339"/>
    </row>
    <row r="218" spans="1:16" s="325" customFormat="1" ht="33">
      <c r="A218" s="333" t="s">
        <v>2156</v>
      </c>
      <c r="B218" s="334" t="s">
        <v>650</v>
      </c>
      <c r="C218" s="335" t="s">
        <v>13</v>
      </c>
      <c r="D218" s="336">
        <v>4589</v>
      </c>
      <c r="E218" s="336">
        <f>估驗單!F211</f>
        <v>4589</v>
      </c>
      <c r="F218" s="390">
        <f t="shared" si="22"/>
        <v>0</v>
      </c>
      <c r="G218" s="336">
        <v>11.6</v>
      </c>
      <c r="H218" s="336"/>
      <c r="I218" s="336">
        <f t="shared" si="23"/>
        <v>53232.4</v>
      </c>
      <c r="J218" s="336">
        <f t="shared" si="24"/>
        <v>53232.4</v>
      </c>
      <c r="K218" s="546">
        <f t="shared" si="21"/>
        <v>0</v>
      </c>
      <c r="L218" s="502"/>
      <c r="M218" s="231" t="s">
        <v>242</v>
      </c>
      <c r="N218" s="11" t="s">
        <v>243</v>
      </c>
      <c r="O218" s="341"/>
      <c r="P218" s="339"/>
    </row>
    <row r="219" spans="1:16" s="325" customFormat="1" ht="33">
      <c r="A219" s="333" t="s">
        <v>2157</v>
      </c>
      <c r="B219" s="334" t="s">
        <v>652</v>
      </c>
      <c r="C219" s="335" t="s">
        <v>13</v>
      </c>
      <c r="D219" s="336">
        <v>4589</v>
      </c>
      <c r="E219" s="336">
        <f>估驗單!F212</f>
        <v>4589</v>
      </c>
      <c r="F219" s="390">
        <f t="shared" si="22"/>
        <v>0</v>
      </c>
      <c r="G219" s="336">
        <v>42.46</v>
      </c>
      <c r="H219" s="336"/>
      <c r="I219" s="336">
        <f t="shared" si="23"/>
        <v>194848.94</v>
      </c>
      <c r="J219" s="336">
        <f t="shared" si="24"/>
        <v>194848.94</v>
      </c>
      <c r="K219" s="546">
        <f t="shared" si="21"/>
        <v>0</v>
      </c>
      <c r="L219" s="502"/>
      <c r="M219" s="231" t="s">
        <v>242</v>
      </c>
      <c r="N219" s="11" t="s">
        <v>243</v>
      </c>
      <c r="O219" s="341"/>
      <c r="P219" s="339"/>
    </row>
    <row r="220" spans="1:16" s="325" customFormat="1" ht="33">
      <c r="A220" s="333" t="s">
        <v>2158</v>
      </c>
      <c r="B220" s="334" t="s">
        <v>204</v>
      </c>
      <c r="C220" s="335" t="s">
        <v>13</v>
      </c>
      <c r="D220" s="336">
        <v>13765</v>
      </c>
      <c r="E220" s="336">
        <f>估驗單!F213</f>
        <v>13765</v>
      </c>
      <c r="F220" s="390">
        <f t="shared" si="22"/>
        <v>0</v>
      </c>
      <c r="G220" s="336">
        <v>15.96</v>
      </c>
      <c r="H220" s="336"/>
      <c r="I220" s="336">
        <f t="shared" si="23"/>
        <v>219689.4</v>
      </c>
      <c r="J220" s="336">
        <f t="shared" si="24"/>
        <v>219689.4</v>
      </c>
      <c r="K220" s="546">
        <f t="shared" si="21"/>
        <v>0</v>
      </c>
      <c r="L220" s="502"/>
      <c r="M220" s="231" t="s">
        <v>242</v>
      </c>
      <c r="N220" s="11" t="s">
        <v>243</v>
      </c>
      <c r="O220" s="341"/>
      <c r="P220" s="339"/>
    </row>
    <row r="221" spans="1:16" s="325" customFormat="1" ht="33">
      <c r="A221" s="333" t="s">
        <v>2159</v>
      </c>
      <c r="B221" s="334" t="s">
        <v>315</v>
      </c>
      <c r="C221" s="335" t="s">
        <v>6</v>
      </c>
      <c r="D221" s="336">
        <v>49</v>
      </c>
      <c r="E221" s="336">
        <f>估驗單!F214</f>
        <v>49</v>
      </c>
      <c r="F221" s="390">
        <f t="shared" si="22"/>
        <v>0</v>
      </c>
      <c r="G221" s="336">
        <v>3114.97</v>
      </c>
      <c r="H221" s="336"/>
      <c r="I221" s="336">
        <f t="shared" si="23"/>
        <v>152633.53</v>
      </c>
      <c r="J221" s="336">
        <f t="shared" si="24"/>
        <v>152633.53</v>
      </c>
      <c r="K221" s="546">
        <f t="shared" si="21"/>
        <v>0</v>
      </c>
      <c r="L221" s="453"/>
      <c r="M221" s="231" t="s">
        <v>242</v>
      </c>
      <c r="N221" s="11" t="s">
        <v>243</v>
      </c>
      <c r="O221" s="341"/>
      <c r="P221" s="339"/>
    </row>
    <row r="222" spans="1:16" s="325" customFormat="1" ht="33">
      <c r="A222" s="333" t="s">
        <v>2160</v>
      </c>
      <c r="B222" s="334" t="s">
        <v>24</v>
      </c>
      <c r="C222" s="335" t="s">
        <v>6</v>
      </c>
      <c r="D222" s="336">
        <v>328</v>
      </c>
      <c r="E222" s="336">
        <f>估驗單!F215</f>
        <v>328</v>
      </c>
      <c r="F222" s="390">
        <f t="shared" si="22"/>
        <v>0</v>
      </c>
      <c r="G222" s="336">
        <v>3320.96</v>
      </c>
      <c r="H222" s="336"/>
      <c r="I222" s="336">
        <f t="shared" si="23"/>
        <v>1089274.8799999999</v>
      </c>
      <c r="J222" s="336">
        <f t="shared" si="24"/>
        <v>1089274.8799999999</v>
      </c>
      <c r="K222" s="546">
        <f t="shared" si="21"/>
        <v>0</v>
      </c>
      <c r="L222" s="502"/>
      <c r="M222" s="231" t="s">
        <v>242</v>
      </c>
      <c r="N222" s="11" t="s">
        <v>243</v>
      </c>
      <c r="O222" s="341" t="s">
        <v>2991</v>
      </c>
      <c r="P222" s="433" t="s">
        <v>2993</v>
      </c>
    </row>
    <row r="223" spans="1:16" s="325" customFormat="1" ht="33">
      <c r="A223" s="333" t="s">
        <v>2161</v>
      </c>
      <c r="B223" s="334" t="s">
        <v>595</v>
      </c>
      <c r="C223" s="335" t="s">
        <v>6</v>
      </c>
      <c r="D223" s="336">
        <v>377</v>
      </c>
      <c r="E223" s="336">
        <f>估驗單!F216</f>
        <v>377</v>
      </c>
      <c r="F223" s="390">
        <f t="shared" si="22"/>
        <v>0</v>
      </c>
      <c r="G223" s="336">
        <v>199.99</v>
      </c>
      <c r="H223" s="336"/>
      <c r="I223" s="336">
        <f t="shared" si="23"/>
        <v>75396.23</v>
      </c>
      <c r="J223" s="336">
        <f t="shared" si="24"/>
        <v>75396.23</v>
      </c>
      <c r="K223" s="546">
        <f t="shared" si="21"/>
        <v>0</v>
      </c>
      <c r="L223" s="502"/>
      <c r="M223" s="231" t="s">
        <v>242</v>
      </c>
      <c r="N223" s="11" t="s">
        <v>243</v>
      </c>
      <c r="O223" s="341" t="s">
        <v>2991</v>
      </c>
      <c r="P223" s="433" t="s">
        <v>2993</v>
      </c>
    </row>
    <row r="224" spans="1:16" s="325" customFormat="1" ht="33">
      <c r="A224" s="333" t="s">
        <v>2162</v>
      </c>
      <c r="B224" s="334" t="s">
        <v>626</v>
      </c>
      <c r="C224" s="335" t="s">
        <v>13</v>
      </c>
      <c r="D224" s="336">
        <v>867</v>
      </c>
      <c r="E224" s="336">
        <f>估驗單!F217</f>
        <v>867</v>
      </c>
      <c r="F224" s="390">
        <f t="shared" si="22"/>
        <v>0</v>
      </c>
      <c r="G224" s="336">
        <v>698.28</v>
      </c>
      <c r="H224" s="336"/>
      <c r="I224" s="336">
        <f t="shared" si="23"/>
        <v>605408.76</v>
      </c>
      <c r="J224" s="336">
        <f t="shared" si="24"/>
        <v>605408.76</v>
      </c>
      <c r="K224" s="546">
        <f t="shared" si="21"/>
        <v>0</v>
      </c>
      <c r="L224" s="502"/>
      <c r="M224" s="231"/>
      <c r="N224" s="11" t="s">
        <v>243</v>
      </c>
      <c r="O224" s="341" t="s">
        <v>2991</v>
      </c>
      <c r="P224" s="433" t="s">
        <v>2993</v>
      </c>
    </row>
    <row r="225" spans="1:19" s="325" customFormat="1" ht="33">
      <c r="A225" s="333" t="s">
        <v>2163</v>
      </c>
      <c r="B225" s="334" t="s">
        <v>193</v>
      </c>
      <c r="C225" s="335" t="s">
        <v>13</v>
      </c>
      <c r="D225" s="336">
        <v>1257</v>
      </c>
      <c r="E225" s="336">
        <f>估驗單!F218</f>
        <v>1257</v>
      </c>
      <c r="F225" s="390">
        <f t="shared" si="22"/>
        <v>0</v>
      </c>
      <c r="G225" s="336">
        <v>533.61</v>
      </c>
      <c r="H225" s="336"/>
      <c r="I225" s="336">
        <f t="shared" si="23"/>
        <v>670747.77</v>
      </c>
      <c r="J225" s="336">
        <f t="shared" si="24"/>
        <v>670747.77</v>
      </c>
      <c r="K225" s="546">
        <f t="shared" si="21"/>
        <v>0</v>
      </c>
      <c r="L225" s="453"/>
      <c r="M225" s="231"/>
      <c r="N225" s="11" t="s">
        <v>243</v>
      </c>
      <c r="O225" s="341"/>
      <c r="P225" s="360"/>
    </row>
    <row r="226" spans="1:19" s="325" customFormat="1" ht="33">
      <c r="A226" s="333" t="s">
        <v>2164</v>
      </c>
      <c r="B226" s="334" t="s">
        <v>192</v>
      </c>
      <c r="C226" s="335" t="s">
        <v>17</v>
      </c>
      <c r="D226" s="336">
        <v>12810</v>
      </c>
      <c r="E226" s="336">
        <f>估驗單!F219</f>
        <v>12810</v>
      </c>
      <c r="F226" s="390">
        <f t="shared" si="22"/>
        <v>0</v>
      </c>
      <c r="G226" s="336">
        <v>36.4</v>
      </c>
      <c r="H226" s="336"/>
      <c r="I226" s="336">
        <f t="shared" si="23"/>
        <v>466284</v>
      </c>
      <c r="J226" s="336">
        <f t="shared" si="24"/>
        <v>466284</v>
      </c>
      <c r="K226" s="336">
        <f t="shared" si="21"/>
        <v>0</v>
      </c>
      <c r="L226" s="502"/>
      <c r="M226" s="231"/>
      <c r="N226" s="11" t="s">
        <v>243</v>
      </c>
      <c r="O226" s="341" t="s">
        <v>2991</v>
      </c>
      <c r="P226" s="433" t="s">
        <v>2993</v>
      </c>
    </row>
    <row r="227" spans="1:19" s="325" customFormat="1" ht="33">
      <c r="A227" s="333" t="s">
        <v>2165</v>
      </c>
      <c r="B227" s="334" t="s">
        <v>655</v>
      </c>
      <c r="C227" s="335" t="s">
        <v>15</v>
      </c>
      <c r="D227" s="336">
        <v>158</v>
      </c>
      <c r="E227" s="336">
        <f>估驗單!F220</f>
        <v>158</v>
      </c>
      <c r="F227" s="390">
        <f t="shared" si="22"/>
        <v>0</v>
      </c>
      <c r="G227" s="336">
        <v>3615.1</v>
      </c>
      <c r="H227" s="336"/>
      <c r="I227" s="336">
        <f t="shared" si="23"/>
        <v>571185.80000000005</v>
      </c>
      <c r="J227" s="336">
        <f t="shared" si="24"/>
        <v>571185.80000000005</v>
      </c>
      <c r="K227" s="546">
        <f t="shared" si="21"/>
        <v>0</v>
      </c>
      <c r="L227" s="502"/>
      <c r="M227" s="231"/>
      <c r="N227" s="11" t="s">
        <v>243</v>
      </c>
      <c r="O227" s="341"/>
      <c r="P227" s="339"/>
    </row>
    <row r="228" spans="1:19" s="325" customFormat="1" ht="33">
      <c r="A228" s="333" t="s">
        <v>2166</v>
      </c>
      <c r="B228" s="334" t="s">
        <v>657</v>
      </c>
      <c r="C228" s="335" t="s">
        <v>17</v>
      </c>
      <c r="D228" s="336">
        <v>3713</v>
      </c>
      <c r="E228" s="336">
        <f>估驗單!F221</f>
        <v>3713</v>
      </c>
      <c r="F228" s="390">
        <f t="shared" si="22"/>
        <v>0</v>
      </c>
      <c r="G228" s="336">
        <v>107.44</v>
      </c>
      <c r="H228" s="336"/>
      <c r="I228" s="336">
        <f t="shared" si="23"/>
        <v>398924.72</v>
      </c>
      <c r="J228" s="336">
        <f t="shared" si="24"/>
        <v>398924.72</v>
      </c>
      <c r="K228" s="546">
        <f t="shared" si="21"/>
        <v>0</v>
      </c>
      <c r="L228" s="502"/>
      <c r="M228" s="231"/>
      <c r="N228" s="11" t="s">
        <v>243</v>
      </c>
      <c r="O228" s="341"/>
      <c r="P228" s="339"/>
    </row>
    <row r="229" spans="1:19" s="325" customFormat="1" ht="33">
      <c r="A229" s="333" t="s">
        <v>2167</v>
      </c>
      <c r="B229" s="334" t="s">
        <v>357</v>
      </c>
      <c r="C229" s="335" t="s">
        <v>8</v>
      </c>
      <c r="D229" s="336">
        <v>155</v>
      </c>
      <c r="E229" s="336">
        <f>估驗單!F222</f>
        <v>155</v>
      </c>
      <c r="F229" s="390">
        <f t="shared" si="22"/>
        <v>0</v>
      </c>
      <c r="G229" s="336">
        <v>138.84</v>
      </c>
      <c r="H229" s="336"/>
      <c r="I229" s="336">
        <f t="shared" si="23"/>
        <v>21520.2</v>
      </c>
      <c r="J229" s="336">
        <f t="shared" si="24"/>
        <v>21520.2</v>
      </c>
      <c r="K229" s="546">
        <f t="shared" si="21"/>
        <v>0</v>
      </c>
      <c r="L229" s="502"/>
      <c r="M229" s="231" t="s">
        <v>242</v>
      </c>
      <c r="N229" s="11" t="s">
        <v>243</v>
      </c>
      <c r="O229" s="341"/>
      <c r="P229" s="339"/>
    </row>
    <row r="230" spans="1:19" s="356" customFormat="1" ht="28.5">
      <c r="A230" s="343">
        <v>15</v>
      </c>
      <c r="B230" s="344" t="s">
        <v>1497</v>
      </c>
      <c r="C230" s="345" t="s">
        <v>223</v>
      </c>
      <c r="D230" s="340">
        <v>1376.7</v>
      </c>
      <c r="E230" s="336">
        <f>估驗單!F223</f>
        <v>1376.7</v>
      </c>
      <c r="F230" s="390">
        <f t="shared" si="22"/>
        <v>0</v>
      </c>
      <c r="G230" s="340">
        <v>1288.28</v>
      </c>
      <c r="H230" s="340"/>
      <c r="I230" s="336">
        <f t="shared" si="23"/>
        <v>1773575.08</v>
      </c>
      <c r="J230" s="336">
        <f t="shared" si="24"/>
        <v>1773575.08</v>
      </c>
      <c r="K230" s="546">
        <f t="shared" si="21"/>
        <v>0</v>
      </c>
      <c r="L230" s="502"/>
      <c r="M230" s="346"/>
      <c r="N230" s="347"/>
      <c r="O230" s="355"/>
      <c r="P230" s="349"/>
      <c r="Q230" s="325"/>
    </row>
    <row r="231" spans="1:19" s="356" customFormat="1" ht="31.5">
      <c r="A231" s="343">
        <v>16</v>
      </c>
      <c r="B231" s="344" t="s">
        <v>2391</v>
      </c>
      <c r="C231" s="345" t="s">
        <v>2386</v>
      </c>
      <c r="D231" s="419">
        <v>512.1</v>
      </c>
      <c r="E231" s="336">
        <f>估驗單!F224</f>
        <v>512.1</v>
      </c>
      <c r="F231" s="390">
        <f t="shared" si="22"/>
        <v>0</v>
      </c>
      <c r="G231" s="340">
        <v>868.84</v>
      </c>
      <c r="H231" s="340"/>
      <c r="I231" s="336">
        <f t="shared" si="23"/>
        <v>444932.96</v>
      </c>
      <c r="J231" s="336">
        <f t="shared" si="24"/>
        <v>444932.96</v>
      </c>
      <c r="K231" s="546">
        <f t="shared" si="21"/>
        <v>0</v>
      </c>
      <c r="L231" s="453"/>
      <c r="M231" s="346"/>
      <c r="N231" s="347"/>
      <c r="O231" s="355"/>
      <c r="P231" s="360"/>
      <c r="Q231" s="362"/>
      <c r="S231" s="371" t="s">
        <v>2395</v>
      </c>
    </row>
    <row r="232" spans="1:19" s="325" customFormat="1" ht="33">
      <c r="A232" s="406" t="s">
        <v>2246</v>
      </c>
      <c r="B232" s="407" t="s">
        <v>660</v>
      </c>
      <c r="C232" s="408" t="s">
        <v>4</v>
      </c>
      <c r="D232" s="409"/>
      <c r="E232" s="409"/>
      <c r="F232" s="410">
        <f t="shared" si="22"/>
        <v>0</v>
      </c>
      <c r="G232" s="409">
        <v>901865.78</v>
      </c>
      <c r="H232" s="409"/>
      <c r="I232" s="411">
        <f>SUM(I233:I309)</f>
        <v>5797339.8100000005</v>
      </c>
      <c r="J232" s="411">
        <f>SUM(J233:J309)</f>
        <v>5864027.4800000004</v>
      </c>
      <c r="K232" s="541">
        <f>SUM(K233:K309)</f>
        <v>66687.67</v>
      </c>
      <c r="L232" s="452">
        <f>SUM(L233:L309)</f>
        <v>0</v>
      </c>
      <c r="M232" s="288" t="s">
        <v>242</v>
      </c>
      <c r="N232" s="11" t="s">
        <v>243</v>
      </c>
      <c r="O232" s="338"/>
      <c r="P232" s="339"/>
      <c r="R232" s="325">
        <f>(26.4+21.4+6.8+29.6+4.8+58.5)+(52.7+6.8+48.3+5+21.2+10.7+23.9+49.8+2.3+1.4)+(43.6+11.2+9.1+20.6+77.7+67.4+13.8+49.3+17.5+24.2+1.8)+(6.5+64.1+10.9+43+11.1+9.4+10+42+1.2+20.1)</f>
        <v>924.09999999999991</v>
      </c>
      <c r="S232" s="325">
        <f>(26.4+21.4+6.8+29.6+4.8+58.5)+(52.7+6.8+48.3+5+21.2+10.7+23.9+49.8+2.3+1.4)+(43.6+11.2+9.1+20.6+77.7+67.4+13.8+49.3+17.5+24.2+1.8)+(10.9+43+11.1+9.4+10+42+1.2+20.1)</f>
        <v>853.5</v>
      </c>
    </row>
    <row r="233" spans="1:19" s="325" customFormat="1" ht="33">
      <c r="A233" s="333" t="s">
        <v>2154</v>
      </c>
      <c r="B233" s="334" t="s">
        <v>662</v>
      </c>
      <c r="C233" s="335" t="s">
        <v>223</v>
      </c>
      <c r="D233" s="336">
        <v>1</v>
      </c>
      <c r="E233" s="336">
        <f>估驗單!F226</f>
        <v>1</v>
      </c>
      <c r="F233" s="390">
        <f t="shared" si="22"/>
        <v>0</v>
      </c>
      <c r="G233" s="336">
        <v>704.48</v>
      </c>
      <c r="H233" s="336"/>
      <c r="I233" s="336">
        <f t="shared" ref="I233:I264" si="25">ROUND(D233*G233,2)</f>
        <v>704.48</v>
      </c>
      <c r="J233" s="336">
        <f t="shared" ref="J233:J264" si="26">ROUND(E233*G233,2)</f>
        <v>704.48</v>
      </c>
      <c r="K233" s="546">
        <f t="shared" si="21"/>
        <v>0</v>
      </c>
      <c r="L233" s="502"/>
      <c r="M233" s="231"/>
      <c r="N233" s="11" t="s">
        <v>243</v>
      </c>
      <c r="O233" s="341"/>
      <c r="P233" s="339"/>
    </row>
    <row r="234" spans="1:19" s="325" customFormat="1" ht="33">
      <c r="A234" s="333" t="s">
        <v>2155</v>
      </c>
      <c r="B234" s="334" t="s">
        <v>665</v>
      </c>
      <c r="C234" s="335" t="s">
        <v>5</v>
      </c>
      <c r="D234" s="336">
        <v>1</v>
      </c>
      <c r="E234" s="336">
        <f>估驗單!F227</f>
        <v>1</v>
      </c>
      <c r="F234" s="390">
        <f t="shared" si="22"/>
        <v>0</v>
      </c>
      <c r="G234" s="336">
        <v>399.98</v>
      </c>
      <c r="H234" s="336"/>
      <c r="I234" s="336">
        <f t="shared" si="25"/>
        <v>399.98</v>
      </c>
      <c r="J234" s="336">
        <f t="shared" si="26"/>
        <v>399.98</v>
      </c>
      <c r="K234" s="546">
        <f t="shared" si="21"/>
        <v>0</v>
      </c>
      <c r="L234" s="502"/>
      <c r="M234" s="231"/>
      <c r="N234" s="11" t="s">
        <v>243</v>
      </c>
      <c r="O234" s="341"/>
      <c r="P234" s="339"/>
    </row>
    <row r="235" spans="1:19" s="325" customFormat="1" ht="33">
      <c r="A235" s="503" t="s">
        <v>2156</v>
      </c>
      <c r="B235" s="504" t="s">
        <v>668</v>
      </c>
      <c r="C235" s="505" t="s">
        <v>669</v>
      </c>
      <c r="D235" s="506">
        <v>14</v>
      </c>
      <c r="E235" s="506">
        <f>估驗單!F228</f>
        <v>15</v>
      </c>
      <c r="F235" s="507">
        <f t="shared" si="22"/>
        <v>1</v>
      </c>
      <c r="G235" s="506">
        <v>3569.75</v>
      </c>
      <c r="H235" s="506"/>
      <c r="I235" s="506">
        <f t="shared" si="25"/>
        <v>49976.5</v>
      </c>
      <c r="J235" s="506">
        <f t="shared" si="26"/>
        <v>53546.25</v>
      </c>
      <c r="K235" s="547">
        <f t="shared" si="21"/>
        <v>3569.75</v>
      </c>
      <c r="L235" s="510"/>
      <c r="M235" s="508"/>
      <c r="N235" s="11" t="s">
        <v>243</v>
      </c>
      <c r="O235" s="341" t="s">
        <v>2894</v>
      </c>
      <c r="P235" s="339"/>
      <c r="Q235" s="771" t="s">
        <v>3044</v>
      </c>
    </row>
    <row r="236" spans="1:19" s="325" customFormat="1" ht="33">
      <c r="A236" s="333" t="s">
        <v>2157</v>
      </c>
      <c r="B236" s="334" t="s">
        <v>672</v>
      </c>
      <c r="C236" s="335" t="s">
        <v>669</v>
      </c>
      <c r="D236" s="336">
        <v>2</v>
      </c>
      <c r="E236" s="336">
        <f>估驗單!F229</f>
        <v>2</v>
      </c>
      <c r="F236" s="390">
        <f t="shared" si="22"/>
        <v>0</v>
      </c>
      <c r="G236" s="336">
        <v>4082.87</v>
      </c>
      <c r="H236" s="336"/>
      <c r="I236" s="336">
        <f t="shared" si="25"/>
        <v>8165.74</v>
      </c>
      <c r="J236" s="336">
        <f t="shared" si="26"/>
        <v>8165.74</v>
      </c>
      <c r="K236" s="546">
        <f t="shared" si="21"/>
        <v>0</v>
      </c>
      <c r="L236" s="502"/>
      <c r="M236" s="231"/>
      <c r="N236" s="11" t="s">
        <v>243</v>
      </c>
      <c r="O236" s="341"/>
      <c r="P236" s="339"/>
    </row>
    <row r="237" spans="1:19" s="325" customFormat="1" ht="33">
      <c r="A237" s="503" t="s">
        <v>2158</v>
      </c>
      <c r="B237" s="504" t="s">
        <v>675</v>
      </c>
      <c r="C237" s="505" t="s">
        <v>669</v>
      </c>
      <c r="D237" s="506">
        <v>6</v>
      </c>
      <c r="E237" s="506">
        <f>估驗單!F230</f>
        <v>9</v>
      </c>
      <c r="F237" s="507">
        <f t="shared" si="22"/>
        <v>3</v>
      </c>
      <c r="G237" s="506">
        <v>7408.14</v>
      </c>
      <c r="H237" s="506"/>
      <c r="I237" s="506">
        <f t="shared" si="25"/>
        <v>44448.84</v>
      </c>
      <c r="J237" s="506">
        <f t="shared" si="26"/>
        <v>66673.259999999995</v>
      </c>
      <c r="K237" s="547">
        <f t="shared" si="21"/>
        <v>22224.42</v>
      </c>
      <c r="L237" s="510"/>
      <c r="M237" s="508"/>
      <c r="N237" s="11" t="s">
        <v>243</v>
      </c>
      <c r="O237" s="341" t="s">
        <v>2894</v>
      </c>
      <c r="P237" s="339"/>
      <c r="Q237" s="771" t="s">
        <v>3044</v>
      </c>
    </row>
    <row r="238" spans="1:19" s="325" customFormat="1" ht="33">
      <c r="A238" s="333" t="s">
        <v>2159</v>
      </c>
      <c r="B238" s="334" t="s">
        <v>678</v>
      </c>
      <c r="C238" s="335" t="s">
        <v>669</v>
      </c>
      <c r="D238" s="336">
        <v>8</v>
      </c>
      <c r="E238" s="336">
        <f>估驗單!F231</f>
        <v>8</v>
      </c>
      <c r="F238" s="390">
        <f t="shared" si="22"/>
        <v>0</v>
      </c>
      <c r="G238" s="336">
        <v>10318.74</v>
      </c>
      <c r="H238" s="336"/>
      <c r="I238" s="336">
        <f t="shared" si="25"/>
        <v>82549.919999999998</v>
      </c>
      <c r="J238" s="336">
        <f t="shared" si="26"/>
        <v>82549.919999999998</v>
      </c>
      <c r="K238" s="546">
        <f t="shared" si="21"/>
        <v>0</v>
      </c>
      <c r="L238" s="502"/>
      <c r="M238" s="231"/>
      <c r="N238" s="11" t="s">
        <v>243</v>
      </c>
      <c r="O238" s="341"/>
      <c r="P238" s="339"/>
    </row>
    <row r="239" spans="1:19" s="325" customFormat="1" ht="33">
      <c r="A239" s="333" t="s">
        <v>2160</v>
      </c>
      <c r="B239" s="334" t="s">
        <v>681</v>
      </c>
      <c r="C239" s="335" t="s">
        <v>669</v>
      </c>
      <c r="D239" s="336">
        <v>5</v>
      </c>
      <c r="E239" s="336">
        <f>估驗單!F232</f>
        <v>5</v>
      </c>
      <c r="F239" s="390">
        <f t="shared" si="22"/>
        <v>0</v>
      </c>
      <c r="G239" s="336">
        <v>15163.34</v>
      </c>
      <c r="H239" s="336"/>
      <c r="I239" s="336">
        <f t="shared" si="25"/>
        <v>75816.7</v>
      </c>
      <c r="J239" s="336">
        <f t="shared" si="26"/>
        <v>75816.7</v>
      </c>
      <c r="K239" s="546">
        <f t="shared" si="21"/>
        <v>0</v>
      </c>
      <c r="L239" s="502"/>
      <c r="M239" s="231"/>
      <c r="N239" s="11" t="s">
        <v>243</v>
      </c>
      <c r="O239" s="341"/>
      <c r="P239" s="339"/>
    </row>
    <row r="240" spans="1:19" s="325" customFormat="1" ht="33">
      <c r="A240" s="333" t="s">
        <v>2161</v>
      </c>
      <c r="B240" s="334" t="s">
        <v>684</v>
      </c>
      <c r="C240" s="335" t="s">
        <v>669</v>
      </c>
      <c r="D240" s="336">
        <v>3</v>
      </c>
      <c r="E240" s="336">
        <f>估驗單!F233</f>
        <v>3</v>
      </c>
      <c r="F240" s="390">
        <f t="shared" si="22"/>
        <v>0</v>
      </c>
      <c r="G240" s="336">
        <v>21801.91</v>
      </c>
      <c r="H240" s="336"/>
      <c r="I240" s="336">
        <f t="shared" si="25"/>
        <v>65405.73</v>
      </c>
      <c r="J240" s="336">
        <f t="shared" si="26"/>
        <v>65405.73</v>
      </c>
      <c r="K240" s="546">
        <f t="shared" si="21"/>
        <v>0</v>
      </c>
      <c r="L240" s="502"/>
      <c r="M240" s="231"/>
      <c r="N240" s="11" t="s">
        <v>243</v>
      </c>
      <c r="O240" s="341"/>
      <c r="P240" s="339"/>
    </row>
    <row r="241" spans="1:17" s="325" customFormat="1" ht="33">
      <c r="A241" s="333" t="s">
        <v>2162</v>
      </c>
      <c r="B241" s="334" t="s">
        <v>687</v>
      </c>
      <c r="C241" s="335" t="s">
        <v>669</v>
      </c>
      <c r="D241" s="336">
        <v>2</v>
      </c>
      <c r="E241" s="336">
        <f>估驗單!F234</f>
        <v>2</v>
      </c>
      <c r="F241" s="390">
        <f t="shared" si="22"/>
        <v>0</v>
      </c>
      <c r="G241" s="336">
        <v>29983.23</v>
      </c>
      <c r="H241" s="336"/>
      <c r="I241" s="336">
        <f t="shared" si="25"/>
        <v>59966.46</v>
      </c>
      <c r="J241" s="336">
        <f t="shared" si="26"/>
        <v>59966.46</v>
      </c>
      <c r="K241" s="546">
        <f t="shared" si="21"/>
        <v>0</v>
      </c>
      <c r="L241" s="502"/>
      <c r="M241" s="231" t="s">
        <v>242</v>
      </c>
      <c r="N241" s="11" t="s">
        <v>243</v>
      </c>
      <c r="O241" s="341"/>
      <c r="P241" s="339"/>
    </row>
    <row r="242" spans="1:17" s="325" customFormat="1" ht="33">
      <c r="A242" s="333" t="s">
        <v>2163</v>
      </c>
      <c r="B242" s="334" t="s">
        <v>690</v>
      </c>
      <c r="C242" s="335" t="s">
        <v>669</v>
      </c>
      <c r="D242" s="336">
        <v>1</v>
      </c>
      <c r="E242" s="336">
        <f>估驗單!F235</f>
        <v>1</v>
      </c>
      <c r="F242" s="390">
        <f t="shared" si="22"/>
        <v>0</v>
      </c>
      <c r="G242" s="336">
        <v>28372.400000000001</v>
      </c>
      <c r="H242" s="336"/>
      <c r="I242" s="336">
        <f t="shared" si="25"/>
        <v>28372.400000000001</v>
      </c>
      <c r="J242" s="336">
        <f t="shared" si="26"/>
        <v>28372.400000000001</v>
      </c>
      <c r="K242" s="546">
        <f t="shared" si="21"/>
        <v>0</v>
      </c>
      <c r="L242" s="502"/>
      <c r="M242" s="231" t="s">
        <v>242</v>
      </c>
      <c r="N242" s="11" t="s">
        <v>243</v>
      </c>
      <c r="O242" s="341"/>
      <c r="P242" s="339"/>
    </row>
    <row r="243" spans="1:17" s="325" customFormat="1" ht="33">
      <c r="A243" s="333" t="s">
        <v>2164</v>
      </c>
      <c r="B243" s="334" t="s">
        <v>693</v>
      </c>
      <c r="C243" s="335" t="s">
        <v>669</v>
      </c>
      <c r="D243" s="336">
        <v>1</v>
      </c>
      <c r="E243" s="336">
        <f>估驗單!F236</f>
        <v>1</v>
      </c>
      <c r="F243" s="390">
        <f t="shared" si="22"/>
        <v>0</v>
      </c>
      <c r="G243" s="336">
        <v>73084.87</v>
      </c>
      <c r="H243" s="336"/>
      <c r="I243" s="336">
        <f t="shared" si="25"/>
        <v>73084.87</v>
      </c>
      <c r="J243" s="336">
        <f t="shared" si="26"/>
        <v>73084.87</v>
      </c>
      <c r="K243" s="546">
        <f t="shared" si="21"/>
        <v>0</v>
      </c>
      <c r="L243" s="502"/>
      <c r="M243" s="231" t="s">
        <v>242</v>
      </c>
      <c r="N243" s="11" t="s">
        <v>243</v>
      </c>
      <c r="O243" s="341"/>
      <c r="P243" s="339"/>
    </row>
    <row r="244" spans="1:17" s="325" customFormat="1" ht="33">
      <c r="A244" s="333" t="s">
        <v>2165</v>
      </c>
      <c r="B244" s="334" t="s">
        <v>696</v>
      </c>
      <c r="C244" s="335" t="s">
        <v>669</v>
      </c>
      <c r="D244" s="336">
        <v>4</v>
      </c>
      <c r="E244" s="336">
        <f>估驗單!F237</f>
        <v>4</v>
      </c>
      <c r="F244" s="390">
        <f t="shared" si="22"/>
        <v>0</v>
      </c>
      <c r="G244" s="336">
        <v>22813.26</v>
      </c>
      <c r="H244" s="336"/>
      <c r="I244" s="336">
        <f t="shared" si="25"/>
        <v>91253.04</v>
      </c>
      <c r="J244" s="336">
        <f t="shared" si="26"/>
        <v>91253.04</v>
      </c>
      <c r="K244" s="546">
        <f t="shared" si="21"/>
        <v>0</v>
      </c>
      <c r="L244" s="502"/>
      <c r="M244" s="231"/>
      <c r="N244" s="11" t="s">
        <v>243</v>
      </c>
      <c r="O244" s="341"/>
      <c r="P244" s="339"/>
    </row>
    <row r="245" spans="1:17" s="325" customFormat="1" ht="33.75">
      <c r="A245" s="503" t="s">
        <v>2166</v>
      </c>
      <c r="B245" s="504" t="s">
        <v>699</v>
      </c>
      <c r="C245" s="505" t="s">
        <v>669</v>
      </c>
      <c r="D245" s="506">
        <v>1</v>
      </c>
      <c r="E245" s="506">
        <f>估驗單!F238</f>
        <v>2</v>
      </c>
      <c r="F245" s="507">
        <f t="shared" si="22"/>
        <v>1</v>
      </c>
      <c r="G245" s="506">
        <v>1079.8499999999999</v>
      </c>
      <c r="H245" s="506"/>
      <c r="I245" s="506">
        <f t="shared" si="25"/>
        <v>1079.8499999999999</v>
      </c>
      <c r="J245" s="506">
        <f t="shared" si="26"/>
        <v>2159.6999999999998</v>
      </c>
      <c r="K245" s="547">
        <f t="shared" si="21"/>
        <v>1079.8499999999999</v>
      </c>
      <c r="L245" s="510"/>
      <c r="M245" s="508"/>
      <c r="N245" s="11" t="s">
        <v>243</v>
      </c>
      <c r="O245" s="341" t="s">
        <v>3045</v>
      </c>
      <c r="P245" s="339"/>
      <c r="Q245" s="325" t="s">
        <v>3046</v>
      </c>
    </row>
    <row r="246" spans="1:17" s="325" customFormat="1" ht="33.75">
      <c r="A246" s="503" t="s">
        <v>2167</v>
      </c>
      <c r="B246" s="504" t="s">
        <v>702</v>
      </c>
      <c r="C246" s="505" t="s">
        <v>669</v>
      </c>
      <c r="D246" s="506">
        <v>1</v>
      </c>
      <c r="E246" s="506">
        <f>估驗單!F239</f>
        <v>7</v>
      </c>
      <c r="F246" s="507">
        <f t="shared" si="22"/>
        <v>6</v>
      </c>
      <c r="G246" s="506">
        <v>1963.19</v>
      </c>
      <c r="H246" s="506"/>
      <c r="I246" s="506">
        <f t="shared" si="25"/>
        <v>1963.19</v>
      </c>
      <c r="J246" s="506">
        <f t="shared" si="26"/>
        <v>13742.33</v>
      </c>
      <c r="K246" s="547">
        <f t="shared" si="21"/>
        <v>11779.14</v>
      </c>
      <c r="L246" s="510"/>
      <c r="M246" s="508"/>
      <c r="N246" s="11" t="s">
        <v>243</v>
      </c>
      <c r="O246" s="341" t="s">
        <v>2895</v>
      </c>
      <c r="P246" s="339"/>
      <c r="Q246" s="325" t="s">
        <v>3046</v>
      </c>
    </row>
    <row r="247" spans="1:17" s="325" customFormat="1" ht="33.75">
      <c r="A247" s="503" t="s">
        <v>2168</v>
      </c>
      <c r="B247" s="504" t="s">
        <v>705</v>
      </c>
      <c r="C247" s="505" t="s">
        <v>669</v>
      </c>
      <c r="D247" s="506">
        <v>1</v>
      </c>
      <c r="E247" s="506">
        <f>估驗單!F240</f>
        <v>3</v>
      </c>
      <c r="F247" s="507">
        <f t="shared" si="22"/>
        <v>2</v>
      </c>
      <c r="G247" s="506">
        <v>2216.48</v>
      </c>
      <c r="H247" s="506"/>
      <c r="I247" s="506">
        <f t="shared" si="25"/>
        <v>2216.48</v>
      </c>
      <c r="J247" s="506">
        <f t="shared" si="26"/>
        <v>6649.44</v>
      </c>
      <c r="K247" s="547">
        <f t="shared" si="21"/>
        <v>4432.9599999999991</v>
      </c>
      <c r="L247" s="510"/>
      <c r="M247" s="508" t="s">
        <v>242</v>
      </c>
      <c r="N247" s="11" t="s">
        <v>243</v>
      </c>
      <c r="O247" s="341" t="s">
        <v>2895</v>
      </c>
      <c r="P247" s="339"/>
      <c r="Q247" s="325" t="s">
        <v>3046</v>
      </c>
    </row>
    <row r="248" spans="1:17" s="325" customFormat="1" ht="33.75">
      <c r="A248" s="503" t="s">
        <v>2169</v>
      </c>
      <c r="B248" s="504" t="s">
        <v>708</v>
      </c>
      <c r="C248" s="505" t="s">
        <v>669</v>
      </c>
      <c r="D248" s="506">
        <v>1</v>
      </c>
      <c r="E248" s="506">
        <f>估驗單!F241</f>
        <v>6</v>
      </c>
      <c r="F248" s="507">
        <f t="shared" si="22"/>
        <v>5</v>
      </c>
      <c r="G248" s="506">
        <v>4720.3100000000004</v>
      </c>
      <c r="H248" s="506"/>
      <c r="I248" s="506">
        <f t="shared" si="25"/>
        <v>4720.3100000000004</v>
      </c>
      <c r="J248" s="506">
        <f t="shared" si="26"/>
        <v>28321.86</v>
      </c>
      <c r="K248" s="547">
        <f t="shared" si="21"/>
        <v>23601.55</v>
      </c>
      <c r="L248" s="510"/>
      <c r="M248" s="508" t="s">
        <v>242</v>
      </c>
      <c r="N248" s="11" t="s">
        <v>243</v>
      </c>
      <c r="O248" s="341" t="s">
        <v>2895</v>
      </c>
      <c r="P248" s="339"/>
      <c r="Q248" s="325" t="s">
        <v>3046</v>
      </c>
    </row>
    <row r="249" spans="1:17" s="325" customFormat="1" ht="33">
      <c r="A249" s="333" t="s">
        <v>2170</v>
      </c>
      <c r="B249" s="334" t="s">
        <v>147</v>
      </c>
      <c r="C249" s="335" t="s">
        <v>8</v>
      </c>
      <c r="D249" s="336">
        <v>162</v>
      </c>
      <c r="E249" s="336">
        <f>估驗單!F242</f>
        <v>162</v>
      </c>
      <c r="F249" s="390">
        <f t="shared" si="22"/>
        <v>0</v>
      </c>
      <c r="G249" s="336">
        <v>1859.79</v>
      </c>
      <c r="H249" s="336"/>
      <c r="I249" s="336">
        <f t="shared" si="25"/>
        <v>301285.98</v>
      </c>
      <c r="J249" s="336">
        <f t="shared" si="26"/>
        <v>301285.98</v>
      </c>
      <c r="K249" s="546">
        <f t="shared" si="21"/>
        <v>0</v>
      </c>
      <c r="L249" s="502"/>
      <c r="M249" s="231"/>
      <c r="N249" s="11" t="s">
        <v>243</v>
      </c>
      <c r="O249" s="341"/>
      <c r="P249" s="339"/>
    </row>
    <row r="250" spans="1:17" s="325" customFormat="1" ht="33">
      <c r="A250" s="333" t="s">
        <v>2171</v>
      </c>
      <c r="B250" s="334" t="s">
        <v>713</v>
      </c>
      <c r="C250" s="335" t="s">
        <v>15</v>
      </c>
      <c r="D250" s="336">
        <v>1</v>
      </c>
      <c r="E250" s="336">
        <f>估驗單!F243</f>
        <v>1</v>
      </c>
      <c r="F250" s="390">
        <f t="shared" si="22"/>
        <v>0</v>
      </c>
      <c r="G250" s="336">
        <v>10254.44</v>
      </c>
      <c r="H250" s="336"/>
      <c r="I250" s="336">
        <f t="shared" si="25"/>
        <v>10254.44</v>
      </c>
      <c r="J250" s="336">
        <f t="shared" si="26"/>
        <v>10254.44</v>
      </c>
      <c r="K250" s="546">
        <f t="shared" si="21"/>
        <v>0</v>
      </c>
      <c r="L250" s="502"/>
      <c r="M250" s="231"/>
      <c r="N250" s="11" t="s">
        <v>243</v>
      </c>
      <c r="O250" s="341"/>
      <c r="P250" s="339"/>
    </row>
    <row r="251" spans="1:17" s="325" customFormat="1" ht="33">
      <c r="A251" s="333" t="s">
        <v>2172</v>
      </c>
      <c r="B251" s="334" t="s">
        <v>716</v>
      </c>
      <c r="C251" s="335" t="s">
        <v>15</v>
      </c>
      <c r="D251" s="336">
        <v>268</v>
      </c>
      <c r="E251" s="336">
        <f>估驗單!F244</f>
        <v>268</v>
      </c>
      <c r="F251" s="390">
        <f t="shared" si="22"/>
        <v>0</v>
      </c>
      <c r="G251" s="336">
        <v>40</v>
      </c>
      <c r="H251" s="336"/>
      <c r="I251" s="336">
        <f t="shared" si="25"/>
        <v>10720</v>
      </c>
      <c r="J251" s="336">
        <f t="shared" si="26"/>
        <v>10720</v>
      </c>
      <c r="K251" s="546">
        <f t="shared" si="21"/>
        <v>0</v>
      </c>
      <c r="L251" s="502"/>
      <c r="M251" s="231"/>
      <c r="N251" s="11" t="s">
        <v>243</v>
      </c>
      <c r="O251" s="341"/>
      <c r="P251" s="339"/>
    </row>
    <row r="252" spans="1:17" s="325" customFormat="1" ht="33">
      <c r="A252" s="333" t="s">
        <v>2173</v>
      </c>
      <c r="B252" s="334" t="s">
        <v>719</v>
      </c>
      <c r="C252" s="335" t="s">
        <v>7</v>
      </c>
      <c r="D252" s="336">
        <v>1340</v>
      </c>
      <c r="E252" s="336">
        <f>估驗單!F245</f>
        <v>1340</v>
      </c>
      <c r="F252" s="390">
        <f t="shared" si="22"/>
        <v>0</v>
      </c>
      <c r="G252" s="336">
        <v>35</v>
      </c>
      <c r="H252" s="336"/>
      <c r="I252" s="336">
        <f t="shared" si="25"/>
        <v>46900</v>
      </c>
      <c r="J252" s="336">
        <f t="shared" si="26"/>
        <v>46900</v>
      </c>
      <c r="K252" s="546">
        <f t="shared" si="21"/>
        <v>0</v>
      </c>
      <c r="L252" s="502"/>
      <c r="M252" s="231"/>
      <c r="N252" s="11" t="s">
        <v>243</v>
      </c>
      <c r="O252" s="341"/>
      <c r="P252" s="339"/>
    </row>
    <row r="253" spans="1:17" s="325" customFormat="1" ht="33">
      <c r="A253" s="333" t="s">
        <v>2174</v>
      </c>
      <c r="B253" s="334" t="s">
        <v>722</v>
      </c>
      <c r="C253" s="335" t="s">
        <v>8</v>
      </c>
      <c r="D253" s="336">
        <v>1</v>
      </c>
      <c r="E253" s="336">
        <f>估驗單!F246</f>
        <v>1</v>
      </c>
      <c r="F253" s="390">
        <f t="shared" si="22"/>
        <v>0</v>
      </c>
      <c r="G253" s="336">
        <v>10</v>
      </c>
      <c r="H253" s="336"/>
      <c r="I253" s="336">
        <f t="shared" si="25"/>
        <v>10</v>
      </c>
      <c r="J253" s="336">
        <f t="shared" si="26"/>
        <v>10</v>
      </c>
      <c r="K253" s="546">
        <f t="shared" si="21"/>
        <v>0</v>
      </c>
      <c r="L253" s="502"/>
      <c r="M253" s="231"/>
      <c r="N253" s="11" t="s">
        <v>243</v>
      </c>
      <c r="O253" s="341"/>
      <c r="P253" s="339"/>
    </row>
    <row r="254" spans="1:17" s="325" customFormat="1" ht="33">
      <c r="A254" s="333" t="s">
        <v>2175</v>
      </c>
      <c r="B254" s="334" t="s">
        <v>725</v>
      </c>
      <c r="C254" s="335" t="s">
        <v>13</v>
      </c>
      <c r="D254" s="336">
        <v>1</v>
      </c>
      <c r="E254" s="336">
        <f>估驗單!F247</f>
        <v>1</v>
      </c>
      <c r="F254" s="390">
        <f t="shared" si="22"/>
        <v>0</v>
      </c>
      <c r="G254" s="336">
        <v>530.97</v>
      </c>
      <c r="H254" s="336"/>
      <c r="I254" s="336">
        <f t="shared" si="25"/>
        <v>530.97</v>
      </c>
      <c r="J254" s="336">
        <f t="shared" si="26"/>
        <v>530.97</v>
      </c>
      <c r="K254" s="546">
        <f t="shared" si="21"/>
        <v>0</v>
      </c>
      <c r="L254" s="502"/>
      <c r="M254" s="231"/>
      <c r="N254" s="11" t="s">
        <v>243</v>
      </c>
      <c r="O254" s="341"/>
      <c r="P254" s="339"/>
    </row>
    <row r="255" spans="1:17" s="325" customFormat="1" ht="33">
      <c r="A255" s="333" t="s">
        <v>2177</v>
      </c>
      <c r="B255" s="334" t="s">
        <v>728</v>
      </c>
      <c r="C255" s="335" t="s">
        <v>6</v>
      </c>
      <c r="D255" s="336">
        <v>11.31</v>
      </c>
      <c r="E255" s="336">
        <f>估驗單!F248</f>
        <v>11.31</v>
      </c>
      <c r="F255" s="390">
        <f t="shared" si="22"/>
        <v>0</v>
      </c>
      <c r="G255" s="336">
        <v>3386.34</v>
      </c>
      <c r="H255" s="336"/>
      <c r="I255" s="336">
        <f t="shared" si="25"/>
        <v>38299.51</v>
      </c>
      <c r="J255" s="336">
        <f t="shared" si="26"/>
        <v>38299.51</v>
      </c>
      <c r="K255" s="546">
        <f t="shared" si="21"/>
        <v>0</v>
      </c>
      <c r="L255" s="502"/>
      <c r="M255" s="231"/>
      <c r="N255" s="11" t="s">
        <v>243</v>
      </c>
      <c r="O255" s="341"/>
      <c r="P255" s="339"/>
    </row>
    <row r="256" spans="1:17" s="325" customFormat="1" ht="33">
      <c r="A256" s="333" t="s">
        <v>2178</v>
      </c>
      <c r="B256" s="334" t="s">
        <v>731</v>
      </c>
      <c r="C256" s="335" t="s">
        <v>4</v>
      </c>
      <c r="D256" s="336">
        <v>1</v>
      </c>
      <c r="E256" s="336">
        <f>估驗單!F249</f>
        <v>1</v>
      </c>
      <c r="F256" s="390">
        <f t="shared" si="22"/>
        <v>0</v>
      </c>
      <c r="G256" s="336">
        <v>107994.11</v>
      </c>
      <c r="H256" s="336"/>
      <c r="I256" s="336">
        <f t="shared" si="25"/>
        <v>107994.11</v>
      </c>
      <c r="J256" s="336">
        <f t="shared" si="26"/>
        <v>107994.11</v>
      </c>
      <c r="K256" s="546">
        <f t="shared" si="21"/>
        <v>0</v>
      </c>
      <c r="L256" s="502"/>
      <c r="M256" s="231"/>
      <c r="N256" s="11" t="s">
        <v>243</v>
      </c>
      <c r="O256" s="341"/>
      <c r="P256" s="339"/>
    </row>
    <row r="257" spans="1:16" s="325" customFormat="1" ht="33">
      <c r="A257" s="333" t="s">
        <v>2179</v>
      </c>
      <c r="B257" s="334" t="s">
        <v>734</v>
      </c>
      <c r="C257" s="335" t="s">
        <v>13</v>
      </c>
      <c r="D257" s="336">
        <v>1</v>
      </c>
      <c r="E257" s="336">
        <f>估驗單!F250</f>
        <v>1</v>
      </c>
      <c r="F257" s="390">
        <f t="shared" si="22"/>
        <v>0</v>
      </c>
      <c r="G257" s="336">
        <v>499.97</v>
      </c>
      <c r="H257" s="336"/>
      <c r="I257" s="336">
        <f t="shared" si="25"/>
        <v>499.97</v>
      </c>
      <c r="J257" s="336">
        <f t="shared" si="26"/>
        <v>499.97</v>
      </c>
      <c r="K257" s="546">
        <f t="shared" si="21"/>
        <v>0</v>
      </c>
      <c r="L257" s="502"/>
      <c r="M257" s="231"/>
      <c r="N257" s="11" t="s">
        <v>243</v>
      </c>
      <c r="O257" s="341"/>
      <c r="P257" s="339"/>
    </row>
    <row r="258" spans="1:16" s="325" customFormat="1" ht="42.75">
      <c r="A258" s="333" t="s">
        <v>2181</v>
      </c>
      <c r="B258" s="334" t="s">
        <v>737</v>
      </c>
      <c r="C258" s="335" t="s">
        <v>669</v>
      </c>
      <c r="D258" s="336">
        <v>1</v>
      </c>
      <c r="E258" s="336">
        <f>估驗單!F251</f>
        <v>1</v>
      </c>
      <c r="F258" s="390">
        <f t="shared" si="22"/>
        <v>0</v>
      </c>
      <c r="G258" s="336">
        <v>10067.84</v>
      </c>
      <c r="H258" s="336"/>
      <c r="I258" s="336">
        <f t="shared" si="25"/>
        <v>10067.84</v>
      </c>
      <c r="J258" s="336">
        <f t="shared" si="26"/>
        <v>10067.84</v>
      </c>
      <c r="K258" s="546">
        <f t="shared" si="21"/>
        <v>0</v>
      </c>
      <c r="L258" s="502"/>
      <c r="M258" s="231"/>
      <c r="N258" s="11" t="s">
        <v>243</v>
      </c>
      <c r="O258" s="341"/>
      <c r="P258" s="339"/>
    </row>
    <row r="259" spans="1:16" s="325" customFormat="1" ht="33">
      <c r="A259" s="333" t="s">
        <v>2182</v>
      </c>
      <c r="B259" s="334" t="s">
        <v>740</v>
      </c>
      <c r="C259" s="335" t="s">
        <v>669</v>
      </c>
      <c r="D259" s="336">
        <v>1</v>
      </c>
      <c r="E259" s="336">
        <f>估驗單!F252</f>
        <v>1</v>
      </c>
      <c r="F259" s="390">
        <f t="shared" si="22"/>
        <v>0</v>
      </c>
      <c r="G259" s="336">
        <v>6487.57</v>
      </c>
      <c r="H259" s="336"/>
      <c r="I259" s="336">
        <f t="shared" si="25"/>
        <v>6487.57</v>
      </c>
      <c r="J259" s="336">
        <f t="shared" si="26"/>
        <v>6487.57</v>
      </c>
      <c r="K259" s="546">
        <f t="shared" si="21"/>
        <v>0</v>
      </c>
      <c r="L259" s="502"/>
      <c r="M259" s="231"/>
      <c r="N259" s="11" t="s">
        <v>243</v>
      </c>
      <c r="O259" s="341"/>
      <c r="P259" s="339"/>
    </row>
    <row r="260" spans="1:16" s="325" customFormat="1" ht="42.75">
      <c r="A260" s="333" t="s">
        <v>2183</v>
      </c>
      <c r="B260" s="334" t="s">
        <v>743</v>
      </c>
      <c r="C260" s="335" t="s">
        <v>669</v>
      </c>
      <c r="D260" s="336">
        <v>1</v>
      </c>
      <c r="E260" s="336">
        <f>估驗單!F253</f>
        <v>1</v>
      </c>
      <c r="F260" s="390">
        <f t="shared" si="22"/>
        <v>0</v>
      </c>
      <c r="G260" s="336">
        <v>8473.2999999999993</v>
      </c>
      <c r="H260" s="336"/>
      <c r="I260" s="336">
        <f t="shared" si="25"/>
        <v>8473.2999999999993</v>
      </c>
      <c r="J260" s="336">
        <f t="shared" si="26"/>
        <v>8473.2999999999993</v>
      </c>
      <c r="K260" s="546">
        <f t="shared" si="21"/>
        <v>0</v>
      </c>
      <c r="L260" s="502"/>
      <c r="M260" s="231"/>
      <c r="N260" s="11" t="s">
        <v>243</v>
      </c>
      <c r="O260" s="341"/>
      <c r="P260" s="339"/>
    </row>
    <row r="261" spans="1:16" s="325" customFormat="1" ht="42.75">
      <c r="A261" s="333" t="s">
        <v>2184</v>
      </c>
      <c r="B261" s="334" t="s">
        <v>746</v>
      </c>
      <c r="C261" s="335" t="s">
        <v>669</v>
      </c>
      <c r="D261" s="336">
        <v>1</v>
      </c>
      <c r="E261" s="336">
        <f>估驗單!F254</f>
        <v>1</v>
      </c>
      <c r="F261" s="390">
        <f t="shared" si="22"/>
        <v>0</v>
      </c>
      <c r="G261" s="336">
        <v>17742.79</v>
      </c>
      <c r="H261" s="336"/>
      <c r="I261" s="336">
        <f t="shared" si="25"/>
        <v>17742.79</v>
      </c>
      <c r="J261" s="336">
        <f t="shared" si="26"/>
        <v>17742.79</v>
      </c>
      <c r="K261" s="546">
        <f t="shared" si="21"/>
        <v>0</v>
      </c>
      <c r="L261" s="502"/>
      <c r="M261" s="231"/>
      <c r="N261" s="11" t="s">
        <v>243</v>
      </c>
      <c r="O261" s="341"/>
      <c r="P261" s="339"/>
    </row>
    <row r="262" spans="1:16" s="325" customFormat="1" ht="42.75">
      <c r="A262" s="333" t="s">
        <v>2185</v>
      </c>
      <c r="B262" s="334" t="s">
        <v>749</v>
      </c>
      <c r="C262" s="335" t="s">
        <v>669</v>
      </c>
      <c r="D262" s="336">
        <v>1</v>
      </c>
      <c r="E262" s="336">
        <f>估驗單!F255</f>
        <v>1</v>
      </c>
      <c r="F262" s="390">
        <f t="shared" si="22"/>
        <v>0</v>
      </c>
      <c r="G262" s="336">
        <v>5164.09</v>
      </c>
      <c r="H262" s="336"/>
      <c r="I262" s="336">
        <f t="shared" si="25"/>
        <v>5164.09</v>
      </c>
      <c r="J262" s="336">
        <f t="shared" si="26"/>
        <v>5164.09</v>
      </c>
      <c r="K262" s="546">
        <f t="shared" si="21"/>
        <v>0</v>
      </c>
      <c r="L262" s="502"/>
      <c r="M262" s="231"/>
      <c r="N262" s="11" t="s">
        <v>243</v>
      </c>
      <c r="O262" s="341"/>
      <c r="P262" s="339"/>
    </row>
    <row r="263" spans="1:16" s="325" customFormat="1" ht="42.75">
      <c r="A263" s="333" t="s">
        <v>2186</v>
      </c>
      <c r="B263" s="334" t="s">
        <v>752</v>
      </c>
      <c r="C263" s="335" t="s">
        <v>669</v>
      </c>
      <c r="D263" s="336">
        <v>1</v>
      </c>
      <c r="E263" s="336">
        <f>估驗單!F256</f>
        <v>1</v>
      </c>
      <c r="F263" s="390">
        <f t="shared" si="22"/>
        <v>0</v>
      </c>
      <c r="G263" s="336">
        <v>5164.09</v>
      </c>
      <c r="H263" s="336"/>
      <c r="I263" s="336">
        <f t="shared" si="25"/>
        <v>5164.09</v>
      </c>
      <c r="J263" s="336">
        <f t="shared" si="26"/>
        <v>5164.09</v>
      </c>
      <c r="K263" s="546">
        <f t="shared" si="21"/>
        <v>0</v>
      </c>
      <c r="L263" s="502"/>
      <c r="M263" s="231"/>
      <c r="N263" s="11" t="s">
        <v>243</v>
      </c>
      <c r="O263" s="341"/>
      <c r="P263" s="339"/>
    </row>
    <row r="264" spans="1:16" s="325" customFormat="1" ht="42.75">
      <c r="A264" s="333" t="s">
        <v>2187</v>
      </c>
      <c r="B264" s="334" t="s">
        <v>755</v>
      </c>
      <c r="C264" s="335" t="s">
        <v>669</v>
      </c>
      <c r="D264" s="336">
        <v>1</v>
      </c>
      <c r="E264" s="336">
        <f>估驗單!F257</f>
        <v>1</v>
      </c>
      <c r="F264" s="390">
        <f t="shared" si="22"/>
        <v>0</v>
      </c>
      <c r="G264" s="336">
        <v>5730.56</v>
      </c>
      <c r="H264" s="336"/>
      <c r="I264" s="336">
        <f t="shared" si="25"/>
        <v>5730.56</v>
      </c>
      <c r="J264" s="336">
        <f t="shared" si="26"/>
        <v>5730.56</v>
      </c>
      <c r="K264" s="546">
        <f t="shared" si="21"/>
        <v>0</v>
      </c>
      <c r="L264" s="502"/>
      <c r="M264" s="231"/>
      <c r="N264" s="11" t="s">
        <v>243</v>
      </c>
      <c r="O264" s="341"/>
      <c r="P264" s="339"/>
    </row>
    <row r="265" spans="1:16" s="325" customFormat="1" ht="42.75">
      <c r="A265" s="333" t="s">
        <v>2188</v>
      </c>
      <c r="B265" s="334" t="s">
        <v>758</v>
      </c>
      <c r="C265" s="335" t="s">
        <v>669</v>
      </c>
      <c r="D265" s="336">
        <v>1</v>
      </c>
      <c r="E265" s="336">
        <f>估驗單!F258</f>
        <v>1</v>
      </c>
      <c r="F265" s="390">
        <f t="shared" si="22"/>
        <v>0</v>
      </c>
      <c r="G265" s="336">
        <v>7081</v>
      </c>
      <c r="H265" s="336"/>
      <c r="I265" s="336">
        <f t="shared" ref="I265:I296" si="27">ROUND(D265*G265,2)</f>
        <v>7081</v>
      </c>
      <c r="J265" s="336">
        <f t="shared" ref="J265:J296" si="28">ROUND(E265*G265,2)</f>
        <v>7081</v>
      </c>
      <c r="K265" s="546">
        <f t="shared" si="21"/>
        <v>0</v>
      </c>
      <c r="L265" s="502"/>
      <c r="M265" s="231"/>
      <c r="N265" s="11" t="s">
        <v>243</v>
      </c>
      <c r="O265" s="341"/>
      <c r="P265" s="339"/>
    </row>
    <row r="266" spans="1:16" s="325" customFormat="1" ht="42.75">
      <c r="A266" s="333" t="s">
        <v>2189</v>
      </c>
      <c r="B266" s="334" t="s">
        <v>761</v>
      </c>
      <c r="C266" s="335" t="s">
        <v>669</v>
      </c>
      <c r="D266" s="336">
        <v>1</v>
      </c>
      <c r="E266" s="336">
        <f>估驗單!F259</f>
        <v>1</v>
      </c>
      <c r="F266" s="390">
        <f t="shared" si="22"/>
        <v>0</v>
      </c>
      <c r="G266" s="336">
        <v>4752.1099999999997</v>
      </c>
      <c r="H266" s="336"/>
      <c r="I266" s="336">
        <f t="shared" si="27"/>
        <v>4752.1099999999997</v>
      </c>
      <c r="J266" s="336">
        <f t="shared" si="28"/>
        <v>4752.1099999999997</v>
      </c>
      <c r="K266" s="546">
        <f t="shared" si="21"/>
        <v>0</v>
      </c>
      <c r="L266" s="502"/>
      <c r="M266" s="231"/>
      <c r="N266" s="11" t="s">
        <v>243</v>
      </c>
      <c r="O266" s="341"/>
      <c r="P266" s="339"/>
    </row>
    <row r="267" spans="1:16" s="325" customFormat="1" ht="42.75">
      <c r="A267" s="333" t="s">
        <v>2190</v>
      </c>
      <c r="B267" s="334" t="s">
        <v>764</v>
      </c>
      <c r="C267" s="335" t="s">
        <v>669</v>
      </c>
      <c r="D267" s="336">
        <v>1</v>
      </c>
      <c r="E267" s="336">
        <f>估驗單!F260</f>
        <v>1</v>
      </c>
      <c r="F267" s="390">
        <f t="shared" si="22"/>
        <v>0</v>
      </c>
      <c r="G267" s="336">
        <v>14691.08</v>
      </c>
      <c r="H267" s="336"/>
      <c r="I267" s="336">
        <f t="shared" si="27"/>
        <v>14691.08</v>
      </c>
      <c r="J267" s="336">
        <f t="shared" si="28"/>
        <v>14691.08</v>
      </c>
      <c r="K267" s="546">
        <f t="shared" si="21"/>
        <v>0</v>
      </c>
      <c r="L267" s="502"/>
      <c r="M267" s="231"/>
      <c r="N267" s="11" t="s">
        <v>243</v>
      </c>
      <c r="O267" s="341"/>
      <c r="P267" s="339"/>
    </row>
    <row r="268" spans="1:16" s="325" customFormat="1" ht="33">
      <c r="A268" s="333" t="s">
        <v>2191</v>
      </c>
      <c r="B268" s="334" t="s">
        <v>767</v>
      </c>
      <c r="C268" s="335" t="s">
        <v>669</v>
      </c>
      <c r="D268" s="336">
        <v>1</v>
      </c>
      <c r="E268" s="336">
        <f>估驗單!F261</f>
        <v>1</v>
      </c>
      <c r="F268" s="390">
        <f t="shared" si="22"/>
        <v>0</v>
      </c>
      <c r="G268" s="336">
        <v>224.3</v>
      </c>
      <c r="H268" s="336"/>
      <c r="I268" s="336">
        <f t="shared" si="27"/>
        <v>224.3</v>
      </c>
      <c r="J268" s="336">
        <f t="shared" si="28"/>
        <v>224.3</v>
      </c>
      <c r="K268" s="546">
        <f t="shared" si="21"/>
        <v>0</v>
      </c>
      <c r="L268" s="502"/>
      <c r="M268" s="231"/>
      <c r="N268" s="11" t="s">
        <v>243</v>
      </c>
      <c r="O268" s="341"/>
      <c r="P268" s="339"/>
    </row>
    <row r="269" spans="1:16" s="325" customFormat="1" ht="33">
      <c r="A269" s="333" t="s">
        <v>2192</v>
      </c>
      <c r="B269" s="334" t="s">
        <v>770</v>
      </c>
      <c r="C269" s="335" t="s">
        <v>669</v>
      </c>
      <c r="D269" s="336">
        <v>1</v>
      </c>
      <c r="E269" s="336">
        <f>估驗單!F262</f>
        <v>1</v>
      </c>
      <c r="F269" s="390">
        <f t="shared" si="22"/>
        <v>0</v>
      </c>
      <c r="G269" s="336">
        <v>275.64</v>
      </c>
      <c r="H269" s="336"/>
      <c r="I269" s="336">
        <f t="shared" si="27"/>
        <v>275.64</v>
      </c>
      <c r="J269" s="336">
        <f t="shared" si="28"/>
        <v>275.64</v>
      </c>
      <c r="K269" s="546">
        <f t="shared" ref="K269:K332" si="29">J269-I269</f>
        <v>0</v>
      </c>
      <c r="L269" s="502"/>
      <c r="M269" s="231"/>
      <c r="N269" s="11" t="s">
        <v>243</v>
      </c>
      <c r="O269" s="341"/>
      <c r="P269" s="339"/>
    </row>
    <row r="270" spans="1:16" s="325" customFormat="1" ht="33">
      <c r="A270" s="333" t="s">
        <v>2193</v>
      </c>
      <c r="B270" s="334" t="s">
        <v>773</v>
      </c>
      <c r="C270" s="335" t="s">
        <v>669</v>
      </c>
      <c r="D270" s="336">
        <v>1</v>
      </c>
      <c r="E270" s="336">
        <f>估驗單!F263</f>
        <v>1</v>
      </c>
      <c r="F270" s="390">
        <f t="shared" si="22"/>
        <v>0</v>
      </c>
      <c r="G270" s="336">
        <v>283.52999999999997</v>
      </c>
      <c r="H270" s="336"/>
      <c r="I270" s="336">
        <f t="shared" si="27"/>
        <v>283.52999999999997</v>
      </c>
      <c r="J270" s="336">
        <f t="shared" si="28"/>
        <v>283.52999999999997</v>
      </c>
      <c r="K270" s="546">
        <f t="shared" si="29"/>
        <v>0</v>
      </c>
      <c r="L270" s="502"/>
      <c r="M270" s="231"/>
      <c r="N270" s="11" t="s">
        <v>243</v>
      </c>
      <c r="O270" s="341"/>
      <c r="P270" s="339"/>
    </row>
    <row r="271" spans="1:16" s="325" customFormat="1" ht="33">
      <c r="A271" s="333" t="s">
        <v>2194</v>
      </c>
      <c r="B271" s="334" t="s">
        <v>776</v>
      </c>
      <c r="C271" s="335" t="s">
        <v>669</v>
      </c>
      <c r="D271" s="336">
        <v>1</v>
      </c>
      <c r="E271" s="336">
        <f>估驗單!F264</f>
        <v>1</v>
      </c>
      <c r="F271" s="390">
        <f t="shared" ref="F271:F334" si="30">E271-D271</f>
        <v>0</v>
      </c>
      <c r="G271" s="336">
        <v>88.95</v>
      </c>
      <c r="H271" s="336"/>
      <c r="I271" s="336">
        <f t="shared" si="27"/>
        <v>88.95</v>
      </c>
      <c r="J271" s="336">
        <f t="shared" si="28"/>
        <v>88.95</v>
      </c>
      <c r="K271" s="546">
        <f t="shared" si="29"/>
        <v>0</v>
      </c>
      <c r="L271" s="502"/>
      <c r="M271" s="231"/>
      <c r="N271" s="11" t="s">
        <v>243</v>
      </c>
      <c r="O271" s="341"/>
      <c r="P271" s="339"/>
    </row>
    <row r="272" spans="1:16" s="325" customFormat="1" ht="33">
      <c r="A272" s="333" t="s">
        <v>2195</v>
      </c>
      <c r="B272" s="334" t="s">
        <v>779</v>
      </c>
      <c r="C272" s="335" t="s">
        <v>669</v>
      </c>
      <c r="D272" s="336">
        <v>1</v>
      </c>
      <c r="E272" s="336">
        <f>估驗單!F265</f>
        <v>1</v>
      </c>
      <c r="F272" s="390">
        <f t="shared" si="30"/>
        <v>0</v>
      </c>
      <c r="G272" s="336">
        <v>123.72</v>
      </c>
      <c r="H272" s="336"/>
      <c r="I272" s="336">
        <f t="shared" si="27"/>
        <v>123.72</v>
      </c>
      <c r="J272" s="336">
        <f t="shared" si="28"/>
        <v>123.72</v>
      </c>
      <c r="K272" s="546">
        <f t="shared" si="29"/>
        <v>0</v>
      </c>
      <c r="L272" s="502"/>
      <c r="M272" s="231"/>
      <c r="N272" s="11" t="s">
        <v>243</v>
      </c>
      <c r="O272" s="341"/>
      <c r="P272" s="339"/>
    </row>
    <row r="273" spans="1:16" s="325" customFormat="1" ht="33">
      <c r="A273" s="333" t="s">
        <v>2196</v>
      </c>
      <c r="B273" s="334" t="s">
        <v>782</v>
      </c>
      <c r="C273" s="335" t="s">
        <v>669</v>
      </c>
      <c r="D273" s="336">
        <v>1</v>
      </c>
      <c r="E273" s="336">
        <f>估驗單!F266</f>
        <v>1</v>
      </c>
      <c r="F273" s="390">
        <f t="shared" si="30"/>
        <v>0</v>
      </c>
      <c r="G273" s="336">
        <v>121.41</v>
      </c>
      <c r="H273" s="336"/>
      <c r="I273" s="336">
        <f t="shared" si="27"/>
        <v>121.41</v>
      </c>
      <c r="J273" s="336">
        <f t="shared" si="28"/>
        <v>121.41</v>
      </c>
      <c r="K273" s="546">
        <f t="shared" si="29"/>
        <v>0</v>
      </c>
      <c r="L273" s="502"/>
      <c r="M273" s="231"/>
      <c r="N273" s="11" t="s">
        <v>243</v>
      </c>
      <c r="O273" s="341"/>
      <c r="P273" s="339"/>
    </row>
    <row r="274" spans="1:16" s="325" customFormat="1" ht="33">
      <c r="A274" s="333" t="s">
        <v>2197</v>
      </c>
      <c r="B274" s="334" t="s">
        <v>785</v>
      </c>
      <c r="C274" s="335" t="s">
        <v>669</v>
      </c>
      <c r="D274" s="336">
        <v>1</v>
      </c>
      <c r="E274" s="336">
        <f>估驗單!F267</f>
        <v>1</v>
      </c>
      <c r="F274" s="390">
        <f t="shared" si="30"/>
        <v>0</v>
      </c>
      <c r="G274" s="336">
        <v>134.28</v>
      </c>
      <c r="H274" s="336"/>
      <c r="I274" s="336">
        <f t="shared" si="27"/>
        <v>134.28</v>
      </c>
      <c r="J274" s="336">
        <f t="shared" si="28"/>
        <v>134.28</v>
      </c>
      <c r="K274" s="546">
        <f t="shared" si="29"/>
        <v>0</v>
      </c>
      <c r="L274" s="502"/>
      <c r="M274" s="231"/>
      <c r="N274" s="11" t="s">
        <v>243</v>
      </c>
      <c r="O274" s="341"/>
      <c r="P274" s="339"/>
    </row>
    <row r="275" spans="1:16" s="325" customFormat="1" ht="33">
      <c r="A275" s="333" t="s">
        <v>2198</v>
      </c>
      <c r="B275" s="334" t="s">
        <v>788</v>
      </c>
      <c r="C275" s="335" t="s">
        <v>669</v>
      </c>
      <c r="D275" s="336">
        <v>1</v>
      </c>
      <c r="E275" s="336">
        <f>估驗單!F268</f>
        <v>1</v>
      </c>
      <c r="F275" s="390">
        <f t="shared" si="30"/>
        <v>0</v>
      </c>
      <c r="G275" s="336">
        <v>36.549999999999997</v>
      </c>
      <c r="H275" s="336"/>
      <c r="I275" s="336">
        <f t="shared" si="27"/>
        <v>36.549999999999997</v>
      </c>
      <c r="J275" s="336">
        <f t="shared" si="28"/>
        <v>36.549999999999997</v>
      </c>
      <c r="K275" s="546">
        <f t="shared" si="29"/>
        <v>0</v>
      </c>
      <c r="L275" s="502"/>
      <c r="M275" s="231"/>
      <c r="N275" s="11" t="s">
        <v>243</v>
      </c>
      <c r="O275" s="341"/>
      <c r="P275" s="339"/>
    </row>
    <row r="276" spans="1:16" s="325" customFormat="1" ht="33">
      <c r="A276" s="333" t="s">
        <v>2199</v>
      </c>
      <c r="B276" s="334" t="s">
        <v>791</v>
      </c>
      <c r="C276" s="335" t="s">
        <v>669</v>
      </c>
      <c r="D276" s="336">
        <v>1</v>
      </c>
      <c r="E276" s="336">
        <f>估驗單!F269</f>
        <v>1</v>
      </c>
      <c r="F276" s="390">
        <f t="shared" si="30"/>
        <v>0</v>
      </c>
      <c r="G276" s="336">
        <v>103.76</v>
      </c>
      <c r="H276" s="336"/>
      <c r="I276" s="336">
        <f t="shared" si="27"/>
        <v>103.76</v>
      </c>
      <c r="J276" s="336">
        <f t="shared" si="28"/>
        <v>103.76</v>
      </c>
      <c r="K276" s="546">
        <f t="shared" si="29"/>
        <v>0</v>
      </c>
      <c r="L276" s="502"/>
      <c r="M276" s="231"/>
      <c r="N276" s="11" t="s">
        <v>243</v>
      </c>
      <c r="O276" s="341"/>
      <c r="P276" s="339"/>
    </row>
    <row r="277" spans="1:16" s="325" customFormat="1" ht="33">
      <c r="A277" s="333" t="s">
        <v>2200</v>
      </c>
      <c r="B277" s="334" t="s">
        <v>794</v>
      </c>
      <c r="C277" s="335" t="s">
        <v>669</v>
      </c>
      <c r="D277" s="336">
        <v>1</v>
      </c>
      <c r="E277" s="336">
        <f>估驗單!F270</f>
        <v>1</v>
      </c>
      <c r="F277" s="390">
        <f t="shared" si="30"/>
        <v>0</v>
      </c>
      <c r="G277" s="336">
        <v>140.84</v>
      </c>
      <c r="H277" s="336"/>
      <c r="I277" s="336">
        <f t="shared" si="27"/>
        <v>140.84</v>
      </c>
      <c r="J277" s="336">
        <f t="shared" si="28"/>
        <v>140.84</v>
      </c>
      <c r="K277" s="546">
        <f t="shared" si="29"/>
        <v>0</v>
      </c>
      <c r="L277" s="502"/>
      <c r="M277" s="231"/>
      <c r="N277" s="11" t="s">
        <v>243</v>
      </c>
      <c r="O277" s="341"/>
      <c r="P277" s="339"/>
    </row>
    <row r="278" spans="1:16" s="325" customFormat="1" ht="33">
      <c r="A278" s="333" t="s">
        <v>2201</v>
      </c>
      <c r="B278" s="334" t="s">
        <v>797</v>
      </c>
      <c r="C278" s="335" t="s">
        <v>669</v>
      </c>
      <c r="D278" s="336">
        <v>1</v>
      </c>
      <c r="E278" s="336">
        <f>估驗單!F271</f>
        <v>1</v>
      </c>
      <c r="F278" s="390">
        <f t="shared" si="30"/>
        <v>0</v>
      </c>
      <c r="G278" s="336">
        <v>51.75</v>
      </c>
      <c r="H278" s="336"/>
      <c r="I278" s="336">
        <f t="shared" si="27"/>
        <v>51.75</v>
      </c>
      <c r="J278" s="336">
        <f t="shared" si="28"/>
        <v>51.75</v>
      </c>
      <c r="K278" s="546">
        <f t="shared" si="29"/>
        <v>0</v>
      </c>
      <c r="L278" s="502"/>
      <c r="M278" s="231"/>
      <c r="N278" s="11" t="s">
        <v>243</v>
      </c>
      <c r="O278" s="341"/>
      <c r="P278" s="339"/>
    </row>
    <row r="279" spans="1:16" s="325" customFormat="1" ht="33">
      <c r="A279" s="333" t="s">
        <v>2202</v>
      </c>
      <c r="B279" s="334" t="s">
        <v>800</v>
      </c>
      <c r="C279" s="335" t="s">
        <v>669</v>
      </c>
      <c r="D279" s="336">
        <v>1</v>
      </c>
      <c r="E279" s="336">
        <f>估驗單!F272</f>
        <v>1</v>
      </c>
      <c r="F279" s="390">
        <f t="shared" si="30"/>
        <v>0</v>
      </c>
      <c r="G279" s="336">
        <v>35.01</v>
      </c>
      <c r="H279" s="336"/>
      <c r="I279" s="336">
        <f t="shared" si="27"/>
        <v>35.01</v>
      </c>
      <c r="J279" s="336">
        <f t="shared" si="28"/>
        <v>35.01</v>
      </c>
      <c r="K279" s="546">
        <f t="shared" si="29"/>
        <v>0</v>
      </c>
      <c r="L279" s="502"/>
      <c r="M279" s="231"/>
      <c r="N279" s="11" t="s">
        <v>243</v>
      </c>
      <c r="O279" s="341"/>
      <c r="P279" s="339"/>
    </row>
    <row r="280" spans="1:16" s="325" customFormat="1" ht="33">
      <c r="A280" s="333" t="s">
        <v>2203</v>
      </c>
      <c r="B280" s="334" t="s">
        <v>803</v>
      </c>
      <c r="C280" s="335" t="s">
        <v>669</v>
      </c>
      <c r="D280" s="336">
        <v>1</v>
      </c>
      <c r="E280" s="336">
        <f>估驗單!F273</f>
        <v>1</v>
      </c>
      <c r="F280" s="390">
        <f t="shared" si="30"/>
        <v>0</v>
      </c>
      <c r="G280" s="336">
        <v>58.37</v>
      </c>
      <c r="H280" s="336"/>
      <c r="I280" s="336">
        <f t="shared" si="27"/>
        <v>58.37</v>
      </c>
      <c r="J280" s="336">
        <f t="shared" si="28"/>
        <v>58.37</v>
      </c>
      <c r="K280" s="546">
        <f t="shared" si="29"/>
        <v>0</v>
      </c>
      <c r="L280" s="502"/>
      <c r="M280" s="231"/>
      <c r="N280" s="11" t="s">
        <v>243</v>
      </c>
      <c r="O280" s="341"/>
      <c r="P280" s="339"/>
    </row>
    <row r="281" spans="1:16" s="325" customFormat="1" ht="33">
      <c r="A281" s="333" t="s">
        <v>2204</v>
      </c>
      <c r="B281" s="334" t="s">
        <v>806</v>
      </c>
      <c r="C281" s="335" t="s">
        <v>669</v>
      </c>
      <c r="D281" s="336">
        <v>1</v>
      </c>
      <c r="E281" s="336">
        <f>估驗單!F274</f>
        <v>1</v>
      </c>
      <c r="F281" s="390">
        <f t="shared" si="30"/>
        <v>0</v>
      </c>
      <c r="G281" s="336">
        <v>79.040000000000006</v>
      </c>
      <c r="H281" s="336"/>
      <c r="I281" s="336">
        <f t="shared" si="27"/>
        <v>79.040000000000006</v>
      </c>
      <c r="J281" s="336">
        <f t="shared" si="28"/>
        <v>79.040000000000006</v>
      </c>
      <c r="K281" s="546">
        <f t="shared" si="29"/>
        <v>0</v>
      </c>
      <c r="L281" s="502"/>
      <c r="M281" s="231"/>
      <c r="N281" s="11" t="s">
        <v>243</v>
      </c>
      <c r="O281" s="341"/>
      <c r="P281" s="339"/>
    </row>
    <row r="282" spans="1:16" s="325" customFormat="1" ht="33">
      <c r="A282" s="333" t="s">
        <v>2205</v>
      </c>
      <c r="B282" s="334" t="s">
        <v>809</v>
      </c>
      <c r="C282" s="335" t="s">
        <v>669</v>
      </c>
      <c r="D282" s="336">
        <v>1</v>
      </c>
      <c r="E282" s="336">
        <f>估驗單!F275</f>
        <v>1</v>
      </c>
      <c r="F282" s="390">
        <f t="shared" si="30"/>
        <v>0</v>
      </c>
      <c r="G282" s="336">
        <v>63.59</v>
      </c>
      <c r="H282" s="336"/>
      <c r="I282" s="336">
        <f t="shared" si="27"/>
        <v>63.59</v>
      </c>
      <c r="J282" s="336">
        <f t="shared" si="28"/>
        <v>63.59</v>
      </c>
      <c r="K282" s="546">
        <f t="shared" si="29"/>
        <v>0</v>
      </c>
      <c r="L282" s="502"/>
      <c r="M282" s="231"/>
      <c r="N282" s="11" t="s">
        <v>243</v>
      </c>
      <c r="O282" s="341"/>
      <c r="P282" s="339"/>
    </row>
    <row r="283" spans="1:16" s="325" customFormat="1" ht="33">
      <c r="A283" s="333" t="s">
        <v>2206</v>
      </c>
      <c r="B283" s="334" t="s">
        <v>812</v>
      </c>
      <c r="C283" s="335" t="s">
        <v>669</v>
      </c>
      <c r="D283" s="336">
        <v>1</v>
      </c>
      <c r="E283" s="336">
        <f>估驗單!F276</f>
        <v>1</v>
      </c>
      <c r="F283" s="390">
        <f t="shared" si="30"/>
        <v>0</v>
      </c>
      <c r="G283" s="336">
        <v>94.49</v>
      </c>
      <c r="H283" s="336"/>
      <c r="I283" s="336">
        <f t="shared" si="27"/>
        <v>94.49</v>
      </c>
      <c r="J283" s="336">
        <f t="shared" si="28"/>
        <v>94.49</v>
      </c>
      <c r="K283" s="546">
        <f t="shared" si="29"/>
        <v>0</v>
      </c>
      <c r="L283" s="502"/>
      <c r="M283" s="231"/>
      <c r="N283" s="11" t="s">
        <v>243</v>
      </c>
      <c r="O283" s="341"/>
      <c r="P283" s="339"/>
    </row>
    <row r="284" spans="1:16" s="325" customFormat="1" ht="33">
      <c r="A284" s="333" t="s">
        <v>2207</v>
      </c>
      <c r="B284" s="334" t="s">
        <v>815</v>
      </c>
      <c r="C284" s="335" t="s">
        <v>669</v>
      </c>
      <c r="D284" s="336">
        <v>1</v>
      </c>
      <c r="E284" s="336">
        <f>估驗單!F277</f>
        <v>1</v>
      </c>
      <c r="F284" s="390">
        <f t="shared" si="30"/>
        <v>0</v>
      </c>
      <c r="G284" s="336">
        <v>73.89</v>
      </c>
      <c r="H284" s="336"/>
      <c r="I284" s="336">
        <f t="shared" si="27"/>
        <v>73.89</v>
      </c>
      <c r="J284" s="336">
        <f t="shared" si="28"/>
        <v>73.89</v>
      </c>
      <c r="K284" s="546">
        <f t="shared" si="29"/>
        <v>0</v>
      </c>
      <c r="L284" s="502"/>
      <c r="M284" s="231"/>
      <c r="N284" s="11" t="s">
        <v>243</v>
      </c>
      <c r="O284" s="341"/>
      <c r="P284" s="339"/>
    </row>
    <row r="285" spans="1:16" s="325" customFormat="1" ht="33">
      <c r="A285" s="333" t="s">
        <v>2208</v>
      </c>
      <c r="B285" s="334" t="s">
        <v>818</v>
      </c>
      <c r="C285" s="335" t="s">
        <v>669</v>
      </c>
      <c r="D285" s="336">
        <v>1</v>
      </c>
      <c r="E285" s="336">
        <f>估驗單!F278</f>
        <v>1</v>
      </c>
      <c r="F285" s="390">
        <f t="shared" si="30"/>
        <v>0</v>
      </c>
      <c r="G285" s="336">
        <v>92.43</v>
      </c>
      <c r="H285" s="336"/>
      <c r="I285" s="336">
        <f t="shared" si="27"/>
        <v>92.43</v>
      </c>
      <c r="J285" s="336">
        <f t="shared" si="28"/>
        <v>92.43</v>
      </c>
      <c r="K285" s="546">
        <f t="shared" si="29"/>
        <v>0</v>
      </c>
      <c r="L285" s="502"/>
      <c r="M285" s="231"/>
      <c r="N285" s="11" t="s">
        <v>243</v>
      </c>
      <c r="O285" s="341"/>
      <c r="P285" s="339"/>
    </row>
    <row r="286" spans="1:16" s="325" customFormat="1" ht="33">
      <c r="A286" s="333" t="s">
        <v>2209</v>
      </c>
      <c r="B286" s="334" t="s">
        <v>821</v>
      </c>
      <c r="C286" s="335" t="s">
        <v>669</v>
      </c>
      <c r="D286" s="336">
        <v>1</v>
      </c>
      <c r="E286" s="336">
        <f>估驗單!F279</f>
        <v>1</v>
      </c>
      <c r="F286" s="390">
        <f t="shared" si="30"/>
        <v>0</v>
      </c>
      <c r="G286" s="336">
        <v>61.98</v>
      </c>
      <c r="H286" s="336"/>
      <c r="I286" s="336">
        <f t="shared" si="27"/>
        <v>61.98</v>
      </c>
      <c r="J286" s="336">
        <f t="shared" si="28"/>
        <v>61.98</v>
      </c>
      <c r="K286" s="546">
        <f t="shared" si="29"/>
        <v>0</v>
      </c>
      <c r="L286" s="502"/>
      <c r="M286" s="231"/>
      <c r="N286" s="11" t="s">
        <v>243</v>
      </c>
      <c r="O286" s="341"/>
      <c r="P286" s="339"/>
    </row>
    <row r="287" spans="1:16" s="325" customFormat="1" ht="33">
      <c r="A287" s="333" t="s">
        <v>2210</v>
      </c>
      <c r="B287" s="334" t="s">
        <v>824</v>
      </c>
      <c r="C287" s="335" t="s">
        <v>669</v>
      </c>
      <c r="D287" s="336">
        <v>1</v>
      </c>
      <c r="E287" s="336">
        <f>估驗單!F280</f>
        <v>1</v>
      </c>
      <c r="F287" s="390">
        <f t="shared" si="30"/>
        <v>0</v>
      </c>
      <c r="G287" s="336">
        <v>154.66</v>
      </c>
      <c r="H287" s="336"/>
      <c r="I287" s="336">
        <f t="shared" si="27"/>
        <v>154.66</v>
      </c>
      <c r="J287" s="336">
        <f t="shared" si="28"/>
        <v>154.66</v>
      </c>
      <c r="K287" s="546">
        <f t="shared" si="29"/>
        <v>0</v>
      </c>
      <c r="L287" s="502"/>
      <c r="M287" s="231"/>
      <c r="N287" s="11" t="s">
        <v>243</v>
      </c>
      <c r="O287" s="341"/>
      <c r="P287" s="339"/>
    </row>
    <row r="288" spans="1:16" s="325" customFormat="1" ht="33">
      <c r="A288" s="333" t="s">
        <v>2211</v>
      </c>
      <c r="B288" s="334" t="s">
        <v>827</v>
      </c>
      <c r="C288" s="335" t="s">
        <v>669</v>
      </c>
      <c r="D288" s="336">
        <v>1</v>
      </c>
      <c r="E288" s="336">
        <f>估驗單!F281</f>
        <v>1</v>
      </c>
      <c r="F288" s="390">
        <f t="shared" si="30"/>
        <v>0</v>
      </c>
      <c r="G288" s="336">
        <v>67.709999999999994</v>
      </c>
      <c r="H288" s="336"/>
      <c r="I288" s="336">
        <f t="shared" si="27"/>
        <v>67.709999999999994</v>
      </c>
      <c r="J288" s="336">
        <f t="shared" si="28"/>
        <v>67.709999999999994</v>
      </c>
      <c r="K288" s="546">
        <f t="shared" si="29"/>
        <v>0</v>
      </c>
      <c r="L288" s="502"/>
      <c r="M288" s="231"/>
      <c r="N288" s="11" t="s">
        <v>243</v>
      </c>
      <c r="O288" s="341"/>
      <c r="P288" s="339"/>
    </row>
    <row r="289" spans="1:16" s="325" customFormat="1" ht="33">
      <c r="A289" s="333" t="s">
        <v>2212</v>
      </c>
      <c r="B289" s="334" t="s">
        <v>830</v>
      </c>
      <c r="C289" s="335" t="s">
        <v>669</v>
      </c>
      <c r="D289" s="336">
        <v>1</v>
      </c>
      <c r="E289" s="336">
        <f>估驗單!F282</f>
        <v>1</v>
      </c>
      <c r="F289" s="390">
        <f t="shared" si="30"/>
        <v>0</v>
      </c>
      <c r="G289" s="336">
        <v>54.25</v>
      </c>
      <c r="H289" s="336"/>
      <c r="I289" s="336">
        <f t="shared" si="27"/>
        <v>54.25</v>
      </c>
      <c r="J289" s="336">
        <f t="shared" si="28"/>
        <v>54.25</v>
      </c>
      <c r="K289" s="546">
        <f t="shared" si="29"/>
        <v>0</v>
      </c>
      <c r="L289" s="502"/>
      <c r="M289" s="231"/>
      <c r="N289" s="11" t="s">
        <v>243</v>
      </c>
      <c r="O289" s="341"/>
      <c r="P289" s="339"/>
    </row>
    <row r="290" spans="1:16" s="325" customFormat="1" ht="33">
      <c r="A290" s="333" t="s">
        <v>2213</v>
      </c>
      <c r="B290" s="334" t="s">
        <v>833</v>
      </c>
      <c r="C290" s="335" t="s">
        <v>669</v>
      </c>
      <c r="D290" s="336">
        <v>1</v>
      </c>
      <c r="E290" s="336">
        <f>估驗單!F283</f>
        <v>1</v>
      </c>
      <c r="F290" s="390">
        <f t="shared" si="30"/>
        <v>0</v>
      </c>
      <c r="G290" s="336">
        <v>90.3</v>
      </c>
      <c r="H290" s="336"/>
      <c r="I290" s="336">
        <f t="shared" si="27"/>
        <v>90.3</v>
      </c>
      <c r="J290" s="336">
        <f t="shared" si="28"/>
        <v>90.3</v>
      </c>
      <c r="K290" s="546">
        <f t="shared" si="29"/>
        <v>0</v>
      </c>
      <c r="L290" s="502"/>
      <c r="M290" s="231"/>
      <c r="N290" s="11" t="s">
        <v>243</v>
      </c>
      <c r="O290" s="341"/>
      <c r="P290" s="339"/>
    </row>
    <row r="291" spans="1:16" s="325" customFormat="1" ht="33">
      <c r="A291" s="333" t="s">
        <v>2214</v>
      </c>
      <c r="B291" s="334" t="s">
        <v>836</v>
      </c>
      <c r="C291" s="335" t="s">
        <v>669</v>
      </c>
      <c r="D291" s="336">
        <v>1</v>
      </c>
      <c r="E291" s="336">
        <f>估驗單!F284</f>
        <v>1</v>
      </c>
      <c r="F291" s="390">
        <f t="shared" si="30"/>
        <v>0</v>
      </c>
      <c r="G291" s="336">
        <v>67.13</v>
      </c>
      <c r="H291" s="336"/>
      <c r="I291" s="336">
        <f t="shared" si="27"/>
        <v>67.13</v>
      </c>
      <c r="J291" s="336">
        <f t="shared" si="28"/>
        <v>67.13</v>
      </c>
      <c r="K291" s="546">
        <f t="shared" si="29"/>
        <v>0</v>
      </c>
      <c r="L291" s="502"/>
      <c r="M291" s="231"/>
      <c r="N291" s="11" t="s">
        <v>243</v>
      </c>
      <c r="O291" s="341"/>
      <c r="P291" s="339"/>
    </row>
    <row r="292" spans="1:16" s="325" customFormat="1" ht="33">
      <c r="A292" s="333" t="s">
        <v>2215</v>
      </c>
      <c r="B292" s="334" t="s">
        <v>839</v>
      </c>
      <c r="C292" s="335" t="s">
        <v>669</v>
      </c>
      <c r="D292" s="336">
        <v>1</v>
      </c>
      <c r="E292" s="336">
        <f>估驗單!F285</f>
        <v>1</v>
      </c>
      <c r="F292" s="390">
        <f t="shared" si="30"/>
        <v>0</v>
      </c>
      <c r="G292" s="336">
        <v>56.83</v>
      </c>
      <c r="H292" s="336"/>
      <c r="I292" s="336">
        <f t="shared" si="27"/>
        <v>56.83</v>
      </c>
      <c r="J292" s="336">
        <f t="shared" si="28"/>
        <v>56.83</v>
      </c>
      <c r="K292" s="546">
        <f t="shared" si="29"/>
        <v>0</v>
      </c>
      <c r="L292" s="502"/>
      <c r="M292" s="231"/>
      <c r="N292" s="11" t="s">
        <v>243</v>
      </c>
      <c r="O292" s="341"/>
      <c r="P292" s="339"/>
    </row>
    <row r="293" spans="1:16" s="325" customFormat="1" ht="33">
      <c r="A293" s="333" t="s">
        <v>2216</v>
      </c>
      <c r="B293" s="334" t="s">
        <v>842</v>
      </c>
      <c r="C293" s="335" t="s">
        <v>669</v>
      </c>
      <c r="D293" s="336">
        <v>1</v>
      </c>
      <c r="E293" s="336">
        <f>估驗單!F286</f>
        <v>1</v>
      </c>
      <c r="F293" s="390">
        <f t="shared" si="30"/>
        <v>0</v>
      </c>
      <c r="G293" s="336">
        <v>68.67</v>
      </c>
      <c r="H293" s="336"/>
      <c r="I293" s="336">
        <f t="shared" si="27"/>
        <v>68.67</v>
      </c>
      <c r="J293" s="336">
        <f t="shared" si="28"/>
        <v>68.67</v>
      </c>
      <c r="K293" s="546">
        <f t="shared" si="29"/>
        <v>0</v>
      </c>
      <c r="L293" s="502"/>
      <c r="M293" s="231"/>
      <c r="N293" s="11" t="s">
        <v>243</v>
      </c>
      <c r="O293" s="341"/>
      <c r="P293" s="339"/>
    </row>
    <row r="294" spans="1:16" s="325" customFormat="1" ht="33">
      <c r="A294" s="333" t="s">
        <v>2217</v>
      </c>
      <c r="B294" s="334" t="s">
        <v>845</v>
      </c>
      <c r="C294" s="335" t="s">
        <v>669</v>
      </c>
      <c r="D294" s="336">
        <v>1</v>
      </c>
      <c r="E294" s="336">
        <f>估驗單!F287</f>
        <v>1</v>
      </c>
      <c r="F294" s="390">
        <f t="shared" si="30"/>
        <v>0</v>
      </c>
      <c r="G294" s="336">
        <v>59.92</v>
      </c>
      <c r="H294" s="336"/>
      <c r="I294" s="336">
        <f t="shared" si="27"/>
        <v>59.92</v>
      </c>
      <c r="J294" s="336">
        <f t="shared" si="28"/>
        <v>59.92</v>
      </c>
      <c r="K294" s="546">
        <f t="shared" si="29"/>
        <v>0</v>
      </c>
      <c r="L294" s="502"/>
      <c r="M294" s="231"/>
      <c r="N294" s="11" t="s">
        <v>243</v>
      </c>
      <c r="O294" s="341"/>
      <c r="P294" s="339"/>
    </row>
    <row r="295" spans="1:16" s="325" customFormat="1" ht="33">
      <c r="A295" s="333" t="s">
        <v>2218</v>
      </c>
      <c r="B295" s="334" t="s">
        <v>848</v>
      </c>
      <c r="C295" s="335" t="s">
        <v>669</v>
      </c>
      <c r="D295" s="336">
        <v>1</v>
      </c>
      <c r="E295" s="336">
        <f>估驗單!F288</f>
        <v>1</v>
      </c>
      <c r="F295" s="390">
        <f t="shared" si="30"/>
        <v>0</v>
      </c>
      <c r="G295" s="336">
        <v>58.37</v>
      </c>
      <c r="H295" s="336"/>
      <c r="I295" s="336">
        <f t="shared" si="27"/>
        <v>58.37</v>
      </c>
      <c r="J295" s="336">
        <f t="shared" si="28"/>
        <v>58.37</v>
      </c>
      <c r="K295" s="546">
        <f t="shared" si="29"/>
        <v>0</v>
      </c>
      <c r="L295" s="502"/>
      <c r="M295" s="231"/>
      <c r="N295" s="11" t="s">
        <v>243</v>
      </c>
      <c r="O295" s="341"/>
      <c r="P295" s="339"/>
    </row>
    <row r="296" spans="1:16" s="325" customFormat="1" ht="33">
      <c r="A296" s="333" t="s">
        <v>2219</v>
      </c>
      <c r="B296" s="334" t="s">
        <v>851</v>
      </c>
      <c r="C296" s="335" t="s">
        <v>669</v>
      </c>
      <c r="D296" s="336">
        <v>1</v>
      </c>
      <c r="E296" s="336">
        <f>估驗單!F289</f>
        <v>1</v>
      </c>
      <c r="F296" s="390">
        <f t="shared" si="30"/>
        <v>0</v>
      </c>
      <c r="G296" s="336">
        <v>68.209999999999994</v>
      </c>
      <c r="H296" s="336"/>
      <c r="I296" s="336">
        <f t="shared" si="27"/>
        <v>68.209999999999994</v>
      </c>
      <c r="J296" s="336">
        <f t="shared" si="28"/>
        <v>68.209999999999994</v>
      </c>
      <c r="K296" s="546">
        <f t="shared" si="29"/>
        <v>0</v>
      </c>
      <c r="L296" s="502"/>
      <c r="M296" s="231"/>
      <c r="N296" s="11" t="s">
        <v>243</v>
      </c>
      <c r="O296" s="341"/>
      <c r="P296" s="339"/>
    </row>
    <row r="297" spans="1:16" s="325" customFormat="1" ht="33">
      <c r="A297" s="333" t="s">
        <v>2220</v>
      </c>
      <c r="B297" s="334" t="s">
        <v>854</v>
      </c>
      <c r="C297" s="335" t="s">
        <v>669</v>
      </c>
      <c r="D297" s="336">
        <v>1</v>
      </c>
      <c r="E297" s="336">
        <f>估驗單!F290</f>
        <v>1</v>
      </c>
      <c r="F297" s="390">
        <f t="shared" si="30"/>
        <v>0</v>
      </c>
      <c r="G297" s="336">
        <v>72.33</v>
      </c>
      <c r="H297" s="336"/>
      <c r="I297" s="336">
        <f t="shared" ref="I297:I309" si="31">ROUND(D297*G297,2)</f>
        <v>72.33</v>
      </c>
      <c r="J297" s="336">
        <f t="shared" ref="J297:J309" si="32">ROUND(E297*G297,2)</f>
        <v>72.33</v>
      </c>
      <c r="K297" s="546">
        <f t="shared" si="29"/>
        <v>0</v>
      </c>
      <c r="L297" s="502"/>
      <c r="M297" s="231"/>
      <c r="N297" s="11" t="s">
        <v>243</v>
      </c>
      <c r="O297" s="341"/>
      <c r="P297" s="339"/>
    </row>
    <row r="298" spans="1:16" ht="33">
      <c r="A298" s="333" t="s">
        <v>2221</v>
      </c>
      <c r="B298" s="334" t="s">
        <v>857</v>
      </c>
      <c r="C298" s="335" t="s">
        <v>669</v>
      </c>
      <c r="D298" s="336">
        <v>1</v>
      </c>
      <c r="E298" s="336">
        <f>估驗單!F291</f>
        <v>1</v>
      </c>
      <c r="F298" s="390">
        <f t="shared" si="30"/>
        <v>0</v>
      </c>
      <c r="G298" s="336">
        <v>111.47</v>
      </c>
      <c r="H298" s="336"/>
      <c r="I298" s="336">
        <f t="shared" si="31"/>
        <v>111.47</v>
      </c>
      <c r="J298" s="336">
        <f t="shared" si="32"/>
        <v>111.47</v>
      </c>
      <c r="K298" s="546">
        <f t="shared" si="29"/>
        <v>0</v>
      </c>
      <c r="L298" s="502"/>
      <c r="M298" s="231"/>
      <c r="N298" s="11" t="s">
        <v>243</v>
      </c>
      <c r="O298" s="341"/>
      <c r="P298" s="339"/>
    </row>
    <row r="299" spans="1:16" ht="33">
      <c r="A299" s="333" t="s">
        <v>2222</v>
      </c>
      <c r="B299" s="334" t="s">
        <v>860</v>
      </c>
      <c r="C299" s="335" t="s">
        <v>669</v>
      </c>
      <c r="D299" s="336">
        <v>1</v>
      </c>
      <c r="E299" s="336">
        <f>估驗單!F292</f>
        <v>1</v>
      </c>
      <c r="F299" s="390">
        <f t="shared" si="30"/>
        <v>0</v>
      </c>
      <c r="G299" s="336">
        <v>101.17</v>
      </c>
      <c r="H299" s="336"/>
      <c r="I299" s="336">
        <f t="shared" si="31"/>
        <v>101.17</v>
      </c>
      <c r="J299" s="336">
        <f t="shared" si="32"/>
        <v>101.17</v>
      </c>
      <c r="K299" s="546">
        <f t="shared" si="29"/>
        <v>0</v>
      </c>
      <c r="L299" s="502"/>
      <c r="M299" s="231"/>
      <c r="N299" s="11" t="s">
        <v>243</v>
      </c>
      <c r="O299" s="341"/>
      <c r="P299" s="339"/>
    </row>
    <row r="300" spans="1:16" ht="33">
      <c r="A300" s="333" t="s">
        <v>2223</v>
      </c>
      <c r="B300" s="334" t="s">
        <v>863</v>
      </c>
      <c r="C300" s="335" t="s">
        <v>669</v>
      </c>
      <c r="D300" s="336">
        <v>1</v>
      </c>
      <c r="E300" s="336">
        <f>估驗單!F293</f>
        <v>1</v>
      </c>
      <c r="F300" s="390">
        <f t="shared" si="30"/>
        <v>0</v>
      </c>
      <c r="G300" s="336">
        <v>81.62</v>
      </c>
      <c r="H300" s="336"/>
      <c r="I300" s="336">
        <f t="shared" si="31"/>
        <v>81.62</v>
      </c>
      <c r="J300" s="336">
        <f t="shared" si="32"/>
        <v>81.62</v>
      </c>
      <c r="K300" s="546">
        <f t="shared" si="29"/>
        <v>0</v>
      </c>
      <c r="L300" s="502"/>
      <c r="M300" s="231"/>
      <c r="N300" s="11" t="s">
        <v>243</v>
      </c>
      <c r="O300" s="341"/>
      <c r="P300" s="339"/>
    </row>
    <row r="301" spans="1:16" ht="33">
      <c r="A301" s="333" t="s">
        <v>2224</v>
      </c>
      <c r="B301" s="334" t="s">
        <v>866</v>
      </c>
      <c r="C301" s="335" t="s">
        <v>669</v>
      </c>
      <c r="D301" s="336">
        <v>1</v>
      </c>
      <c r="E301" s="336">
        <f>估驗單!F294</f>
        <v>1</v>
      </c>
      <c r="F301" s="390">
        <f t="shared" si="30"/>
        <v>0</v>
      </c>
      <c r="G301" s="336">
        <v>79.040000000000006</v>
      </c>
      <c r="H301" s="336"/>
      <c r="I301" s="336">
        <f t="shared" si="31"/>
        <v>79.040000000000006</v>
      </c>
      <c r="J301" s="336">
        <f t="shared" si="32"/>
        <v>79.040000000000006</v>
      </c>
      <c r="K301" s="546">
        <f t="shared" si="29"/>
        <v>0</v>
      </c>
      <c r="L301" s="502"/>
      <c r="M301" s="231"/>
      <c r="N301" s="11" t="s">
        <v>243</v>
      </c>
      <c r="O301" s="341"/>
      <c r="P301" s="339"/>
    </row>
    <row r="302" spans="1:16" ht="33">
      <c r="A302" s="333" t="s">
        <v>2225</v>
      </c>
      <c r="B302" s="334" t="s">
        <v>869</v>
      </c>
      <c r="C302" s="335" t="s">
        <v>669</v>
      </c>
      <c r="D302" s="336">
        <v>1</v>
      </c>
      <c r="E302" s="336">
        <f>估驗單!F295</f>
        <v>1</v>
      </c>
      <c r="F302" s="390">
        <f t="shared" si="30"/>
        <v>0</v>
      </c>
      <c r="G302" s="336">
        <v>99.64</v>
      </c>
      <c r="H302" s="336"/>
      <c r="I302" s="336">
        <f t="shared" si="31"/>
        <v>99.64</v>
      </c>
      <c r="J302" s="336">
        <f t="shared" si="32"/>
        <v>99.64</v>
      </c>
      <c r="K302" s="546">
        <f t="shared" si="29"/>
        <v>0</v>
      </c>
      <c r="L302" s="502"/>
      <c r="M302" s="231"/>
      <c r="N302" s="11" t="s">
        <v>243</v>
      </c>
      <c r="O302" s="341"/>
      <c r="P302" s="339"/>
    </row>
    <row r="303" spans="1:16" ht="33">
      <c r="A303" s="333" t="s">
        <v>2226</v>
      </c>
      <c r="B303" s="334" t="s">
        <v>872</v>
      </c>
      <c r="C303" s="335" t="s">
        <v>669</v>
      </c>
      <c r="D303" s="336">
        <v>1</v>
      </c>
      <c r="E303" s="336">
        <f>估驗單!F296</f>
        <v>1</v>
      </c>
      <c r="F303" s="390">
        <f t="shared" si="30"/>
        <v>0</v>
      </c>
      <c r="G303" s="336">
        <v>74.92</v>
      </c>
      <c r="H303" s="336"/>
      <c r="I303" s="336">
        <f t="shared" si="31"/>
        <v>74.92</v>
      </c>
      <c r="J303" s="336">
        <f t="shared" si="32"/>
        <v>74.92</v>
      </c>
      <c r="K303" s="546">
        <f t="shared" si="29"/>
        <v>0</v>
      </c>
      <c r="L303" s="502"/>
      <c r="M303" s="231"/>
      <c r="N303" s="11" t="s">
        <v>243</v>
      </c>
      <c r="O303" s="341"/>
      <c r="P303" s="339"/>
    </row>
    <row r="304" spans="1:16" ht="33">
      <c r="A304" s="333" t="s">
        <v>2227</v>
      </c>
      <c r="B304" s="334" t="s">
        <v>875</v>
      </c>
      <c r="C304" s="335" t="s">
        <v>669</v>
      </c>
      <c r="D304" s="336">
        <v>1</v>
      </c>
      <c r="E304" s="336">
        <f>估驗單!F297</f>
        <v>1</v>
      </c>
      <c r="F304" s="390">
        <f t="shared" si="30"/>
        <v>0</v>
      </c>
      <c r="G304" s="336">
        <v>72.28</v>
      </c>
      <c r="H304" s="336"/>
      <c r="I304" s="336">
        <f t="shared" si="31"/>
        <v>72.28</v>
      </c>
      <c r="J304" s="336">
        <f t="shared" si="32"/>
        <v>72.28</v>
      </c>
      <c r="K304" s="546">
        <f t="shared" si="29"/>
        <v>0</v>
      </c>
      <c r="L304" s="502"/>
      <c r="M304" s="231"/>
      <c r="N304" s="11" t="s">
        <v>243</v>
      </c>
      <c r="O304" s="341"/>
      <c r="P304" s="339"/>
    </row>
    <row r="305" spans="1:19" ht="33">
      <c r="A305" s="333" t="s">
        <v>2228</v>
      </c>
      <c r="B305" s="334" t="s">
        <v>878</v>
      </c>
      <c r="C305" s="335" t="s">
        <v>13</v>
      </c>
      <c r="D305" s="336">
        <v>1</v>
      </c>
      <c r="E305" s="336">
        <f>估驗單!F298</f>
        <v>1</v>
      </c>
      <c r="F305" s="390">
        <f t="shared" si="30"/>
        <v>0</v>
      </c>
      <c r="G305" s="336">
        <v>43.77</v>
      </c>
      <c r="H305" s="336"/>
      <c r="I305" s="336">
        <f t="shared" si="31"/>
        <v>43.77</v>
      </c>
      <c r="J305" s="336">
        <f t="shared" si="32"/>
        <v>43.77</v>
      </c>
      <c r="K305" s="546">
        <f t="shared" si="29"/>
        <v>0</v>
      </c>
      <c r="L305" s="502"/>
      <c r="M305" s="231"/>
      <c r="N305" s="11" t="s">
        <v>243</v>
      </c>
      <c r="O305" s="341"/>
      <c r="P305" s="339"/>
    </row>
    <row r="306" spans="1:19" ht="33">
      <c r="A306" s="333" t="s">
        <v>2229</v>
      </c>
      <c r="B306" s="334" t="s">
        <v>881</v>
      </c>
      <c r="C306" s="335" t="s">
        <v>882</v>
      </c>
      <c r="D306" s="336">
        <v>1</v>
      </c>
      <c r="E306" s="336">
        <f>估驗單!F299</f>
        <v>1</v>
      </c>
      <c r="F306" s="390">
        <f t="shared" si="30"/>
        <v>0</v>
      </c>
      <c r="G306" s="336">
        <v>28.11</v>
      </c>
      <c r="H306" s="336"/>
      <c r="I306" s="336">
        <f t="shared" si="31"/>
        <v>28.11</v>
      </c>
      <c r="J306" s="336">
        <f t="shared" si="32"/>
        <v>28.11</v>
      </c>
      <c r="K306" s="546">
        <f t="shared" si="29"/>
        <v>0</v>
      </c>
      <c r="L306" s="502"/>
      <c r="M306" s="231"/>
      <c r="N306" s="11" t="s">
        <v>243</v>
      </c>
      <c r="O306" s="341"/>
      <c r="P306" s="339"/>
    </row>
    <row r="307" spans="1:19" ht="33">
      <c r="A307" s="333" t="s">
        <v>2230</v>
      </c>
      <c r="B307" s="334" t="s">
        <v>885</v>
      </c>
      <c r="C307" s="335" t="s">
        <v>13</v>
      </c>
      <c r="D307" s="336">
        <v>1</v>
      </c>
      <c r="E307" s="336">
        <f>估驗單!F300</f>
        <v>1</v>
      </c>
      <c r="F307" s="390">
        <f t="shared" si="30"/>
        <v>0</v>
      </c>
      <c r="G307" s="336">
        <v>239.86</v>
      </c>
      <c r="H307" s="336"/>
      <c r="I307" s="336">
        <f t="shared" si="31"/>
        <v>239.86</v>
      </c>
      <c r="J307" s="336">
        <f t="shared" si="32"/>
        <v>239.86</v>
      </c>
      <c r="K307" s="546">
        <f t="shared" si="29"/>
        <v>0</v>
      </c>
      <c r="L307" s="502"/>
      <c r="M307" s="231"/>
      <c r="N307" s="11" t="s">
        <v>243</v>
      </c>
      <c r="O307" s="341"/>
      <c r="P307" s="339"/>
    </row>
    <row r="308" spans="1:19" s="352" customFormat="1" ht="42.75">
      <c r="A308" s="343">
        <v>76</v>
      </c>
      <c r="B308" s="344" t="s">
        <v>2411</v>
      </c>
      <c r="C308" s="345" t="s">
        <v>2386</v>
      </c>
      <c r="D308" s="340">
        <v>1305</v>
      </c>
      <c r="E308" s="336">
        <f>估驗單!F301</f>
        <v>1305</v>
      </c>
      <c r="F308" s="390">
        <f t="shared" si="30"/>
        <v>0</v>
      </c>
      <c r="G308" s="340">
        <v>1765.46</v>
      </c>
      <c r="H308" s="340"/>
      <c r="I308" s="336">
        <f t="shared" si="31"/>
        <v>2303925.2999999998</v>
      </c>
      <c r="J308" s="336">
        <f t="shared" si="32"/>
        <v>2303925.2999999998</v>
      </c>
      <c r="K308" s="546">
        <f t="shared" si="29"/>
        <v>0</v>
      </c>
      <c r="L308" s="502"/>
      <c r="M308" s="350"/>
      <c r="N308" s="347"/>
      <c r="O308" s="348"/>
      <c r="P308" s="349"/>
      <c r="Q308" s="325"/>
      <c r="S308" s="372" t="s">
        <v>2416</v>
      </c>
    </row>
    <row r="309" spans="1:19" s="363" customFormat="1" ht="31.5" customHeight="1">
      <c r="A309" s="343">
        <v>77</v>
      </c>
      <c r="B309" s="344" t="s">
        <v>1508</v>
      </c>
      <c r="C309" s="345" t="s">
        <v>1509</v>
      </c>
      <c r="D309" s="340">
        <f>9*1702</f>
        <v>15318</v>
      </c>
      <c r="E309" s="336">
        <f>估驗單!F302</f>
        <v>15318</v>
      </c>
      <c r="F309" s="418">
        <f t="shared" si="30"/>
        <v>0</v>
      </c>
      <c r="G309" s="340">
        <v>149.99</v>
      </c>
      <c r="H309" s="340"/>
      <c r="I309" s="336">
        <f t="shared" si="31"/>
        <v>2297546.8199999998</v>
      </c>
      <c r="J309" s="336">
        <f t="shared" si="32"/>
        <v>2297546.8199999998</v>
      </c>
      <c r="K309" s="546">
        <f t="shared" si="29"/>
        <v>0</v>
      </c>
      <c r="L309" s="453"/>
      <c r="M309" s="346"/>
      <c r="N309" s="347"/>
      <c r="O309" s="354"/>
      <c r="P309" s="322"/>
      <c r="Q309" s="325"/>
    </row>
    <row r="310" spans="1:19" ht="33">
      <c r="A310" s="406" t="s">
        <v>2248</v>
      </c>
      <c r="B310" s="407" t="s">
        <v>888</v>
      </c>
      <c r="C310" s="408" t="s">
        <v>4</v>
      </c>
      <c r="D310" s="409">
        <v>1</v>
      </c>
      <c r="E310" s="409">
        <f>估驗單!F303</f>
        <v>1</v>
      </c>
      <c r="F310" s="410"/>
      <c r="G310" s="409">
        <f>I310</f>
        <v>5050770.370000001</v>
      </c>
      <c r="H310" s="409"/>
      <c r="I310" s="409">
        <f>SUM(I311:I343)</f>
        <v>5050770.370000001</v>
      </c>
      <c r="J310" s="409">
        <f>SUM(J311:J343)</f>
        <v>5050770.370000001</v>
      </c>
      <c r="K310" s="542">
        <f>SUM(K311:K343)</f>
        <v>0</v>
      </c>
      <c r="L310" s="534">
        <f>SUM(L311:L343)</f>
        <v>0</v>
      </c>
      <c r="M310" s="288"/>
      <c r="N310" s="11" t="s">
        <v>243</v>
      </c>
      <c r="O310" s="338"/>
      <c r="P310" s="339"/>
    </row>
    <row r="311" spans="1:19" ht="33">
      <c r="A311" s="333" t="s">
        <v>2154</v>
      </c>
      <c r="B311" s="334" t="s">
        <v>890</v>
      </c>
      <c r="C311" s="335" t="s">
        <v>4</v>
      </c>
      <c r="D311" s="336">
        <v>1</v>
      </c>
      <c r="E311" s="336">
        <f>估驗單!F304</f>
        <v>1</v>
      </c>
      <c r="F311" s="390">
        <f t="shared" si="30"/>
        <v>0</v>
      </c>
      <c r="G311" s="336">
        <v>88179.19</v>
      </c>
      <c r="H311" s="336"/>
      <c r="I311" s="336">
        <f t="shared" ref="I311:I343" si="33">ROUND(D311*G311,2)</f>
        <v>88179.19</v>
      </c>
      <c r="J311" s="336">
        <f t="shared" ref="J311:J343" si="34">ROUND(E311*G311,2)</f>
        <v>88179.19</v>
      </c>
      <c r="K311" s="546">
        <f t="shared" si="29"/>
        <v>0</v>
      </c>
      <c r="L311" s="502"/>
      <c r="M311" s="231"/>
      <c r="N311" s="11" t="s">
        <v>243</v>
      </c>
      <c r="O311" s="341"/>
      <c r="P311" s="339"/>
    </row>
    <row r="312" spans="1:19" ht="33">
      <c r="A312" s="333" t="s">
        <v>2155</v>
      </c>
      <c r="B312" s="334" t="s">
        <v>893</v>
      </c>
      <c r="C312" s="335" t="s">
        <v>4</v>
      </c>
      <c r="D312" s="336">
        <v>1</v>
      </c>
      <c r="E312" s="336">
        <f>估驗單!F305</f>
        <v>1</v>
      </c>
      <c r="F312" s="390">
        <f t="shared" si="30"/>
        <v>0</v>
      </c>
      <c r="G312" s="336">
        <v>149702.84</v>
      </c>
      <c r="H312" s="336"/>
      <c r="I312" s="336">
        <f t="shared" si="33"/>
        <v>149702.84</v>
      </c>
      <c r="J312" s="336">
        <f t="shared" si="34"/>
        <v>149702.84</v>
      </c>
      <c r="K312" s="546">
        <f t="shared" si="29"/>
        <v>0</v>
      </c>
      <c r="L312" s="502"/>
      <c r="M312" s="231"/>
      <c r="N312" s="11" t="s">
        <v>243</v>
      </c>
      <c r="O312" s="341"/>
      <c r="P312" s="339"/>
    </row>
    <row r="313" spans="1:19" ht="33">
      <c r="A313" s="333" t="s">
        <v>2156</v>
      </c>
      <c r="B313" s="334" t="s">
        <v>896</v>
      </c>
      <c r="C313" s="335" t="s">
        <v>4</v>
      </c>
      <c r="D313" s="336">
        <v>1</v>
      </c>
      <c r="E313" s="336">
        <f>估驗單!F306</f>
        <v>1</v>
      </c>
      <c r="F313" s="390">
        <f t="shared" si="30"/>
        <v>0</v>
      </c>
      <c r="G313" s="336">
        <v>168290.82</v>
      </c>
      <c r="H313" s="336"/>
      <c r="I313" s="336">
        <f t="shared" si="33"/>
        <v>168290.82</v>
      </c>
      <c r="J313" s="336">
        <f t="shared" si="34"/>
        <v>168290.82</v>
      </c>
      <c r="K313" s="546">
        <f t="shared" si="29"/>
        <v>0</v>
      </c>
      <c r="L313" s="502"/>
      <c r="M313" s="231"/>
      <c r="N313" s="11" t="s">
        <v>243</v>
      </c>
      <c r="O313" s="341"/>
      <c r="P313" s="339"/>
    </row>
    <row r="314" spans="1:19" ht="33">
      <c r="A314" s="333" t="s">
        <v>2157</v>
      </c>
      <c r="B314" s="334" t="s">
        <v>899</v>
      </c>
      <c r="C314" s="335" t="s">
        <v>4</v>
      </c>
      <c r="D314" s="336">
        <v>1</v>
      </c>
      <c r="E314" s="336">
        <f>估驗單!F307</f>
        <v>1</v>
      </c>
      <c r="F314" s="390">
        <f t="shared" si="30"/>
        <v>0</v>
      </c>
      <c r="G314" s="336">
        <v>23946.69</v>
      </c>
      <c r="H314" s="336"/>
      <c r="I314" s="336">
        <f t="shared" si="33"/>
        <v>23946.69</v>
      </c>
      <c r="J314" s="336">
        <f t="shared" si="34"/>
        <v>23946.69</v>
      </c>
      <c r="K314" s="546">
        <f t="shared" si="29"/>
        <v>0</v>
      </c>
      <c r="L314" s="502"/>
      <c r="M314" s="231"/>
      <c r="N314" s="11" t="s">
        <v>243</v>
      </c>
      <c r="O314" s="341"/>
      <c r="P314" s="339"/>
    </row>
    <row r="315" spans="1:19" s="325" customFormat="1" ht="33">
      <c r="A315" s="333" t="s">
        <v>2158</v>
      </c>
      <c r="B315" s="334" t="s">
        <v>902</v>
      </c>
      <c r="C315" s="335" t="s">
        <v>0</v>
      </c>
      <c r="D315" s="336">
        <v>11</v>
      </c>
      <c r="E315" s="336">
        <f>估驗單!F308</f>
        <v>11</v>
      </c>
      <c r="F315" s="390">
        <f t="shared" si="30"/>
        <v>0</v>
      </c>
      <c r="G315" s="336">
        <v>42797.67</v>
      </c>
      <c r="H315" s="336"/>
      <c r="I315" s="336">
        <f t="shared" si="33"/>
        <v>470774.37</v>
      </c>
      <c r="J315" s="336">
        <f t="shared" si="34"/>
        <v>470774.37</v>
      </c>
      <c r="K315" s="546">
        <f t="shared" si="29"/>
        <v>0</v>
      </c>
      <c r="L315" s="502"/>
      <c r="M315" s="231"/>
      <c r="N315" s="11" t="s">
        <v>243</v>
      </c>
      <c r="O315" s="341"/>
      <c r="P315" s="339"/>
    </row>
    <row r="316" spans="1:19" s="325" customFormat="1" ht="33">
      <c r="A316" s="333" t="s">
        <v>2159</v>
      </c>
      <c r="B316" s="334" t="s">
        <v>905</v>
      </c>
      <c r="C316" s="335" t="s">
        <v>0</v>
      </c>
      <c r="D316" s="336">
        <v>9</v>
      </c>
      <c r="E316" s="336">
        <f>估驗單!F309</f>
        <v>9</v>
      </c>
      <c r="F316" s="390">
        <f t="shared" si="30"/>
        <v>0</v>
      </c>
      <c r="G316" s="336">
        <v>60396.71</v>
      </c>
      <c r="H316" s="336"/>
      <c r="I316" s="336">
        <f t="shared" si="33"/>
        <v>543570.39</v>
      </c>
      <c r="J316" s="336">
        <f t="shared" si="34"/>
        <v>543570.39</v>
      </c>
      <c r="K316" s="546">
        <f t="shared" si="29"/>
        <v>0</v>
      </c>
      <c r="L316" s="502"/>
      <c r="M316" s="231"/>
      <c r="N316" s="11" t="s">
        <v>243</v>
      </c>
      <c r="O316" s="341"/>
      <c r="P316" s="339"/>
    </row>
    <row r="317" spans="1:19" s="325" customFormat="1" ht="33">
      <c r="A317" s="333" t="s">
        <v>2160</v>
      </c>
      <c r="B317" s="334" t="s">
        <v>908</v>
      </c>
      <c r="C317" s="335" t="s">
        <v>0</v>
      </c>
      <c r="D317" s="336">
        <v>10</v>
      </c>
      <c r="E317" s="336">
        <f>估驗單!F310</f>
        <v>10</v>
      </c>
      <c r="F317" s="390">
        <f t="shared" si="30"/>
        <v>0</v>
      </c>
      <c r="G317" s="336">
        <v>34998.089999999997</v>
      </c>
      <c r="H317" s="336"/>
      <c r="I317" s="336">
        <f t="shared" si="33"/>
        <v>349980.9</v>
      </c>
      <c r="J317" s="336">
        <f t="shared" si="34"/>
        <v>349980.9</v>
      </c>
      <c r="K317" s="546">
        <f t="shared" si="29"/>
        <v>0</v>
      </c>
      <c r="L317" s="502"/>
      <c r="M317" s="231"/>
      <c r="N317" s="11" t="s">
        <v>243</v>
      </c>
      <c r="O317" s="341"/>
      <c r="P317" s="339"/>
    </row>
    <row r="318" spans="1:19" s="325" customFormat="1" ht="33">
      <c r="A318" s="333" t="s">
        <v>2161</v>
      </c>
      <c r="B318" s="334" t="s">
        <v>911</v>
      </c>
      <c r="C318" s="335" t="s">
        <v>0</v>
      </c>
      <c r="D318" s="336">
        <v>8</v>
      </c>
      <c r="E318" s="336">
        <f>估驗單!F311</f>
        <v>8</v>
      </c>
      <c r="F318" s="390">
        <f t="shared" si="30"/>
        <v>0</v>
      </c>
      <c r="G318" s="336">
        <v>9999.4500000000007</v>
      </c>
      <c r="H318" s="336"/>
      <c r="I318" s="336">
        <f t="shared" si="33"/>
        <v>79995.600000000006</v>
      </c>
      <c r="J318" s="336">
        <f t="shared" si="34"/>
        <v>79995.600000000006</v>
      </c>
      <c r="K318" s="546">
        <f t="shared" si="29"/>
        <v>0</v>
      </c>
      <c r="L318" s="502"/>
      <c r="M318" s="231"/>
      <c r="N318" s="11" t="s">
        <v>243</v>
      </c>
      <c r="O318" s="341"/>
      <c r="P318" s="339"/>
    </row>
    <row r="319" spans="1:19" s="325" customFormat="1" ht="33">
      <c r="A319" s="333" t="s">
        <v>2162</v>
      </c>
      <c r="B319" s="334" t="s">
        <v>914</v>
      </c>
      <c r="C319" s="335" t="s">
        <v>15</v>
      </c>
      <c r="D319" s="336">
        <v>2</v>
      </c>
      <c r="E319" s="336">
        <f>估驗單!F312</f>
        <v>2</v>
      </c>
      <c r="F319" s="390">
        <f t="shared" si="30"/>
        <v>0</v>
      </c>
      <c r="G319" s="336">
        <v>1499.92</v>
      </c>
      <c r="H319" s="336"/>
      <c r="I319" s="336">
        <f t="shared" si="33"/>
        <v>2999.84</v>
      </c>
      <c r="J319" s="336">
        <f t="shared" si="34"/>
        <v>2999.84</v>
      </c>
      <c r="K319" s="546">
        <f t="shared" si="29"/>
        <v>0</v>
      </c>
      <c r="L319" s="502"/>
      <c r="M319" s="231"/>
      <c r="N319" s="11" t="s">
        <v>243</v>
      </c>
      <c r="O319" s="341"/>
      <c r="P319" s="339"/>
    </row>
    <row r="320" spans="1:19" s="325" customFormat="1" ht="33">
      <c r="A320" s="333" t="s">
        <v>2163</v>
      </c>
      <c r="B320" s="334" t="s">
        <v>917</v>
      </c>
      <c r="C320" s="335" t="s">
        <v>15</v>
      </c>
      <c r="D320" s="336">
        <v>2</v>
      </c>
      <c r="E320" s="336">
        <f>估驗單!F313</f>
        <v>2</v>
      </c>
      <c r="F320" s="390">
        <f t="shared" si="30"/>
        <v>0</v>
      </c>
      <c r="G320" s="336">
        <v>3999.78</v>
      </c>
      <c r="H320" s="336"/>
      <c r="I320" s="336">
        <f t="shared" si="33"/>
        <v>7999.56</v>
      </c>
      <c r="J320" s="336">
        <f t="shared" si="34"/>
        <v>7999.56</v>
      </c>
      <c r="K320" s="546">
        <f t="shared" si="29"/>
        <v>0</v>
      </c>
      <c r="L320" s="502"/>
      <c r="M320" s="231"/>
      <c r="N320" s="11" t="s">
        <v>243</v>
      </c>
      <c r="O320" s="341"/>
      <c r="P320" s="339"/>
    </row>
    <row r="321" spans="1:16" s="325" customFormat="1" ht="33">
      <c r="A321" s="333" t="s">
        <v>2164</v>
      </c>
      <c r="B321" s="334" t="s">
        <v>920</v>
      </c>
      <c r="C321" s="335" t="s">
        <v>8</v>
      </c>
      <c r="D321" s="336">
        <v>44.6</v>
      </c>
      <c r="E321" s="336">
        <f>估驗單!F314</f>
        <v>44.6</v>
      </c>
      <c r="F321" s="390">
        <f t="shared" si="30"/>
        <v>0</v>
      </c>
      <c r="G321" s="336">
        <v>799.96</v>
      </c>
      <c r="H321" s="336"/>
      <c r="I321" s="336">
        <f t="shared" si="33"/>
        <v>35678.22</v>
      </c>
      <c r="J321" s="336">
        <f t="shared" si="34"/>
        <v>35678.22</v>
      </c>
      <c r="K321" s="546">
        <f t="shared" si="29"/>
        <v>0</v>
      </c>
      <c r="L321" s="502"/>
      <c r="M321" s="231"/>
      <c r="N321" s="11" t="s">
        <v>243</v>
      </c>
      <c r="O321" s="341"/>
      <c r="P321" s="339"/>
    </row>
    <row r="322" spans="1:16" s="325" customFormat="1" ht="33">
      <c r="A322" s="333" t="s">
        <v>2165</v>
      </c>
      <c r="B322" s="334" t="s">
        <v>923</v>
      </c>
      <c r="C322" s="335" t="s">
        <v>15</v>
      </c>
      <c r="D322" s="336">
        <v>10</v>
      </c>
      <c r="E322" s="336">
        <f>估驗單!F315</f>
        <v>10</v>
      </c>
      <c r="F322" s="390">
        <f t="shared" si="30"/>
        <v>0</v>
      </c>
      <c r="G322" s="336">
        <v>11299.38</v>
      </c>
      <c r="H322" s="336"/>
      <c r="I322" s="336">
        <f t="shared" si="33"/>
        <v>112993.8</v>
      </c>
      <c r="J322" s="336">
        <f t="shared" si="34"/>
        <v>112993.8</v>
      </c>
      <c r="K322" s="546">
        <f t="shared" si="29"/>
        <v>0</v>
      </c>
      <c r="L322" s="502"/>
      <c r="M322" s="231"/>
      <c r="N322" s="11" t="s">
        <v>243</v>
      </c>
      <c r="O322" s="341"/>
      <c r="P322" s="339"/>
    </row>
    <row r="323" spans="1:16" s="325" customFormat="1" ht="33">
      <c r="A323" s="333" t="s">
        <v>2166</v>
      </c>
      <c r="B323" s="334" t="s">
        <v>926</v>
      </c>
      <c r="C323" s="335" t="s">
        <v>15</v>
      </c>
      <c r="D323" s="336">
        <v>5</v>
      </c>
      <c r="E323" s="336">
        <f>估驗單!F316</f>
        <v>5</v>
      </c>
      <c r="F323" s="390">
        <f t="shared" si="30"/>
        <v>0</v>
      </c>
      <c r="G323" s="336">
        <v>17999.02</v>
      </c>
      <c r="H323" s="336"/>
      <c r="I323" s="336">
        <f t="shared" si="33"/>
        <v>89995.1</v>
      </c>
      <c r="J323" s="336">
        <f t="shared" si="34"/>
        <v>89995.1</v>
      </c>
      <c r="K323" s="546">
        <f t="shared" si="29"/>
        <v>0</v>
      </c>
      <c r="L323" s="502"/>
      <c r="M323" s="231"/>
      <c r="N323" s="11" t="s">
        <v>243</v>
      </c>
      <c r="O323" s="341"/>
      <c r="P323" s="339"/>
    </row>
    <row r="324" spans="1:16" s="325" customFormat="1" ht="33">
      <c r="A324" s="333" t="s">
        <v>2167</v>
      </c>
      <c r="B324" s="334" t="s">
        <v>929</v>
      </c>
      <c r="C324" s="335" t="s">
        <v>15</v>
      </c>
      <c r="D324" s="336">
        <v>17</v>
      </c>
      <c r="E324" s="336">
        <f>估驗單!F317</f>
        <v>17</v>
      </c>
      <c r="F324" s="390">
        <f t="shared" si="30"/>
        <v>0</v>
      </c>
      <c r="G324" s="336">
        <v>4199.7700000000004</v>
      </c>
      <c r="H324" s="336"/>
      <c r="I324" s="336">
        <f t="shared" si="33"/>
        <v>71396.09</v>
      </c>
      <c r="J324" s="336">
        <f t="shared" si="34"/>
        <v>71396.09</v>
      </c>
      <c r="K324" s="546">
        <f t="shared" si="29"/>
        <v>0</v>
      </c>
      <c r="L324" s="502"/>
      <c r="M324" s="231"/>
      <c r="N324" s="11" t="s">
        <v>243</v>
      </c>
      <c r="O324" s="341"/>
      <c r="P324" s="339"/>
    </row>
    <row r="325" spans="1:16" s="325" customFormat="1" ht="33">
      <c r="A325" s="333" t="s">
        <v>2168</v>
      </c>
      <c r="B325" s="334" t="s">
        <v>932</v>
      </c>
      <c r="C325" s="335" t="s">
        <v>290</v>
      </c>
      <c r="D325" s="336">
        <v>1</v>
      </c>
      <c r="E325" s="336">
        <f>估驗單!F318</f>
        <v>1</v>
      </c>
      <c r="F325" s="390">
        <f t="shared" si="30"/>
        <v>0</v>
      </c>
      <c r="G325" s="336">
        <v>112957.32</v>
      </c>
      <c r="H325" s="336"/>
      <c r="I325" s="336">
        <f t="shared" si="33"/>
        <v>112957.32</v>
      </c>
      <c r="J325" s="336">
        <f t="shared" si="34"/>
        <v>112957.32</v>
      </c>
      <c r="K325" s="546">
        <f t="shared" si="29"/>
        <v>0</v>
      </c>
      <c r="L325" s="502"/>
      <c r="M325" s="231"/>
      <c r="N325" s="11" t="s">
        <v>243</v>
      </c>
      <c r="O325" s="341"/>
      <c r="P325" s="339"/>
    </row>
    <row r="326" spans="1:16" s="325" customFormat="1" ht="33">
      <c r="A326" s="333" t="s">
        <v>2169</v>
      </c>
      <c r="B326" s="334" t="s">
        <v>935</v>
      </c>
      <c r="C326" s="335" t="s">
        <v>4</v>
      </c>
      <c r="D326" s="336">
        <v>1</v>
      </c>
      <c r="E326" s="336">
        <f>估驗單!F319</f>
        <v>1</v>
      </c>
      <c r="F326" s="390">
        <f t="shared" si="30"/>
        <v>0</v>
      </c>
      <c r="G326" s="336">
        <v>322482.40999999997</v>
      </c>
      <c r="H326" s="336"/>
      <c r="I326" s="336">
        <f t="shared" si="33"/>
        <v>322482.40999999997</v>
      </c>
      <c r="J326" s="336">
        <f t="shared" si="34"/>
        <v>322482.40999999997</v>
      </c>
      <c r="K326" s="546">
        <f t="shared" si="29"/>
        <v>0</v>
      </c>
      <c r="L326" s="502"/>
      <c r="M326" s="231"/>
      <c r="N326" s="11" t="s">
        <v>243</v>
      </c>
      <c r="O326" s="341"/>
      <c r="P326" s="339"/>
    </row>
    <row r="327" spans="1:16" s="325" customFormat="1" ht="33">
      <c r="A327" s="333" t="s">
        <v>2170</v>
      </c>
      <c r="B327" s="334" t="s">
        <v>938</v>
      </c>
      <c r="C327" s="335" t="s">
        <v>15</v>
      </c>
      <c r="D327" s="336">
        <v>17</v>
      </c>
      <c r="E327" s="336">
        <f>估驗單!F320</f>
        <v>17</v>
      </c>
      <c r="F327" s="390">
        <f t="shared" si="30"/>
        <v>0</v>
      </c>
      <c r="G327" s="336">
        <v>99994.55</v>
      </c>
      <c r="H327" s="336"/>
      <c r="I327" s="336">
        <f t="shared" si="33"/>
        <v>1699907.35</v>
      </c>
      <c r="J327" s="336">
        <f t="shared" si="34"/>
        <v>1699907.35</v>
      </c>
      <c r="K327" s="546">
        <f t="shared" si="29"/>
        <v>0</v>
      </c>
      <c r="L327" s="502"/>
      <c r="M327" s="231"/>
      <c r="N327" s="11" t="s">
        <v>243</v>
      </c>
      <c r="O327" s="341"/>
      <c r="P327" s="339"/>
    </row>
    <row r="328" spans="1:16" s="325" customFormat="1" ht="33">
      <c r="A328" s="333" t="s">
        <v>2171</v>
      </c>
      <c r="B328" s="334" t="s">
        <v>941</v>
      </c>
      <c r="C328" s="335" t="s">
        <v>583</v>
      </c>
      <c r="D328" s="336">
        <v>2</v>
      </c>
      <c r="E328" s="336">
        <f>估驗單!F321</f>
        <v>2</v>
      </c>
      <c r="F328" s="390">
        <f t="shared" si="30"/>
        <v>0</v>
      </c>
      <c r="G328" s="336">
        <v>14999.18</v>
      </c>
      <c r="H328" s="336"/>
      <c r="I328" s="336">
        <f t="shared" si="33"/>
        <v>29998.36</v>
      </c>
      <c r="J328" s="336">
        <f t="shared" si="34"/>
        <v>29998.36</v>
      </c>
      <c r="K328" s="546">
        <f t="shared" si="29"/>
        <v>0</v>
      </c>
      <c r="L328" s="502"/>
      <c r="M328" s="231"/>
      <c r="N328" s="11" t="s">
        <v>243</v>
      </c>
      <c r="O328" s="341"/>
      <c r="P328" s="339"/>
    </row>
    <row r="329" spans="1:16" s="325" customFormat="1" ht="33">
      <c r="A329" s="333" t="s">
        <v>2172</v>
      </c>
      <c r="B329" s="334" t="s">
        <v>944</v>
      </c>
      <c r="C329" s="335" t="s">
        <v>15</v>
      </c>
      <c r="D329" s="336">
        <v>1</v>
      </c>
      <c r="E329" s="336">
        <f>估驗單!F322</f>
        <v>1</v>
      </c>
      <c r="F329" s="390">
        <f t="shared" si="30"/>
        <v>0</v>
      </c>
      <c r="G329" s="336">
        <v>1499.92</v>
      </c>
      <c r="H329" s="336"/>
      <c r="I329" s="336">
        <f t="shared" si="33"/>
        <v>1499.92</v>
      </c>
      <c r="J329" s="336">
        <f t="shared" si="34"/>
        <v>1499.92</v>
      </c>
      <c r="K329" s="546">
        <f t="shared" si="29"/>
        <v>0</v>
      </c>
      <c r="L329" s="502"/>
      <c r="M329" s="231"/>
      <c r="N329" s="11" t="s">
        <v>243</v>
      </c>
      <c r="O329" s="341"/>
      <c r="P329" s="339"/>
    </row>
    <row r="330" spans="1:16" s="325" customFormat="1" ht="33">
      <c r="A330" s="333" t="s">
        <v>2173</v>
      </c>
      <c r="B330" s="334" t="s">
        <v>947</v>
      </c>
      <c r="C330" s="335" t="s">
        <v>19</v>
      </c>
      <c r="D330" s="336">
        <v>2</v>
      </c>
      <c r="E330" s="336">
        <f>估驗單!F323</f>
        <v>2</v>
      </c>
      <c r="F330" s="390">
        <f t="shared" si="30"/>
        <v>0</v>
      </c>
      <c r="G330" s="336">
        <v>2599.86</v>
      </c>
      <c r="H330" s="336"/>
      <c r="I330" s="336">
        <f t="shared" si="33"/>
        <v>5199.72</v>
      </c>
      <c r="J330" s="336">
        <f t="shared" si="34"/>
        <v>5199.72</v>
      </c>
      <c r="K330" s="546">
        <f t="shared" si="29"/>
        <v>0</v>
      </c>
      <c r="L330" s="502"/>
      <c r="M330" s="231" t="s">
        <v>242</v>
      </c>
      <c r="N330" s="11" t="s">
        <v>243</v>
      </c>
      <c r="O330" s="341"/>
      <c r="P330" s="339"/>
    </row>
    <row r="331" spans="1:16" ht="33">
      <c r="A331" s="333" t="s">
        <v>2174</v>
      </c>
      <c r="B331" s="334" t="s">
        <v>950</v>
      </c>
      <c r="C331" s="335" t="s">
        <v>19</v>
      </c>
      <c r="D331" s="336">
        <v>9</v>
      </c>
      <c r="E331" s="336">
        <f>估驗單!F324</f>
        <v>9</v>
      </c>
      <c r="F331" s="390">
        <f t="shared" si="30"/>
        <v>0</v>
      </c>
      <c r="G331" s="336">
        <v>4459.76</v>
      </c>
      <c r="H331" s="336"/>
      <c r="I331" s="336">
        <f t="shared" si="33"/>
        <v>40137.839999999997</v>
      </c>
      <c r="J331" s="336">
        <f t="shared" si="34"/>
        <v>40137.839999999997</v>
      </c>
      <c r="K331" s="546">
        <f t="shared" si="29"/>
        <v>0</v>
      </c>
      <c r="L331" s="502"/>
      <c r="M331" s="231" t="s">
        <v>242</v>
      </c>
      <c r="N331" s="11" t="s">
        <v>243</v>
      </c>
      <c r="O331" s="341"/>
      <c r="P331" s="339"/>
    </row>
    <row r="332" spans="1:16" ht="33">
      <c r="A332" s="333" t="s">
        <v>2175</v>
      </c>
      <c r="B332" s="334" t="s">
        <v>953</v>
      </c>
      <c r="C332" s="335" t="s">
        <v>8</v>
      </c>
      <c r="D332" s="336">
        <v>180</v>
      </c>
      <c r="E332" s="336">
        <f>估驗單!F325</f>
        <v>180</v>
      </c>
      <c r="F332" s="390">
        <f t="shared" si="30"/>
        <v>0</v>
      </c>
      <c r="G332" s="336">
        <v>596.98</v>
      </c>
      <c r="H332" s="336"/>
      <c r="I332" s="336">
        <f t="shared" si="33"/>
        <v>107456.4</v>
      </c>
      <c r="J332" s="336">
        <f t="shared" si="34"/>
        <v>107456.4</v>
      </c>
      <c r="K332" s="546">
        <f t="shared" si="29"/>
        <v>0</v>
      </c>
      <c r="L332" s="502"/>
      <c r="M332" s="231" t="s">
        <v>242</v>
      </c>
      <c r="N332" s="11" t="s">
        <v>243</v>
      </c>
      <c r="O332" s="341"/>
      <c r="P332" s="339"/>
    </row>
    <row r="333" spans="1:16" ht="33">
      <c r="A333" s="333" t="s">
        <v>2177</v>
      </c>
      <c r="B333" s="334" t="s">
        <v>956</v>
      </c>
      <c r="C333" s="335" t="s">
        <v>8</v>
      </c>
      <c r="D333" s="336">
        <v>60</v>
      </c>
      <c r="E333" s="336">
        <f>估驗單!F326</f>
        <v>60</v>
      </c>
      <c r="F333" s="390">
        <f t="shared" si="30"/>
        <v>0</v>
      </c>
      <c r="G333" s="336">
        <v>67.42</v>
      </c>
      <c r="H333" s="336"/>
      <c r="I333" s="336">
        <f t="shared" si="33"/>
        <v>4045.2</v>
      </c>
      <c r="J333" s="336">
        <f t="shared" si="34"/>
        <v>4045.2</v>
      </c>
      <c r="K333" s="546">
        <f t="shared" ref="K333:K396" si="35">J333-I333</f>
        <v>0</v>
      </c>
      <c r="L333" s="502"/>
      <c r="M333" s="231"/>
      <c r="N333" s="11" t="s">
        <v>243</v>
      </c>
      <c r="O333" s="341"/>
      <c r="P333" s="339"/>
    </row>
    <row r="334" spans="1:16" ht="33">
      <c r="A334" s="333" t="s">
        <v>2178</v>
      </c>
      <c r="B334" s="334" t="s">
        <v>959</v>
      </c>
      <c r="C334" s="335" t="s">
        <v>8</v>
      </c>
      <c r="D334" s="336">
        <v>1032</v>
      </c>
      <c r="E334" s="336">
        <f>估驗單!F327</f>
        <v>1032</v>
      </c>
      <c r="F334" s="390">
        <f t="shared" si="30"/>
        <v>0</v>
      </c>
      <c r="G334" s="336">
        <v>29.42</v>
      </c>
      <c r="H334" s="336"/>
      <c r="I334" s="336">
        <f t="shared" si="33"/>
        <v>30361.439999999999</v>
      </c>
      <c r="J334" s="336">
        <f t="shared" si="34"/>
        <v>30361.439999999999</v>
      </c>
      <c r="K334" s="546">
        <f t="shared" si="35"/>
        <v>0</v>
      </c>
      <c r="L334" s="502"/>
      <c r="M334" s="231" t="s">
        <v>242</v>
      </c>
      <c r="N334" s="11" t="s">
        <v>243</v>
      </c>
      <c r="O334" s="341"/>
      <c r="P334" s="339"/>
    </row>
    <row r="335" spans="1:16" ht="33">
      <c r="A335" s="333" t="s">
        <v>2179</v>
      </c>
      <c r="B335" s="334" t="s">
        <v>962</v>
      </c>
      <c r="C335" s="335" t="s">
        <v>8</v>
      </c>
      <c r="D335" s="336">
        <v>1103</v>
      </c>
      <c r="E335" s="336">
        <f>估驗單!F328</f>
        <v>1103</v>
      </c>
      <c r="F335" s="390">
        <f t="shared" ref="F335:F413" si="36">E335-D335</f>
        <v>0</v>
      </c>
      <c r="G335" s="336">
        <v>147.1</v>
      </c>
      <c r="H335" s="336"/>
      <c r="I335" s="336">
        <f t="shared" si="33"/>
        <v>162251.29999999999</v>
      </c>
      <c r="J335" s="336">
        <f t="shared" si="34"/>
        <v>162251.29999999999</v>
      </c>
      <c r="K335" s="546">
        <f t="shared" si="35"/>
        <v>0</v>
      </c>
      <c r="L335" s="502"/>
      <c r="M335" s="231" t="s">
        <v>242</v>
      </c>
      <c r="N335" s="11" t="s">
        <v>243</v>
      </c>
      <c r="O335" s="341"/>
      <c r="P335" s="339"/>
    </row>
    <row r="336" spans="1:16" ht="42.75">
      <c r="A336" s="333" t="s">
        <v>2181</v>
      </c>
      <c r="B336" s="334" t="s">
        <v>219</v>
      </c>
      <c r="C336" s="335" t="s">
        <v>8</v>
      </c>
      <c r="D336" s="336">
        <v>2064</v>
      </c>
      <c r="E336" s="336">
        <f>估驗單!F329</f>
        <v>2064</v>
      </c>
      <c r="F336" s="390">
        <f t="shared" si="36"/>
        <v>0</v>
      </c>
      <c r="G336" s="336">
        <v>78.459999999999994</v>
      </c>
      <c r="H336" s="336"/>
      <c r="I336" s="336">
        <f t="shared" si="33"/>
        <v>161941.44</v>
      </c>
      <c r="J336" s="336">
        <f t="shared" si="34"/>
        <v>161941.44</v>
      </c>
      <c r="K336" s="546">
        <f t="shared" si="35"/>
        <v>0</v>
      </c>
      <c r="L336" s="502"/>
      <c r="M336" s="231" t="s">
        <v>242</v>
      </c>
      <c r="N336" s="11" t="s">
        <v>243</v>
      </c>
      <c r="O336" s="341"/>
      <c r="P336" s="339"/>
    </row>
    <row r="337" spans="1:17" ht="33">
      <c r="A337" s="333" t="s">
        <v>2182</v>
      </c>
      <c r="B337" s="334" t="s">
        <v>967</v>
      </c>
      <c r="C337" s="335" t="s">
        <v>4</v>
      </c>
      <c r="D337" s="336">
        <v>1</v>
      </c>
      <c r="E337" s="336">
        <f>估驗單!F330</f>
        <v>1</v>
      </c>
      <c r="F337" s="390">
        <f t="shared" si="36"/>
        <v>0</v>
      </c>
      <c r="G337" s="336">
        <v>24062.69</v>
      </c>
      <c r="H337" s="336"/>
      <c r="I337" s="336">
        <f t="shared" si="33"/>
        <v>24062.69</v>
      </c>
      <c r="J337" s="336">
        <f t="shared" si="34"/>
        <v>24062.69</v>
      </c>
      <c r="K337" s="546">
        <f t="shared" si="35"/>
        <v>0</v>
      </c>
      <c r="L337" s="502"/>
      <c r="M337" s="231"/>
      <c r="N337" s="11" t="s">
        <v>243</v>
      </c>
      <c r="O337" s="341"/>
      <c r="P337" s="339"/>
    </row>
    <row r="338" spans="1:17" ht="33">
      <c r="A338" s="333" t="s">
        <v>2183</v>
      </c>
      <c r="B338" s="334" t="s">
        <v>970</v>
      </c>
      <c r="C338" s="335" t="s">
        <v>8</v>
      </c>
      <c r="D338" s="336">
        <v>1011</v>
      </c>
      <c r="E338" s="336">
        <f>估驗單!F331</f>
        <v>1011</v>
      </c>
      <c r="F338" s="390">
        <f t="shared" si="36"/>
        <v>0</v>
      </c>
      <c r="G338" s="336">
        <v>35.549999999999997</v>
      </c>
      <c r="H338" s="336"/>
      <c r="I338" s="336">
        <f t="shared" si="33"/>
        <v>35941.050000000003</v>
      </c>
      <c r="J338" s="336">
        <f t="shared" si="34"/>
        <v>35941.050000000003</v>
      </c>
      <c r="K338" s="546">
        <f t="shared" si="35"/>
        <v>0</v>
      </c>
      <c r="L338" s="502"/>
      <c r="M338" s="231"/>
      <c r="N338" s="11" t="s">
        <v>243</v>
      </c>
      <c r="O338" s="341"/>
      <c r="P338" s="339"/>
    </row>
    <row r="339" spans="1:17" ht="33">
      <c r="A339" s="333" t="s">
        <v>2184</v>
      </c>
      <c r="B339" s="334" t="s">
        <v>220</v>
      </c>
      <c r="C339" s="335" t="s">
        <v>8</v>
      </c>
      <c r="D339" s="336">
        <v>946</v>
      </c>
      <c r="E339" s="336">
        <f>估驗單!F332</f>
        <v>946</v>
      </c>
      <c r="F339" s="390">
        <f t="shared" si="36"/>
        <v>0</v>
      </c>
      <c r="G339" s="336">
        <v>60.07</v>
      </c>
      <c r="H339" s="336"/>
      <c r="I339" s="336">
        <f t="shared" si="33"/>
        <v>56826.22</v>
      </c>
      <c r="J339" s="336">
        <f t="shared" si="34"/>
        <v>56826.22</v>
      </c>
      <c r="K339" s="546">
        <f t="shared" si="35"/>
        <v>0</v>
      </c>
      <c r="L339" s="502"/>
      <c r="M339" s="231"/>
      <c r="N339" s="11" t="s">
        <v>243</v>
      </c>
      <c r="O339" s="341"/>
      <c r="P339" s="339"/>
    </row>
    <row r="340" spans="1:17" ht="33">
      <c r="A340" s="333" t="s">
        <v>2185</v>
      </c>
      <c r="B340" s="334" t="s">
        <v>975</v>
      </c>
      <c r="C340" s="335" t="s">
        <v>8</v>
      </c>
      <c r="D340" s="336">
        <v>55</v>
      </c>
      <c r="E340" s="336">
        <f>估驗單!F333</f>
        <v>55</v>
      </c>
      <c r="F340" s="390">
        <f t="shared" si="36"/>
        <v>0</v>
      </c>
      <c r="G340" s="336">
        <v>125.03</v>
      </c>
      <c r="H340" s="336"/>
      <c r="I340" s="336">
        <f t="shared" si="33"/>
        <v>6876.65</v>
      </c>
      <c r="J340" s="336">
        <f t="shared" si="34"/>
        <v>6876.65</v>
      </c>
      <c r="K340" s="546">
        <f t="shared" si="35"/>
        <v>0</v>
      </c>
      <c r="L340" s="502"/>
      <c r="M340" s="231" t="s">
        <v>242</v>
      </c>
      <c r="N340" s="11" t="s">
        <v>243</v>
      </c>
      <c r="O340" s="341"/>
      <c r="P340" s="339"/>
    </row>
    <row r="341" spans="1:17" ht="33">
      <c r="A341" s="333" t="s">
        <v>2186</v>
      </c>
      <c r="B341" s="334" t="s">
        <v>978</v>
      </c>
      <c r="C341" s="335" t="s">
        <v>8</v>
      </c>
      <c r="D341" s="336">
        <v>22</v>
      </c>
      <c r="E341" s="336">
        <f>估驗單!F334</f>
        <v>22</v>
      </c>
      <c r="F341" s="390">
        <f t="shared" si="36"/>
        <v>0</v>
      </c>
      <c r="G341" s="336">
        <v>178.97</v>
      </c>
      <c r="H341" s="336"/>
      <c r="I341" s="336">
        <f t="shared" si="33"/>
        <v>3937.34</v>
      </c>
      <c r="J341" s="336">
        <f t="shared" si="34"/>
        <v>3937.34</v>
      </c>
      <c r="K341" s="546">
        <f t="shared" si="35"/>
        <v>0</v>
      </c>
      <c r="L341" s="502"/>
      <c r="M341" s="231" t="s">
        <v>242</v>
      </c>
      <c r="N341" s="11" t="s">
        <v>243</v>
      </c>
      <c r="O341" s="341"/>
      <c r="P341" s="339"/>
    </row>
    <row r="342" spans="1:17" ht="33">
      <c r="A342" s="333" t="s">
        <v>2187</v>
      </c>
      <c r="B342" s="334" t="s">
        <v>981</v>
      </c>
      <c r="C342" s="335" t="s">
        <v>4</v>
      </c>
      <c r="D342" s="336">
        <v>1</v>
      </c>
      <c r="E342" s="336">
        <f>估驗單!F335</f>
        <v>1</v>
      </c>
      <c r="F342" s="390">
        <f t="shared" si="36"/>
        <v>0</v>
      </c>
      <c r="G342" s="336">
        <v>19812.919999999998</v>
      </c>
      <c r="H342" s="336"/>
      <c r="I342" s="336">
        <f t="shared" si="33"/>
        <v>19812.919999999998</v>
      </c>
      <c r="J342" s="336">
        <f t="shared" si="34"/>
        <v>19812.919999999998</v>
      </c>
      <c r="K342" s="546">
        <f t="shared" si="35"/>
        <v>0</v>
      </c>
      <c r="L342" s="502"/>
      <c r="M342" s="231" t="s">
        <v>242</v>
      </c>
      <c r="N342" s="11" t="s">
        <v>243</v>
      </c>
      <c r="O342" s="341"/>
      <c r="P342" s="339"/>
    </row>
    <row r="343" spans="1:17" ht="33">
      <c r="A343" s="333" t="s">
        <v>2188</v>
      </c>
      <c r="B343" s="334" t="s">
        <v>984</v>
      </c>
      <c r="C343" s="335" t="s">
        <v>4</v>
      </c>
      <c r="D343" s="336">
        <v>1</v>
      </c>
      <c r="E343" s="336">
        <f>估驗單!F336</f>
        <v>1</v>
      </c>
      <c r="F343" s="390">
        <f t="shared" si="36"/>
        <v>0</v>
      </c>
      <c r="G343" s="336">
        <v>29571.39</v>
      </c>
      <c r="H343" s="336"/>
      <c r="I343" s="336">
        <f t="shared" si="33"/>
        <v>29571.39</v>
      </c>
      <c r="J343" s="336">
        <f t="shared" si="34"/>
        <v>29571.39</v>
      </c>
      <c r="K343" s="546">
        <f t="shared" si="35"/>
        <v>0</v>
      </c>
      <c r="L343" s="502"/>
      <c r="M343" s="231" t="s">
        <v>242</v>
      </c>
      <c r="N343" s="11" t="s">
        <v>243</v>
      </c>
      <c r="O343" s="341"/>
      <c r="P343" s="339"/>
    </row>
    <row r="344" spans="1:17" ht="33">
      <c r="A344" s="406" t="s">
        <v>2249</v>
      </c>
      <c r="B344" s="407" t="s">
        <v>987</v>
      </c>
      <c r="C344" s="408" t="s">
        <v>4</v>
      </c>
      <c r="D344" s="409"/>
      <c r="E344" s="409"/>
      <c r="F344" s="410">
        <f t="shared" si="36"/>
        <v>0</v>
      </c>
      <c r="G344" s="409">
        <f>I344</f>
        <v>11249747.310000001</v>
      </c>
      <c r="H344" s="409"/>
      <c r="I344" s="448">
        <f>SUM(I345:I353)</f>
        <v>11249747.310000001</v>
      </c>
      <c r="J344" s="448">
        <f>SUM(J345:J353)</f>
        <v>13193015.85</v>
      </c>
      <c r="K344" s="543">
        <f>SUM(K345:K353)</f>
        <v>1943268.5400000003</v>
      </c>
      <c r="L344" s="535">
        <f>SUM(L345:L353)</f>
        <v>0</v>
      </c>
      <c r="M344" s="288" t="s">
        <v>242</v>
      </c>
      <c r="N344" s="11" t="s">
        <v>243</v>
      </c>
      <c r="O344" s="341"/>
      <c r="P344" s="339"/>
    </row>
    <row r="345" spans="1:17" ht="33">
      <c r="A345" s="333" t="s">
        <v>2154</v>
      </c>
      <c r="B345" s="334" t="s">
        <v>989</v>
      </c>
      <c r="C345" s="335" t="s">
        <v>8</v>
      </c>
      <c r="D345" s="340">
        <f>估驗單!E338</f>
        <v>2576.8000000000002</v>
      </c>
      <c r="E345" s="336">
        <f>估驗單!F338</f>
        <v>2576.8000000000002</v>
      </c>
      <c r="F345" s="390">
        <f t="shared" si="36"/>
        <v>0</v>
      </c>
      <c r="G345" s="340">
        <v>247.19</v>
      </c>
      <c r="H345" s="340"/>
      <c r="I345" s="336">
        <f t="shared" ref="I345:I353" si="37">ROUND(D345*G345,2)</f>
        <v>636959.18999999994</v>
      </c>
      <c r="J345" s="336">
        <f t="shared" ref="J345:J353" si="38">ROUND(E345*G345,2)</f>
        <v>636959.18999999994</v>
      </c>
      <c r="K345" s="546">
        <f t="shared" si="35"/>
        <v>0</v>
      </c>
      <c r="L345" s="502"/>
      <c r="M345" s="231"/>
      <c r="N345" s="11" t="s">
        <v>243</v>
      </c>
      <c r="O345" s="348"/>
      <c r="P345" s="339"/>
      <c r="Q345" s="342"/>
    </row>
    <row r="346" spans="1:17" ht="33">
      <c r="A346" s="333" t="s">
        <v>2155</v>
      </c>
      <c r="B346" s="334" t="s">
        <v>992</v>
      </c>
      <c r="C346" s="335" t="s">
        <v>8</v>
      </c>
      <c r="D346" s="340">
        <f>估驗單!E339</f>
        <v>2576.8000000000002</v>
      </c>
      <c r="E346" s="336">
        <f>估驗單!F339</f>
        <v>2576.8000000000002</v>
      </c>
      <c r="F346" s="390">
        <f t="shared" si="36"/>
        <v>0</v>
      </c>
      <c r="G346" s="340">
        <v>236.89</v>
      </c>
      <c r="H346" s="340"/>
      <c r="I346" s="336">
        <f t="shared" si="37"/>
        <v>610418.15</v>
      </c>
      <c r="J346" s="336">
        <f t="shared" si="38"/>
        <v>610418.15</v>
      </c>
      <c r="K346" s="546">
        <f t="shared" si="35"/>
        <v>0</v>
      </c>
      <c r="L346" s="502"/>
      <c r="M346" s="231" t="s">
        <v>242</v>
      </c>
      <c r="N346" s="11" t="s">
        <v>243</v>
      </c>
      <c r="O346" s="348"/>
      <c r="P346" s="339"/>
      <c r="Q346" s="342"/>
    </row>
    <row r="347" spans="1:17" s="325" customFormat="1" ht="33">
      <c r="A347" s="333" t="s">
        <v>2156</v>
      </c>
      <c r="B347" s="334" t="s">
        <v>995</v>
      </c>
      <c r="C347" s="335" t="s">
        <v>13</v>
      </c>
      <c r="D347" s="340">
        <f>估驗單!E340</f>
        <v>9215</v>
      </c>
      <c r="E347" s="336">
        <f>估驗單!F340</f>
        <v>9215</v>
      </c>
      <c r="F347" s="390">
        <f t="shared" si="36"/>
        <v>0</v>
      </c>
      <c r="G347" s="336">
        <v>252.34</v>
      </c>
      <c r="H347" s="336"/>
      <c r="I347" s="336">
        <f t="shared" si="37"/>
        <v>2325313.1</v>
      </c>
      <c r="J347" s="336">
        <f t="shared" si="38"/>
        <v>2325313.1</v>
      </c>
      <c r="K347" s="546">
        <f t="shared" si="35"/>
        <v>0</v>
      </c>
      <c r="L347" s="502"/>
      <c r="M347" s="231" t="s">
        <v>242</v>
      </c>
      <c r="N347" s="11" t="s">
        <v>243</v>
      </c>
      <c r="O347" s="341"/>
      <c r="P347" s="339"/>
    </row>
    <row r="348" spans="1:17" s="325" customFormat="1" ht="42.75">
      <c r="A348" s="333" t="s">
        <v>2157</v>
      </c>
      <c r="B348" s="334" t="s">
        <v>998</v>
      </c>
      <c r="C348" s="335" t="s">
        <v>4</v>
      </c>
      <c r="D348" s="340">
        <f>估驗單!E341</f>
        <v>1</v>
      </c>
      <c r="E348" s="336">
        <f>估驗單!F341</f>
        <v>1</v>
      </c>
      <c r="F348" s="390">
        <f t="shared" si="36"/>
        <v>0</v>
      </c>
      <c r="G348" s="336">
        <v>349980.91</v>
      </c>
      <c r="H348" s="336"/>
      <c r="I348" s="336">
        <f t="shared" si="37"/>
        <v>349980.91</v>
      </c>
      <c r="J348" s="336">
        <f t="shared" si="38"/>
        <v>349980.91</v>
      </c>
      <c r="K348" s="546">
        <f t="shared" si="35"/>
        <v>0</v>
      </c>
      <c r="L348" s="502"/>
      <c r="M348" s="231"/>
      <c r="N348" s="11" t="s">
        <v>243</v>
      </c>
      <c r="O348" s="341"/>
      <c r="P348" s="339"/>
    </row>
    <row r="349" spans="1:17" s="325" customFormat="1" ht="39" customHeight="1">
      <c r="A349" s="503" t="s">
        <v>2158</v>
      </c>
      <c r="B349" s="504" t="s">
        <v>1001</v>
      </c>
      <c r="C349" s="505" t="s">
        <v>16</v>
      </c>
      <c r="D349" s="515">
        <f>估驗單!E342</f>
        <v>2052</v>
      </c>
      <c r="E349" s="506">
        <f>估驗單!F342</f>
        <v>2928</v>
      </c>
      <c r="F349" s="507">
        <f t="shared" si="36"/>
        <v>876</v>
      </c>
      <c r="G349" s="506">
        <v>931.07</v>
      </c>
      <c r="H349" s="506"/>
      <c r="I349" s="506">
        <f t="shared" si="37"/>
        <v>1910555.64</v>
      </c>
      <c r="J349" s="506">
        <f t="shared" si="38"/>
        <v>2726172.96</v>
      </c>
      <c r="K349" s="547">
        <f t="shared" si="35"/>
        <v>815617.32000000007</v>
      </c>
      <c r="L349" s="510"/>
      <c r="M349" s="508"/>
      <c r="N349" s="11" t="s">
        <v>243</v>
      </c>
      <c r="O349" s="341" t="s">
        <v>2965</v>
      </c>
      <c r="P349" s="339"/>
      <c r="Q349" s="325" t="s">
        <v>3047</v>
      </c>
    </row>
    <row r="350" spans="1:17" s="325" customFormat="1" ht="45">
      <c r="A350" s="503" t="s">
        <v>2159</v>
      </c>
      <c r="B350" s="504" t="s">
        <v>728</v>
      </c>
      <c r="C350" s="505" t="s">
        <v>6</v>
      </c>
      <c r="D350" s="515">
        <f>估驗單!E343</f>
        <v>720</v>
      </c>
      <c r="E350" s="506">
        <f>估驗單!F343</f>
        <v>1053</v>
      </c>
      <c r="F350" s="507">
        <f t="shared" si="36"/>
        <v>333</v>
      </c>
      <c r="G350" s="506">
        <v>3386.34</v>
      </c>
      <c r="H350" s="506"/>
      <c r="I350" s="506">
        <f t="shared" si="37"/>
        <v>2438164.7999999998</v>
      </c>
      <c r="J350" s="506">
        <f t="shared" si="38"/>
        <v>3565816.02</v>
      </c>
      <c r="K350" s="547">
        <f t="shared" si="35"/>
        <v>1127651.2200000002</v>
      </c>
      <c r="L350" s="510"/>
      <c r="M350" s="508"/>
      <c r="N350" s="11" t="s">
        <v>243</v>
      </c>
      <c r="O350" s="341" t="s">
        <v>2965</v>
      </c>
      <c r="P350" s="339"/>
      <c r="Q350" s="325" t="s">
        <v>3048</v>
      </c>
    </row>
    <row r="351" spans="1:17" s="325" customFormat="1" ht="42.75">
      <c r="A351" s="333" t="s">
        <v>2160</v>
      </c>
      <c r="B351" s="334" t="s">
        <v>1515</v>
      </c>
      <c r="C351" s="335" t="s">
        <v>8</v>
      </c>
      <c r="D351" s="336">
        <v>132</v>
      </c>
      <c r="E351" s="336">
        <f>估驗單!F344</f>
        <v>132</v>
      </c>
      <c r="F351" s="390">
        <f t="shared" si="36"/>
        <v>0</v>
      </c>
      <c r="G351" s="336">
        <v>5107.6000000000004</v>
      </c>
      <c r="H351" s="336"/>
      <c r="I351" s="336">
        <f t="shared" si="37"/>
        <v>674203.2</v>
      </c>
      <c r="J351" s="336">
        <f t="shared" si="38"/>
        <v>674203.2</v>
      </c>
      <c r="K351" s="546">
        <f t="shared" si="35"/>
        <v>0</v>
      </c>
      <c r="L351" s="502"/>
      <c r="M351" s="231"/>
      <c r="N351" s="11" t="s">
        <v>243</v>
      </c>
      <c r="O351" s="341"/>
      <c r="P351" s="339"/>
    </row>
    <row r="352" spans="1:17" s="325" customFormat="1" ht="42.75">
      <c r="A352" s="333" t="s">
        <v>2161</v>
      </c>
      <c r="B352" s="334" t="s">
        <v>1517</v>
      </c>
      <c r="C352" s="335" t="s">
        <v>8</v>
      </c>
      <c r="D352" s="336">
        <v>106</v>
      </c>
      <c r="E352" s="336">
        <f>估驗單!F345</f>
        <v>106</v>
      </c>
      <c r="F352" s="390">
        <f t="shared" si="36"/>
        <v>0</v>
      </c>
      <c r="G352" s="336">
        <v>7385.08</v>
      </c>
      <c r="H352" s="336"/>
      <c r="I352" s="336">
        <f t="shared" si="37"/>
        <v>782818.48</v>
      </c>
      <c r="J352" s="336">
        <f t="shared" si="38"/>
        <v>782818.48</v>
      </c>
      <c r="K352" s="546">
        <f t="shared" si="35"/>
        <v>0</v>
      </c>
      <c r="L352" s="502"/>
      <c r="M352" s="231"/>
      <c r="N352" s="11" t="s">
        <v>243</v>
      </c>
      <c r="O352" s="341"/>
      <c r="P352" s="339"/>
    </row>
    <row r="353" spans="1:19" s="325" customFormat="1" ht="42.75">
      <c r="A353" s="333" t="s">
        <v>2162</v>
      </c>
      <c r="B353" s="334" t="s">
        <v>1519</v>
      </c>
      <c r="C353" s="335" t="s">
        <v>8</v>
      </c>
      <c r="D353" s="336">
        <v>156</v>
      </c>
      <c r="E353" s="336">
        <f>估驗單!F346</f>
        <v>156</v>
      </c>
      <c r="F353" s="390">
        <f t="shared" si="36"/>
        <v>0</v>
      </c>
      <c r="G353" s="336">
        <v>9752.14</v>
      </c>
      <c r="H353" s="336"/>
      <c r="I353" s="336">
        <f t="shared" si="37"/>
        <v>1521333.84</v>
      </c>
      <c r="J353" s="336">
        <f t="shared" si="38"/>
        <v>1521333.84</v>
      </c>
      <c r="K353" s="546">
        <f t="shared" si="35"/>
        <v>0</v>
      </c>
      <c r="L353" s="502"/>
      <c r="M353" s="231"/>
      <c r="N353" s="11" t="s">
        <v>243</v>
      </c>
      <c r="O353" s="341"/>
      <c r="P353" s="339"/>
    </row>
    <row r="354" spans="1:19" s="325" customFormat="1" ht="33">
      <c r="A354" s="406" t="s">
        <v>2250</v>
      </c>
      <c r="B354" s="407" t="s">
        <v>11</v>
      </c>
      <c r="C354" s="408" t="s">
        <v>4</v>
      </c>
      <c r="D354" s="409"/>
      <c r="E354" s="409">
        <f>估驗單!F347</f>
        <v>0</v>
      </c>
      <c r="F354" s="410">
        <f t="shared" si="36"/>
        <v>0</v>
      </c>
      <c r="G354" s="409">
        <f>I354</f>
        <v>19449714.099999998</v>
      </c>
      <c r="H354" s="409"/>
      <c r="I354" s="409">
        <f>SUM(I355:I379)</f>
        <v>19449714.099999998</v>
      </c>
      <c r="J354" s="409">
        <f>SUM(J355:J379)</f>
        <v>19449714.099999998</v>
      </c>
      <c r="K354" s="542">
        <f>SUM(K355:K379)</f>
        <v>0</v>
      </c>
      <c r="L354" s="534">
        <f>SUM(L355:L364)</f>
        <v>0</v>
      </c>
      <c r="M354" s="288" t="s">
        <v>242</v>
      </c>
      <c r="N354" s="11" t="s">
        <v>243</v>
      </c>
      <c r="O354" s="341"/>
      <c r="P354" s="339"/>
    </row>
    <row r="355" spans="1:19" s="325" customFormat="1" ht="33">
      <c r="A355" s="333" t="s">
        <v>2154</v>
      </c>
      <c r="B355" s="334" t="s">
        <v>1004</v>
      </c>
      <c r="C355" s="335" t="s">
        <v>4</v>
      </c>
      <c r="D355" s="336">
        <v>1</v>
      </c>
      <c r="E355" s="336">
        <f>估驗單!F348</f>
        <v>1</v>
      </c>
      <c r="F355" s="390">
        <f t="shared" si="36"/>
        <v>0</v>
      </c>
      <c r="G355" s="336">
        <v>716633.92</v>
      </c>
      <c r="H355" s="336"/>
      <c r="I355" s="336">
        <f t="shared" ref="I355:I379" si="39">ROUND(D355*G355,2)</f>
        <v>716633.92</v>
      </c>
      <c r="J355" s="336">
        <f t="shared" ref="J355:J379" si="40">ROUND(E355*G355,2)</f>
        <v>716633.92</v>
      </c>
      <c r="K355" s="546">
        <f t="shared" si="35"/>
        <v>0</v>
      </c>
      <c r="L355" s="502"/>
      <c r="M355" s="231"/>
      <c r="N355" s="11" t="s">
        <v>243</v>
      </c>
      <c r="O355" s="341"/>
      <c r="P355" s="339"/>
    </row>
    <row r="356" spans="1:19" s="325" customFormat="1" ht="33">
      <c r="A356" s="333" t="s">
        <v>2155</v>
      </c>
      <c r="B356" s="334" t="s">
        <v>1006</v>
      </c>
      <c r="C356" s="335" t="s">
        <v>1007</v>
      </c>
      <c r="D356" s="336">
        <v>7</v>
      </c>
      <c r="E356" s="336">
        <f>估驗單!F349</f>
        <v>7</v>
      </c>
      <c r="F356" s="390">
        <f t="shared" si="36"/>
        <v>0</v>
      </c>
      <c r="G356" s="336">
        <v>49997.27</v>
      </c>
      <c r="H356" s="336"/>
      <c r="I356" s="336">
        <f t="shared" si="39"/>
        <v>349980.89</v>
      </c>
      <c r="J356" s="336">
        <f t="shared" si="40"/>
        <v>349980.89</v>
      </c>
      <c r="K356" s="546">
        <f t="shared" si="35"/>
        <v>0</v>
      </c>
      <c r="L356" s="502"/>
      <c r="M356" s="231"/>
      <c r="N356" s="11" t="s">
        <v>243</v>
      </c>
      <c r="O356" s="341"/>
      <c r="P356" s="339"/>
    </row>
    <row r="357" spans="1:19" s="325" customFormat="1" ht="42.75">
      <c r="A357" s="333" t="s">
        <v>2156</v>
      </c>
      <c r="B357" s="334" t="s">
        <v>1009</v>
      </c>
      <c r="C357" s="335" t="s">
        <v>1010</v>
      </c>
      <c r="D357" s="336">
        <v>2230</v>
      </c>
      <c r="E357" s="336">
        <f>估驗單!F350</f>
        <v>2230</v>
      </c>
      <c r="F357" s="390">
        <f t="shared" si="36"/>
        <v>0</v>
      </c>
      <c r="G357" s="336">
        <v>805.95</v>
      </c>
      <c r="H357" s="336"/>
      <c r="I357" s="336">
        <f t="shared" si="39"/>
        <v>1797268.5</v>
      </c>
      <c r="J357" s="336">
        <f t="shared" si="40"/>
        <v>1797268.5</v>
      </c>
      <c r="K357" s="546">
        <f t="shared" si="35"/>
        <v>0</v>
      </c>
      <c r="L357" s="502"/>
      <c r="M357" s="231"/>
      <c r="N357" s="11" t="s">
        <v>243</v>
      </c>
      <c r="O357" s="364"/>
      <c r="P357" s="373"/>
      <c r="Q357" s="342"/>
      <c r="S357" s="374"/>
    </row>
    <row r="358" spans="1:19" s="325" customFormat="1" ht="33">
      <c r="A358" s="333" t="s">
        <v>2157</v>
      </c>
      <c r="B358" s="334" t="s">
        <v>1012</v>
      </c>
      <c r="C358" s="335" t="s">
        <v>1007</v>
      </c>
      <c r="D358" s="336">
        <v>4</v>
      </c>
      <c r="E358" s="336">
        <f>估驗單!F351</f>
        <v>4</v>
      </c>
      <c r="F358" s="390">
        <f t="shared" si="36"/>
        <v>0</v>
      </c>
      <c r="G358" s="336">
        <v>49997.27</v>
      </c>
      <c r="H358" s="336"/>
      <c r="I358" s="336">
        <f t="shared" si="39"/>
        <v>199989.08</v>
      </c>
      <c r="J358" s="336">
        <f t="shared" si="40"/>
        <v>199989.08</v>
      </c>
      <c r="K358" s="546">
        <f t="shared" si="35"/>
        <v>0</v>
      </c>
      <c r="L358" s="502"/>
      <c r="M358" s="231"/>
      <c r="N358" s="11" t="s">
        <v>243</v>
      </c>
      <c r="O358" s="341"/>
      <c r="P358" s="339"/>
    </row>
    <row r="359" spans="1:19" s="325" customFormat="1" ht="33">
      <c r="A359" s="333" t="s">
        <v>2158</v>
      </c>
      <c r="B359" s="334" t="s">
        <v>1014</v>
      </c>
      <c r="C359" s="335" t="s">
        <v>1015</v>
      </c>
      <c r="D359" s="336">
        <v>19</v>
      </c>
      <c r="E359" s="336">
        <f>估驗單!F352</f>
        <v>19</v>
      </c>
      <c r="F359" s="390">
        <f t="shared" si="36"/>
        <v>0</v>
      </c>
      <c r="G359" s="336">
        <v>179990.18</v>
      </c>
      <c r="H359" s="336"/>
      <c r="I359" s="336">
        <f t="shared" si="39"/>
        <v>3419813.42</v>
      </c>
      <c r="J359" s="336">
        <f t="shared" si="40"/>
        <v>3419813.42</v>
      </c>
      <c r="K359" s="546">
        <f t="shared" si="35"/>
        <v>0</v>
      </c>
      <c r="L359" s="502"/>
      <c r="M359" s="234"/>
      <c r="N359" s="11" t="s">
        <v>243</v>
      </c>
      <c r="O359" s="341" t="s">
        <v>2964</v>
      </c>
      <c r="P359" s="770" t="s">
        <v>3049</v>
      </c>
      <c r="Q359" s="325" t="s">
        <v>2949</v>
      </c>
    </row>
    <row r="360" spans="1:19" s="325" customFormat="1" ht="33">
      <c r="A360" s="333" t="s">
        <v>2159</v>
      </c>
      <c r="B360" s="334" t="s">
        <v>1017</v>
      </c>
      <c r="C360" s="335" t="s">
        <v>4</v>
      </c>
      <c r="D360" s="336">
        <v>1</v>
      </c>
      <c r="E360" s="336">
        <f>估驗單!F353</f>
        <v>1</v>
      </c>
      <c r="F360" s="390">
        <f t="shared" si="36"/>
        <v>0</v>
      </c>
      <c r="G360" s="336">
        <v>205971.45</v>
      </c>
      <c r="H360" s="336"/>
      <c r="I360" s="336">
        <f t="shared" si="39"/>
        <v>205971.45</v>
      </c>
      <c r="J360" s="336">
        <f t="shared" si="40"/>
        <v>205971.45</v>
      </c>
      <c r="K360" s="546">
        <f t="shared" si="35"/>
        <v>0</v>
      </c>
      <c r="L360" s="502"/>
      <c r="M360" s="231"/>
      <c r="N360" s="11" t="s">
        <v>243</v>
      </c>
      <c r="O360" s="341"/>
      <c r="P360" s="339"/>
    </row>
    <row r="361" spans="1:19" s="325" customFormat="1" ht="33">
      <c r="A361" s="333" t="s">
        <v>2160</v>
      </c>
      <c r="B361" s="334" t="s">
        <v>1019</v>
      </c>
      <c r="C361" s="335" t="s">
        <v>4</v>
      </c>
      <c r="D361" s="336">
        <v>1</v>
      </c>
      <c r="E361" s="336">
        <f>估驗單!F354</f>
        <v>1</v>
      </c>
      <c r="F361" s="390">
        <f t="shared" si="36"/>
        <v>0</v>
      </c>
      <c r="G361" s="336">
        <v>2424867.7599999998</v>
      </c>
      <c r="H361" s="336"/>
      <c r="I361" s="336">
        <f t="shared" si="39"/>
        <v>2424867.7599999998</v>
      </c>
      <c r="J361" s="336">
        <f t="shared" si="40"/>
        <v>2424867.7599999998</v>
      </c>
      <c r="K361" s="546">
        <f t="shared" si="35"/>
        <v>0</v>
      </c>
      <c r="L361" s="502"/>
      <c r="M361" s="231"/>
      <c r="N361" s="11" t="s">
        <v>243</v>
      </c>
      <c r="O361" s="341"/>
      <c r="P361" s="339"/>
    </row>
    <row r="362" spans="1:19" s="325" customFormat="1" ht="33">
      <c r="A362" s="333" t="s">
        <v>2161</v>
      </c>
      <c r="B362" s="334" t="s">
        <v>1021</v>
      </c>
      <c r="C362" s="335" t="s">
        <v>4</v>
      </c>
      <c r="D362" s="336">
        <v>1</v>
      </c>
      <c r="E362" s="336">
        <f>估驗單!F355</f>
        <v>1</v>
      </c>
      <c r="F362" s="390">
        <f t="shared" si="36"/>
        <v>0</v>
      </c>
      <c r="G362" s="336">
        <v>349980.91</v>
      </c>
      <c r="H362" s="336"/>
      <c r="I362" s="336">
        <f t="shared" si="39"/>
        <v>349980.91</v>
      </c>
      <c r="J362" s="336">
        <f t="shared" si="40"/>
        <v>349980.91</v>
      </c>
      <c r="K362" s="546">
        <f t="shared" si="35"/>
        <v>0</v>
      </c>
      <c r="L362" s="502"/>
      <c r="M362" s="231"/>
      <c r="N362" s="11" t="s">
        <v>243</v>
      </c>
      <c r="O362" s="341"/>
      <c r="P362" s="339"/>
    </row>
    <row r="363" spans="1:19" s="375" customFormat="1" ht="33">
      <c r="A363" s="343" t="s">
        <v>2162</v>
      </c>
      <c r="B363" s="344" t="s">
        <v>1534</v>
      </c>
      <c r="C363" s="345" t="s">
        <v>13</v>
      </c>
      <c r="D363" s="340">
        <v>464</v>
      </c>
      <c r="E363" s="336">
        <f>估驗單!F356</f>
        <v>464</v>
      </c>
      <c r="F363" s="390">
        <f t="shared" si="36"/>
        <v>0</v>
      </c>
      <c r="G363" s="340">
        <v>15384.09</v>
      </c>
      <c r="H363" s="340"/>
      <c r="I363" s="336">
        <f t="shared" si="39"/>
        <v>7138217.7599999998</v>
      </c>
      <c r="J363" s="336">
        <f t="shared" si="40"/>
        <v>7138217.7599999998</v>
      </c>
      <c r="K363" s="546">
        <f t="shared" si="35"/>
        <v>0</v>
      </c>
      <c r="L363" s="502"/>
      <c r="M363" s="346"/>
      <c r="N363" s="347" t="s">
        <v>243</v>
      </c>
      <c r="O363" s="354"/>
      <c r="P363" s="349"/>
    </row>
    <row r="364" spans="1:19" s="368" customFormat="1" ht="28.5" customHeight="1">
      <c r="A364" s="333">
        <v>10</v>
      </c>
      <c r="B364" s="334" t="s">
        <v>2437</v>
      </c>
      <c r="C364" s="335" t="s">
        <v>2353</v>
      </c>
      <c r="D364" s="336">
        <v>2</v>
      </c>
      <c r="E364" s="336">
        <f>估驗單!F357</f>
        <v>2</v>
      </c>
      <c r="F364" s="390">
        <f t="shared" si="36"/>
        <v>0</v>
      </c>
      <c r="G364" s="336">
        <v>60994.76</v>
      </c>
      <c r="H364" s="336"/>
      <c r="I364" s="336">
        <f t="shared" si="39"/>
        <v>121989.52</v>
      </c>
      <c r="J364" s="336">
        <f t="shared" si="40"/>
        <v>121989.52</v>
      </c>
      <c r="K364" s="546">
        <f t="shared" si="35"/>
        <v>0</v>
      </c>
      <c r="L364" s="502"/>
      <c r="M364" s="231"/>
      <c r="N364" s="11"/>
      <c r="O364" s="364"/>
      <c r="P364" s="373"/>
      <c r="Q364" s="342"/>
    </row>
    <row r="365" spans="1:19" s="368" customFormat="1" ht="28.5" customHeight="1">
      <c r="A365" s="333">
        <v>11</v>
      </c>
      <c r="B365" s="428" t="s">
        <v>2567</v>
      </c>
      <c r="C365" s="429" t="s">
        <v>16</v>
      </c>
      <c r="D365" s="430">
        <v>129</v>
      </c>
      <c r="E365" s="430">
        <v>129</v>
      </c>
      <c r="F365" s="431"/>
      <c r="G365" s="500">
        <v>1159.8599999999999</v>
      </c>
      <c r="H365" s="500"/>
      <c r="I365" s="336">
        <f t="shared" si="39"/>
        <v>149621.94</v>
      </c>
      <c r="J365" s="336">
        <f t="shared" si="40"/>
        <v>149621.94</v>
      </c>
      <c r="K365" s="546">
        <f t="shared" si="35"/>
        <v>0</v>
      </c>
      <c r="L365" s="536"/>
      <c r="M365" s="432"/>
      <c r="N365" s="11"/>
      <c r="O365" s="364"/>
      <c r="P365" s="373"/>
      <c r="Q365" s="342"/>
    </row>
    <row r="366" spans="1:19" s="368" customFormat="1" ht="28.5" customHeight="1">
      <c r="A366" s="333">
        <v>12</v>
      </c>
      <c r="B366" s="428" t="s">
        <v>2568</v>
      </c>
      <c r="C366" s="429" t="s">
        <v>16</v>
      </c>
      <c r="D366" s="430">
        <v>282</v>
      </c>
      <c r="E366" s="430">
        <v>282</v>
      </c>
      <c r="F366" s="431"/>
      <c r="G366" s="501">
        <v>689.92</v>
      </c>
      <c r="H366" s="501"/>
      <c r="I366" s="336">
        <f t="shared" si="39"/>
        <v>194557.44</v>
      </c>
      <c r="J366" s="336">
        <f t="shared" si="40"/>
        <v>194557.44</v>
      </c>
      <c r="K366" s="546">
        <f t="shared" si="35"/>
        <v>0</v>
      </c>
      <c r="L366" s="536"/>
      <c r="M366" s="432"/>
      <c r="N366" s="11"/>
      <c r="O366" s="364"/>
      <c r="P366" s="373"/>
      <c r="Q366" s="342"/>
    </row>
    <row r="367" spans="1:19" s="368" customFormat="1" ht="28.5" customHeight="1">
      <c r="A367" s="333">
        <v>13</v>
      </c>
      <c r="B367" s="428" t="s">
        <v>2569</v>
      </c>
      <c r="C367" s="429" t="s">
        <v>16</v>
      </c>
      <c r="D367" s="430">
        <v>214.5</v>
      </c>
      <c r="E367" s="430">
        <v>214.5</v>
      </c>
      <c r="F367" s="431"/>
      <c r="G367" s="501">
        <v>899.89</v>
      </c>
      <c r="H367" s="501"/>
      <c r="I367" s="336">
        <f t="shared" si="39"/>
        <v>193026.41</v>
      </c>
      <c r="J367" s="336">
        <f t="shared" si="40"/>
        <v>193026.41</v>
      </c>
      <c r="K367" s="546">
        <f t="shared" si="35"/>
        <v>0</v>
      </c>
      <c r="L367" s="536"/>
      <c r="M367" s="432"/>
      <c r="N367" s="11"/>
      <c r="O367" s="364"/>
      <c r="P367" s="373"/>
      <c r="Q367" s="342"/>
    </row>
    <row r="368" spans="1:19" s="368" customFormat="1" ht="28.5" customHeight="1">
      <c r="A368" s="333">
        <v>14</v>
      </c>
      <c r="B368" s="428" t="s">
        <v>2570</v>
      </c>
      <c r="C368" s="429" t="s">
        <v>16</v>
      </c>
      <c r="D368" s="430">
        <v>47</v>
      </c>
      <c r="E368" s="430">
        <v>47</v>
      </c>
      <c r="F368" s="431"/>
      <c r="G368" s="501">
        <v>1499.82</v>
      </c>
      <c r="H368" s="501"/>
      <c r="I368" s="336">
        <f t="shared" si="39"/>
        <v>70491.539999999994</v>
      </c>
      <c r="J368" s="336">
        <f t="shared" si="40"/>
        <v>70491.539999999994</v>
      </c>
      <c r="K368" s="546">
        <f t="shared" si="35"/>
        <v>0</v>
      </c>
      <c r="L368" s="536"/>
      <c r="M368" s="432"/>
      <c r="N368" s="11"/>
      <c r="O368" s="364"/>
      <c r="P368" s="373"/>
      <c r="Q368" s="342"/>
    </row>
    <row r="369" spans="1:17" s="368" customFormat="1" ht="28.5" customHeight="1">
      <c r="A369" s="333">
        <v>15</v>
      </c>
      <c r="B369" s="428" t="s">
        <v>2571</v>
      </c>
      <c r="C369" s="429" t="s">
        <v>16</v>
      </c>
      <c r="D369" s="430">
        <v>73</v>
      </c>
      <c r="E369" s="430">
        <v>73</v>
      </c>
      <c r="F369" s="431"/>
      <c r="G369" s="501">
        <v>1419.83</v>
      </c>
      <c r="H369" s="501"/>
      <c r="I369" s="336">
        <f t="shared" si="39"/>
        <v>103647.59</v>
      </c>
      <c r="J369" s="336">
        <f t="shared" si="40"/>
        <v>103647.59</v>
      </c>
      <c r="K369" s="546">
        <f t="shared" si="35"/>
        <v>0</v>
      </c>
      <c r="L369" s="536"/>
      <c r="M369" s="432"/>
      <c r="N369" s="11"/>
      <c r="O369" s="364"/>
      <c r="P369" s="373"/>
      <c r="Q369" s="342"/>
    </row>
    <row r="370" spans="1:17" s="368" customFormat="1" ht="28.5" customHeight="1">
      <c r="A370" s="333">
        <v>16</v>
      </c>
      <c r="B370" s="428" t="s">
        <v>2572</v>
      </c>
      <c r="C370" s="429" t="s">
        <v>16</v>
      </c>
      <c r="D370" s="430">
        <v>174</v>
      </c>
      <c r="E370" s="430">
        <v>174</v>
      </c>
      <c r="F370" s="431"/>
      <c r="G370" s="501">
        <v>771.9</v>
      </c>
      <c r="H370" s="501"/>
      <c r="I370" s="336">
        <f t="shared" si="39"/>
        <v>134310.6</v>
      </c>
      <c r="J370" s="336">
        <f t="shared" si="40"/>
        <v>134310.6</v>
      </c>
      <c r="K370" s="546">
        <f t="shared" si="35"/>
        <v>0</v>
      </c>
      <c r="L370" s="536"/>
      <c r="M370" s="432"/>
      <c r="N370" s="11"/>
      <c r="O370" s="364"/>
      <c r="P370" s="373"/>
      <c r="Q370" s="342"/>
    </row>
    <row r="371" spans="1:17" s="368" customFormat="1" ht="28.5" customHeight="1">
      <c r="A371" s="333">
        <v>17</v>
      </c>
      <c r="B371" s="428" t="s">
        <v>2573</v>
      </c>
      <c r="C371" s="429" t="s">
        <v>16</v>
      </c>
      <c r="D371" s="430">
        <v>1695</v>
      </c>
      <c r="E371" s="430">
        <v>1695</v>
      </c>
      <c r="F371" s="431"/>
      <c r="G371" s="501">
        <v>400.95</v>
      </c>
      <c r="H371" s="501"/>
      <c r="I371" s="336">
        <f t="shared" si="39"/>
        <v>679610.25</v>
      </c>
      <c r="J371" s="336">
        <f t="shared" si="40"/>
        <v>679610.25</v>
      </c>
      <c r="K371" s="546">
        <f t="shared" si="35"/>
        <v>0</v>
      </c>
      <c r="L371" s="536"/>
      <c r="M371" s="432"/>
      <c r="N371" s="11"/>
      <c r="O371" s="364"/>
      <c r="P371" s="373"/>
      <c r="Q371" s="342"/>
    </row>
    <row r="372" spans="1:17" s="368" customFormat="1" ht="28.5" customHeight="1">
      <c r="A372" s="333">
        <v>18</v>
      </c>
      <c r="B372" s="428" t="s">
        <v>2574</v>
      </c>
      <c r="C372" s="429" t="s">
        <v>16</v>
      </c>
      <c r="D372" s="430">
        <v>310</v>
      </c>
      <c r="E372" s="430">
        <v>310</v>
      </c>
      <c r="F372" s="431"/>
      <c r="G372" s="501">
        <v>280.97000000000003</v>
      </c>
      <c r="H372" s="501"/>
      <c r="I372" s="336">
        <f t="shared" si="39"/>
        <v>87100.7</v>
      </c>
      <c r="J372" s="336">
        <f t="shared" si="40"/>
        <v>87100.7</v>
      </c>
      <c r="K372" s="546">
        <f t="shared" si="35"/>
        <v>0</v>
      </c>
      <c r="L372" s="536"/>
      <c r="M372" s="432"/>
      <c r="N372" s="11"/>
      <c r="O372" s="364"/>
      <c r="P372" s="373"/>
      <c r="Q372" s="342"/>
    </row>
    <row r="373" spans="1:17" s="368" customFormat="1" ht="28.5" customHeight="1">
      <c r="A373" s="333">
        <v>19</v>
      </c>
      <c r="B373" s="428" t="s">
        <v>2575</v>
      </c>
      <c r="C373" s="429" t="s">
        <v>16</v>
      </c>
      <c r="D373" s="430">
        <v>723.5</v>
      </c>
      <c r="E373" s="430">
        <v>723.5</v>
      </c>
      <c r="F373" s="431"/>
      <c r="G373" s="501">
        <v>800.9</v>
      </c>
      <c r="H373" s="501"/>
      <c r="I373" s="336">
        <f t="shared" si="39"/>
        <v>579451.15</v>
      </c>
      <c r="J373" s="336">
        <f t="shared" si="40"/>
        <v>579451.15</v>
      </c>
      <c r="K373" s="546">
        <f t="shared" si="35"/>
        <v>0</v>
      </c>
      <c r="L373" s="536"/>
      <c r="M373" s="432"/>
      <c r="N373" s="11"/>
      <c r="O373" s="364"/>
      <c r="P373" s="373"/>
      <c r="Q373" s="342"/>
    </row>
    <row r="374" spans="1:17" s="368" customFormat="1" ht="28.5" customHeight="1">
      <c r="A374" s="333">
        <v>20</v>
      </c>
      <c r="B374" s="428" t="s">
        <v>2576</v>
      </c>
      <c r="C374" s="429" t="s">
        <v>16</v>
      </c>
      <c r="D374" s="430">
        <v>122</v>
      </c>
      <c r="E374" s="430">
        <v>122</v>
      </c>
      <c r="F374" s="431"/>
      <c r="G374" s="501">
        <v>561.92999999999995</v>
      </c>
      <c r="H374" s="501"/>
      <c r="I374" s="336">
        <f t="shared" si="39"/>
        <v>68555.460000000006</v>
      </c>
      <c r="J374" s="336">
        <f t="shared" si="40"/>
        <v>68555.460000000006</v>
      </c>
      <c r="K374" s="546">
        <f t="shared" si="35"/>
        <v>0</v>
      </c>
      <c r="L374" s="536"/>
      <c r="M374" s="432"/>
      <c r="N374" s="11"/>
      <c r="O374" s="364"/>
      <c r="P374" s="373"/>
      <c r="Q374" s="342"/>
    </row>
    <row r="375" spans="1:17" s="368" customFormat="1" ht="28.5" customHeight="1">
      <c r="A375" s="333">
        <v>21</v>
      </c>
      <c r="B375" s="428" t="s">
        <v>2577</v>
      </c>
      <c r="C375" s="429" t="s">
        <v>16</v>
      </c>
      <c r="D375" s="430">
        <v>421</v>
      </c>
      <c r="E375" s="430">
        <v>421</v>
      </c>
      <c r="F375" s="431"/>
      <c r="G375" s="501">
        <v>519.94000000000005</v>
      </c>
      <c r="H375" s="501"/>
      <c r="I375" s="336">
        <f t="shared" si="39"/>
        <v>218894.74</v>
      </c>
      <c r="J375" s="336">
        <f t="shared" si="40"/>
        <v>218894.74</v>
      </c>
      <c r="K375" s="546">
        <f t="shared" si="35"/>
        <v>0</v>
      </c>
      <c r="L375" s="536"/>
      <c r="M375" s="432"/>
      <c r="N375" s="11"/>
      <c r="O375" s="364"/>
      <c r="P375" s="373"/>
      <c r="Q375" s="342"/>
    </row>
    <row r="376" spans="1:17" s="368" customFormat="1" ht="28.5" customHeight="1">
      <c r="A376" s="333">
        <v>22</v>
      </c>
      <c r="B376" s="428" t="s">
        <v>2578</v>
      </c>
      <c r="C376" s="429" t="s">
        <v>16</v>
      </c>
      <c r="D376" s="430">
        <v>28</v>
      </c>
      <c r="E376" s="430">
        <v>28</v>
      </c>
      <c r="F376" s="431"/>
      <c r="G376" s="501">
        <v>1579.81</v>
      </c>
      <c r="H376" s="501"/>
      <c r="I376" s="336">
        <f t="shared" si="39"/>
        <v>44234.68</v>
      </c>
      <c r="J376" s="336">
        <f t="shared" si="40"/>
        <v>44234.68</v>
      </c>
      <c r="K376" s="546">
        <f t="shared" si="35"/>
        <v>0</v>
      </c>
      <c r="L376" s="536"/>
      <c r="M376" s="432"/>
      <c r="N376" s="11"/>
      <c r="O376" s="364"/>
      <c r="P376" s="373"/>
      <c r="Q376" s="342"/>
    </row>
    <row r="377" spans="1:17" s="368" customFormat="1" ht="28.5" customHeight="1">
      <c r="A377" s="333">
        <v>23</v>
      </c>
      <c r="B377" s="428" t="s">
        <v>2579</v>
      </c>
      <c r="C377" s="429" t="s">
        <v>16</v>
      </c>
      <c r="D377" s="430">
        <v>442.5</v>
      </c>
      <c r="E377" s="430">
        <v>442.5</v>
      </c>
      <c r="F377" s="431"/>
      <c r="G377" s="501">
        <v>209.97</v>
      </c>
      <c r="H377" s="501"/>
      <c r="I377" s="336">
        <f t="shared" si="39"/>
        <v>92911.73</v>
      </c>
      <c r="J377" s="336">
        <f t="shared" si="40"/>
        <v>92911.73</v>
      </c>
      <c r="K377" s="546">
        <f t="shared" si="35"/>
        <v>0</v>
      </c>
      <c r="L377" s="536"/>
      <c r="M377" s="432"/>
      <c r="N377" s="11"/>
      <c r="O377" s="364"/>
      <c r="P377" s="373"/>
      <c r="Q377" s="342"/>
    </row>
    <row r="378" spans="1:17" s="368" customFormat="1" ht="28.5" customHeight="1">
      <c r="A378" s="333">
        <v>24</v>
      </c>
      <c r="B378" s="428" t="s">
        <v>2580</v>
      </c>
      <c r="C378" s="429" t="s">
        <v>14</v>
      </c>
      <c r="D378" s="430">
        <v>2</v>
      </c>
      <c r="E378" s="430">
        <v>2</v>
      </c>
      <c r="F378" s="431"/>
      <c r="G378" s="501">
        <v>10798.67</v>
      </c>
      <c r="H378" s="501"/>
      <c r="I378" s="336">
        <f t="shared" si="39"/>
        <v>21597.34</v>
      </c>
      <c r="J378" s="336">
        <f t="shared" si="40"/>
        <v>21597.34</v>
      </c>
      <c r="K378" s="546">
        <f t="shared" si="35"/>
        <v>0</v>
      </c>
      <c r="L378" s="536"/>
      <c r="M378" s="432"/>
      <c r="N378" s="11"/>
      <c r="O378" s="364"/>
      <c r="P378" s="373"/>
      <c r="Q378" s="342"/>
    </row>
    <row r="379" spans="1:17" s="368" customFormat="1" ht="28.5" customHeight="1">
      <c r="A379" s="333">
        <v>25</v>
      </c>
      <c r="B379" s="428" t="s">
        <v>2581</v>
      </c>
      <c r="C379" s="429" t="s">
        <v>14</v>
      </c>
      <c r="D379" s="430">
        <v>12</v>
      </c>
      <c r="E379" s="430">
        <v>12</v>
      </c>
      <c r="F379" s="431"/>
      <c r="G379" s="501">
        <v>7249.11</v>
      </c>
      <c r="H379" s="501"/>
      <c r="I379" s="336">
        <f t="shared" si="39"/>
        <v>86989.32</v>
      </c>
      <c r="J379" s="336">
        <f t="shared" si="40"/>
        <v>86989.32</v>
      </c>
      <c r="K379" s="546">
        <f t="shared" si="35"/>
        <v>0</v>
      </c>
      <c r="L379" s="536"/>
      <c r="M379" s="432"/>
      <c r="N379" s="11"/>
      <c r="O379" s="364"/>
      <c r="P379" s="373"/>
      <c r="Q379" s="342"/>
    </row>
    <row r="380" spans="1:17" s="325" customFormat="1" ht="33">
      <c r="A380" s="406" t="s">
        <v>2252</v>
      </c>
      <c r="B380" s="407" t="s">
        <v>25</v>
      </c>
      <c r="C380" s="408" t="s">
        <v>4</v>
      </c>
      <c r="D380" s="409"/>
      <c r="E380" s="409">
        <f>估驗單!F373</f>
        <v>0</v>
      </c>
      <c r="F380" s="410">
        <f t="shared" si="36"/>
        <v>0</v>
      </c>
      <c r="G380" s="409">
        <f>I380</f>
        <v>3537274.3800000008</v>
      </c>
      <c r="H380" s="409"/>
      <c r="I380" s="411">
        <f>SUM(I381:I419)</f>
        <v>3537274.3800000008</v>
      </c>
      <c r="J380" s="411">
        <f>SUM(J381:J419)</f>
        <v>3537274.3800000008</v>
      </c>
      <c r="K380" s="541">
        <f>SUM(K381:K419)</f>
        <v>0</v>
      </c>
      <c r="L380" s="454">
        <f>SUM(L381:L419)</f>
        <v>0</v>
      </c>
      <c r="M380" s="288" t="s">
        <v>242</v>
      </c>
      <c r="N380" s="11" t="s">
        <v>243</v>
      </c>
      <c r="O380" s="341"/>
      <c r="P380" s="339"/>
    </row>
    <row r="381" spans="1:17" s="325" customFormat="1" ht="42.75">
      <c r="A381" s="333" t="s">
        <v>2154</v>
      </c>
      <c r="B381" s="334" t="s">
        <v>1023</v>
      </c>
      <c r="C381" s="335" t="s">
        <v>7</v>
      </c>
      <c r="D381" s="336">
        <v>295</v>
      </c>
      <c r="E381" s="336">
        <f>估驗單!F374</f>
        <v>295</v>
      </c>
      <c r="F381" s="390">
        <f t="shared" si="36"/>
        <v>0</v>
      </c>
      <c r="G381" s="336">
        <v>299.98</v>
      </c>
      <c r="H381" s="336"/>
      <c r="I381" s="336">
        <f t="shared" ref="I381:I419" si="41">ROUND(D381*G381,2)</f>
        <v>88494.1</v>
      </c>
      <c r="J381" s="336">
        <f t="shared" ref="J381:J419" si="42">ROUND(E381*G381,2)</f>
        <v>88494.1</v>
      </c>
      <c r="K381" s="546">
        <f t="shared" si="35"/>
        <v>0</v>
      </c>
      <c r="L381" s="502"/>
      <c r="M381" s="231" t="s">
        <v>242</v>
      </c>
      <c r="N381" s="11" t="s">
        <v>243</v>
      </c>
      <c r="O381" s="341"/>
      <c r="P381" s="339"/>
    </row>
    <row r="382" spans="1:17" s="325" customFormat="1" ht="42.75">
      <c r="A382" s="333" t="s">
        <v>2155</v>
      </c>
      <c r="B382" s="334" t="s">
        <v>1025</v>
      </c>
      <c r="C382" s="335" t="s">
        <v>15</v>
      </c>
      <c r="D382" s="336">
        <v>59</v>
      </c>
      <c r="E382" s="336">
        <f>估驗單!F375</f>
        <v>59</v>
      </c>
      <c r="F382" s="390">
        <f t="shared" si="36"/>
        <v>0</v>
      </c>
      <c r="G382" s="336">
        <v>2999.84</v>
      </c>
      <c r="H382" s="336"/>
      <c r="I382" s="336">
        <f t="shared" si="41"/>
        <v>176990.56</v>
      </c>
      <c r="J382" s="336">
        <f t="shared" si="42"/>
        <v>176990.56</v>
      </c>
      <c r="K382" s="546">
        <f t="shared" si="35"/>
        <v>0</v>
      </c>
      <c r="L382" s="502"/>
      <c r="M382" s="231"/>
      <c r="N382" s="11" t="s">
        <v>243</v>
      </c>
      <c r="O382" s="341"/>
      <c r="P382" s="339"/>
    </row>
    <row r="383" spans="1:17" s="325" customFormat="1" ht="33">
      <c r="A383" s="333" t="s">
        <v>2156</v>
      </c>
      <c r="B383" s="334" t="s">
        <v>1027</v>
      </c>
      <c r="C383" s="335" t="s">
        <v>15</v>
      </c>
      <c r="D383" s="336">
        <v>59</v>
      </c>
      <c r="E383" s="336">
        <f>估驗單!F376</f>
        <v>59</v>
      </c>
      <c r="F383" s="390">
        <f t="shared" si="36"/>
        <v>0</v>
      </c>
      <c r="G383" s="336">
        <v>149.99</v>
      </c>
      <c r="H383" s="336"/>
      <c r="I383" s="336">
        <f t="shared" si="41"/>
        <v>8849.41</v>
      </c>
      <c r="J383" s="336">
        <f t="shared" si="42"/>
        <v>8849.41</v>
      </c>
      <c r="K383" s="546">
        <f t="shared" si="35"/>
        <v>0</v>
      </c>
      <c r="L383" s="502"/>
      <c r="M383" s="231"/>
      <c r="N383" s="11" t="s">
        <v>243</v>
      </c>
      <c r="O383" s="341"/>
      <c r="P383" s="339"/>
    </row>
    <row r="384" spans="1:17" s="325" customFormat="1" ht="42.75">
      <c r="A384" s="333" t="s">
        <v>2157</v>
      </c>
      <c r="B384" s="334" t="s">
        <v>1029</v>
      </c>
      <c r="C384" s="335" t="s">
        <v>1030</v>
      </c>
      <c r="D384" s="336">
        <v>9</v>
      </c>
      <c r="E384" s="336">
        <f>估驗單!F377</f>
        <v>9</v>
      </c>
      <c r="F384" s="390">
        <f t="shared" si="36"/>
        <v>0</v>
      </c>
      <c r="G384" s="336">
        <v>1199.93</v>
      </c>
      <c r="H384" s="336"/>
      <c r="I384" s="336">
        <f t="shared" si="41"/>
        <v>10799.37</v>
      </c>
      <c r="J384" s="336">
        <f t="shared" si="42"/>
        <v>10799.37</v>
      </c>
      <c r="K384" s="546">
        <f t="shared" si="35"/>
        <v>0</v>
      </c>
      <c r="L384" s="502"/>
      <c r="M384" s="231"/>
      <c r="N384" s="11" t="s">
        <v>243</v>
      </c>
      <c r="O384" s="341"/>
      <c r="P384" s="339"/>
    </row>
    <row r="385" spans="1:16" s="325" customFormat="1" ht="42.75">
      <c r="A385" s="333" t="s">
        <v>2158</v>
      </c>
      <c r="B385" s="334" t="s">
        <v>1032</v>
      </c>
      <c r="C385" s="335" t="s">
        <v>15</v>
      </c>
      <c r="D385" s="336">
        <v>22</v>
      </c>
      <c r="E385" s="336">
        <f>估驗單!F378</f>
        <v>22</v>
      </c>
      <c r="F385" s="390">
        <f t="shared" si="36"/>
        <v>0</v>
      </c>
      <c r="G385" s="336">
        <v>649.96</v>
      </c>
      <c r="H385" s="336"/>
      <c r="I385" s="336">
        <f t="shared" si="41"/>
        <v>14299.12</v>
      </c>
      <c r="J385" s="336">
        <f t="shared" si="42"/>
        <v>14299.12</v>
      </c>
      <c r="K385" s="546">
        <f t="shared" si="35"/>
        <v>0</v>
      </c>
      <c r="L385" s="502"/>
      <c r="M385" s="231"/>
      <c r="N385" s="11" t="s">
        <v>243</v>
      </c>
      <c r="O385" s="341"/>
      <c r="P385" s="339"/>
    </row>
    <row r="386" spans="1:16" s="325" customFormat="1" ht="42.75">
      <c r="A386" s="333" t="s">
        <v>2159</v>
      </c>
      <c r="B386" s="334" t="s">
        <v>1034</v>
      </c>
      <c r="C386" s="335" t="s">
        <v>15</v>
      </c>
      <c r="D386" s="336">
        <v>22</v>
      </c>
      <c r="E386" s="336">
        <f>估驗單!F379</f>
        <v>22</v>
      </c>
      <c r="F386" s="390">
        <f t="shared" si="36"/>
        <v>0</v>
      </c>
      <c r="G386" s="336">
        <v>1299.93</v>
      </c>
      <c r="H386" s="336"/>
      <c r="I386" s="336">
        <f t="shared" si="41"/>
        <v>28598.46</v>
      </c>
      <c r="J386" s="336">
        <f t="shared" si="42"/>
        <v>28598.46</v>
      </c>
      <c r="K386" s="546">
        <f t="shared" si="35"/>
        <v>0</v>
      </c>
      <c r="L386" s="502"/>
      <c r="M386" s="231"/>
      <c r="N386" s="11" t="s">
        <v>243</v>
      </c>
      <c r="O386" s="341"/>
      <c r="P386" s="339"/>
    </row>
    <row r="387" spans="1:16" s="325" customFormat="1" ht="42.75">
      <c r="A387" s="333" t="s">
        <v>2160</v>
      </c>
      <c r="B387" s="334" t="s">
        <v>1036</v>
      </c>
      <c r="C387" s="335" t="s">
        <v>15</v>
      </c>
      <c r="D387" s="336">
        <v>5</v>
      </c>
      <c r="E387" s="336">
        <f>估驗單!F380</f>
        <v>5</v>
      </c>
      <c r="F387" s="390">
        <f t="shared" si="36"/>
        <v>0</v>
      </c>
      <c r="G387" s="336">
        <v>3499.81</v>
      </c>
      <c r="H387" s="336"/>
      <c r="I387" s="336">
        <f t="shared" si="41"/>
        <v>17499.05</v>
      </c>
      <c r="J387" s="336">
        <f t="shared" si="42"/>
        <v>17499.05</v>
      </c>
      <c r="K387" s="546">
        <f t="shared" si="35"/>
        <v>0</v>
      </c>
      <c r="L387" s="502"/>
      <c r="M387" s="231" t="s">
        <v>242</v>
      </c>
      <c r="N387" s="11" t="s">
        <v>243</v>
      </c>
      <c r="O387" s="341"/>
      <c r="P387" s="339"/>
    </row>
    <row r="388" spans="1:16" s="325" customFormat="1" ht="42.75">
      <c r="A388" s="333" t="s">
        <v>2161</v>
      </c>
      <c r="B388" s="334" t="s">
        <v>1038</v>
      </c>
      <c r="C388" s="335" t="s">
        <v>15</v>
      </c>
      <c r="D388" s="336">
        <v>5</v>
      </c>
      <c r="E388" s="336">
        <f>估驗單!F381</f>
        <v>5</v>
      </c>
      <c r="F388" s="390">
        <f t="shared" si="36"/>
        <v>0</v>
      </c>
      <c r="G388" s="336">
        <v>699.96</v>
      </c>
      <c r="H388" s="336"/>
      <c r="I388" s="336">
        <f t="shared" si="41"/>
        <v>3499.8</v>
      </c>
      <c r="J388" s="336">
        <f t="shared" si="42"/>
        <v>3499.8</v>
      </c>
      <c r="K388" s="546">
        <f t="shared" si="35"/>
        <v>0</v>
      </c>
      <c r="L388" s="502"/>
      <c r="M388" s="231" t="s">
        <v>242</v>
      </c>
      <c r="N388" s="11" t="s">
        <v>243</v>
      </c>
      <c r="O388" s="341"/>
      <c r="P388" s="339"/>
    </row>
    <row r="389" spans="1:16" s="325" customFormat="1" ht="42.75">
      <c r="A389" s="333" t="s">
        <v>2162</v>
      </c>
      <c r="B389" s="334" t="s">
        <v>1040</v>
      </c>
      <c r="C389" s="335" t="s">
        <v>14</v>
      </c>
      <c r="D389" s="336">
        <v>1</v>
      </c>
      <c r="E389" s="336">
        <f>估驗單!F382</f>
        <v>1</v>
      </c>
      <c r="F389" s="390">
        <f t="shared" si="36"/>
        <v>0</v>
      </c>
      <c r="G389" s="336">
        <v>14999.18</v>
      </c>
      <c r="H389" s="336"/>
      <c r="I389" s="336">
        <f t="shared" si="41"/>
        <v>14999.18</v>
      </c>
      <c r="J389" s="336">
        <f t="shared" si="42"/>
        <v>14999.18</v>
      </c>
      <c r="K389" s="546">
        <f t="shared" si="35"/>
        <v>0</v>
      </c>
      <c r="L389" s="502"/>
      <c r="M389" s="231" t="s">
        <v>242</v>
      </c>
      <c r="N389" s="11" t="s">
        <v>243</v>
      </c>
      <c r="O389" s="341"/>
      <c r="P389" s="339"/>
    </row>
    <row r="390" spans="1:16" s="325" customFormat="1" ht="42.75">
      <c r="A390" s="333" t="s">
        <v>2163</v>
      </c>
      <c r="B390" s="334" t="s">
        <v>1043</v>
      </c>
      <c r="C390" s="335" t="s">
        <v>15</v>
      </c>
      <c r="D390" s="336">
        <v>1</v>
      </c>
      <c r="E390" s="336">
        <f>估驗單!F383</f>
        <v>1</v>
      </c>
      <c r="F390" s="390">
        <f t="shared" si="36"/>
        <v>0</v>
      </c>
      <c r="G390" s="336">
        <v>5999.67</v>
      </c>
      <c r="H390" s="336"/>
      <c r="I390" s="336">
        <f t="shared" si="41"/>
        <v>5999.67</v>
      </c>
      <c r="J390" s="336">
        <f t="shared" si="42"/>
        <v>5999.67</v>
      </c>
      <c r="K390" s="546">
        <f t="shared" si="35"/>
        <v>0</v>
      </c>
      <c r="L390" s="502"/>
      <c r="M390" s="231"/>
      <c r="N390" s="11" t="s">
        <v>243</v>
      </c>
      <c r="O390" s="341"/>
      <c r="P390" s="339"/>
    </row>
    <row r="391" spans="1:16" s="325" customFormat="1" ht="71.25">
      <c r="A391" s="333" t="s">
        <v>2164</v>
      </c>
      <c r="B391" s="334" t="s">
        <v>1046</v>
      </c>
      <c r="C391" s="335" t="s">
        <v>15</v>
      </c>
      <c r="D391" s="336">
        <v>1</v>
      </c>
      <c r="E391" s="336">
        <f>估驗單!F384</f>
        <v>1</v>
      </c>
      <c r="F391" s="390">
        <f t="shared" si="36"/>
        <v>0</v>
      </c>
      <c r="G391" s="336">
        <v>49497.3</v>
      </c>
      <c r="H391" s="336"/>
      <c r="I391" s="336">
        <f t="shared" si="41"/>
        <v>49497.3</v>
      </c>
      <c r="J391" s="336">
        <f t="shared" si="42"/>
        <v>49497.3</v>
      </c>
      <c r="K391" s="546">
        <f t="shared" si="35"/>
        <v>0</v>
      </c>
      <c r="L391" s="502"/>
      <c r="M391" s="231" t="s">
        <v>242</v>
      </c>
      <c r="N391" s="11" t="s">
        <v>243</v>
      </c>
      <c r="O391" s="341"/>
      <c r="P391" s="339"/>
    </row>
    <row r="392" spans="1:16" s="325" customFormat="1" ht="42.75">
      <c r="A392" s="333" t="s">
        <v>2165</v>
      </c>
      <c r="B392" s="334" t="s">
        <v>1049</v>
      </c>
      <c r="C392" s="335" t="s">
        <v>15</v>
      </c>
      <c r="D392" s="336">
        <v>6</v>
      </c>
      <c r="E392" s="336">
        <f>估驗單!F385</f>
        <v>6</v>
      </c>
      <c r="F392" s="390">
        <f t="shared" si="36"/>
        <v>0</v>
      </c>
      <c r="G392" s="336">
        <v>2999.84</v>
      </c>
      <c r="H392" s="336"/>
      <c r="I392" s="336">
        <f t="shared" si="41"/>
        <v>17999.04</v>
      </c>
      <c r="J392" s="336">
        <f t="shared" si="42"/>
        <v>17999.04</v>
      </c>
      <c r="K392" s="546">
        <f t="shared" si="35"/>
        <v>0</v>
      </c>
      <c r="L392" s="502"/>
      <c r="M392" s="231" t="s">
        <v>242</v>
      </c>
      <c r="N392" s="11" t="s">
        <v>243</v>
      </c>
      <c r="O392" s="341"/>
      <c r="P392" s="339"/>
    </row>
    <row r="393" spans="1:16" s="325" customFormat="1" ht="33">
      <c r="A393" s="333" t="s">
        <v>2166</v>
      </c>
      <c r="B393" s="334" t="s">
        <v>1052</v>
      </c>
      <c r="C393" s="335" t="s">
        <v>14</v>
      </c>
      <c r="D393" s="336">
        <v>75</v>
      </c>
      <c r="E393" s="336">
        <f>估驗單!F386</f>
        <v>75</v>
      </c>
      <c r="F393" s="390">
        <f t="shared" si="36"/>
        <v>0</v>
      </c>
      <c r="G393" s="336">
        <v>11999.35</v>
      </c>
      <c r="H393" s="336"/>
      <c r="I393" s="336">
        <f t="shared" si="41"/>
        <v>899951.25</v>
      </c>
      <c r="J393" s="336">
        <f t="shared" si="42"/>
        <v>899951.25</v>
      </c>
      <c r="K393" s="546">
        <f t="shared" si="35"/>
        <v>0</v>
      </c>
      <c r="L393" s="502"/>
      <c r="M393" s="231" t="s">
        <v>242</v>
      </c>
      <c r="N393" s="11" t="s">
        <v>243</v>
      </c>
      <c r="O393" s="341"/>
      <c r="P393" s="339"/>
    </row>
    <row r="394" spans="1:16" s="325" customFormat="1" ht="33">
      <c r="A394" s="333" t="s">
        <v>2167</v>
      </c>
      <c r="B394" s="334" t="s">
        <v>1055</v>
      </c>
      <c r="C394" s="335" t="s">
        <v>1007</v>
      </c>
      <c r="D394" s="336">
        <v>75</v>
      </c>
      <c r="E394" s="336">
        <f>估驗單!F387</f>
        <v>75</v>
      </c>
      <c r="F394" s="390">
        <f t="shared" si="36"/>
        <v>0</v>
      </c>
      <c r="G394" s="336">
        <v>1499.92</v>
      </c>
      <c r="H394" s="336"/>
      <c r="I394" s="336">
        <f t="shared" si="41"/>
        <v>112494</v>
      </c>
      <c r="J394" s="336">
        <f t="shared" si="42"/>
        <v>112494</v>
      </c>
      <c r="K394" s="546">
        <f t="shared" si="35"/>
        <v>0</v>
      </c>
      <c r="L394" s="502"/>
      <c r="M394" s="231" t="s">
        <v>242</v>
      </c>
      <c r="N394" s="11" t="s">
        <v>243</v>
      </c>
      <c r="O394" s="341"/>
      <c r="P394" s="339"/>
    </row>
    <row r="395" spans="1:16" s="325" customFormat="1" ht="42.75">
      <c r="A395" s="333" t="s">
        <v>2168</v>
      </c>
      <c r="B395" s="334" t="s">
        <v>1058</v>
      </c>
      <c r="C395" s="335" t="s">
        <v>15</v>
      </c>
      <c r="D395" s="336">
        <v>1</v>
      </c>
      <c r="E395" s="336">
        <f>估驗單!F388</f>
        <v>1</v>
      </c>
      <c r="F395" s="390">
        <f t="shared" si="36"/>
        <v>0</v>
      </c>
      <c r="G395" s="336">
        <v>11999.35</v>
      </c>
      <c r="H395" s="336"/>
      <c r="I395" s="336">
        <f t="shared" si="41"/>
        <v>11999.35</v>
      </c>
      <c r="J395" s="336">
        <f t="shared" si="42"/>
        <v>11999.35</v>
      </c>
      <c r="K395" s="546">
        <f t="shared" si="35"/>
        <v>0</v>
      </c>
      <c r="L395" s="502"/>
      <c r="M395" s="231"/>
      <c r="N395" s="11" t="s">
        <v>243</v>
      </c>
      <c r="O395" s="341"/>
      <c r="P395" s="339"/>
    </row>
    <row r="396" spans="1:16" s="325" customFormat="1" ht="33">
      <c r="A396" s="333" t="s">
        <v>2169</v>
      </c>
      <c r="B396" s="334" t="s">
        <v>1061</v>
      </c>
      <c r="C396" s="335" t="s">
        <v>15</v>
      </c>
      <c r="D396" s="336">
        <v>1</v>
      </c>
      <c r="E396" s="336">
        <f>估驗單!F389</f>
        <v>1</v>
      </c>
      <c r="F396" s="390">
        <f t="shared" si="36"/>
        <v>0</v>
      </c>
      <c r="G396" s="336">
        <v>1999.89</v>
      </c>
      <c r="H396" s="336"/>
      <c r="I396" s="336">
        <f t="shared" si="41"/>
        <v>1999.89</v>
      </c>
      <c r="J396" s="336">
        <f t="shared" si="42"/>
        <v>1999.89</v>
      </c>
      <c r="K396" s="546">
        <f t="shared" si="35"/>
        <v>0</v>
      </c>
      <c r="L396" s="502"/>
      <c r="M396" s="231"/>
      <c r="N396" s="11" t="s">
        <v>243</v>
      </c>
      <c r="O396" s="341"/>
      <c r="P396" s="339"/>
    </row>
    <row r="397" spans="1:16" s="325" customFormat="1" ht="42.75">
      <c r="A397" s="333" t="s">
        <v>2170</v>
      </c>
      <c r="B397" s="334" t="s">
        <v>1064</v>
      </c>
      <c r="C397" s="335" t="s">
        <v>15</v>
      </c>
      <c r="D397" s="336">
        <v>11</v>
      </c>
      <c r="E397" s="336">
        <f>估驗單!F390</f>
        <v>11</v>
      </c>
      <c r="F397" s="390">
        <f t="shared" si="36"/>
        <v>0</v>
      </c>
      <c r="G397" s="336">
        <v>2999.84</v>
      </c>
      <c r="H397" s="336"/>
      <c r="I397" s="336">
        <f t="shared" si="41"/>
        <v>32998.239999999998</v>
      </c>
      <c r="J397" s="336">
        <f t="shared" si="42"/>
        <v>32998.239999999998</v>
      </c>
      <c r="K397" s="546">
        <f t="shared" ref="K397:K460" si="43">J397-I397</f>
        <v>0</v>
      </c>
      <c r="L397" s="502"/>
      <c r="M397" s="231"/>
      <c r="N397" s="11" t="s">
        <v>243</v>
      </c>
      <c r="O397" s="341"/>
      <c r="P397" s="339"/>
    </row>
    <row r="398" spans="1:16" s="325" customFormat="1" ht="42.75">
      <c r="A398" s="333" t="s">
        <v>2171</v>
      </c>
      <c r="B398" s="334" t="s">
        <v>1067</v>
      </c>
      <c r="C398" s="335" t="s">
        <v>15</v>
      </c>
      <c r="D398" s="336">
        <v>3</v>
      </c>
      <c r="E398" s="336">
        <f>估驗單!F391</f>
        <v>3</v>
      </c>
      <c r="F398" s="390">
        <f t="shared" si="36"/>
        <v>0</v>
      </c>
      <c r="G398" s="336">
        <v>1399.92</v>
      </c>
      <c r="H398" s="336"/>
      <c r="I398" s="336">
        <f t="shared" si="41"/>
        <v>4199.76</v>
      </c>
      <c r="J398" s="336">
        <f t="shared" si="42"/>
        <v>4199.76</v>
      </c>
      <c r="K398" s="546">
        <f t="shared" si="43"/>
        <v>0</v>
      </c>
      <c r="L398" s="502"/>
      <c r="M398" s="231"/>
      <c r="N398" s="11" t="s">
        <v>243</v>
      </c>
      <c r="O398" s="341"/>
      <c r="P398" s="339"/>
    </row>
    <row r="399" spans="1:16" s="325" customFormat="1" ht="42.75">
      <c r="A399" s="333" t="s">
        <v>2172</v>
      </c>
      <c r="B399" s="334" t="s">
        <v>1070</v>
      </c>
      <c r="C399" s="335" t="s">
        <v>14</v>
      </c>
      <c r="D399" s="336">
        <v>5</v>
      </c>
      <c r="E399" s="336">
        <f>估驗單!F392</f>
        <v>5</v>
      </c>
      <c r="F399" s="390">
        <f t="shared" si="36"/>
        <v>0</v>
      </c>
      <c r="G399" s="336">
        <v>17999.02</v>
      </c>
      <c r="H399" s="336"/>
      <c r="I399" s="336">
        <f t="shared" si="41"/>
        <v>89995.1</v>
      </c>
      <c r="J399" s="336">
        <f t="shared" si="42"/>
        <v>89995.1</v>
      </c>
      <c r="K399" s="546">
        <f t="shared" si="43"/>
        <v>0</v>
      </c>
      <c r="L399" s="502"/>
      <c r="M399" s="231"/>
      <c r="N399" s="11" t="s">
        <v>243</v>
      </c>
      <c r="O399" s="341"/>
      <c r="P399" s="339"/>
    </row>
    <row r="400" spans="1:16" s="325" customFormat="1" ht="33">
      <c r="A400" s="333" t="s">
        <v>2173</v>
      </c>
      <c r="B400" s="334" t="s">
        <v>1073</v>
      </c>
      <c r="C400" s="335" t="s">
        <v>14</v>
      </c>
      <c r="D400" s="336">
        <v>1</v>
      </c>
      <c r="E400" s="336">
        <f>估驗單!F393</f>
        <v>1</v>
      </c>
      <c r="F400" s="390">
        <f t="shared" si="36"/>
        <v>0</v>
      </c>
      <c r="G400" s="336">
        <v>8999.51</v>
      </c>
      <c r="H400" s="336"/>
      <c r="I400" s="336">
        <f t="shared" si="41"/>
        <v>8999.51</v>
      </c>
      <c r="J400" s="336">
        <f t="shared" si="42"/>
        <v>8999.51</v>
      </c>
      <c r="K400" s="546">
        <f t="shared" si="43"/>
        <v>0</v>
      </c>
      <c r="L400" s="502"/>
      <c r="M400" s="231"/>
      <c r="N400" s="11" t="s">
        <v>243</v>
      </c>
      <c r="O400" s="341"/>
      <c r="P400" s="339"/>
    </row>
    <row r="401" spans="1:17" s="325" customFormat="1" ht="33">
      <c r="A401" s="333" t="s">
        <v>2174</v>
      </c>
      <c r="B401" s="334" t="s">
        <v>1076</v>
      </c>
      <c r="C401" s="335" t="s">
        <v>15</v>
      </c>
      <c r="D401" s="336">
        <v>2</v>
      </c>
      <c r="E401" s="336">
        <f>估驗單!F394</f>
        <v>2</v>
      </c>
      <c r="F401" s="390">
        <f t="shared" si="36"/>
        <v>0</v>
      </c>
      <c r="G401" s="336">
        <v>5999.67</v>
      </c>
      <c r="H401" s="336"/>
      <c r="I401" s="336">
        <f t="shared" si="41"/>
        <v>11999.34</v>
      </c>
      <c r="J401" s="336">
        <f t="shared" si="42"/>
        <v>11999.34</v>
      </c>
      <c r="K401" s="546">
        <f t="shared" si="43"/>
        <v>0</v>
      </c>
      <c r="L401" s="502"/>
      <c r="M401" s="231"/>
      <c r="N401" s="11" t="s">
        <v>243</v>
      </c>
      <c r="O401" s="341"/>
      <c r="P401" s="339"/>
    </row>
    <row r="402" spans="1:17" s="325" customFormat="1" ht="33">
      <c r="A402" s="333" t="s">
        <v>2175</v>
      </c>
      <c r="B402" s="334" t="s">
        <v>1079</v>
      </c>
      <c r="C402" s="335" t="s">
        <v>14</v>
      </c>
      <c r="D402" s="336">
        <v>1</v>
      </c>
      <c r="E402" s="336">
        <f>估驗單!F395</f>
        <v>1</v>
      </c>
      <c r="F402" s="390">
        <f t="shared" si="36"/>
        <v>0</v>
      </c>
      <c r="G402" s="336">
        <v>2499.86</v>
      </c>
      <c r="H402" s="336"/>
      <c r="I402" s="336">
        <f t="shared" si="41"/>
        <v>2499.86</v>
      </c>
      <c r="J402" s="336">
        <f t="shared" si="42"/>
        <v>2499.86</v>
      </c>
      <c r="K402" s="546">
        <f t="shared" si="43"/>
        <v>0</v>
      </c>
      <c r="L402" s="502"/>
      <c r="M402" s="231"/>
      <c r="N402" s="11" t="s">
        <v>243</v>
      </c>
      <c r="O402" s="341"/>
      <c r="P402" s="339"/>
    </row>
    <row r="403" spans="1:17" s="325" customFormat="1" ht="33">
      <c r="A403" s="333" t="s">
        <v>2177</v>
      </c>
      <c r="B403" s="334" t="s">
        <v>1082</v>
      </c>
      <c r="C403" s="335" t="s">
        <v>14</v>
      </c>
      <c r="D403" s="336">
        <v>1</v>
      </c>
      <c r="E403" s="336">
        <f>估驗單!F396</f>
        <v>1</v>
      </c>
      <c r="F403" s="390">
        <f t="shared" si="36"/>
        <v>0</v>
      </c>
      <c r="G403" s="336">
        <v>2499.86</v>
      </c>
      <c r="H403" s="336"/>
      <c r="I403" s="336">
        <f t="shared" si="41"/>
        <v>2499.86</v>
      </c>
      <c r="J403" s="336">
        <f t="shared" si="42"/>
        <v>2499.86</v>
      </c>
      <c r="K403" s="546">
        <f t="shared" si="43"/>
        <v>0</v>
      </c>
      <c r="L403" s="502"/>
      <c r="M403" s="231"/>
      <c r="N403" s="11" t="s">
        <v>243</v>
      </c>
      <c r="O403" s="341"/>
      <c r="P403" s="339"/>
    </row>
    <row r="404" spans="1:17" s="325" customFormat="1" ht="42.75">
      <c r="A404" s="333" t="s">
        <v>2178</v>
      </c>
      <c r="B404" s="334" t="s">
        <v>1085</v>
      </c>
      <c r="C404" s="335" t="s">
        <v>15</v>
      </c>
      <c r="D404" s="336">
        <v>4</v>
      </c>
      <c r="E404" s="336">
        <f>估驗單!F397</f>
        <v>4</v>
      </c>
      <c r="F404" s="390">
        <f t="shared" si="36"/>
        <v>0</v>
      </c>
      <c r="G404" s="336">
        <v>2999.84</v>
      </c>
      <c r="H404" s="336"/>
      <c r="I404" s="336">
        <f t="shared" si="41"/>
        <v>11999.36</v>
      </c>
      <c r="J404" s="336">
        <f t="shared" si="42"/>
        <v>11999.36</v>
      </c>
      <c r="K404" s="546">
        <f t="shared" si="43"/>
        <v>0</v>
      </c>
      <c r="L404" s="502"/>
      <c r="M404" s="231"/>
      <c r="N404" s="11" t="s">
        <v>243</v>
      </c>
      <c r="O404" s="341"/>
      <c r="P404" s="339"/>
    </row>
    <row r="405" spans="1:17" s="325" customFormat="1" ht="57">
      <c r="A405" s="333" t="s">
        <v>2179</v>
      </c>
      <c r="B405" s="334" t="s">
        <v>1088</v>
      </c>
      <c r="C405" s="335" t="s">
        <v>15</v>
      </c>
      <c r="D405" s="336">
        <v>2</v>
      </c>
      <c r="E405" s="336">
        <f>估驗單!F398</f>
        <v>2</v>
      </c>
      <c r="F405" s="390">
        <f t="shared" si="36"/>
        <v>0</v>
      </c>
      <c r="G405" s="336">
        <v>19998.91</v>
      </c>
      <c r="H405" s="336"/>
      <c r="I405" s="336">
        <f t="shared" si="41"/>
        <v>39997.82</v>
      </c>
      <c r="J405" s="336">
        <f t="shared" si="42"/>
        <v>39997.82</v>
      </c>
      <c r="K405" s="546">
        <f t="shared" si="43"/>
        <v>0</v>
      </c>
      <c r="L405" s="502"/>
      <c r="M405" s="231"/>
      <c r="N405" s="11" t="s">
        <v>243</v>
      </c>
      <c r="O405" s="341"/>
      <c r="P405" s="339"/>
    </row>
    <row r="406" spans="1:17" s="325" customFormat="1" ht="42.75">
      <c r="A406" s="333" t="s">
        <v>2181</v>
      </c>
      <c r="B406" s="334" t="s">
        <v>1091</v>
      </c>
      <c r="C406" s="335" t="s">
        <v>14</v>
      </c>
      <c r="D406" s="336">
        <v>1</v>
      </c>
      <c r="E406" s="336">
        <f>估驗單!F399</f>
        <v>1</v>
      </c>
      <c r="F406" s="390">
        <f t="shared" si="36"/>
        <v>0</v>
      </c>
      <c r="G406" s="336">
        <v>14999.18</v>
      </c>
      <c r="H406" s="336"/>
      <c r="I406" s="336">
        <f t="shared" si="41"/>
        <v>14999.18</v>
      </c>
      <c r="J406" s="336">
        <f t="shared" si="42"/>
        <v>14999.18</v>
      </c>
      <c r="K406" s="546">
        <f t="shared" si="43"/>
        <v>0</v>
      </c>
      <c r="L406" s="502"/>
      <c r="M406" s="231"/>
      <c r="N406" s="11" t="s">
        <v>243</v>
      </c>
      <c r="O406" s="341"/>
      <c r="P406" s="339"/>
    </row>
    <row r="407" spans="1:17" s="325" customFormat="1" ht="42.75">
      <c r="A407" s="333" t="s">
        <v>2182</v>
      </c>
      <c r="B407" s="334" t="s">
        <v>1094</v>
      </c>
      <c r="C407" s="335" t="s">
        <v>1095</v>
      </c>
      <c r="D407" s="336">
        <v>3</v>
      </c>
      <c r="E407" s="336">
        <f>估驗單!F400</f>
        <v>3</v>
      </c>
      <c r="F407" s="390">
        <f t="shared" si="36"/>
        <v>0</v>
      </c>
      <c r="G407" s="336">
        <v>1299.93</v>
      </c>
      <c r="H407" s="336"/>
      <c r="I407" s="336">
        <f t="shared" si="41"/>
        <v>3899.79</v>
      </c>
      <c r="J407" s="336">
        <f t="shared" si="42"/>
        <v>3899.79</v>
      </c>
      <c r="K407" s="546">
        <f t="shared" si="43"/>
        <v>0</v>
      </c>
      <c r="L407" s="502"/>
      <c r="M407" s="231"/>
      <c r="N407" s="11" t="s">
        <v>243</v>
      </c>
      <c r="O407" s="341"/>
      <c r="P407" s="339"/>
    </row>
    <row r="408" spans="1:17" s="325" customFormat="1" ht="33">
      <c r="A408" s="333" t="s">
        <v>2183</v>
      </c>
      <c r="B408" s="334" t="s">
        <v>1098</v>
      </c>
      <c r="C408" s="335" t="s">
        <v>1095</v>
      </c>
      <c r="D408" s="336">
        <v>4</v>
      </c>
      <c r="E408" s="336">
        <f>估驗單!F401</f>
        <v>4</v>
      </c>
      <c r="F408" s="390">
        <f t="shared" si="36"/>
        <v>0</v>
      </c>
      <c r="G408" s="336">
        <v>999.95</v>
      </c>
      <c r="H408" s="336"/>
      <c r="I408" s="336">
        <f t="shared" si="41"/>
        <v>3999.8</v>
      </c>
      <c r="J408" s="336">
        <f t="shared" si="42"/>
        <v>3999.8</v>
      </c>
      <c r="K408" s="546">
        <f t="shared" si="43"/>
        <v>0</v>
      </c>
      <c r="L408" s="502"/>
      <c r="M408" s="231"/>
      <c r="N408" s="11" t="s">
        <v>243</v>
      </c>
      <c r="O408" s="341"/>
      <c r="P408" s="339"/>
    </row>
    <row r="409" spans="1:17" s="325" customFormat="1" ht="33">
      <c r="A409" s="333" t="s">
        <v>2184</v>
      </c>
      <c r="B409" s="334" t="s">
        <v>1101</v>
      </c>
      <c r="C409" s="335" t="s">
        <v>15</v>
      </c>
      <c r="D409" s="336">
        <v>2</v>
      </c>
      <c r="E409" s="336">
        <f>估驗單!F402</f>
        <v>2</v>
      </c>
      <c r="F409" s="390">
        <f t="shared" si="36"/>
        <v>0</v>
      </c>
      <c r="G409" s="336">
        <v>8999.51</v>
      </c>
      <c r="H409" s="336"/>
      <c r="I409" s="336">
        <f t="shared" si="41"/>
        <v>17999.02</v>
      </c>
      <c r="J409" s="336">
        <f t="shared" si="42"/>
        <v>17999.02</v>
      </c>
      <c r="K409" s="546">
        <f t="shared" si="43"/>
        <v>0</v>
      </c>
      <c r="L409" s="502"/>
      <c r="M409" s="231"/>
      <c r="N409" s="11" t="s">
        <v>243</v>
      </c>
      <c r="O409" s="341"/>
      <c r="P409" s="339"/>
    </row>
    <row r="410" spans="1:17" s="325" customFormat="1" ht="42.75">
      <c r="A410" s="333" t="s">
        <v>2185</v>
      </c>
      <c r="B410" s="334" t="s">
        <v>1104</v>
      </c>
      <c r="C410" s="335" t="s">
        <v>15</v>
      </c>
      <c r="D410" s="336">
        <v>4</v>
      </c>
      <c r="E410" s="336">
        <f>估驗單!F403</f>
        <v>4</v>
      </c>
      <c r="F410" s="390">
        <f t="shared" si="36"/>
        <v>0</v>
      </c>
      <c r="G410" s="336">
        <v>4199.7700000000004</v>
      </c>
      <c r="H410" s="336"/>
      <c r="I410" s="336">
        <f t="shared" si="41"/>
        <v>16799.080000000002</v>
      </c>
      <c r="J410" s="336">
        <f t="shared" si="42"/>
        <v>16799.080000000002</v>
      </c>
      <c r="K410" s="546">
        <f t="shared" si="43"/>
        <v>0</v>
      </c>
      <c r="L410" s="502"/>
      <c r="M410" s="231"/>
      <c r="N410" s="11" t="s">
        <v>243</v>
      </c>
      <c r="O410" s="341"/>
      <c r="P410" s="339"/>
    </row>
    <row r="411" spans="1:17" ht="33">
      <c r="A411" s="333" t="s">
        <v>2186</v>
      </c>
      <c r="B411" s="334" t="s">
        <v>1107</v>
      </c>
      <c r="C411" s="335" t="s">
        <v>14</v>
      </c>
      <c r="D411" s="336">
        <v>2</v>
      </c>
      <c r="E411" s="336">
        <f>估驗單!F404</f>
        <v>2</v>
      </c>
      <c r="F411" s="390">
        <f t="shared" si="36"/>
        <v>0</v>
      </c>
      <c r="G411" s="336">
        <v>999.95</v>
      </c>
      <c r="H411" s="336"/>
      <c r="I411" s="336">
        <f t="shared" si="41"/>
        <v>1999.9</v>
      </c>
      <c r="J411" s="336">
        <f t="shared" si="42"/>
        <v>1999.9</v>
      </c>
      <c r="K411" s="546">
        <f t="shared" si="43"/>
        <v>0</v>
      </c>
      <c r="L411" s="502"/>
      <c r="M411" s="231"/>
      <c r="N411" s="11" t="s">
        <v>243</v>
      </c>
      <c r="O411" s="341"/>
      <c r="P411" s="339"/>
    </row>
    <row r="412" spans="1:17" ht="33">
      <c r="A412" s="333" t="s">
        <v>2187</v>
      </c>
      <c r="B412" s="334" t="s">
        <v>224</v>
      </c>
      <c r="C412" s="335" t="s">
        <v>15</v>
      </c>
      <c r="D412" s="336">
        <v>12</v>
      </c>
      <c r="E412" s="336">
        <f>估驗單!F405</f>
        <v>12</v>
      </c>
      <c r="F412" s="390">
        <f t="shared" si="36"/>
        <v>0</v>
      </c>
      <c r="G412" s="336">
        <v>4499.75</v>
      </c>
      <c r="H412" s="336"/>
      <c r="I412" s="336">
        <f t="shared" si="41"/>
        <v>53997</v>
      </c>
      <c r="J412" s="336">
        <f t="shared" si="42"/>
        <v>53997</v>
      </c>
      <c r="K412" s="546">
        <f t="shared" si="43"/>
        <v>0</v>
      </c>
      <c r="L412" s="502"/>
      <c r="M412" s="231"/>
      <c r="N412" s="11" t="s">
        <v>243</v>
      </c>
      <c r="O412" s="341"/>
      <c r="P412" s="339"/>
    </row>
    <row r="413" spans="1:17" ht="33">
      <c r="A413" s="333" t="s">
        <v>2188</v>
      </c>
      <c r="B413" s="334" t="s">
        <v>1112</v>
      </c>
      <c r="C413" s="335" t="s">
        <v>15</v>
      </c>
      <c r="D413" s="336">
        <v>2</v>
      </c>
      <c r="E413" s="336">
        <f>估驗單!F406</f>
        <v>2</v>
      </c>
      <c r="F413" s="390">
        <f t="shared" si="36"/>
        <v>0</v>
      </c>
      <c r="G413" s="336">
        <v>636265.30000000005</v>
      </c>
      <c r="H413" s="336"/>
      <c r="I413" s="336">
        <f t="shared" si="41"/>
        <v>1272530.6000000001</v>
      </c>
      <c r="J413" s="336">
        <f t="shared" si="42"/>
        <v>1272530.6000000001</v>
      </c>
      <c r="K413" s="546">
        <f t="shared" si="43"/>
        <v>0</v>
      </c>
      <c r="L413" s="502"/>
      <c r="M413" s="231"/>
      <c r="N413" s="11" t="s">
        <v>243</v>
      </c>
      <c r="O413" s="341"/>
      <c r="P413" s="339"/>
    </row>
    <row r="414" spans="1:17" ht="42.75">
      <c r="A414" s="333" t="s">
        <v>2189</v>
      </c>
      <c r="B414" s="334" t="s">
        <v>1115</v>
      </c>
      <c r="C414" s="335" t="s">
        <v>1116</v>
      </c>
      <c r="D414" s="336">
        <v>4</v>
      </c>
      <c r="E414" s="336">
        <f>估驗單!F407</f>
        <v>4</v>
      </c>
      <c r="F414" s="390">
        <f t="shared" ref="F414:F471" si="44">E414-D414</f>
        <v>0</v>
      </c>
      <c r="G414" s="336">
        <v>1999.89</v>
      </c>
      <c r="H414" s="336"/>
      <c r="I414" s="336">
        <f t="shared" si="41"/>
        <v>7999.56</v>
      </c>
      <c r="J414" s="336">
        <f t="shared" si="42"/>
        <v>7999.56</v>
      </c>
      <c r="K414" s="546">
        <f t="shared" si="43"/>
        <v>0</v>
      </c>
      <c r="L414" s="502"/>
      <c r="M414" s="231"/>
      <c r="N414" s="11" t="s">
        <v>243</v>
      </c>
      <c r="O414" s="341"/>
      <c r="P414" s="339"/>
    </row>
    <row r="415" spans="1:17" ht="33">
      <c r="A415" s="333" t="s">
        <v>2190</v>
      </c>
      <c r="B415" s="334" t="s">
        <v>1542</v>
      </c>
      <c r="C415" s="335" t="s">
        <v>15</v>
      </c>
      <c r="D415" s="336">
        <v>1</v>
      </c>
      <c r="E415" s="336">
        <f>估驗單!F408</f>
        <v>1</v>
      </c>
      <c r="F415" s="390">
        <f t="shared" si="44"/>
        <v>0</v>
      </c>
      <c r="G415" s="336">
        <v>119722.49</v>
      </c>
      <c r="H415" s="336"/>
      <c r="I415" s="336">
        <f t="shared" si="41"/>
        <v>119722.49</v>
      </c>
      <c r="J415" s="336">
        <f t="shared" si="42"/>
        <v>119722.49</v>
      </c>
      <c r="K415" s="546">
        <f t="shared" si="43"/>
        <v>0</v>
      </c>
      <c r="L415" s="502"/>
      <c r="M415" s="231"/>
      <c r="N415" s="11" t="s">
        <v>243</v>
      </c>
      <c r="O415" s="341"/>
      <c r="P415" s="339"/>
    </row>
    <row r="416" spans="1:17" s="352" customFormat="1" ht="33">
      <c r="A416" s="343">
        <v>36</v>
      </c>
      <c r="B416" s="344" t="s">
        <v>2441</v>
      </c>
      <c r="C416" s="345" t="s">
        <v>2353</v>
      </c>
      <c r="D416" s="340">
        <v>1</v>
      </c>
      <c r="E416" s="336">
        <f>估驗單!F409</f>
        <v>1</v>
      </c>
      <c r="F416" s="390">
        <f t="shared" si="44"/>
        <v>0</v>
      </c>
      <c r="G416" s="340">
        <v>74993.56</v>
      </c>
      <c r="H416" s="340"/>
      <c r="I416" s="336">
        <f t="shared" si="41"/>
        <v>74993.56</v>
      </c>
      <c r="J416" s="336">
        <f t="shared" si="42"/>
        <v>74993.56</v>
      </c>
      <c r="K416" s="546">
        <f t="shared" si="43"/>
        <v>0</v>
      </c>
      <c r="L416" s="502"/>
      <c r="M416" s="350"/>
      <c r="N416" s="347" t="s">
        <v>243</v>
      </c>
      <c r="O416" s="348"/>
      <c r="P416" s="349"/>
      <c r="Q416" s="362"/>
    </row>
    <row r="417" spans="1:21" s="352" customFormat="1" ht="42.75">
      <c r="A417" s="423">
        <v>37</v>
      </c>
      <c r="B417" s="424" t="s">
        <v>1546</v>
      </c>
      <c r="C417" s="425" t="s">
        <v>15</v>
      </c>
      <c r="D417" s="419">
        <v>2</v>
      </c>
      <c r="E417" s="419">
        <f>估驗單!F410</f>
        <v>2</v>
      </c>
      <c r="F417" s="426">
        <f t="shared" si="44"/>
        <v>0</v>
      </c>
      <c r="G417" s="419">
        <v>83492.83</v>
      </c>
      <c r="H417" s="419"/>
      <c r="I417" s="336">
        <f t="shared" si="41"/>
        <v>166985.66</v>
      </c>
      <c r="J417" s="336">
        <f t="shared" si="42"/>
        <v>166985.66</v>
      </c>
      <c r="K417" s="546">
        <f t="shared" si="43"/>
        <v>0</v>
      </c>
      <c r="L417" s="502"/>
      <c r="M417" s="376"/>
      <c r="N417" s="357"/>
      <c r="O417" s="377"/>
      <c r="P417" s="360"/>
      <c r="Q417" s="353"/>
    </row>
    <row r="418" spans="1:21" s="352" customFormat="1" ht="42.75">
      <c r="A418" s="423">
        <v>38</v>
      </c>
      <c r="B418" s="424" t="s">
        <v>1548</v>
      </c>
      <c r="C418" s="425" t="s">
        <v>15</v>
      </c>
      <c r="D418" s="419">
        <v>1</v>
      </c>
      <c r="E418" s="419">
        <f>估驗單!F411</f>
        <v>1</v>
      </c>
      <c r="F418" s="426">
        <f t="shared" si="44"/>
        <v>0</v>
      </c>
      <c r="G418" s="419">
        <v>76193.42</v>
      </c>
      <c r="H418" s="419"/>
      <c r="I418" s="336">
        <f t="shared" si="41"/>
        <v>76193.42</v>
      </c>
      <c r="J418" s="336">
        <f t="shared" si="42"/>
        <v>76193.42</v>
      </c>
      <c r="K418" s="546">
        <f t="shared" si="43"/>
        <v>0</v>
      </c>
      <c r="L418" s="502"/>
      <c r="M418" s="376"/>
      <c r="N418" s="357"/>
      <c r="O418" s="377"/>
      <c r="P418" s="360"/>
      <c r="Q418" s="353"/>
    </row>
    <row r="419" spans="1:21" s="352" customFormat="1" ht="28.5">
      <c r="A419" s="423">
        <v>39</v>
      </c>
      <c r="B419" s="424" t="s">
        <v>1550</v>
      </c>
      <c r="C419" s="425" t="s">
        <v>15</v>
      </c>
      <c r="D419" s="419">
        <v>2</v>
      </c>
      <c r="E419" s="419">
        <f>估驗單!F412</f>
        <v>2</v>
      </c>
      <c r="F419" s="426">
        <f t="shared" si="44"/>
        <v>0</v>
      </c>
      <c r="G419" s="419">
        <v>17998.46</v>
      </c>
      <c r="H419" s="419"/>
      <c r="I419" s="336">
        <f t="shared" si="41"/>
        <v>35996.92</v>
      </c>
      <c r="J419" s="336">
        <f t="shared" si="42"/>
        <v>35996.92</v>
      </c>
      <c r="K419" s="546">
        <f t="shared" si="43"/>
        <v>0</v>
      </c>
      <c r="L419" s="502"/>
      <c r="M419" s="376"/>
      <c r="N419" s="357"/>
      <c r="O419" s="377"/>
      <c r="P419" s="360"/>
      <c r="Q419" s="353"/>
    </row>
    <row r="420" spans="1:21" ht="33">
      <c r="A420" s="406" t="s">
        <v>2253</v>
      </c>
      <c r="B420" s="407" t="s">
        <v>1118</v>
      </c>
      <c r="C420" s="408" t="s">
        <v>4</v>
      </c>
      <c r="D420" s="409"/>
      <c r="E420" s="409"/>
      <c r="F420" s="410">
        <f t="shared" si="44"/>
        <v>0</v>
      </c>
      <c r="G420" s="409">
        <f>I420</f>
        <v>3983954.6799999997</v>
      </c>
      <c r="H420" s="409"/>
      <c r="I420" s="409">
        <f>SUM(I421:I423)</f>
        <v>3983954.6799999997</v>
      </c>
      <c r="J420" s="409">
        <f>SUM(J421:J423)</f>
        <v>3983954.6799999997</v>
      </c>
      <c r="K420" s="542">
        <f>SUM(K421:K423)</f>
        <v>0</v>
      </c>
      <c r="L420" s="534"/>
      <c r="M420" s="288"/>
      <c r="N420" s="11" t="s">
        <v>243</v>
      </c>
      <c r="O420" s="341"/>
      <c r="P420" s="339"/>
    </row>
    <row r="421" spans="1:21" ht="33">
      <c r="A421" s="333" t="s">
        <v>2154</v>
      </c>
      <c r="B421" s="334" t="s">
        <v>26</v>
      </c>
      <c r="C421" s="335" t="s">
        <v>20</v>
      </c>
      <c r="D421" s="336">
        <v>48</v>
      </c>
      <c r="E421" s="336">
        <f>估驗單!F414</f>
        <v>48</v>
      </c>
      <c r="F421" s="390">
        <f t="shared" si="44"/>
        <v>0</v>
      </c>
      <c r="G421" s="336">
        <v>13067.55</v>
      </c>
      <c r="H421" s="336"/>
      <c r="I421" s="336">
        <f>ROUND(D421*G421,2)</f>
        <v>627242.4</v>
      </c>
      <c r="J421" s="336">
        <f>ROUND(E421*G421,2)</f>
        <v>627242.4</v>
      </c>
      <c r="K421" s="546">
        <f t="shared" si="43"/>
        <v>0</v>
      </c>
      <c r="L421" s="502"/>
      <c r="M421" s="231"/>
      <c r="N421" s="11" t="s">
        <v>243</v>
      </c>
      <c r="O421" s="341"/>
      <c r="P421" s="339"/>
    </row>
    <row r="422" spans="1:21" ht="33">
      <c r="A422" s="333" t="s">
        <v>2155</v>
      </c>
      <c r="B422" s="334" t="s">
        <v>27</v>
      </c>
      <c r="C422" s="335" t="s">
        <v>21</v>
      </c>
      <c r="D422" s="336">
        <v>28448</v>
      </c>
      <c r="E422" s="336">
        <f>估驗單!F415</f>
        <v>28448</v>
      </c>
      <c r="F422" s="390">
        <f t="shared" si="44"/>
        <v>0</v>
      </c>
      <c r="G422" s="336">
        <v>54.56</v>
      </c>
      <c r="H422" s="336"/>
      <c r="I422" s="336">
        <f>ROUND(D422*G422,2)</f>
        <v>1552122.8799999999</v>
      </c>
      <c r="J422" s="336">
        <f>ROUND(E422*G422,2)</f>
        <v>1552122.8799999999</v>
      </c>
      <c r="K422" s="546">
        <f t="shared" si="43"/>
        <v>0</v>
      </c>
      <c r="L422" s="502"/>
      <c r="M422" s="231"/>
      <c r="N422" s="11" t="s">
        <v>243</v>
      </c>
      <c r="O422" s="341"/>
      <c r="P422" s="339"/>
      <c r="Q422" s="362"/>
      <c r="S422" s="378" t="s">
        <v>2447</v>
      </c>
      <c r="U422" s="379"/>
    </row>
    <row r="423" spans="1:21" s="363" customFormat="1" ht="33">
      <c r="A423" s="343" t="s">
        <v>2156</v>
      </c>
      <c r="B423" s="344" t="s">
        <v>1553</v>
      </c>
      <c r="C423" s="345" t="s">
        <v>2448</v>
      </c>
      <c r="D423" s="340">
        <v>1570</v>
      </c>
      <c r="E423" s="336">
        <f>估驗單!F416</f>
        <v>1570</v>
      </c>
      <c r="F423" s="390">
        <f t="shared" si="44"/>
        <v>0</v>
      </c>
      <c r="G423" s="340">
        <v>1149.42</v>
      </c>
      <c r="H423" s="340"/>
      <c r="I423" s="336">
        <f>ROUND(D423*G423,2)</f>
        <v>1804589.4</v>
      </c>
      <c r="J423" s="336">
        <f>ROUND(E423*G423,2)</f>
        <v>1804589.4</v>
      </c>
      <c r="K423" s="546">
        <f t="shared" si="43"/>
        <v>0</v>
      </c>
      <c r="L423" s="502"/>
      <c r="M423" s="346"/>
      <c r="N423" s="347" t="s">
        <v>243</v>
      </c>
      <c r="O423" s="354"/>
      <c r="P423" s="349"/>
      <c r="Q423" s="358"/>
    </row>
    <row r="424" spans="1:21" ht="33">
      <c r="A424" s="406" t="s">
        <v>2254</v>
      </c>
      <c r="B424" s="407" t="s">
        <v>1121</v>
      </c>
      <c r="C424" s="408" t="s">
        <v>4</v>
      </c>
      <c r="D424" s="409"/>
      <c r="E424" s="409"/>
      <c r="F424" s="410">
        <f t="shared" si="44"/>
        <v>0</v>
      </c>
      <c r="G424" s="409">
        <f>I424</f>
        <v>10146417.939999999</v>
      </c>
      <c r="H424" s="409"/>
      <c r="I424" s="411">
        <f>SUM(I425:I443)</f>
        <v>10146417.939999999</v>
      </c>
      <c r="J424" s="411">
        <f>SUM(J425:J443)</f>
        <v>10761887.789999999</v>
      </c>
      <c r="K424" s="541">
        <f>SUM(K425:K443)</f>
        <v>615469.85</v>
      </c>
      <c r="L424" s="454">
        <f>SUM(L425:L442)</f>
        <v>0</v>
      </c>
      <c r="M424" s="288"/>
      <c r="N424" s="11" t="s">
        <v>243</v>
      </c>
      <c r="O424" s="341"/>
      <c r="P424" s="339"/>
    </row>
    <row r="425" spans="1:21" ht="33">
      <c r="A425" s="333" t="s">
        <v>2154</v>
      </c>
      <c r="B425" s="334" t="s">
        <v>1122</v>
      </c>
      <c r="C425" s="335" t="s">
        <v>8</v>
      </c>
      <c r="D425" s="336">
        <v>1294.97</v>
      </c>
      <c r="E425" s="336">
        <f>估驗單!F418</f>
        <v>1294.97</v>
      </c>
      <c r="F425" s="390">
        <f t="shared" si="44"/>
        <v>0</v>
      </c>
      <c r="G425" s="336">
        <v>3662.03</v>
      </c>
      <c r="H425" s="336"/>
      <c r="I425" s="336">
        <f t="shared" ref="I425:I443" si="45">ROUND(D425*G425,2)</f>
        <v>4742218.99</v>
      </c>
      <c r="J425" s="336">
        <f t="shared" ref="J425:J443" si="46">ROUND(E425*G425,2)</f>
        <v>4742218.99</v>
      </c>
      <c r="K425" s="546">
        <f t="shared" si="43"/>
        <v>0</v>
      </c>
      <c r="L425" s="502"/>
      <c r="M425" s="231"/>
      <c r="N425" s="11" t="s">
        <v>243</v>
      </c>
      <c r="O425" s="341"/>
      <c r="P425" s="339"/>
    </row>
    <row r="426" spans="1:21" ht="33">
      <c r="A426" s="333" t="s">
        <v>2155</v>
      </c>
      <c r="B426" s="334" t="s">
        <v>1124</v>
      </c>
      <c r="C426" s="335" t="s">
        <v>13</v>
      </c>
      <c r="D426" s="336">
        <v>1840.93</v>
      </c>
      <c r="E426" s="336">
        <f>估驗單!F419</f>
        <v>1840.93</v>
      </c>
      <c r="F426" s="390">
        <f t="shared" si="44"/>
        <v>0</v>
      </c>
      <c r="G426" s="336">
        <v>352.98</v>
      </c>
      <c r="H426" s="336"/>
      <c r="I426" s="336">
        <f t="shared" si="45"/>
        <v>649811.47</v>
      </c>
      <c r="J426" s="336">
        <f t="shared" si="46"/>
        <v>649811.47</v>
      </c>
      <c r="K426" s="546">
        <f t="shared" si="43"/>
        <v>0</v>
      </c>
      <c r="L426" s="502"/>
      <c r="M426" s="231"/>
      <c r="N426" s="11" t="s">
        <v>243</v>
      </c>
      <c r="O426" s="341"/>
      <c r="P426" s="339"/>
    </row>
    <row r="427" spans="1:21" ht="33">
      <c r="A427" s="333" t="s">
        <v>2156</v>
      </c>
      <c r="B427" s="334" t="s">
        <v>32</v>
      </c>
      <c r="C427" s="335" t="s">
        <v>7</v>
      </c>
      <c r="D427" s="336">
        <v>59</v>
      </c>
      <c r="E427" s="336">
        <f>估驗單!F420</f>
        <v>59</v>
      </c>
      <c r="F427" s="390">
        <f t="shared" si="44"/>
        <v>0</v>
      </c>
      <c r="G427" s="336">
        <v>217.01</v>
      </c>
      <c r="H427" s="336"/>
      <c r="I427" s="336">
        <f t="shared" si="45"/>
        <v>12803.59</v>
      </c>
      <c r="J427" s="336">
        <f t="shared" si="46"/>
        <v>12803.59</v>
      </c>
      <c r="K427" s="546">
        <f t="shared" si="43"/>
        <v>0</v>
      </c>
      <c r="L427" s="502"/>
      <c r="M427" s="231"/>
      <c r="N427" s="11" t="s">
        <v>243</v>
      </c>
      <c r="O427" s="341"/>
      <c r="P427" s="339"/>
    </row>
    <row r="428" spans="1:21" ht="33">
      <c r="A428" s="333" t="s">
        <v>2157</v>
      </c>
      <c r="B428" s="334" t="s">
        <v>33</v>
      </c>
      <c r="C428" s="335" t="s">
        <v>5</v>
      </c>
      <c r="D428" s="336">
        <v>30</v>
      </c>
      <c r="E428" s="336">
        <f>估驗單!F421</f>
        <v>30</v>
      </c>
      <c r="F428" s="390">
        <f t="shared" si="44"/>
        <v>0</v>
      </c>
      <c r="G428" s="336">
        <v>50</v>
      </c>
      <c r="H428" s="336"/>
      <c r="I428" s="336">
        <f t="shared" si="45"/>
        <v>1500</v>
      </c>
      <c r="J428" s="336">
        <f t="shared" si="46"/>
        <v>1500</v>
      </c>
      <c r="K428" s="546">
        <f t="shared" si="43"/>
        <v>0</v>
      </c>
      <c r="L428" s="502"/>
      <c r="M428" s="231"/>
      <c r="N428" s="11" t="s">
        <v>243</v>
      </c>
      <c r="O428" s="341"/>
      <c r="P428" s="339"/>
    </row>
    <row r="429" spans="1:21" ht="33">
      <c r="A429" s="333" t="s">
        <v>2158</v>
      </c>
      <c r="B429" s="334" t="s">
        <v>1128</v>
      </c>
      <c r="C429" s="335" t="s">
        <v>0</v>
      </c>
      <c r="D429" s="336">
        <v>19</v>
      </c>
      <c r="E429" s="336">
        <f>估驗單!F422</f>
        <v>19</v>
      </c>
      <c r="F429" s="390">
        <f t="shared" si="44"/>
        <v>0</v>
      </c>
      <c r="G429" s="336">
        <v>1900.88</v>
      </c>
      <c r="H429" s="336"/>
      <c r="I429" s="336">
        <f t="shared" si="45"/>
        <v>36116.720000000001</v>
      </c>
      <c r="J429" s="336">
        <f t="shared" si="46"/>
        <v>36116.720000000001</v>
      </c>
      <c r="K429" s="546">
        <f t="shared" si="43"/>
        <v>0</v>
      </c>
      <c r="L429" s="502"/>
      <c r="M429" s="231"/>
      <c r="N429" s="11" t="s">
        <v>243</v>
      </c>
      <c r="O429" s="341"/>
      <c r="P429" s="339"/>
    </row>
    <row r="430" spans="1:21" ht="33">
      <c r="A430" s="333" t="s">
        <v>2159</v>
      </c>
      <c r="B430" s="334" t="s">
        <v>1130</v>
      </c>
      <c r="C430" s="335" t="s">
        <v>0</v>
      </c>
      <c r="D430" s="336">
        <v>10</v>
      </c>
      <c r="E430" s="336">
        <f>估驗單!F423</f>
        <v>10</v>
      </c>
      <c r="F430" s="390">
        <f t="shared" si="44"/>
        <v>0</v>
      </c>
      <c r="G430" s="336">
        <v>1230.67</v>
      </c>
      <c r="H430" s="336"/>
      <c r="I430" s="336">
        <f t="shared" si="45"/>
        <v>12306.7</v>
      </c>
      <c r="J430" s="336">
        <f t="shared" si="46"/>
        <v>12306.7</v>
      </c>
      <c r="K430" s="546">
        <f t="shared" si="43"/>
        <v>0</v>
      </c>
      <c r="L430" s="502"/>
      <c r="M430" s="231"/>
      <c r="N430" s="11" t="s">
        <v>243</v>
      </c>
      <c r="O430" s="341"/>
      <c r="P430" s="339"/>
    </row>
    <row r="431" spans="1:21" ht="33">
      <c r="A431" s="333" t="s">
        <v>2160</v>
      </c>
      <c r="B431" s="334" t="s">
        <v>30</v>
      </c>
      <c r="C431" s="335" t="s">
        <v>0</v>
      </c>
      <c r="D431" s="336">
        <v>577</v>
      </c>
      <c r="E431" s="336">
        <f>估驗單!F424</f>
        <v>577</v>
      </c>
      <c r="F431" s="390">
        <f t="shared" si="44"/>
        <v>0</v>
      </c>
      <c r="G431" s="336">
        <v>1666.03</v>
      </c>
      <c r="H431" s="336"/>
      <c r="I431" s="336">
        <f t="shared" si="45"/>
        <v>961299.31</v>
      </c>
      <c r="J431" s="336">
        <f t="shared" si="46"/>
        <v>961299.31</v>
      </c>
      <c r="K431" s="546">
        <f t="shared" si="43"/>
        <v>0</v>
      </c>
      <c r="L431" s="502"/>
      <c r="M431" s="231" t="s">
        <v>242</v>
      </c>
      <c r="N431" s="11" t="s">
        <v>243</v>
      </c>
      <c r="O431" s="341"/>
      <c r="P431" s="339"/>
    </row>
    <row r="432" spans="1:21" ht="33">
      <c r="A432" s="503" t="s">
        <v>2161</v>
      </c>
      <c r="B432" s="504" t="s">
        <v>1133</v>
      </c>
      <c r="C432" s="505" t="s">
        <v>0</v>
      </c>
      <c r="D432" s="506">
        <v>2</v>
      </c>
      <c r="E432" s="506">
        <f>估驗單!F425</f>
        <v>3</v>
      </c>
      <c r="F432" s="507">
        <f t="shared" si="44"/>
        <v>1</v>
      </c>
      <c r="G432" s="506">
        <v>48510.35</v>
      </c>
      <c r="H432" s="506"/>
      <c r="I432" s="506">
        <f t="shared" si="45"/>
        <v>97020.7</v>
      </c>
      <c r="J432" s="506">
        <f t="shared" si="46"/>
        <v>145531.04999999999</v>
      </c>
      <c r="K432" s="547">
        <f t="shared" si="43"/>
        <v>48510.349999999991</v>
      </c>
      <c r="L432" s="510"/>
      <c r="M432" s="508" t="s">
        <v>242</v>
      </c>
      <c r="N432" s="11" t="s">
        <v>243</v>
      </c>
      <c r="O432" s="341" t="s">
        <v>3031</v>
      </c>
      <c r="P432" s="339"/>
      <c r="Q432" s="293" t="s">
        <v>2948</v>
      </c>
    </row>
    <row r="433" spans="1:17" ht="33">
      <c r="A433" s="333" t="s">
        <v>2162</v>
      </c>
      <c r="B433" s="334" t="s">
        <v>28</v>
      </c>
      <c r="C433" s="335" t="s">
        <v>22</v>
      </c>
      <c r="D433" s="336">
        <v>19</v>
      </c>
      <c r="E433" s="336">
        <f>估驗單!F426</f>
        <v>19</v>
      </c>
      <c r="F433" s="390">
        <f t="shared" si="44"/>
        <v>0</v>
      </c>
      <c r="G433" s="336">
        <v>587.07000000000005</v>
      </c>
      <c r="H433" s="336"/>
      <c r="I433" s="336">
        <f t="shared" si="45"/>
        <v>11154.33</v>
      </c>
      <c r="J433" s="336">
        <f t="shared" si="46"/>
        <v>11154.33</v>
      </c>
      <c r="K433" s="546">
        <f t="shared" si="43"/>
        <v>0</v>
      </c>
      <c r="L433" s="502"/>
      <c r="M433" s="231"/>
      <c r="N433" s="11" t="s">
        <v>243</v>
      </c>
      <c r="O433" s="341"/>
      <c r="P433" s="339"/>
    </row>
    <row r="434" spans="1:17" ht="33">
      <c r="A434" s="333" t="s">
        <v>2163</v>
      </c>
      <c r="B434" s="334" t="s">
        <v>1136</v>
      </c>
      <c r="C434" s="335" t="s">
        <v>7</v>
      </c>
      <c r="D434" s="336">
        <v>19</v>
      </c>
      <c r="E434" s="336">
        <f>估驗單!F427</f>
        <v>19</v>
      </c>
      <c r="F434" s="390">
        <f t="shared" si="44"/>
        <v>0</v>
      </c>
      <c r="G434" s="336">
        <v>664.14</v>
      </c>
      <c r="H434" s="336"/>
      <c r="I434" s="336">
        <f t="shared" si="45"/>
        <v>12618.66</v>
      </c>
      <c r="J434" s="336">
        <f t="shared" si="46"/>
        <v>12618.66</v>
      </c>
      <c r="K434" s="546">
        <f t="shared" si="43"/>
        <v>0</v>
      </c>
      <c r="L434" s="502"/>
      <c r="M434" s="231" t="s">
        <v>242</v>
      </c>
      <c r="N434" s="11" t="s">
        <v>243</v>
      </c>
      <c r="O434" s="341"/>
      <c r="P434" s="339"/>
    </row>
    <row r="435" spans="1:17" ht="33">
      <c r="A435" s="333" t="s">
        <v>2164</v>
      </c>
      <c r="B435" s="334" t="s">
        <v>1138</v>
      </c>
      <c r="C435" s="335" t="s">
        <v>1139</v>
      </c>
      <c r="D435" s="336">
        <v>2</v>
      </c>
      <c r="E435" s="336">
        <f>估驗單!F428</f>
        <v>2</v>
      </c>
      <c r="F435" s="390">
        <f t="shared" si="44"/>
        <v>0</v>
      </c>
      <c r="G435" s="336">
        <v>9999.4500000000007</v>
      </c>
      <c r="H435" s="336"/>
      <c r="I435" s="336">
        <f t="shared" si="45"/>
        <v>19998.900000000001</v>
      </c>
      <c r="J435" s="336">
        <f t="shared" si="46"/>
        <v>19998.900000000001</v>
      </c>
      <c r="K435" s="546">
        <f t="shared" si="43"/>
        <v>0</v>
      </c>
      <c r="L435" s="502"/>
      <c r="M435" s="231" t="s">
        <v>242</v>
      </c>
      <c r="N435" s="11" t="s">
        <v>243</v>
      </c>
      <c r="O435" s="341"/>
      <c r="P435" s="339"/>
    </row>
    <row r="436" spans="1:17" ht="33">
      <c r="A436" s="333" t="s">
        <v>2165</v>
      </c>
      <c r="B436" s="334" t="s">
        <v>1142</v>
      </c>
      <c r="C436" s="335" t="s">
        <v>8</v>
      </c>
      <c r="D436" s="336">
        <v>698.15</v>
      </c>
      <c r="E436" s="336">
        <f>估驗單!F429</f>
        <v>698.15</v>
      </c>
      <c r="F436" s="390">
        <f t="shared" si="44"/>
        <v>0</v>
      </c>
      <c r="G436" s="336">
        <v>209.99</v>
      </c>
      <c r="H436" s="336"/>
      <c r="I436" s="336">
        <f t="shared" si="45"/>
        <v>146604.51999999999</v>
      </c>
      <c r="J436" s="336">
        <f t="shared" si="46"/>
        <v>146604.51999999999</v>
      </c>
      <c r="K436" s="546">
        <f t="shared" si="43"/>
        <v>0</v>
      </c>
      <c r="L436" s="502"/>
      <c r="M436" s="231"/>
      <c r="N436" s="11" t="s">
        <v>243</v>
      </c>
      <c r="O436" s="341"/>
      <c r="P436" s="339"/>
    </row>
    <row r="437" spans="1:17" ht="33">
      <c r="A437" s="333" t="s">
        <v>2166</v>
      </c>
      <c r="B437" s="334" t="s">
        <v>1145</v>
      </c>
      <c r="C437" s="335" t="s">
        <v>8</v>
      </c>
      <c r="D437" s="336">
        <v>2498.77</v>
      </c>
      <c r="E437" s="336">
        <f>估驗單!F430</f>
        <v>2498.77</v>
      </c>
      <c r="F437" s="390">
        <f t="shared" si="44"/>
        <v>0</v>
      </c>
      <c r="G437" s="336">
        <v>299.98</v>
      </c>
      <c r="H437" s="336"/>
      <c r="I437" s="336">
        <f t="shared" si="45"/>
        <v>749581.02</v>
      </c>
      <c r="J437" s="336">
        <f t="shared" si="46"/>
        <v>749581.02</v>
      </c>
      <c r="K437" s="546">
        <f t="shared" si="43"/>
        <v>0</v>
      </c>
      <c r="L437" s="502"/>
      <c r="M437" s="231" t="s">
        <v>242</v>
      </c>
      <c r="N437" s="11" t="s">
        <v>243</v>
      </c>
      <c r="O437" s="341"/>
      <c r="P437" s="339"/>
    </row>
    <row r="438" spans="1:17" ht="33">
      <c r="A438" s="333" t="s">
        <v>2167</v>
      </c>
      <c r="B438" s="334" t="s">
        <v>1148</v>
      </c>
      <c r="C438" s="335" t="s">
        <v>8</v>
      </c>
      <c r="D438" s="336">
        <v>1396.3</v>
      </c>
      <c r="E438" s="336">
        <f>估驗單!F431</f>
        <v>1396.3</v>
      </c>
      <c r="F438" s="390">
        <f t="shared" si="44"/>
        <v>0</v>
      </c>
      <c r="G438" s="336">
        <v>199.99</v>
      </c>
      <c r="H438" s="336"/>
      <c r="I438" s="336">
        <f t="shared" si="45"/>
        <v>279246.03999999998</v>
      </c>
      <c r="J438" s="336">
        <f t="shared" si="46"/>
        <v>279246.03999999998</v>
      </c>
      <c r="K438" s="546">
        <f t="shared" si="43"/>
        <v>0</v>
      </c>
      <c r="L438" s="502"/>
      <c r="M438" s="231" t="s">
        <v>242</v>
      </c>
      <c r="N438" s="11" t="s">
        <v>243</v>
      </c>
      <c r="O438" s="341"/>
      <c r="P438" s="339"/>
    </row>
    <row r="439" spans="1:17" ht="33">
      <c r="A439" s="333" t="s">
        <v>2168</v>
      </c>
      <c r="B439" s="334" t="s">
        <v>1151</v>
      </c>
      <c r="C439" s="335" t="s">
        <v>4</v>
      </c>
      <c r="D439" s="336">
        <v>1</v>
      </c>
      <c r="E439" s="336">
        <f>估驗單!F432</f>
        <v>1</v>
      </c>
      <c r="F439" s="390">
        <f t="shared" si="44"/>
        <v>0</v>
      </c>
      <c r="G439" s="336">
        <v>21835.68</v>
      </c>
      <c r="H439" s="336"/>
      <c r="I439" s="336">
        <f t="shared" si="45"/>
        <v>21835.68</v>
      </c>
      <c r="J439" s="336">
        <f t="shared" si="46"/>
        <v>21835.68</v>
      </c>
      <c r="K439" s="546">
        <f t="shared" si="43"/>
        <v>0</v>
      </c>
      <c r="L439" s="502"/>
      <c r="M439" s="231" t="s">
        <v>242</v>
      </c>
      <c r="N439" s="11" t="s">
        <v>243</v>
      </c>
      <c r="O439" s="341"/>
      <c r="P439" s="339"/>
    </row>
    <row r="440" spans="1:17" ht="33">
      <c r="A440" s="333" t="s">
        <v>2169</v>
      </c>
      <c r="B440" s="334" t="s">
        <v>1556</v>
      </c>
      <c r="C440" s="335" t="s">
        <v>8</v>
      </c>
      <c r="D440" s="336">
        <v>355</v>
      </c>
      <c r="E440" s="336">
        <f>估驗單!F433</f>
        <v>355</v>
      </c>
      <c r="F440" s="390">
        <f t="shared" si="44"/>
        <v>0</v>
      </c>
      <c r="G440" s="336">
        <v>1859.79</v>
      </c>
      <c r="H440" s="336"/>
      <c r="I440" s="336">
        <f t="shared" si="45"/>
        <v>660225.44999999995</v>
      </c>
      <c r="J440" s="336">
        <f t="shared" si="46"/>
        <v>660225.44999999995</v>
      </c>
      <c r="K440" s="546">
        <f t="shared" si="43"/>
        <v>0</v>
      </c>
      <c r="L440" s="502"/>
      <c r="M440" s="231"/>
      <c r="N440" s="11" t="s">
        <v>243</v>
      </c>
      <c r="O440" s="341"/>
      <c r="P440" s="339"/>
    </row>
    <row r="441" spans="1:17" s="352" customFormat="1" ht="33">
      <c r="A441" s="343">
        <v>17</v>
      </c>
      <c r="B441" s="344" t="s">
        <v>29</v>
      </c>
      <c r="C441" s="345" t="s">
        <v>8</v>
      </c>
      <c r="D441" s="340">
        <v>465</v>
      </c>
      <c r="E441" s="336">
        <f>估驗單!F434</f>
        <v>465</v>
      </c>
      <c r="F441" s="390">
        <f t="shared" si="44"/>
        <v>0</v>
      </c>
      <c r="G441" s="340">
        <v>293.70999999999998</v>
      </c>
      <c r="H441" s="340"/>
      <c r="I441" s="336">
        <f t="shared" si="45"/>
        <v>136575.15</v>
      </c>
      <c r="J441" s="336">
        <f t="shared" si="46"/>
        <v>136575.15</v>
      </c>
      <c r="K441" s="546">
        <f t="shared" si="43"/>
        <v>0</v>
      </c>
      <c r="L441" s="502"/>
      <c r="M441" s="346"/>
      <c r="N441" s="347" t="s">
        <v>243</v>
      </c>
      <c r="O441" s="348"/>
      <c r="P441" s="349"/>
      <c r="Q441" s="342"/>
    </row>
    <row r="442" spans="1:17" s="352" customFormat="1" ht="67.5">
      <c r="A442" s="512" t="s">
        <v>2171</v>
      </c>
      <c r="B442" s="513" t="s">
        <v>2459</v>
      </c>
      <c r="C442" s="514" t="s">
        <v>16</v>
      </c>
      <c r="D442" s="515">
        <v>4920</v>
      </c>
      <c r="E442" s="506">
        <f>估驗單!F435</f>
        <v>6945</v>
      </c>
      <c r="F442" s="507">
        <f t="shared" si="44"/>
        <v>2025</v>
      </c>
      <c r="G442" s="515">
        <v>279.98</v>
      </c>
      <c r="H442" s="515"/>
      <c r="I442" s="506">
        <f t="shared" si="45"/>
        <v>1377501.6</v>
      </c>
      <c r="J442" s="506">
        <f t="shared" si="46"/>
        <v>1944461.1</v>
      </c>
      <c r="K442" s="547">
        <f t="shared" si="43"/>
        <v>566959.5</v>
      </c>
      <c r="L442" s="510"/>
      <c r="M442" s="528"/>
      <c r="N442" s="347" t="s">
        <v>243</v>
      </c>
      <c r="O442" s="348" t="s">
        <v>3051</v>
      </c>
      <c r="P442" s="349" t="s">
        <v>3054</v>
      </c>
      <c r="Q442" s="325" t="s">
        <v>3050</v>
      </c>
    </row>
    <row r="443" spans="1:17" s="352" customFormat="1" ht="28.5" customHeight="1">
      <c r="A443" s="495">
        <v>19</v>
      </c>
      <c r="B443" s="496" t="s">
        <v>2585</v>
      </c>
      <c r="C443" s="497" t="s">
        <v>4</v>
      </c>
      <c r="D443" s="498">
        <v>1</v>
      </c>
      <c r="E443" s="430">
        <v>1</v>
      </c>
      <c r="F443" s="431"/>
      <c r="G443" s="498">
        <v>217999.11</v>
      </c>
      <c r="H443" s="498"/>
      <c r="I443" s="336">
        <f t="shared" si="45"/>
        <v>217999.11</v>
      </c>
      <c r="J443" s="336">
        <f t="shared" si="46"/>
        <v>217999.11</v>
      </c>
      <c r="K443" s="546">
        <f t="shared" si="43"/>
        <v>0</v>
      </c>
      <c r="L443" s="536"/>
      <c r="M443" s="499"/>
      <c r="N443" s="347"/>
      <c r="O443" s="348"/>
      <c r="P443" s="349"/>
      <c r="Q443" s="342"/>
    </row>
    <row r="444" spans="1:17" ht="33">
      <c r="A444" s="406" t="s">
        <v>2255</v>
      </c>
      <c r="B444" s="407" t="s">
        <v>34</v>
      </c>
      <c r="C444" s="408" t="s">
        <v>4</v>
      </c>
      <c r="D444" s="409"/>
      <c r="E444" s="409"/>
      <c r="F444" s="410">
        <f t="shared" si="44"/>
        <v>0</v>
      </c>
      <c r="G444" s="409">
        <f>I444</f>
        <v>3112577.47</v>
      </c>
      <c r="H444" s="409"/>
      <c r="I444" s="409">
        <f>SUM(I445:I463)</f>
        <v>3112577.47</v>
      </c>
      <c r="J444" s="409">
        <f>SUM(J445:J463)</f>
        <v>3112577.47</v>
      </c>
      <c r="K444" s="542">
        <f>SUM(K445:K463)</f>
        <v>0</v>
      </c>
      <c r="L444" s="452">
        <f>SUM(L445:L463)</f>
        <v>0</v>
      </c>
      <c r="M444" s="288"/>
      <c r="N444" s="11" t="s">
        <v>243</v>
      </c>
      <c r="O444" s="341"/>
      <c r="P444" s="339"/>
    </row>
    <row r="445" spans="1:17" ht="33">
      <c r="A445" s="333" t="s">
        <v>2154</v>
      </c>
      <c r="B445" s="334" t="s">
        <v>146</v>
      </c>
      <c r="C445" s="335" t="s">
        <v>1007</v>
      </c>
      <c r="D445" s="336">
        <v>10</v>
      </c>
      <c r="E445" s="336">
        <f>估驗單!F438</f>
        <v>10</v>
      </c>
      <c r="F445" s="390">
        <f t="shared" si="44"/>
        <v>0</v>
      </c>
      <c r="G445" s="336">
        <v>770</v>
      </c>
      <c r="H445" s="336"/>
      <c r="I445" s="336">
        <f t="shared" ref="I445:I463" si="47">ROUND(D445*G445,2)</f>
        <v>7700</v>
      </c>
      <c r="J445" s="336">
        <f t="shared" ref="J445:J463" si="48">ROUND(E445*G445,2)</f>
        <v>7700</v>
      </c>
      <c r="K445" s="546">
        <f t="shared" si="43"/>
        <v>0</v>
      </c>
      <c r="L445" s="502"/>
      <c r="M445" s="231" t="s">
        <v>242</v>
      </c>
      <c r="N445" s="11" t="s">
        <v>243</v>
      </c>
      <c r="O445" s="341"/>
      <c r="P445" s="339"/>
    </row>
    <row r="446" spans="1:17" ht="33">
      <c r="A446" s="333" t="s">
        <v>2155</v>
      </c>
      <c r="B446" s="334" t="s">
        <v>145</v>
      </c>
      <c r="C446" s="335" t="s">
        <v>1</v>
      </c>
      <c r="D446" s="336">
        <v>100</v>
      </c>
      <c r="E446" s="336">
        <f>估驗單!F439</f>
        <v>100</v>
      </c>
      <c r="F446" s="390">
        <f t="shared" si="44"/>
        <v>0</v>
      </c>
      <c r="G446" s="336">
        <v>201</v>
      </c>
      <c r="H446" s="336"/>
      <c r="I446" s="336">
        <f t="shared" si="47"/>
        <v>20100</v>
      </c>
      <c r="J446" s="336">
        <f t="shared" si="48"/>
        <v>20100</v>
      </c>
      <c r="K446" s="546">
        <f t="shared" si="43"/>
        <v>0</v>
      </c>
      <c r="L446" s="502"/>
      <c r="M446" s="231" t="s">
        <v>242</v>
      </c>
      <c r="N446" s="11" t="s">
        <v>243</v>
      </c>
      <c r="O446" s="341"/>
      <c r="P446" s="339"/>
    </row>
    <row r="447" spans="1:17" ht="33">
      <c r="A447" s="333" t="s">
        <v>2156</v>
      </c>
      <c r="B447" s="334" t="s">
        <v>144</v>
      </c>
      <c r="C447" s="335" t="s">
        <v>9</v>
      </c>
      <c r="D447" s="336">
        <v>50</v>
      </c>
      <c r="E447" s="336">
        <f>估驗單!F440</f>
        <v>50</v>
      </c>
      <c r="F447" s="390">
        <f t="shared" si="44"/>
        <v>0</v>
      </c>
      <c r="G447" s="336">
        <v>300</v>
      </c>
      <c r="H447" s="336"/>
      <c r="I447" s="336">
        <f t="shared" si="47"/>
        <v>15000</v>
      </c>
      <c r="J447" s="336">
        <f t="shared" si="48"/>
        <v>15000</v>
      </c>
      <c r="K447" s="546">
        <f t="shared" si="43"/>
        <v>0</v>
      </c>
      <c r="L447" s="502"/>
      <c r="M447" s="231" t="s">
        <v>242</v>
      </c>
      <c r="N447" s="11" t="s">
        <v>243</v>
      </c>
      <c r="O447" s="341"/>
      <c r="P447" s="339"/>
    </row>
    <row r="448" spans="1:17" s="325" customFormat="1" ht="33">
      <c r="A448" s="333" t="s">
        <v>2157</v>
      </c>
      <c r="B448" s="334" t="s">
        <v>35</v>
      </c>
      <c r="C448" s="335" t="s">
        <v>15</v>
      </c>
      <c r="D448" s="336">
        <v>75</v>
      </c>
      <c r="E448" s="336">
        <f>估驗單!F441</f>
        <v>75</v>
      </c>
      <c r="F448" s="390">
        <f t="shared" si="44"/>
        <v>0</v>
      </c>
      <c r="G448" s="336">
        <v>650</v>
      </c>
      <c r="H448" s="336"/>
      <c r="I448" s="336">
        <f t="shared" si="47"/>
        <v>48750</v>
      </c>
      <c r="J448" s="336">
        <f t="shared" si="48"/>
        <v>48750</v>
      </c>
      <c r="K448" s="546">
        <f t="shared" si="43"/>
        <v>0</v>
      </c>
      <c r="L448" s="502"/>
      <c r="M448" s="231" t="s">
        <v>242</v>
      </c>
      <c r="N448" s="11" t="s">
        <v>243</v>
      </c>
      <c r="O448" s="341"/>
      <c r="P448" s="339"/>
    </row>
    <row r="449" spans="1:16" s="325" customFormat="1" ht="33">
      <c r="A449" s="333" t="s">
        <v>2158</v>
      </c>
      <c r="B449" s="334" t="s">
        <v>2479</v>
      </c>
      <c r="C449" s="335" t="s">
        <v>3</v>
      </c>
      <c r="D449" s="336">
        <v>200</v>
      </c>
      <c r="E449" s="336">
        <f>估驗單!F442</f>
        <v>200</v>
      </c>
      <c r="F449" s="390">
        <f t="shared" si="44"/>
        <v>0</v>
      </c>
      <c r="G449" s="336">
        <v>28</v>
      </c>
      <c r="H449" s="336"/>
      <c r="I449" s="336">
        <f t="shared" si="47"/>
        <v>5600</v>
      </c>
      <c r="J449" s="336">
        <f t="shared" si="48"/>
        <v>5600</v>
      </c>
      <c r="K449" s="546">
        <f t="shared" si="43"/>
        <v>0</v>
      </c>
      <c r="L449" s="502"/>
      <c r="M449" s="231"/>
      <c r="N449" s="11" t="s">
        <v>243</v>
      </c>
      <c r="O449" s="341"/>
      <c r="P449" s="339"/>
    </row>
    <row r="450" spans="1:16" s="325" customFormat="1" ht="33">
      <c r="A450" s="333" t="s">
        <v>2159</v>
      </c>
      <c r="B450" s="334" t="s">
        <v>36</v>
      </c>
      <c r="C450" s="335" t="s">
        <v>3</v>
      </c>
      <c r="D450" s="336">
        <v>100</v>
      </c>
      <c r="E450" s="336">
        <f>估驗單!F443</f>
        <v>100</v>
      </c>
      <c r="F450" s="390">
        <f t="shared" si="44"/>
        <v>0</v>
      </c>
      <c r="G450" s="336">
        <v>500</v>
      </c>
      <c r="H450" s="336"/>
      <c r="I450" s="336">
        <f t="shared" si="47"/>
        <v>50000</v>
      </c>
      <c r="J450" s="336">
        <f t="shared" si="48"/>
        <v>50000</v>
      </c>
      <c r="K450" s="546">
        <f t="shared" si="43"/>
        <v>0</v>
      </c>
      <c r="L450" s="502"/>
      <c r="M450" s="231" t="s">
        <v>242</v>
      </c>
      <c r="N450" s="11" t="s">
        <v>243</v>
      </c>
      <c r="O450" s="341"/>
      <c r="P450" s="339"/>
    </row>
    <row r="451" spans="1:16" s="325" customFormat="1" ht="33">
      <c r="A451" s="333" t="s">
        <v>2160</v>
      </c>
      <c r="B451" s="334" t="s">
        <v>2478</v>
      </c>
      <c r="C451" s="335" t="s">
        <v>18</v>
      </c>
      <c r="D451" s="336">
        <v>75</v>
      </c>
      <c r="E451" s="336">
        <f>估驗單!F444</f>
        <v>75</v>
      </c>
      <c r="F451" s="418">
        <f t="shared" si="44"/>
        <v>0</v>
      </c>
      <c r="G451" s="336">
        <v>280</v>
      </c>
      <c r="H451" s="336"/>
      <c r="I451" s="336">
        <f t="shared" si="47"/>
        <v>21000</v>
      </c>
      <c r="J451" s="336">
        <f t="shared" si="48"/>
        <v>21000</v>
      </c>
      <c r="K451" s="546">
        <f t="shared" si="43"/>
        <v>0</v>
      </c>
      <c r="L451" s="453"/>
      <c r="M451" s="231" t="s">
        <v>242</v>
      </c>
      <c r="N451" s="11" t="s">
        <v>243</v>
      </c>
      <c r="O451" s="341"/>
      <c r="P451" s="339"/>
    </row>
    <row r="452" spans="1:16" s="325" customFormat="1" ht="42.75">
      <c r="A452" s="333" t="s">
        <v>2161</v>
      </c>
      <c r="B452" s="334" t="s">
        <v>37</v>
      </c>
      <c r="C452" s="335" t="s">
        <v>18</v>
      </c>
      <c r="D452" s="336">
        <v>50</v>
      </c>
      <c r="E452" s="336">
        <f>估驗單!F445</f>
        <v>50</v>
      </c>
      <c r="F452" s="390">
        <f t="shared" si="44"/>
        <v>0</v>
      </c>
      <c r="G452" s="336">
        <v>350</v>
      </c>
      <c r="H452" s="336"/>
      <c r="I452" s="336">
        <f t="shared" si="47"/>
        <v>17500</v>
      </c>
      <c r="J452" s="336">
        <f t="shared" si="48"/>
        <v>17500</v>
      </c>
      <c r="K452" s="546">
        <f t="shared" si="43"/>
        <v>0</v>
      </c>
      <c r="L452" s="502"/>
      <c r="M452" s="231" t="s">
        <v>242</v>
      </c>
      <c r="N452" s="11" t="s">
        <v>243</v>
      </c>
      <c r="O452" s="341"/>
      <c r="P452" s="339"/>
    </row>
    <row r="453" spans="1:16" s="325" customFormat="1" ht="33">
      <c r="A453" s="333" t="s">
        <v>2162</v>
      </c>
      <c r="B453" s="334" t="s">
        <v>1162</v>
      </c>
      <c r="C453" s="335" t="s">
        <v>15</v>
      </c>
      <c r="D453" s="336">
        <v>10</v>
      </c>
      <c r="E453" s="336">
        <f>估驗單!F446</f>
        <v>10</v>
      </c>
      <c r="F453" s="390">
        <f t="shared" si="44"/>
        <v>0</v>
      </c>
      <c r="G453" s="336">
        <v>560</v>
      </c>
      <c r="H453" s="336"/>
      <c r="I453" s="336">
        <f t="shared" si="47"/>
        <v>5600</v>
      </c>
      <c r="J453" s="336">
        <f t="shared" si="48"/>
        <v>5600</v>
      </c>
      <c r="K453" s="546">
        <f t="shared" si="43"/>
        <v>0</v>
      </c>
      <c r="L453" s="502"/>
      <c r="M453" s="231" t="s">
        <v>242</v>
      </c>
      <c r="N453" s="11" t="s">
        <v>243</v>
      </c>
      <c r="O453" s="341"/>
      <c r="P453" s="339"/>
    </row>
    <row r="454" spans="1:16" s="325" customFormat="1" ht="33">
      <c r="A454" s="333" t="s">
        <v>2163</v>
      </c>
      <c r="B454" s="334" t="s">
        <v>38</v>
      </c>
      <c r="C454" s="335" t="s">
        <v>7</v>
      </c>
      <c r="D454" s="336">
        <v>4</v>
      </c>
      <c r="E454" s="336">
        <f>估驗單!F447</f>
        <v>4</v>
      </c>
      <c r="F454" s="390">
        <f t="shared" si="44"/>
        <v>0</v>
      </c>
      <c r="G454" s="336">
        <v>250</v>
      </c>
      <c r="H454" s="336"/>
      <c r="I454" s="336">
        <f t="shared" si="47"/>
        <v>1000</v>
      </c>
      <c r="J454" s="336">
        <f t="shared" si="48"/>
        <v>1000</v>
      </c>
      <c r="K454" s="546">
        <f t="shared" si="43"/>
        <v>0</v>
      </c>
      <c r="L454" s="502"/>
      <c r="M454" s="231" t="s">
        <v>242</v>
      </c>
      <c r="N454" s="11" t="s">
        <v>243</v>
      </c>
      <c r="O454" s="341"/>
      <c r="P454" s="339"/>
    </row>
    <row r="455" spans="1:16" s="325" customFormat="1" ht="33">
      <c r="A455" s="333" t="s">
        <v>2164</v>
      </c>
      <c r="B455" s="334" t="s">
        <v>1165</v>
      </c>
      <c r="C455" s="335" t="s">
        <v>15</v>
      </c>
      <c r="D455" s="336">
        <v>5</v>
      </c>
      <c r="E455" s="336">
        <f>估驗單!F448</f>
        <v>5</v>
      </c>
      <c r="F455" s="390">
        <f t="shared" si="44"/>
        <v>0</v>
      </c>
      <c r="G455" s="336">
        <v>8300</v>
      </c>
      <c r="H455" s="336"/>
      <c r="I455" s="336">
        <f t="shared" si="47"/>
        <v>41500</v>
      </c>
      <c r="J455" s="336">
        <f t="shared" si="48"/>
        <v>41500</v>
      </c>
      <c r="K455" s="546">
        <f t="shared" si="43"/>
        <v>0</v>
      </c>
      <c r="L455" s="502"/>
      <c r="M455" s="231" t="s">
        <v>242</v>
      </c>
      <c r="N455" s="11" t="s">
        <v>243</v>
      </c>
      <c r="O455" s="341"/>
      <c r="P455" s="339"/>
    </row>
    <row r="456" spans="1:16" s="325" customFormat="1" ht="33">
      <c r="A456" s="333" t="s">
        <v>2165</v>
      </c>
      <c r="B456" s="334" t="s">
        <v>1168</v>
      </c>
      <c r="C456" s="335" t="s">
        <v>15</v>
      </c>
      <c r="D456" s="336">
        <v>5</v>
      </c>
      <c r="E456" s="336">
        <f>估驗單!F449</f>
        <v>5</v>
      </c>
      <c r="F456" s="390">
        <f t="shared" si="44"/>
        <v>0</v>
      </c>
      <c r="G456" s="336">
        <v>1160</v>
      </c>
      <c r="H456" s="336"/>
      <c r="I456" s="336">
        <f t="shared" si="47"/>
        <v>5800</v>
      </c>
      <c r="J456" s="336">
        <f t="shared" si="48"/>
        <v>5800</v>
      </c>
      <c r="K456" s="546">
        <f t="shared" si="43"/>
        <v>0</v>
      </c>
      <c r="L456" s="502"/>
      <c r="M456" s="231" t="s">
        <v>242</v>
      </c>
      <c r="N456" s="11" t="s">
        <v>243</v>
      </c>
      <c r="O456" s="341"/>
      <c r="P456" s="339"/>
    </row>
    <row r="457" spans="1:16" s="325" customFormat="1" ht="33">
      <c r="A457" s="333" t="s">
        <v>2166</v>
      </c>
      <c r="B457" s="334" t="s">
        <v>1171</v>
      </c>
      <c r="C457" s="335" t="s">
        <v>15</v>
      </c>
      <c r="D457" s="336">
        <v>5</v>
      </c>
      <c r="E457" s="336">
        <f>估驗單!F450</f>
        <v>5</v>
      </c>
      <c r="F457" s="390">
        <f t="shared" si="44"/>
        <v>0</v>
      </c>
      <c r="G457" s="336">
        <v>600</v>
      </c>
      <c r="H457" s="336"/>
      <c r="I457" s="336">
        <f t="shared" si="47"/>
        <v>3000</v>
      </c>
      <c r="J457" s="336">
        <f t="shared" si="48"/>
        <v>3000</v>
      </c>
      <c r="K457" s="546">
        <f t="shared" si="43"/>
        <v>0</v>
      </c>
      <c r="L457" s="502"/>
      <c r="M457" s="231" t="s">
        <v>242</v>
      </c>
      <c r="N457" s="11" t="s">
        <v>243</v>
      </c>
      <c r="O457" s="341"/>
      <c r="P457" s="339"/>
    </row>
    <row r="458" spans="1:16" s="325" customFormat="1" ht="33">
      <c r="A458" s="333" t="s">
        <v>2167</v>
      </c>
      <c r="B458" s="334" t="s">
        <v>1174</v>
      </c>
      <c r="C458" s="335" t="s">
        <v>15</v>
      </c>
      <c r="D458" s="336">
        <v>5</v>
      </c>
      <c r="E458" s="336">
        <f>估驗單!F451</f>
        <v>5</v>
      </c>
      <c r="F458" s="390">
        <f t="shared" si="44"/>
        <v>0</v>
      </c>
      <c r="G458" s="336">
        <v>1800</v>
      </c>
      <c r="H458" s="336"/>
      <c r="I458" s="336">
        <f t="shared" si="47"/>
        <v>9000</v>
      </c>
      <c r="J458" s="336">
        <f t="shared" si="48"/>
        <v>9000</v>
      </c>
      <c r="K458" s="546">
        <f t="shared" si="43"/>
        <v>0</v>
      </c>
      <c r="L458" s="502"/>
      <c r="M458" s="231" t="s">
        <v>242</v>
      </c>
      <c r="N458" s="11" t="s">
        <v>243</v>
      </c>
      <c r="O458" s="341"/>
      <c r="P458" s="339"/>
    </row>
    <row r="459" spans="1:16" s="325" customFormat="1" ht="33">
      <c r="A459" s="333" t="s">
        <v>2168</v>
      </c>
      <c r="B459" s="334" t="s">
        <v>1177</v>
      </c>
      <c r="C459" s="335" t="s">
        <v>15</v>
      </c>
      <c r="D459" s="336">
        <v>80</v>
      </c>
      <c r="E459" s="336">
        <f>估驗單!F452</f>
        <v>80</v>
      </c>
      <c r="F459" s="390">
        <f t="shared" si="44"/>
        <v>0</v>
      </c>
      <c r="G459" s="336">
        <v>2200</v>
      </c>
      <c r="H459" s="336"/>
      <c r="I459" s="336">
        <f t="shared" si="47"/>
        <v>176000</v>
      </c>
      <c r="J459" s="336">
        <f t="shared" si="48"/>
        <v>176000</v>
      </c>
      <c r="K459" s="546">
        <f t="shared" si="43"/>
        <v>0</v>
      </c>
      <c r="L459" s="502"/>
      <c r="M459" s="231" t="s">
        <v>242</v>
      </c>
      <c r="N459" s="11" t="s">
        <v>243</v>
      </c>
      <c r="O459" s="341"/>
      <c r="P459" s="339"/>
    </row>
    <row r="460" spans="1:16" s="325" customFormat="1" ht="33">
      <c r="A460" s="333" t="s">
        <v>2169</v>
      </c>
      <c r="B460" s="334" t="s">
        <v>39</v>
      </c>
      <c r="C460" s="335" t="s">
        <v>4</v>
      </c>
      <c r="D460" s="336">
        <v>1</v>
      </c>
      <c r="E460" s="336">
        <f>估驗單!F453</f>
        <v>1</v>
      </c>
      <c r="F460" s="390">
        <f t="shared" si="44"/>
        <v>0</v>
      </c>
      <c r="G460" s="336">
        <v>232697.98</v>
      </c>
      <c r="H460" s="336"/>
      <c r="I460" s="336">
        <f t="shared" si="47"/>
        <v>232697.98</v>
      </c>
      <c r="J460" s="336">
        <f t="shared" si="48"/>
        <v>232697.98</v>
      </c>
      <c r="K460" s="546">
        <f t="shared" si="43"/>
        <v>0</v>
      </c>
      <c r="L460" s="502"/>
      <c r="M460" s="231" t="s">
        <v>242</v>
      </c>
      <c r="N460" s="11" t="s">
        <v>243</v>
      </c>
      <c r="O460" s="341"/>
      <c r="P460" s="339"/>
    </row>
    <row r="461" spans="1:16" s="325" customFormat="1" ht="33">
      <c r="A461" s="333" t="s">
        <v>2170</v>
      </c>
      <c r="B461" s="334" t="s">
        <v>1182</v>
      </c>
      <c r="C461" s="335" t="s">
        <v>8</v>
      </c>
      <c r="D461" s="336">
        <v>5000</v>
      </c>
      <c r="E461" s="336">
        <f>估驗單!F454</f>
        <v>5000</v>
      </c>
      <c r="F461" s="390">
        <f t="shared" si="44"/>
        <v>0</v>
      </c>
      <c r="G461" s="336">
        <v>13</v>
      </c>
      <c r="H461" s="336"/>
      <c r="I461" s="336">
        <f t="shared" si="47"/>
        <v>65000</v>
      </c>
      <c r="J461" s="336">
        <f t="shared" si="48"/>
        <v>65000</v>
      </c>
      <c r="K461" s="546">
        <f t="shared" ref="K461:K467" si="49">J461-I461</f>
        <v>0</v>
      </c>
      <c r="L461" s="502"/>
      <c r="M461" s="231" t="s">
        <v>242</v>
      </c>
      <c r="N461" s="11" t="s">
        <v>243</v>
      </c>
      <c r="O461" s="341"/>
      <c r="P461" s="339"/>
    </row>
    <row r="462" spans="1:16" s="325" customFormat="1" ht="33">
      <c r="A462" s="333" t="s">
        <v>2171</v>
      </c>
      <c r="B462" s="334" t="s">
        <v>225</v>
      </c>
      <c r="C462" s="335" t="s">
        <v>226</v>
      </c>
      <c r="D462" s="336">
        <v>48</v>
      </c>
      <c r="E462" s="336">
        <f>估驗單!F455</f>
        <v>48</v>
      </c>
      <c r="F462" s="390">
        <f t="shared" si="44"/>
        <v>0</v>
      </c>
      <c r="G462" s="336">
        <v>47468</v>
      </c>
      <c r="H462" s="336"/>
      <c r="I462" s="336">
        <f t="shared" si="47"/>
        <v>2278464</v>
      </c>
      <c r="J462" s="336">
        <f t="shared" si="48"/>
        <v>2278464</v>
      </c>
      <c r="K462" s="546">
        <f t="shared" si="49"/>
        <v>0</v>
      </c>
      <c r="L462" s="502"/>
      <c r="M462" s="231"/>
      <c r="N462" s="11" t="s">
        <v>243</v>
      </c>
      <c r="O462" s="341"/>
      <c r="P462" s="339"/>
    </row>
    <row r="463" spans="1:16" s="325" customFormat="1" ht="33">
      <c r="A463" s="333" t="s">
        <v>2172</v>
      </c>
      <c r="B463" s="334" t="s">
        <v>1187</v>
      </c>
      <c r="C463" s="335" t="s">
        <v>4</v>
      </c>
      <c r="D463" s="336">
        <v>1</v>
      </c>
      <c r="E463" s="336">
        <f>估驗單!F456</f>
        <v>1</v>
      </c>
      <c r="F463" s="390">
        <f t="shared" si="44"/>
        <v>0</v>
      </c>
      <c r="G463" s="336">
        <v>108865.49</v>
      </c>
      <c r="H463" s="336"/>
      <c r="I463" s="336">
        <f t="shared" si="47"/>
        <v>108865.49</v>
      </c>
      <c r="J463" s="336">
        <f t="shared" si="48"/>
        <v>108865.49</v>
      </c>
      <c r="K463" s="546">
        <f t="shared" si="49"/>
        <v>0</v>
      </c>
      <c r="L463" s="502"/>
      <c r="M463" s="231"/>
      <c r="N463" s="11" t="s">
        <v>243</v>
      </c>
      <c r="O463" s="341"/>
      <c r="P463" s="339"/>
    </row>
    <row r="464" spans="1:16" s="325" customFormat="1" ht="33">
      <c r="A464" s="406" t="s">
        <v>2256</v>
      </c>
      <c r="B464" s="407" t="s">
        <v>227</v>
      </c>
      <c r="C464" s="408" t="s">
        <v>4</v>
      </c>
      <c r="D464" s="409"/>
      <c r="E464" s="409"/>
      <c r="F464" s="410">
        <f t="shared" si="44"/>
        <v>0</v>
      </c>
      <c r="G464" s="409">
        <f>I464</f>
        <v>2769229.16</v>
      </c>
      <c r="H464" s="409"/>
      <c r="I464" s="409">
        <f>SUM(I465:I466)</f>
        <v>2769229.16</v>
      </c>
      <c r="J464" s="409">
        <f>SUM(J465:J466)</f>
        <v>2769229.16</v>
      </c>
      <c r="K464" s="542">
        <f>SUM(K465:K466)</f>
        <v>0</v>
      </c>
      <c r="L464" s="534">
        <f>SUM(L465:L466)</f>
        <v>0</v>
      </c>
      <c r="M464" s="288"/>
      <c r="N464" s="11" t="s">
        <v>243</v>
      </c>
      <c r="O464" s="341"/>
      <c r="P464" s="339"/>
    </row>
    <row r="465" spans="1:17" s="325" customFormat="1" ht="33">
      <c r="A465" s="333" t="s">
        <v>2154</v>
      </c>
      <c r="B465" s="334" t="s">
        <v>228</v>
      </c>
      <c r="C465" s="335" t="s">
        <v>226</v>
      </c>
      <c r="D465" s="336">
        <v>48</v>
      </c>
      <c r="E465" s="336">
        <f>估驗單!F458</f>
        <v>48</v>
      </c>
      <c r="F465" s="390">
        <f t="shared" si="44"/>
        <v>0</v>
      </c>
      <c r="G465" s="336">
        <v>47468</v>
      </c>
      <c r="H465" s="336"/>
      <c r="I465" s="336">
        <f>ROUND(D465*G465,2)</f>
        <v>2278464</v>
      </c>
      <c r="J465" s="336">
        <f>ROUND(E465*G465,2)</f>
        <v>2278464</v>
      </c>
      <c r="K465" s="546">
        <f t="shared" si="49"/>
        <v>0</v>
      </c>
      <c r="L465" s="502"/>
      <c r="M465" s="231"/>
      <c r="N465" s="11" t="s">
        <v>243</v>
      </c>
      <c r="O465" s="341"/>
      <c r="P465" s="339"/>
    </row>
    <row r="466" spans="1:17" s="325" customFormat="1" ht="33">
      <c r="A466" s="333" t="s">
        <v>2155</v>
      </c>
      <c r="B466" s="334" t="s">
        <v>1193</v>
      </c>
      <c r="C466" s="335" t="s">
        <v>4</v>
      </c>
      <c r="D466" s="336">
        <v>1</v>
      </c>
      <c r="E466" s="336">
        <f>估驗單!F459</f>
        <v>1</v>
      </c>
      <c r="F466" s="390">
        <f t="shared" si="44"/>
        <v>0</v>
      </c>
      <c r="G466" s="336">
        <v>490765.16</v>
      </c>
      <c r="H466" s="336"/>
      <c r="I466" s="336">
        <f>ROUND(D466*G466,2)</f>
        <v>490765.16</v>
      </c>
      <c r="J466" s="336">
        <f>ROUND(E466*G466,2)</f>
        <v>490765.16</v>
      </c>
      <c r="K466" s="546">
        <f t="shared" si="49"/>
        <v>0</v>
      </c>
      <c r="L466" s="502"/>
      <c r="M466" s="231"/>
      <c r="N466" s="11" t="s">
        <v>243</v>
      </c>
      <c r="O466" s="341"/>
      <c r="P466" s="339"/>
    </row>
    <row r="467" spans="1:17" s="325" customFormat="1" ht="33">
      <c r="A467" s="503" t="s">
        <v>2257</v>
      </c>
      <c r="B467" s="504" t="s">
        <v>1196</v>
      </c>
      <c r="C467" s="505" t="s">
        <v>4</v>
      </c>
      <c r="D467" s="506">
        <v>1</v>
      </c>
      <c r="E467" s="506">
        <f>估驗單!F460</f>
        <v>1</v>
      </c>
      <c r="F467" s="507">
        <f t="shared" si="44"/>
        <v>0</v>
      </c>
      <c r="G467" s="506">
        <f>I467</f>
        <v>30205923.059999999</v>
      </c>
      <c r="H467" s="506"/>
      <c r="I467" s="530">
        <v>30205923.059999999</v>
      </c>
      <c r="J467" s="506">
        <f>ROUND((J10+J354+J380+J420+J424+J444+J464)*10.94944113%,2)</f>
        <v>31652494.359999999</v>
      </c>
      <c r="K467" s="547">
        <f t="shared" si="49"/>
        <v>1446571.3000000007</v>
      </c>
      <c r="L467" s="510"/>
      <c r="M467" s="508" t="s">
        <v>2258</v>
      </c>
      <c r="N467" s="11" t="s">
        <v>243</v>
      </c>
      <c r="O467" s="338"/>
      <c r="P467" s="339"/>
      <c r="Q467" s="325" t="s">
        <v>3055</v>
      </c>
    </row>
    <row r="468" spans="1:17" s="325" customFormat="1" ht="99.75">
      <c r="A468" s="406" t="s">
        <v>2259</v>
      </c>
      <c r="B468" s="407" t="s">
        <v>1199</v>
      </c>
      <c r="C468" s="408" t="s">
        <v>4</v>
      </c>
      <c r="D468" s="409">
        <v>1</v>
      </c>
      <c r="E468" s="409">
        <f>估驗單!F461</f>
        <v>1</v>
      </c>
      <c r="F468" s="410">
        <f t="shared" si="44"/>
        <v>0</v>
      </c>
      <c r="G468" s="409">
        <v>1987650</v>
      </c>
      <c r="H468" s="409"/>
      <c r="I468" s="409">
        <f>I469</f>
        <v>1987650</v>
      </c>
      <c r="J468" s="409">
        <f>J469</f>
        <v>2736750</v>
      </c>
      <c r="K468" s="542">
        <f>K469</f>
        <v>749100</v>
      </c>
      <c r="L468" s="534"/>
      <c r="M468" s="288" t="s">
        <v>1200</v>
      </c>
      <c r="N468" s="11" t="s">
        <v>243</v>
      </c>
      <c r="O468" s="341"/>
      <c r="P468" s="339"/>
    </row>
    <row r="469" spans="1:17" s="325" customFormat="1" ht="33">
      <c r="A469" s="503" t="s">
        <v>2154</v>
      </c>
      <c r="B469" s="504" t="s">
        <v>1199</v>
      </c>
      <c r="C469" s="505" t="s">
        <v>6</v>
      </c>
      <c r="D469" s="506">
        <v>13251</v>
      </c>
      <c r="E469" s="506">
        <f>估驗單!F462</f>
        <v>18245</v>
      </c>
      <c r="F469" s="507">
        <f t="shared" si="44"/>
        <v>4994</v>
      </c>
      <c r="G469" s="506">
        <v>150</v>
      </c>
      <c r="H469" s="506"/>
      <c r="I469" s="506">
        <v>1987650</v>
      </c>
      <c r="J469" s="506">
        <f>ROUND(E469*G469,2)</f>
        <v>2736750</v>
      </c>
      <c r="K469" s="760">
        <f>J469-I469</f>
        <v>749100</v>
      </c>
      <c r="L469" s="510"/>
      <c r="M469" s="508" t="s">
        <v>242</v>
      </c>
      <c r="N469" s="11" t="s">
        <v>243</v>
      </c>
      <c r="O469" s="341" t="s">
        <v>3056</v>
      </c>
      <c r="P469" s="339"/>
      <c r="Q469" s="325" t="s">
        <v>3057</v>
      </c>
    </row>
    <row r="470" spans="1:17" s="325" customFormat="1" ht="114">
      <c r="A470" s="406" t="s">
        <v>2260</v>
      </c>
      <c r="B470" s="407" t="s">
        <v>1204</v>
      </c>
      <c r="C470" s="408" t="s">
        <v>4</v>
      </c>
      <c r="D470" s="409">
        <v>1</v>
      </c>
      <c r="E470" s="409">
        <v>1</v>
      </c>
      <c r="F470" s="410">
        <f t="shared" si="44"/>
        <v>0</v>
      </c>
      <c r="G470" s="409">
        <v>179691.68</v>
      </c>
      <c r="H470" s="409"/>
      <c r="I470" s="409">
        <v>179691.68</v>
      </c>
      <c r="J470" s="409">
        <f>ROUND(E470*G470,2)</f>
        <v>179691.68</v>
      </c>
      <c r="K470" s="542"/>
      <c r="L470" s="534"/>
      <c r="M470" s="288" t="s">
        <v>1205</v>
      </c>
      <c r="N470" s="11" t="s">
        <v>243</v>
      </c>
      <c r="O470" s="341"/>
      <c r="P470" s="339"/>
    </row>
    <row r="471" spans="1:17" s="325" customFormat="1" ht="33">
      <c r="A471" s="427" t="s">
        <v>2154</v>
      </c>
      <c r="B471" s="428" t="s">
        <v>1207</v>
      </c>
      <c r="C471" s="429" t="s">
        <v>13</v>
      </c>
      <c r="D471" s="430">
        <v>3208.78</v>
      </c>
      <c r="E471" s="430">
        <f>估驗單!F464</f>
        <v>3208.78</v>
      </c>
      <c r="F471" s="390">
        <f t="shared" si="44"/>
        <v>0</v>
      </c>
      <c r="G471" s="430">
        <v>56</v>
      </c>
      <c r="H471" s="430"/>
      <c r="I471" s="430">
        <v>179691.68</v>
      </c>
      <c r="J471" s="336">
        <f>ROUND(E471*G471,2)</f>
        <v>179691.68</v>
      </c>
      <c r="K471" s="544"/>
      <c r="L471" s="502"/>
      <c r="M471" s="432" t="s">
        <v>242</v>
      </c>
      <c r="N471" s="11" t="s">
        <v>243</v>
      </c>
      <c r="O471" s="380"/>
      <c r="P471" s="381"/>
    </row>
  </sheetData>
  <autoFilter ref="A1:A471" xr:uid="{F2620A91-C958-41AC-9677-501FD2802CA1}"/>
  <mergeCells count="28">
    <mergeCell ref="Q7:Q8"/>
    <mergeCell ref="J7:J8"/>
    <mergeCell ref="L7:L8"/>
    <mergeCell ref="M7:M8"/>
    <mergeCell ref="O7:O8"/>
    <mergeCell ref="P7:P8"/>
    <mergeCell ref="K7:K8"/>
    <mergeCell ref="E7:E8"/>
    <mergeCell ref="G7:G8"/>
    <mergeCell ref="H7:H8"/>
    <mergeCell ref="I7:I8"/>
    <mergeCell ref="L5:M5"/>
    <mergeCell ref="Q122:Q125"/>
    <mergeCell ref="O122:O125"/>
    <mergeCell ref="L4:M4"/>
    <mergeCell ref="C1:K1"/>
    <mergeCell ref="A2:B2"/>
    <mergeCell ref="C2:K2"/>
    <mergeCell ref="A3:J3"/>
    <mergeCell ref="L3:M3"/>
    <mergeCell ref="A5:I5"/>
    <mergeCell ref="A6:I6"/>
    <mergeCell ref="L6:M6"/>
    <mergeCell ref="A7:A8"/>
    <mergeCell ref="B7:B8"/>
    <mergeCell ref="C7:C8"/>
    <mergeCell ref="D7:D8"/>
    <mergeCell ref="F7:F8"/>
  </mergeCells>
  <phoneticPr fontId="1" type="noConversion"/>
  <printOptions horizontalCentered="1"/>
  <pageMargins left="0.51181102362204722" right="0.51181102362204722" top="0.15748031496062992" bottom="0.15748031496062992" header="0.31496062992125984" footer="0.31496062992125984"/>
  <pageSetup paperSize="9" scale="80" orientation="landscape" r:id="rId1"/>
  <colBreaks count="1" manualBreakCount="1">
    <brk id="13" max="470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6F9D6-73CD-4F8F-A1D8-809FD7405859}">
  <sheetPr>
    <tabColor theme="5" tint="0.39997558519241921"/>
  </sheetPr>
  <dimension ref="A1:O757"/>
  <sheetViews>
    <sheetView view="pageBreakPreview" zoomScale="80" zoomScaleNormal="100" zoomScaleSheetLayoutView="80" workbookViewId="0">
      <pane ySplit="5" topLeftCell="A37" activePane="bottomLeft" state="frozen"/>
      <selection pane="bottomLeft" activeCell="I45" sqref="I45"/>
    </sheetView>
  </sheetViews>
  <sheetFormatPr defaultColWidth="10.28515625" defaultRowHeight="21"/>
  <cols>
    <col min="1" max="1" width="6" style="78" customWidth="1"/>
    <col min="2" max="2" width="22.42578125" style="78" customWidth="1"/>
    <col min="3" max="3" width="6.28515625" style="78" customWidth="1"/>
    <col min="4" max="5" width="14.28515625" style="33" customWidth="1"/>
    <col min="6" max="6" width="38.140625" style="27" customWidth="1"/>
    <col min="7" max="7" width="55.5703125" style="27" customWidth="1"/>
    <col min="8" max="8" width="14.28515625" style="29" customWidth="1"/>
    <col min="9" max="9" width="16.28515625" style="29" customWidth="1"/>
    <col min="10" max="10" width="19" style="25" customWidth="1"/>
    <col min="11" max="11" width="16.85546875" style="433" customWidth="1"/>
    <col min="12" max="12" width="7.42578125" style="29" customWidth="1"/>
    <col min="13" max="13" width="17" style="170" customWidth="1"/>
    <col min="14" max="14" width="17.42578125" style="25" customWidth="1"/>
    <col min="15" max="15" width="17.140625" style="30" customWidth="1"/>
    <col min="16" max="257" width="10.28515625" style="30"/>
    <col min="258" max="258" width="6" style="30" customWidth="1"/>
    <col min="259" max="259" width="30" style="30" customWidth="1"/>
    <col min="260" max="260" width="6.28515625" style="30" customWidth="1"/>
    <col min="261" max="261" width="9.5703125" style="30" customWidth="1"/>
    <col min="262" max="263" width="12.42578125" style="30" customWidth="1"/>
    <col min="264" max="264" width="17.42578125" style="30" customWidth="1"/>
    <col min="265" max="265" width="0.85546875" style="30" customWidth="1"/>
    <col min="266" max="267" width="0.7109375" style="30" customWidth="1"/>
    <col min="268" max="268" width="0.5703125" style="30" customWidth="1"/>
    <col min="269" max="513" width="10.28515625" style="30"/>
    <col min="514" max="514" width="6" style="30" customWidth="1"/>
    <col min="515" max="515" width="30" style="30" customWidth="1"/>
    <col min="516" max="516" width="6.28515625" style="30" customWidth="1"/>
    <col min="517" max="517" width="9.5703125" style="30" customWidth="1"/>
    <col min="518" max="519" width="12.42578125" style="30" customWidth="1"/>
    <col min="520" max="520" width="17.42578125" style="30" customWidth="1"/>
    <col min="521" max="521" width="0.85546875" style="30" customWidth="1"/>
    <col min="522" max="523" width="0.7109375" style="30" customWidth="1"/>
    <col min="524" max="524" width="0.5703125" style="30" customWidth="1"/>
    <col min="525" max="769" width="10.28515625" style="30"/>
    <col min="770" max="770" width="6" style="30" customWidth="1"/>
    <col min="771" max="771" width="30" style="30" customWidth="1"/>
    <col min="772" max="772" width="6.28515625" style="30" customWidth="1"/>
    <col min="773" max="773" width="9.5703125" style="30" customWidth="1"/>
    <col min="774" max="775" width="12.42578125" style="30" customWidth="1"/>
    <col min="776" max="776" width="17.42578125" style="30" customWidth="1"/>
    <col min="777" max="777" width="0.85546875" style="30" customWidth="1"/>
    <col min="778" max="779" width="0.7109375" style="30" customWidth="1"/>
    <col min="780" max="780" width="0.5703125" style="30" customWidth="1"/>
    <col min="781" max="1025" width="10.28515625" style="30"/>
    <col min="1026" max="1026" width="6" style="30" customWidth="1"/>
    <col min="1027" max="1027" width="30" style="30" customWidth="1"/>
    <col min="1028" max="1028" width="6.28515625" style="30" customWidth="1"/>
    <col min="1029" max="1029" width="9.5703125" style="30" customWidth="1"/>
    <col min="1030" max="1031" width="12.42578125" style="30" customWidth="1"/>
    <col min="1032" max="1032" width="17.42578125" style="30" customWidth="1"/>
    <col min="1033" max="1033" width="0.85546875" style="30" customWidth="1"/>
    <col min="1034" max="1035" width="0.7109375" style="30" customWidth="1"/>
    <col min="1036" max="1036" width="0.5703125" style="30" customWidth="1"/>
    <col min="1037" max="1281" width="10.28515625" style="30"/>
    <col min="1282" max="1282" width="6" style="30" customWidth="1"/>
    <col min="1283" max="1283" width="30" style="30" customWidth="1"/>
    <col min="1284" max="1284" width="6.28515625" style="30" customWidth="1"/>
    <col min="1285" max="1285" width="9.5703125" style="30" customWidth="1"/>
    <col min="1286" max="1287" width="12.42578125" style="30" customWidth="1"/>
    <col min="1288" max="1288" width="17.42578125" style="30" customWidth="1"/>
    <col min="1289" max="1289" width="0.85546875" style="30" customWidth="1"/>
    <col min="1290" max="1291" width="0.7109375" style="30" customWidth="1"/>
    <col min="1292" max="1292" width="0.5703125" style="30" customWidth="1"/>
    <col min="1293" max="1537" width="10.28515625" style="30"/>
    <col min="1538" max="1538" width="6" style="30" customWidth="1"/>
    <col min="1539" max="1539" width="30" style="30" customWidth="1"/>
    <col min="1540" max="1540" width="6.28515625" style="30" customWidth="1"/>
    <col min="1541" max="1541" width="9.5703125" style="30" customWidth="1"/>
    <col min="1542" max="1543" width="12.42578125" style="30" customWidth="1"/>
    <col min="1544" max="1544" width="17.42578125" style="30" customWidth="1"/>
    <col min="1545" max="1545" width="0.85546875" style="30" customWidth="1"/>
    <col min="1546" max="1547" width="0.7109375" style="30" customWidth="1"/>
    <col min="1548" max="1548" width="0.5703125" style="30" customWidth="1"/>
    <col min="1549" max="1793" width="10.28515625" style="30"/>
    <col min="1794" max="1794" width="6" style="30" customWidth="1"/>
    <col min="1795" max="1795" width="30" style="30" customWidth="1"/>
    <col min="1796" max="1796" width="6.28515625" style="30" customWidth="1"/>
    <col min="1797" max="1797" width="9.5703125" style="30" customWidth="1"/>
    <col min="1798" max="1799" width="12.42578125" style="30" customWidth="1"/>
    <col min="1800" max="1800" width="17.42578125" style="30" customWidth="1"/>
    <col min="1801" max="1801" width="0.85546875" style="30" customWidth="1"/>
    <col min="1802" max="1803" width="0.7109375" style="30" customWidth="1"/>
    <col min="1804" max="1804" width="0.5703125" style="30" customWidth="1"/>
    <col min="1805" max="2049" width="10.28515625" style="30"/>
    <col min="2050" max="2050" width="6" style="30" customWidth="1"/>
    <col min="2051" max="2051" width="30" style="30" customWidth="1"/>
    <col min="2052" max="2052" width="6.28515625" style="30" customWidth="1"/>
    <col min="2053" max="2053" width="9.5703125" style="30" customWidth="1"/>
    <col min="2054" max="2055" width="12.42578125" style="30" customWidth="1"/>
    <col min="2056" max="2056" width="17.42578125" style="30" customWidth="1"/>
    <col min="2057" max="2057" width="0.85546875" style="30" customWidth="1"/>
    <col min="2058" max="2059" width="0.7109375" style="30" customWidth="1"/>
    <col min="2060" max="2060" width="0.5703125" style="30" customWidth="1"/>
    <col min="2061" max="2305" width="10.28515625" style="30"/>
    <col min="2306" max="2306" width="6" style="30" customWidth="1"/>
    <col min="2307" max="2307" width="30" style="30" customWidth="1"/>
    <col min="2308" max="2308" width="6.28515625" style="30" customWidth="1"/>
    <col min="2309" max="2309" width="9.5703125" style="30" customWidth="1"/>
    <col min="2310" max="2311" width="12.42578125" style="30" customWidth="1"/>
    <col min="2312" max="2312" width="17.42578125" style="30" customWidth="1"/>
    <col min="2313" max="2313" width="0.85546875" style="30" customWidth="1"/>
    <col min="2314" max="2315" width="0.7109375" style="30" customWidth="1"/>
    <col min="2316" max="2316" width="0.5703125" style="30" customWidth="1"/>
    <col min="2317" max="2561" width="10.28515625" style="30"/>
    <col min="2562" max="2562" width="6" style="30" customWidth="1"/>
    <col min="2563" max="2563" width="30" style="30" customWidth="1"/>
    <col min="2564" max="2564" width="6.28515625" style="30" customWidth="1"/>
    <col min="2565" max="2565" width="9.5703125" style="30" customWidth="1"/>
    <col min="2566" max="2567" width="12.42578125" style="30" customWidth="1"/>
    <col min="2568" max="2568" width="17.42578125" style="30" customWidth="1"/>
    <col min="2569" max="2569" width="0.85546875" style="30" customWidth="1"/>
    <col min="2570" max="2571" width="0.7109375" style="30" customWidth="1"/>
    <col min="2572" max="2572" width="0.5703125" style="30" customWidth="1"/>
    <col min="2573" max="2817" width="10.28515625" style="30"/>
    <col min="2818" max="2818" width="6" style="30" customWidth="1"/>
    <col min="2819" max="2819" width="30" style="30" customWidth="1"/>
    <col min="2820" max="2820" width="6.28515625" style="30" customWidth="1"/>
    <col min="2821" max="2821" width="9.5703125" style="30" customWidth="1"/>
    <col min="2822" max="2823" width="12.42578125" style="30" customWidth="1"/>
    <col min="2824" max="2824" width="17.42578125" style="30" customWidth="1"/>
    <col min="2825" max="2825" width="0.85546875" style="30" customWidth="1"/>
    <col min="2826" max="2827" width="0.7109375" style="30" customWidth="1"/>
    <col min="2828" max="2828" width="0.5703125" style="30" customWidth="1"/>
    <col min="2829" max="3073" width="10.28515625" style="30"/>
    <col min="3074" max="3074" width="6" style="30" customWidth="1"/>
    <col min="3075" max="3075" width="30" style="30" customWidth="1"/>
    <col min="3076" max="3076" width="6.28515625" style="30" customWidth="1"/>
    <col min="3077" max="3077" width="9.5703125" style="30" customWidth="1"/>
    <col min="3078" max="3079" width="12.42578125" style="30" customWidth="1"/>
    <col min="3080" max="3080" width="17.42578125" style="30" customWidth="1"/>
    <col min="3081" max="3081" width="0.85546875" style="30" customWidth="1"/>
    <col min="3082" max="3083" width="0.7109375" style="30" customWidth="1"/>
    <col min="3084" max="3084" width="0.5703125" style="30" customWidth="1"/>
    <col min="3085" max="3329" width="10.28515625" style="30"/>
    <col min="3330" max="3330" width="6" style="30" customWidth="1"/>
    <col min="3331" max="3331" width="30" style="30" customWidth="1"/>
    <col min="3332" max="3332" width="6.28515625" style="30" customWidth="1"/>
    <col min="3333" max="3333" width="9.5703125" style="30" customWidth="1"/>
    <col min="3334" max="3335" width="12.42578125" style="30" customWidth="1"/>
    <col min="3336" max="3336" width="17.42578125" style="30" customWidth="1"/>
    <col min="3337" max="3337" width="0.85546875" style="30" customWidth="1"/>
    <col min="3338" max="3339" width="0.7109375" style="30" customWidth="1"/>
    <col min="3340" max="3340" width="0.5703125" style="30" customWidth="1"/>
    <col min="3341" max="3585" width="10.28515625" style="30"/>
    <col min="3586" max="3586" width="6" style="30" customWidth="1"/>
    <col min="3587" max="3587" width="30" style="30" customWidth="1"/>
    <col min="3588" max="3588" width="6.28515625" style="30" customWidth="1"/>
    <col min="3589" max="3589" width="9.5703125" style="30" customWidth="1"/>
    <col min="3590" max="3591" width="12.42578125" style="30" customWidth="1"/>
    <col min="3592" max="3592" width="17.42578125" style="30" customWidth="1"/>
    <col min="3593" max="3593" width="0.85546875" style="30" customWidth="1"/>
    <col min="3594" max="3595" width="0.7109375" style="30" customWidth="1"/>
    <col min="3596" max="3596" width="0.5703125" style="30" customWidth="1"/>
    <col min="3597" max="3841" width="10.28515625" style="30"/>
    <col min="3842" max="3842" width="6" style="30" customWidth="1"/>
    <col min="3843" max="3843" width="30" style="30" customWidth="1"/>
    <col min="3844" max="3844" width="6.28515625" style="30" customWidth="1"/>
    <col min="3845" max="3845" width="9.5703125" style="30" customWidth="1"/>
    <col min="3846" max="3847" width="12.42578125" style="30" customWidth="1"/>
    <col min="3848" max="3848" width="17.42578125" style="30" customWidth="1"/>
    <col min="3849" max="3849" width="0.85546875" style="30" customWidth="1"/>
    <col min="3850" max="3851" width="0.7109375" style="30" customWidth="1"/>
    <col min="3852" max="3852" width="0.5703125" style="30" customWidth="1"/>
    <col min="3853" max="4097" width="10.28515625" style="30"/>
    <col min="4098" max="4098" width="6" style="30" customWidth="1"/>
    <col min="4099" max="4099" width="30" style="30" customWidth="1"/>
    <col min="4100" max="4100" width="6.28515625" style="30" customWidth="1"/>
    <col min="4101" max="4101" width="9.5703125" style="30" customWidth="1"/>
    <col min="4102" max="4103" width="12.42578125" style="30" customWidth="1"/>
    <col min="4104" max="4104" width="17.42578125" style="30" customWidth="1"/>
    <col min="4105" max="4105" width="0.85546875" style="30" customWidth="1"/>
    <col min="4106" max="4107" width="0.7109375" style="30" customWidth="1"/>
    <col min="4108" max="4108" width="0.5703125" style="30" customWidth="1"/>
    <col min="4109" max="4353" width="10.28515625" style="30"/>
    <col min="4354" max="4354" width="6" style="30" customWidth="1"/>
    <col min="4355" max="4355" width="30" style="30" customWidth="1"/>
    <col min="4356" max="4356" width="6.28515625" style="30" customWidth="1"/>
    <col min="4357" max="4357" width="9.5703125" style="30" customWidth="1"/>
    <col min="4358" max="4359" width="12.42578125" style="30" customWidth="1"/>
    <col min="4360" max="4360" width="17.42578125" style="30" customWidth="1"/>
    <col min="4361" max="4361" width="0.85546875" style="30" customWidth="1"/>
    <col min="4362" max="4363" width="0.7109375" style="30" customWidth="1"/>
    <col min="4364" max="4364" width="0.5703125" style="30" customWidth="1"/>
    <col min="4365" max="4609" width="10.28515625" style="30"/>
    <col min="4610" max="4610" width="6" style="30" customWidth="1"/>
    <col min="4611" max="4611" width="30" style="30" customWidth="1"/>
    <col min="4612" max="4612" width="6.28515625" style="30" customWidth="1"/>
    <col min="4613" max="4613" width="9.5703125" style="30" customWidth="1"/>
    <col min="4614" max="4615" width="12.42578125" style="30" customWidth="1"/>
    <col min="4616" max="4616" width="17.42578125" style="30" customWidth="1"/>
    <col min="4617" max="4617" width="0.85546875" style="30" customWidth="1"/>
    <col min="4618" max="4619" width="0.7109375" style="30" customWidth="1"/>
    <col min="4620" max="4620" width="0.5703125" style="30" customWidth="1"/>
    <col min="4621" max="4865" width="10.28515625" style="30"/>
    <col min="4866" max="4866" width="6" style="30" customWidth="1"/>
    <col min="4867" max="4867" width="30" style="30" customWidth="1"/>
    <col min="4868" max="4868" width="6.28515625" style="30" customWidth="1"/>
    <col min="4869" max="4869" width="9.5703125" style="30" customWidth="1"/>
    <col min="4870" max="4871" width="12.42578125" style="30" customWidth="1"/>
    <col min="4872" max="4872" width="17.42578125" style="30" customWidth="1"/>
    <col min="4873" max="4873" width="0.85546875" style="30" customWidth="1"/>
    <col min="4874" max="4875" width="0.7109375" style="30" customWidth="1"/>
    <col min="4876" max="4876" width="0.5703125" style="30" customWidth="1"/>
    <col min="4877" max="5121" width="10.28515625" style="30"/>
    <col min="5122" max="5122" width="6" style="30" customWidth="1"/>
    <col min="5123" max="5123" width="30" style="30" customWidth="1"/>
    <col min="5124" max="5124" width="6.28515625" style="30" customWidth="1"/>
    <col min="5125" max="5125" width="9.5703125" style="30" customWidth="1"/>
    <col min="5126" max="5127" width="12.42578125" style="30" customWidth="1"/>
    <col min="5128" max="5128" width="17.42578125" style="30" customWidth="1"/>
    <col min="5129" max="5129" width="0.85546875" style="30" customWidth="1"/>
    <col min="5130" max="5131" width="0.7109375" style="30" customWidth="1"/>
    <col min="5132" max="5132" width="0.5703125" style="30" customWidth="1"/>
    <col min="5133" max="5377" width="10.28515625" style="30"/>
    <col min="5378" max="5378" width="6" style="30" customWidth="1"/>
    <col min="5379" max="5379" width="30" style="30" customWidth="1"/>
    <col min="5380" max="5380" width="6.28515625" style="30" customWidth="1"/>
    <col min="5381" max="5381" width="9.5703125" style="30" customWidth="1"/>
    <col min="5382" max="5383" width="12.42578125" style="30" customWidth="1"/>
    <col min="5384" max="5384" width="17.42578125" style="30" customWidth="1"/>
    <col min="5385" max="5385" width="0.85546875" style="30" customWidth="1"/>
    <col min="5386" max="5387" width="0.7109375" style="30" customWidth="1"/>
    <col min="5388" max="5388" width="0.5703125" style="30" customWidth="1"/>
    <col min="5389" max="5633" width="10.28515625" style="30"/>
    <col min="5634" max="5634" width="6" style="30" customWidth="1"/>
    <col min="5635" max="5635" width="30" style="30" customWidth="1"/>
    <col min="5636" max="5636" width="6.28515625" style="30" customWidth="1"/>
    <col min="5637" max="5637" width="9.5703125" style="30" customWidth="1"/>
    <col min="5638" max="5639" width="12.42578125" style="30" customWidth="1"/>
    <col min="5640" max="5640" width="17.42578125" style="30" customWidth="1"/>
    <col min="5641" max="5641" width="0.85546875" style="30" customWidth="1"/>
    <col min="5642" max="5643" width="0.7109375" style="30" customWidth="1"/>
    <col min="5644" max="5644" width="0.5703125" style="30" customWidth="1"/>
    <col min="5645" max="5889" width="10.28515625" style="30"/>
    <col min="5890" max="5890" width="6" style="30" customWidth="1"/>
    <col min="5891" max="5891" width="30" style="30" customWidth="1"/>
    <col min="5892" max="5892" width="6.28515625" style="30" customWidth="1"/>
    <col min="5893" max="5893" width="9.5703125" style="30" customWidth="1"/>
    <col min="5894" max="5895" width="12.42578125" style="30" customWidth="1"/>
    <col min="5896" max="5896" width="17.42578125" style="30" customWidth="1"/>
    <col min="5897" max="5897" width="0.85546875" style="30" customWidth="1"/>
    <col min="5898" max="5899" width="0.7109375" style="30" customWidth="1"/>
    <col min="5900" max="5900" width="0.5703125" style="30" customWidth="1"/>
    <col min="5901" max="6145" width="10.28515625" style="30"/>
    <col min="6146" max="6146" width="6" style="30" customWidth="1"/>
    <col min="6147" max="6147" width="30" style="30" customWidth="1"/>
    <col min="6148" max="6148" width="6.28515625" style="30" customWidth="1"/>
    <col min="6149" max="6149" width="9.5703125" style="30" customWidth="1"/>
    <col min="6150" max="6151" width="12.42578125" style="30" customWidth="1"/>
    <col min="6152" max="6152" width="17.42578125" style="30" customWidth="1"/>
    <col min="6153" max="6153" width="0.85546875" style="30" customWidth="1"/>
    <col min="6154" max="6155" width="0.7109375" style="30" customWidth="1"/>
    <col min="6156" max="6156" width="0.5703125" style="30" customWidth="1"/>
    <col min="6157" max="6401" width="10.28515625" style="30"/>
    <col min="6402" max="6402" width="6" style="30" customWidth="1"/>
    <col min="6403" max="6403" width="30" style="30" customWidth="1"/>
    <col min="6404" max="6404" width="6.28515625" style="30" customWidth="1"/>
    <col min="6405" max="6405" width="9.5703125" style="30" customWidth="1"/>
    <col min="6406" max="6407" width="12.42578125" style="30" customWidth="1"/>
    <col min="6408" max="6408" width="17.42578125" style="30" customWidth="1"/>
    <col min="6409" max="6409" width="0.85546875" style="30" customWidth="1"/>
    <col min="6410" max="6411" width="0.7109375" style="30" customWidth="1"/>
    <col min="6412" max="6412" width="0.5703125" style="30" customWidth="1"/>
    <col min="6413" max="6657" width="10.28515625" style="30"/>
    <col min="6658" max="6658" width="6" style="30" customWidth="1"/>
    <col min="6659" max="6659" width="30" style="30" customWidth="1"/>
    <col min="6660" max="6660" width="6.28515625" style="30" customWidth="1"/>
    <col min="6661" max="6661" width="9.5703125" style="30" customWidth="1"/>
    <col min="6662" max="6663" width="12.42578125" style="30" customWidth="1"/>
    <col min="6664" max="6664" width="17.42578125" style="30" customWidth="1"/>
    <col min="6665" max="6665" width="0.85546875" style="30" customWidth="1"/>
    <col min="6666" max="6667" width="0.7109375" style="30" customWidth="1"/>
    <col min="6668" max="6668" width="0.5703125" style="30" customWidth="1"/>
    <col min="6669" max="6913" width="10.28515625" style="30"/>
    <col min="6914" max="6914" width="6" style="30" customWidth="1"/>
    <col min="6915" max="6915" width="30" style="30" customWidth="1"/>
    <col min="6916" max="6916" width="6.28515625" style="30" customWidth="1"/>
    <col min="6917" max="6917" width="9.5703125" style="30" customWidth="1"/>
    <col min="6918" max="6919" width="12.42578125" style="30" customWidth="1"/>
    <col min="6920" max="6920" width="17.42578125" style="30" customWidth="1"/>
    <col min="6921" max="6921" width="0.85546875" style="30" customWidth="1"/>
    <col min="6922" max="6923" width="0.7109375" style="30" customWidth="1"/>
    <col min="6924" max="6924" width="0.5703125" style="30" customWidth="1"/>
    <col min="6925" max="7169" width="10.28515625" style="30"/>
    <col min="7170" max="7170" width="6" style="30" customWidth="1"/>
    <col min="7171" max="7171" width="30" style="30" customWidth="1"/>
    <col min="7172" max="7172" width="6.28515625" style="30" customWidth="1"/>
    <col min="7173" max="7173" width="9.5703125" style="30" customWidth="1"/>
    <col min="7174" max="7175" width="12.42578125" style="30" customWidth="1"/>
    <col min="7176" max="7176" width="17.42578125" style="30" customWidth="1"/>
    <col min="7177" max="7177" width="0.85546875" style="30" customWidth="1"/>
    <col min="7178" max="7179" width="0.7109375" style="30" customWidth="1"/>
    <col min="7180" max="7180" width="0.5703125" style="30" customWidth="1"/>
    <col min="7181" max="7425" width="10.28515625" style="30"/>
    <col min="7426" max="7426" width="6" style="30" customWidth="1"/>
    <col min="7427" max="7427" width="30" style="30" customWidth="1"/>
    <col min="7428" max="7428" width="6.28515625" style="30" customWidth="1"/>
    <col min="7429" max="7429" width="9.5703125" style="30" customWidth="1"/>
    <col min="7430" max="7431" width="12.42578125" style="30" customWidth="1"/>
    <col min="7432" max="7432" width="17.42578125" style="30" customWidth="1"/>
    <col min="7433" max="7433" width="0.85546875" style="30" customWidth="1"/>
    <col min="7434" max="7435" width="0.7109375" style="30" customWidth="1"/>
    <col min="7436" max="7436" width="0.5703125" style="30" customWidth="1"/>
    <col min="7437" max="7681" width="10.28515625" style="30"/>
    <col min="7682" max="7682" width="6" style="30" customWidth="1"/>
    <col min="7683" max="7683" width="30" style="30" customWidth="1"/>
    <col min="7684" max="7684" width="6.28515625" style="30" customWidth="1"/>
    <col min="7685" max="7685" width="9.5703125" style="30" customWidth="1"/>
    <col min="7686" max="7687" width="12.42578125" style="30" customWidth="1"/>
    <col min="7688" max="7688" width="17.42578125" style="30" customWidth="1"/>
    <col min="7689" max="7689" width="0.85546875" style="30" customWidth="1"/>
    <col min="7690" max="7691" width="0.7109375" style="30" customWidth="1"/>
    <col min="7692" max="7692" width="0.5703125" style="30" customWidth="1"/>
    <col min="7693" max="7937" width="10.28515625" style="30"/>
    <col min="7938" max="7938" width="6" style="30" customWidth="1"/>
    <col min="7939" max="7939" width="30" style="30" customWidth="1"/>
    <col min="7940" max="7940" width="6.28515625" style="30" customWidth="1"/>
    <col min="7941" max="7941" width="9.5703125" style="30" customWidth="1"/>
    <col min="7942" max="7943" width="12.42578125" style="30" customWidth="1"/>
    <col min="7944" max="7944" width="17.42578125" style="30" customWidth="1"/>
    <col min="7945" max="7945" width="0.85546875" style="30" customWidth="1"/>
    <col min="7946" max="7947" width="0.7109375" style="30" customWidth="1"/>
    <col min="7948" max="7948" width="0.5703125" style="30" customWidth="1"/>
    <col min="7949" max="8193" width="10.28515625" style="30"/>
    <col min="8194" max="8194" width="6" style="30" customWidth="1"/>
    <col min="8195" max="8195" width="30" style="30" customWidth="1"/>
    <col min="8196" max="8196" width="6.28515625" style="30" customWidth="1"/>
    <col min="8197" max="8197" width="9.5703125" style="30" customWidth="1"/>
    <col min="8198" max="8199" width="12.42578125" style="30" customWidth="1"/>
    <col min="8200" max="8200" width="17.42578125" style="30" customWidth="1"/>
    <col min="8201" max="8201" width="0.85546875" style="30" customWidth="1"/>
    <col min="8202" max="8203" width="0.7109375" style="30" customWidth="1"/>
    <col min="8204" max="8204" width="0.5703125" style="30" customWidth="1"/>
    <col min="8205" max="8449" width="10.28515625" style="30"/>
    <col min="8450" max="8450" width="6" style="30" customWidth="1"/>
    <col min="8451" max="8451" width="30" style="30" customWidth="1"/>
    <col min="8452" max="8452" width="6.28515625" style="30" customWidth="1"/>
    <col min="8453" max="8453" width="9.5703125" style="30" customWidth="1"/>
    <col min="8454" max="8455" width="12.42578125" style="30" customWidth="1"/>
    <col min="8456" max="8456" width="17.42578125" style="30" customWidth="1"/>
    <col min="8457" max="8457" width="0.85546875" style="30" customWidth="1"/>
    <col min="8458" max="8459" width="0.7109375" style="30" customWidth="1"/>
    <col min="8460" max="8460" width="0.5703125" style="30" customWidth="1"/>
    <col min="8461" max="8705" width="10.28515625" style="30"/>
    <col min="8706" max="8706" width="6" style="30" customWidth="1"/>
    <col min="8707" max="8707" width="30" style="30" customWidth="1"/>
    <col min="8708" max="8708" width="6.28515625" style="30" customWidth="1"/>
    <col min="8709" max="8709" width="9.5703125" style="30" customWidth="1"/>
    <col min="8710" max="8711" width="12.42578125" style="30" customWidth="1"/>
    <col min="8712" max="8712" width="17.42578125" style="30" customWidth="1"/>
    <col min="8713" max="8713" width="0.85546875" style="30" customWidth="1"/>
    <col min="8714" max="8715" width="0.7109375" style="30" customWidth="1"/>
    <col min="8716" max="8716" width="0.5703125" style="30" customWidth="1"/>
    <col min="8717" max="8961" width="10.28515625" style="30"/>
    <col min="8962" max="8962" width="6" style="30" customWidth="1"/>
    <col min="8963" max="8963" width="30" style="30" customWidth="1"/>
    <col min="8964" max="8964" width="6.28515625" style="30" customWidth="1"/>
    <col min="8965" max="8965" width="9.5703125" style="30" customWidth="1"/>
    <col min="8966" max="8967" width="12.42578125" style="30" customWidth="1"/>
    <col min="8968" max="8968" width="17.42578125" style="30" customWidth="1"/>
    <col min="8969" max="8969" width="0.85546875" style="30" customWidth="1"/>
    <col min="8970" max="8971" width="0.7109375" style="30" customWidth="1"/>
    <col min="8972" max="8972" width="0.5703125" style="30" customWidth="1"/>
    <col min="8973" max="9217" width="10.28515625" style="30"/>
    <col min="9218" max="9218" width="6" style="30" customWidth="1"/>
    <col min="9219" max="9219" width="30" style="30" customWidth="1"/>
    <col min="9220" max="9220" width="6.28515625" style="30" customWidth="1"/>
    <col min="9221" max="9221" width="9.5703125" style="30" customWidth="1"/>
    <col min="9222" max="9223" width="12.42578125" style="30" customWidth="1"/>
    <col min="9224" max="9224" width="17.42578125" style="30" customWidth="1"/>
    <col min="9225" max="9225" width="0.85546875" style="30" customWidth="1"/>
    <col min="9226" max="9227" width="0.7109375" style="30" customWidth="1"/>
    <col min="9228" max="9228" width="0.5703125" style="30" customWidth="1"/>
    <col min="9229" max="9473" width="10.28515625" style="30"/>
    <col min="9474" max="9474" width="6" style="30" customWidth="1"/>
    <col min="9475" max="9475" width="30" style="30" customWidth="1"/>
    <col min="9476" max="9476" width="6.28515625" style="30" customWidth="1"/>
    <col min="9477" max="9477" width="9.5703125" style="30" customWidth="1"/>
    <col min="9478" max="9479" width="12.42578125" style="30" customWidth="1"/>
    <col min="9480" max="9480" width="17.42578125" style="30" customWidth="1"/>
    <col min="9481" max="9481" width="0.85546875" style="30" customWidth="1"/>
    <col min="9482" max="9483" width="0.7109375" style="30" customWidth="1"/>
    <col min="9484" max="9484" width="0.5703125" style="30" customWidth="1"/>
    <col min="9485" max="9729" width="10.28515625" style="30"/>
    <col min="9730" max="9730" width="6" style="30" customWidth="1"/>
    <col min="9731" max="9731" width="30" style="30" customWidth="1"/>
    <col min="9732" max="9732" width="6.28515625" style="30" customWidth="1"/>
    <col min="9733" max="9733" width="9.5703125" style="30" customWidth="1"/>
    <col min="9734" max="9735" width="12.42578125" style="30" customWidth="1"/>
    <col min="9736" max="9736" width="17.42578125" style="30" customWidth="1"/>
    <col min="9737" max="9737" width="0.85546875" style="30" customWidth="1"/>
    <col min="9738" max="9739" width="0.7109375" style="30" customWidth="1"/>
    <col min="9740" max="9740" width="0.5703125" style="30" customWidth="1"/>
    <col min="9741" max="9985" width="10.28515625" style="30"/>
    <col min="9986" max="9986" width="6" style="30" customWidth="1"/>
    <col min="9987" max="9987" width="30" style="30" customWidth="1"/>
    <col min="9988" max="9988" width="6.28515625" style="30" customWidth="1"/>
    <col min="9989" max="9989" width="9.5703125" style="30" customWidth="1"/>
    <col min="9990" max="9991" width="12.42578125" style="30" customWidth="1"/>
    <col min="9992" max="9992" width="17.42578125" style="30" customWidth="1"/>
    <col min="9993" max="9993" width="0.85546875" style="30" customWidth="1"/>
    <col min="9994" max="9995" width="0.7109375" style="30" customWidth="1"/>
    <col min="9996" max="9996" width="0.5703125" style="30" customWidth="1"/>
    <col min="9997" max="10241" width="10.28515625" style="30"/>
    <col min="10242" max="10242" width="6" style="30" customWidth="1"/>
    <col min="10243" max="10243" width="30" style="30" customWidth="1"/>
    <col min="10244" max="10244" width="6.28515625" style="30" customWidth="1"/>
    <col min="10245" max="10245" width="9.5703125" style="30" customWidth="1"/>
    <col min="10246" max="10247" width="12.42578125" style="30" customWidth="1"/>
    <col min="10248" max="10248" width="17.42578125" style="30" customWidth="1"/>
    <col min="10249" max="10249" width="0.85546875" style="30" customWidth="1"/>
    <col min="10250" max="10251" width="0.7109375" style="30" customWidth="1"/>
    <col min="10252" max="10252" width="0.5703125" style="30" customWidth="1"/>
    <col min="10253" max="10497" width="10.28515625" style="30"/>
    <col min="10498" max="10498" width="6" style="30" customWidth="1"/>
    <col min="10499" max="10499" width="30" style="30" customWidth="1"/>
    <col min="10500" max="10500" width="6.28515625" style="30" customWidth="1"/>
    <col min="10501" max="10501" width="9.5703125" style="30" customWidth="1"/>
    <col min="10502" max="10503" width="12.42578125" style="30" customWidth="1"/>
    <col min="10504" max="10504" width="17.42578125" style="30" customWidth="1"/>
    <col min="10505" max="10505" width="0.85546875" style="30" customWidth="1"/>
    <col min="10506" max="10507" width="0.7109375" style="30" customWidth="1"/>
    <col min="10508" max="10508" width="0.5703125" style="30" customWidth="1"/>
    <col min="10509" max="10753" width="10.28515625" style="30"/>
    <col min="10754" max="10754" width="6" style="30" customWidth="1"/>
    <col min="10755" max="10755" width="30" style="30" customWidth="1"/>
    <col min="10756" max="10756" width="6.28515625" style="30" customWidth="1"/>
    <col min="10757" max="10757" width="9.5703125" style="30" customWidth="1"/>
    <col min="10758" max="10759" width="12.42578125" style="30" customWidth="1"/>
    <col min="10760" max="10760" width="17.42578125" style="30" customWidth="1"/>
    <col min="10761" max="10761" width="0.85546875" style="30" customWidth="1"/>
    <col min="10762" max="10763" width="0.7109375" style="30" customWidth="1"/>
    <col min="10764" max="10764" width="0.5703125" style="30" customWidth="1"/>
    <col min="10765" max="11009" width="10.28515625" style="30"/>
    <col min="11010" max="11010" width="6" style="30" customWidth="1"/>
    <col min="11011" max="11011" width="30" style="30" customWidth="1"/>
    <col min="11012" max="11012" width="6.28515625" style="30" customWidth="1"/>
    <col min="11013" max="11013" width="9.5703125" style="30" customWidth="1"/>
    <col min="11014" max="11015" width="12.42578125" style="30" customWidth="1"/>
    <col min="11016" max="11016" width="17.42578125" style="30" customWidth="1"/>
    <col min="11017" max="11017" width="0.85546875" style="30" customWidth="1"/>
    <col min="11018" max="11019" width="0.7109375" style="30" customWidth="1"/>
    <col min="11020" max="11020" width="0.5703125" style="30" customWidth="1"/>
    <col min="11021" max="11265" width="10.28515625" style="30"/>
    <col min="11266" max="11266" width="6" style="30" customWidth="1"/>
    <col min="11267" max="11267" width="30" style="30" customWidth="1"/>
    <col min="11268" max="11268" width="6.28515625" style="30" customWidth="1"/>
    <col min="11269" max="11269" width="9.5703125" style="30" customWidth="1"/>
    <col min="11270" max="11271" width="12.42578125" style="30" customWidth="1"/>
    <col min="11272" max="11272" width="17.42578125" style="30" customWidth="1"/>
    <col min="11273" max="11273" width="0.85546875" style="30" customWidth="1"/>
    <col min="11274" max="11275" width="0.7109375" style="30" customWidth="1"/>
    <col min="11276" max="11276" width="0.5703125" style="30" customWidth="1"/>
    <col min="11277" max="11521" width="10.28515625" style="30"/>
    <col min="11522" max="11522" width="6" style="30" customWidth="1"/>
    <col min="11523" max="11523" width="30" style="30" customWidth="1"/>
    <col min="11524" max="11524" width="6.28515625" style="30" customWidth="1"/>
    <col min="11525" max="11525" width="9.5703125" style="30" customWidth="1"/>
    <col min="11526" max="11527" width="12.42578125" style="30" customWidth="1"/>
    <col min="11528" max="11528" width="17.42578125" style="30" customWidth="1"/>
    <col min="11529" max="11529" width="0.85546875" style="30" customWidth="1"/>
    <col min="11530" max="11531" width="0.7109375" style="30" customWidth="1"/>
    <col min="11532" max="11532" width="0.5703125" style="30" customWidth="1"/>
    <col min="11533" max="11777" width="10.28515625" style="30"/>
    <col min="11778" max="11778" width="6" style="30" customWidth="1"/>
    <col min="11779" max="11779" width="30" style="30" customWidth="1"/>
    <col min="11780" max="11780" width="6.28515625" style="30" customWidth="1"/>
    <col min="11781" max="11781" width="9.5703125" style="30" customWidth="1"/>
    <col min="11782" max="11783" width="12.42578125" style="30" customWidth="1"/>
    <col min="11784" max="11784" width="17.42578125" style="30" customWidth="1"/>
    <col min="11785" max="11785" width="0.85546875" style="30" customWidth="1"/>
    <col min="11786" max="11787" width="0.7109375" style="30" customWidth="1"/>
    <col min="11788" max="11788" width="0.5703125" style="30" customWidth="1"/>
    <col min="11789" max="12033" width="10.28515625" style="30"/>
    <col min="12034" max="12034" width="6" style="30" customWidth="1"/>
    <col min="12035" max="12035" width="30" style="30" customWidth="1"/>
    <col min="12036" max="12036" width="6.28515625" style="30" customWidth="1"/>
    <col min="12037" max="12037" width="9.5703125" style="30" customWidth="1"/>
    <col min="12038" max="12039" width="12.42578125" style="30" customWidth="1"/>
    <col min="12040" max="12040" width="17.42578125" style="30" customWidth="1"/>
    <col min="12041" max="12041" width="0.85546875" style="30" customWidth="1"/>
    <col min="12042" max="12043" width="0.7109375" style="30" customWidth="1"/>
    <col min="12044" max="12044" width="0.5703125" style="30" customWidth="1"/>
    <col min="12045" max="12289" width="10.28515625" style="30"/>
    <col min="12290" max="12290" width="6" style="30" customWidth="1"/>
    <col min="12291" max="12291" width="30" style="30" customWidth="1"/>
    <col min="12292" max="12292" width="6.28515625" style="30" customWidth="1"/>
    <col min="12293" max="12293" width="9.5703125" style="30" customWidth="1"/>
    <col min="12294" max="12295" width="12.42578125" style="30" customWidth="1"/>
    <col min="12296" max="12296" width="17.42578125" style="30" customWidth="1"/>
    <col min="12297" max="12297" width="0.85546875" style="30" customWidth="1"/>
    <col min="12298" max="12299" width="0.7109375" style="30" customWidth="1"/>
    <col min="12300" max="12300" width="0.5703125" style="30" customWidth="1"/>
    <col min="12301" max="12545" width="10.28515625" style="30"/>
    <col min="12546" max="12546" width="6" style="30" customWidth="1"/>
    <col min="12547" max="12547" width="30" style="30" customWidth="1"/>
    <col min="12548" max="12548" width="6.28515625" style="30" customWidth="1"/>
    <col min="12549" max="12549" width="9.5703125" style="30" customWidth="1"/>
    <col min="12550" max="12551" width="12.42578125" style="30" customWidth="1"/>
    <col min="12552" max="12552" width="17.42578125" style="30" customWidth="1"/>
    <col min="12553" max="12553" width="0.85546875" style="30" customWidth="1"/>
    <col min="12554" max="12555" width="0.7109375" style="30" customWidth="1"/>
    <col min="12556" max="12556" width="0.5703125" style="30" customWidth="1"/>
    <col min="12557" max="12801" width="10.28515625" style="30"/>
    <col min="12802" max="12802" width="6" style="30" customWidth="1"/>
    <col min="12803" max="12803" width="30" style="30" customWidth="1"/>
    <col min="12804" max="12804" width="6.28515625" style="30" customWidth="1"/>
    <col min="12805" max="12805" width="9.5703125" style="30" customWidth="1"/>
    <col min="12806" max="12807" width="12.42578125" style="30" customWidth="1"/>
    <col min="12808" max="12808" width="17.42578125" style="30" customWidth="1"/>
    <col min="12809" max="12809" width="0.85546875" style="30" customWidth="1"/>
    <col min="12810" max="12811" width="0.7109375" style="30" customWidth="1"/>
    <col min="12812" max="12812" width="0.5703125" style="30" customWidth="1"/>
    <col min="12813" max="13057" width="10.28515625" style="30"/>
    <col min="13058" max="13058" width="6" style="30" customWidth="1"/>
    <col min="13059" max="13059" width="30" style="30" customWidth="1"/>
    <col min="13060" max="13060" width="6.28515625" style="30" customWidth="1"/>
    <col min="13061" max="13061" width="9.5703125" style="30" customWidth="1"/>
    <col min="13062" max="13063" width="12.42578125" style="30" customWidth="1"/>
    <col min="13064" max="13064" width="17.42578125" style="30" customWidth="1"/>
    <col min="13065" max="13065" width="0.85546875" style="30" customWidth="1"/>
    <col min="13066" max="13067" width="0.7109375" style="30" customWidth="1"/>
    <col min="13068" max="13068" width="0.5703125" style="30" customWidth="1"/>
    <col min="13069" max="13313" width="10.28515625" style="30"/>
    <col min="13314" max="13314" width="6" style="30" customWidth="1"/>
    <col min="13315" max="13315" width="30" style="30" customWidth="1"/>
    <col min="13316" max="13316" width="6.28515625" style="30" customWidth="1"/>
    <col min="13317" max="13317" width="9.5703125" style="30" customWidth="1"/>
    <col min="13318" max="13319" width="12.42578125" style="30" customWidth="1"/>
    <col min="13320" max="13320" width="17.42578125" style="30" customWidth="1"/>
    <col min="13321" max="13321" width="0.85546875" style="30" customWidth="1"/>
    <col min="13322" max="13323" width="0.7109375" style="30" customWidth="1"/>
    <col min="13324" max="13324" width="0.5703125" style="30" customWidth="1"/>
    <col min="13325" max="13569" width="10.28515625" style="30"/>
    <col min="13570" max="13570" width="6" style="30" customWidth="1"/>
    <col min="13571" max="13571" width="30" style="30" customWidth="1"/>
    <col min="13572" max="13572" width="6.28515625" style="30" customWidth="1"/>
    <col min="13573" max="13573" width="9.5703125" style="30" customWidth="1"/>
    <col min="13574" max="13575" width="12.42578125" style="30" customWidth="1"/>
    <col min="13576" max="13576" width="17.42578125" style="30" customWidth="1"/>
    <col min="13577" max="13577" width="0.85546875" style="30" customWidth="1"/>
    <col min="13578" max="13579" width="0.7109375" style="30" customWidth="1"/>
    <col min="13580" max="13580" width="0.5703125" style="30" customWidth="1"/>
    <col min="13581" max="13825" width="10.28515625" style="30"/>
    <col min="13826" max="13826" width="6" style="30" customWidth="1"/>
    <col min="13827" max="13827" width="30" style="30" customWidth="1"/>
    <col min="13828" max="13828" width="6.28515625" style="30" customWidth="1"/>
    <col min="13829" max="13829" width="9.5703125" style="30" customWidth="1"/>
    <col min="13830" max="13831" width="12.42578125" style="30" customWidth="1"/>
    <col min="13832" max="13832" width="17.42578125" style="30" customWidth="1"/>
    <col min="13833" max="13833" width="0.85546875" style="30" customWidth="1"/>
    <col min="13834" max="13835" width="0.7109375" style="30" customWidth="1"/>
    <col min="13836" max="13836" width="0.5703125" style="30" customWidth="1"/>
    <col min="13837" max="14081" width="10.28515625" style="30"/>
    <col min="14082" max="14082" width="6" style="30" customWidth="1"/>
    <col min="14083" max="14083" width="30" style="30" customWidth="1"/>
    <col min="14084" max="14084" width="6.28515625" style="30" customWidth="1"/>
    <col min="14085" max="14085" width="9.5703125" style="30" customWidth="1"/>
    <col min="14086" max="14087" width="12.42578125" style="30" customWidth="1"/>
    <col min="14088" max="14088" width="17.42578125" style="30" customWidth="1"/>
    <col min="14089" max="14089" width="0.85546875" style="30" customWidth="1"/>
    <col min="14090" max="14091" width="0.7109375" style="30" customWidth="1"/>
    <col min="14092" max="14092" width="0.5703125" style="30" customWidth="1"/>
    <col min="14093" max="14337" width="10.28515625" style="30"/>
    <col min="14338" max="14338" width="6" style="30" customWidth="1"/>
    <col min="14339" max="14339" width="30" style="30" customWidth="1"/>
    <col min="14340" max="14340" width="6.28515625" style="30" customWidth="1"/>
    <col min="14341" max="14341" width="9.5703125" style="30" customWidth="1"/>
    <col min="14342" max="14343" width="12.42578125" style="30" customWidth="1"/>
    <col min="14344" max="14344" width="17.42578125" style="30" customWidth="1"/>
    <col min="14345" max="14345" width="0.85546875" style="30" customWidth="1"/>
    <col min="14346" max="14347" width="0.7109375" style="30" customWidth="1"/>
    <col min="14348" max="14348" width="0.5703125" style="30" customWidth="1"/>
    <col min="14349" max="14593" width="10.28515625" style="30"/>
    <col min="14594" max="14594" width="6" style="30" customWidth="1"/>
    <col min="14595" max="14595" width="30" style="30" customWidth="1"/>
    <col min="14596" max="14596" width="6.28515625" style="30" customWidth="1"/>
    <col min="14597" max="14597" width="9.5703125" style="30" customWidth="1"/>
    <col min="14598" max="14599" width="12.42578125" style="30" customWidth="1"/>
    <col min="14600" max="14600" width="17.42578125" style="30" customWidth="1"/>
    <col min="14601" max="14601" width="0.85546875" style="30" customWidth="1"/>
    <col min="14602" max="14603" width="0.7109375" style="30" customWidth="1"/>
    <col min="14604" max="14604" width="0.5703125" style="30" customWidth="1"/>
    <col min="14605" max="14849" width="10.28515625" style="30"/>
    <col min="14850" max="14850" width="6" style="30" customWidth="1"/>
    <col min="14851" max="14851" width="30" style="30" customWidth="1"/>
    <col min="14852" max="14852" width="6.28515625" style="30" customWidth="1"/>
    <col min="14853" max="14853" width="9.5703125" style="30" customWidth="1"/>
    <col min="14854" max="14855" width="12.42578125" style="30" customWidth="1"/>
    <col min="14856" max="14856" width="17.42578125" style="30" customWidth="1"/>
    <col min="14857" max="14857" width="0.85546875" style="30" customWidth="1"/>
    <col min="14858" max="14859" width="0.7109375" style="30" customWidth="1"/>
    <col min="14860" max="14860" width="0.5703125" style="30" customWidth="1"/>
    <col min="14861" max="15105" width="10.28515625" style="30"/>
    <col min="15106" max="15106" width="6" style="30" customWidth="1"/>
    <col min="15107" max="15107" width="30" style="30" customWidth="1"/>
    <col min="15108" max="15108" width="6.28515625" style="30" customWidth="1"/>
    <col min="15109" max="15109" width="9.5703125" style="30" customWidth="1"/>
    <col min="15110" max="15111" width="12.42578125" style="30" customWidth="1"/>
    <col min="15112" max="15112" width="17.42578125" style="30" customWidth="1"/>
    <col min="15113" max="15113" width="0.85546875" style="30" customWidth="1"/>
    <col min="15114" max="15115" width="0.7109375" style="30" customWidth="1"/>
    <col min="15116" max="15116" width="0.5703125" style="30" customWidth="1"/>
    <col min="15117" max="15361" width="10.28515625" style="30"/>
    <col min="15362" max="15362" width="6" style="30" customWidth="1"/>
    <col min="15363" max="15363" width="30" style="30" customWidth="1"/>
    <col min="15364" max="15364" width="6.28515625" style="30" customWidth="1"/>
    <col min="15365" max="15365" width="9.5703125" style="30" customWidth="1"/>
    <col min="15366" max="15367" width="12.42578125" style="30" customWidth="1"/>
    <col min="15368" max="15368" width="17.42578125" style="30" customWidth="1"/>
    <col min="15369" max="15369" width="0.85546875" style="30" customWidth="1"/>
    <col min="15370" max="15371" width="0.7109375" style="30" customWidth="1"/>
    <col min="15372" max="15372" width="0.5703125" style="30" customWidth="1"/>
    <col min="15373" max="15617" width="10.28515625" style="30"/>
    <col min="15618" max="15618" width="6" style="30" customWidth="1"/>
    <col min="15619" max="15619" width="30" style="30" customWidth="1"/>
    <col min="15620" max="15620" width="6.28515625" style="30" customWidth="1"/>
    <col min="15621" max="15621" width="9.5703125" style="30" customWidth="1"/>
    <col min="15622" max="15623" width="12.42578125" style="30" customWidth="1"/>
    <col min="15624" max="15624" width="17.42578125" style="30" customWidth="1"/>
    <col min="15625" max="15625" width="0.85546875" style="30" customWidth="1"/>
    <col min="15626" max="15627" width="0.7109375" style="30" customWidth="1"/>
    <col min="15628" max="15628" width="0.5703125" style="30" customWidth="1"/>
    <col min="15629" max="15873" width="10.28515625" style="30"/>
    <col min="15874" max="15874" width="6" style="30" customWidth="1"/>
    <col min="15875" max="15875" width="30" style="30" customWidth="1"/>
    <col min="15876" max="15876" width="6.28515625" style="30" customWidth="1"/>
    <col min="15877" max="15877" width="9.5703125" style="30" customWidth="1"/>
    <col min="15878" max="15879" width="12.42578125" style="30" customWidth="1"/>
    <col min="15880" max="15880" width="17.42578125" style="30" customWidth="1"/>
    <col min="15881" max="15881" width="0.85546875" style="30" customWidth="1"/>
    <col min="15882" max="15883" width="0.7109375" style="30" customWidth="1"/>
    <col min="15884" max="15884" width="0.5703125" style="30" customWidth="1"/>
    <col min="15885" max="16129" width="10.28515625" style="30"/>
    <col min="16130" max="16130" width="6" style="30" customWidth="1"/>
    <col min="16131" max="16131" width="30" style="30" customWidth="1"/>
    <col min="16132" max="16132" width="6.28515625" style="30" customWidth="1"/>
    <col min="16133" max="16133" width="9.5703125" style="30" customWidth="1"/>
    <col min="16134" max="16135" width="12.42578125" style="30" customWidth="1"/>
    <col min="16136" max="16136" width="17.42578125" style="30" customWidth="1"/>
    <col min="16137" max="16137" width="0.85546875" style="30" customWidth="1"/>
    <col min="16138" max="16139" width="0.7109375" style="30" customWidth="1"/>
    <col min="16140" max="16140" width="0.5703125" style="30" customWidth="1"/>
    <col min="16141" max="16384" width="10.28515625" style="30"/>
  </cols>
  <sheetData>
    <row r="1" spans="1:14" s="26" customFormat="1" ht="15.75" customHeight="1">
      <c r="A1" s="21" t="s">
        <v>230</v>
      </c>
      <c r="B1" s="21"/>
      <c r="C1" s="21"/>
      <c r="D1" s="21"/>
      <c r="E1" s="21"/>
      <c r="F1" s="22"/>
      <c r="G1" s="22"/>
      <c r="H1" s="21"/>
      <c r="I1" s="23"/>
      <c r="J1" s="276"/>
      <c r="K1" s="433"/>
      <c r="L1" s="24"/>
      <c r="M1" s="169"/>
      <c r="N1" s="25"/>
    </row>
    <row r="2" spans="1:14" s="26" customFormat="1" ht="15.75" customHeight="1">
      <c r="A2" s="21" t="s">
        <v>207</v>
      </c>
      <c r="B2" s="21"/>
      <c r="C2" s="21"/>
      <c r="D2" s="21"/>
      <c r="E2" s="21"/>
      <c r="F2" s="22"/>
      <c r="G2" s="22"/>
      <c r="H2" s="21"/>
      <c r="I2" s="23"/>
      <c r="J2" s="276"/>
      <c r="K2" s="433"/>
      <c r="L2" s="24"/>
      <c r="M2" s="169"/>
      <c r="N2" s="25"/>
    </row>
    <row r="3" spans="1:14" ht="13.5" customHeight="1">
      <c r="A3" s="1000" t="s">
        <v>232</v>
      </c>
      <c r="B3" s="1000"/>
      <c r="C3" s="1000"/>
      <c r="D3" s="1000"/>
      <c r="E3" s="1000"/>
      <c r="F3" s="1000"/>
      <c r="H3" s="27"/>
      <c r="I3" s="28"/>
    </row>
    <row r="4" spans="1:14" s="2" customFormat="1" ht="13.5" customHeight="1">
      <c r="A4" s="31" t="s">
        <v>1213</v>
      </c>
      <c r="B4" s="31"/>
      <c r="C4" s="32"/>
      <c r="D4" s="33"/>
      <c r="E4" s="33"/>
      <c r="F4" s="34" t="s">
        <v>1214</v>
      </c>
      <c r="G4" s="34"/>
      <c r="H4" s="29"/>
      <c r="J4" s="925" cm="1">
        <f t="array" aca="1" ref="J4:K4" ca="1">'5變(議價前)'!M3:N3</f>
        <v>45868</v>
      </c>
      <c r="K4" s="434">
        <f ca="1"/>
        <v>0</v>
      </c>
      <c r="M4" s="171"/>
      <c r="N4" s="35"/>
    </row>
    <row r="5" spans="1:14" s="43" customFormat="1" ht="30" customHeight="1">
      <c r="A5" s="36" t="s">
        <v>235</v>
      </c>
      <c r="B5" s="37" t="s">
        <v>1577</v>
      </c>
      <c r="C5" s="37" t="s">
        <v>3777</v>
      </c>
      <c r="D5" s="37" t="s">
        <v>3564</v>
      </c>
      <c r="E5" s="38" t="s">
        <v>1438</v>
      </c>
      <c r="F5" s="39" t="s">
        <v>221</v>
      </c>
      <c r="G5" s="39"/>
      <c r="H5" s="172" t="s">
        <v>1738</v>
      </c>
      <c r="I5" s="190" t="s">
        <v>1910</v>
      </c>
      <c r="J5" s="278" t="s">
        <v>3171</v>
      </c>
      <c r="K5" s="433"/>
      <c r="L5" s="42"/>
      <c r="M5" s="173"/>
      <c r="N5" s="35"/>
    </row>
    <row r="6" spans="1:14" ht="21.95" customHeight="1">
      <c r="A6" s="6" t="s">
        <v>10</v>
      </c>
      <c r="B6" s="7" t="s">
        <v>12</v>
      </c>
      <c r="C6" s="8" t="s">
        <v>4</v>
      </c>
      <c r="D6" s="44">
        <v>1</v>
      </c>
      <c r="E6" s="44"/>
      <c r="F6" s="45"/>
      <c r="G6" s="45"/>
      <c r="H6" s="44" t="s">
        <v>242</v>
      </c>
      <c r="I6" s="191" t="s">
        <v>243</v>
      </c>
      <c r="J6" s="200"/>
    </row>
    <row r="7" spans="1:14" ht="21.95" customHeight="1">
      <c r="A7" s="6" t="s">
        <v>206</v>
      </c>
      <c r="B7" s="7" t="s">
        <v>2</v>
      </c>
      <c r="C7" s="8" t="s">
        <v>4</v>
      </c>
      <c r="D7" s="44">
        <v>1</v>
      </c>
      <c r="E7" s="44"/>
      <c r="F7" s="45"/>
      <c r="G7" s="45"/>
      <c r="H7" s="44" t="s">
        <v>242</v>
      </c>
      <c r="I7" s="191" t="s">
        <v>243</v>
      </c>
      <c r="J7" s="200"/>
    </row>
    <row r="8" spans="1:14" ht="21.95" customHeight="1">
      <c r="A8" s="6" t="s">
        <v>40</v>
      </c>
      <c r="B8" s="7" t="s">
        <v>244</v>
      </c>
      <c r="C8" s="8" t="s">
        <v>4</v>
      </c>
      <c r="D8" s="44">
        <v>1</v>
      </c>
      <c r="E8" s="44"/>
      <c r="F8" s="45"/>
      <c r="G8" s="45"/>
      <c r="H8" s="44" t="s">
        <v>242</v>
      </c>
      <c r="I8" s="191" t="s">
        <v>243</v>
      </c>
      <c r="J8" s="200"/>
    </row>
    <row r="9" spans="1:14" ht="33" customHeight="1">
      <c r="A9" s="12" t="s">
        <v>41</v>
      </c>
      <c r="B9" s="10" t="s">
        <v>1215</v>
      </c>
      <c r="C9" s="8" t="s">
        <v>6</v>
      </c>
      <c r="D9" s="44">
        <v>720.24</v>
      </c>
      <c r="E9" s="44">
        <f>D9</f>
        <v>720.24</v>
      </c>
      <c r="F9" s="45" t="s">
        <v>1246</v>
      </c>
      <c r="G9" s="47" t="s">
        <v>1239</v>
      </c>
      <c r="H9" s="44">
        <f>(290*2*0.15*0.2+12*5*0.15*0.2)+(53*2*0.15*0.2+3*4*0.14*0.2)</f>
        <v>22.716000000000001</v>
      </c>
      <c r="I9" s="192">
        <f>SUM(H9:H15)</f>
        <v>719.80799999999999</v>
      </c>
      <c r="J9" s="279">
        <f>D9-E9</f>
        <v>0</v>
      </c>
      <c r="K9" s="433" t="s">
        <v>3815</v>
      </c>
      <c r="N9" s="49"/>
    </row>
    <row r="10" spans="1:14">
      <c r="A10" s="12"/>
      <c r="B10" s="10"/>
      <c r="C10" s="8"/>
      <c r="D10" s="44"/>
      <c r="E10" s="44"/>
      <c r="F10" s="45" t="s">
        <v>1233</v>
      </c>
      <c r="G10" s="47" t="s">
        <v>1238</v>
      </c>
      <c r="H10" s="44">
        <f>27.2*10.5*0.25</f>
        <v>71.399999999999991</v>
      </c>
      <c r="I10" s="192"/>
      <c r="J10" s="200"/>
      <c r="N10" s="49"/>
    </row>
    <row r="11" spans="1:14" ht="16.5" customHeight="1">
      <c r="A11" s="12"/>
      <c r="B11" s="10"/>
      <c r="C11" s="8"/>
      <c r="D11" s="44"/>
      <c r="E11" s="44"/>
      <c r="F11" s="45" t="s">
        <v>1231</v>
      </c>
      <c r="G11" s="47" t="s">
        <v>3278</v>
      </c>
      <c r="H11" s="44">
        <f>11.5*(7.5+4.5)/2*0.25</f>
        <v>17.25</v>
      </c>
      <c r="I11" s="191"/>
      <c r="J11" s="200"/>
      <c r="N11" s="49"/>
    </row>
    <row r="12" spans="1:14" ht="32.25" customHeight="1">
      <c r="A12" s="12"/>
      <c r="B12" s="10"/>
      <c r="C12" s="8"/>
      <c r="D12" s="44"/>
      <c r="E12" s="44"/>
      <c r="F12" s="80" t="s">
        <v>3140</v>
      </c>
      <c r="G12" s="807" t="s">
        <v>3143</v>
      </c>
      <c r="H12" s="44">
        <f>(77.5+169.3+170.9+49.4)*0.2</f>
        <v>93.420000000000016</v>
      </c>
      <c r="I12" s="191"/>
      <c r="J12" s="200"/>
      <c r="N12" s="49"/>
    </row>
    <row r="13" spans="1:14" ht="16.5" customHeight="1">
      <c r="A13" s="12"/>
      <c r="B13" s="10"/>
      <c r="C13" s="8"/>
      <c r="D13" s="44"/>
      <c r="E13" s="44"/>
      <c r="F13" s="45" t="s">
        <v>1240</v>
      </c>
      <c r="G13" s="47" t="s">
        <v>3277</v>
      </c>
      <c r="H13" s="44">
        <f>10.8*(7.5+9.5)/2*0.25</f>
        <v>22.950000000000003</v>
      </c>
      <c r="I13" s="191"/>
      <c r="J13" s="200"/>
      <c r="N13" s="49"/>
    </row>
    <row r="14" spans="1:14" ht="33" customHeight="1">
      <c r="A14" s="226"/>
      <c r="B14" s="231"/>
      <c r="C14" s="228"/>
      <c r="D14" s="229"/>
      <c r="E14" s="229"/>
      <c r="F14" s="230" t="s">
        <v>3142</v>
      </c>
      <c r="G14" s="806" t="s">
        <v>3141</v>
      </c>
      <c r="H14" s="229">
        <f>(605.74+547.65+571.09+245.16+490.72)*0.2</f>
        <v>492.07200000000006</v>
      </c>
      <c r="I14" s="241"/>
      <c r="J14" s="92"/>
      <c r="N14" s="49"/>
    </row>
    <row r="15" spans="1:14" ht="16.5" customHeight="1">
      <c r="A15" s="12"/>
      <c r="B15" s="10"/>
      <c r="C15" s="8"/>
      <c r="D15" s="44"/>
      <c r="E15" s="44"/>
      <c r="F15" s="45"/>
      <c r="G15" s="47"/>
      <c r="H15" s="44"/>
      <c r="I15" s="191"/>
      <c r="J15" s="200"/>
      <c r="N15" s="49"/>
    </row>
    <row r="16" spans="1:14" ht="36" customHeight="1">
      <c r="A16" s="12" t="s">
        <v>42</v>
      </c>
      <c r="B16" s="10" t="s">
        <v>1611</v>
      </c>
      <c r="C16" s="8" t="s">
        <v>6</v>
      </c>
      <c r="D16" s="44">
        <v>4813.4399999999996</v>
      </c>
      <c r="E16" s="44">
        <v>4813.4399999999996</v>
      </c>
      <c r="F16" s="45" t="s">
        <v>1273</v>
      </c>
      <c r="G16" s="47" t="s">
        <v>1232</v>
      </c>
      <c r="H16" s="44">
        <f>(1.2*0.5*8*39)+(1.2*0.5*8*7)</f>
        <v>220.79999999999998</v>
      </c>
      <c r="I16" s="192">
        <f>SUM(H16:H36)</f>
        <v>4813.651208799999</v>
      </c>
      <c r="J16" s="279">
        <v>0</v>
      </c>
      <c r="N16" s="49"/>
    </row>
    <row r="17" spans="1:14" ht="52.5" customHeight="1">
      <c r="A17" s="12"/>
      <c r="B17" s="7"/>
      <c r="C17" s="8"/>
      <c r="D17" s="44"/>
      <c r="E17" s="44"/>
      <c r="F17" s="45" t="s">
        <v>1244</v>
      </c>
      <c r="G17" s="47" t="s">
        <v>1262</v>
      </c>
      <c r="H17" s="44">
        <f>((27.2*10.3*0.3+0.3*1.1*27.2*2)+(13.2*1.25*0.6*7*2)+(6.8*1.25*0.5*7)+(((1.9+0.8)/2*1.2*7.8)+1.9*2.5*1.2)+((1.25*1.25*3.14*3.6)))</f>
        <v>306.34850000000006</v>
      </c>
      <c r="I17" s="191"/>
      <c r="J17" s="200"/>
      <c r="N17" s="49"/>
    </row>
    <row r="18" spans="1:14" ht="33" customHeight="1">
      <c r="A18" s="12"/>
      <c r="B18" s="7"/>
      <c r="C18" s="8"/>
      <c r="D18" s="44"/>
      <c r="E18" s="44"/>
      <c r="F18" s="45" t="s">
        <v>1245</v>
      </c>
      <c r="G18" s="52" t="s">
        <v>1263</v>
      </c>
      <c r="H18" s="44">
        <f>(10.3*1.8*4.2+10.3*1.8*2.8)*2+(10.3*2.8*1.8)*2+((60.65*(3.9+2.2)/2*0.55)+(10.3*3.9*0.6))</f>
        <v>489.22637500000008</v>
      </c>
      <c r="I18" s="191"/>
      <c r="J18" s="200"/>
      <c r="N18" s="49"/>
    </row>
    <row r="19" spans="1:14" ht="33" customHeight="1">
      <c r="A19" s="12"/>
      <c r="B19" s="7"/>
      <c r="C19" s="8"/>
      <c r="D19" s="44"/>
      <c r="E19" s="44"/>
      <c r="F19" s="45" t="s">
        <v>1243</v>
      </c>
      <c r="G19" s="47" t="s">
        <v>1277</v>
      </c>
      <c r="H19" s="44">
        <f>((3.75*(0.3+0.6)/2*63.7)+(5.5*0.85*63.7))+(26.8*7*0.6+18.5*7*0.35)</f>
        <v>563.17624999999998</v>
      </c>
      <c r="I19" s="191"/>
      <c r="J19" s="200"/>
      <c r="N19" s="49"/>
    </row>
    <row r="20" spans="1:14" ht="49.5" customHeight="1">
      <c r="A20" s="12"/>
      <c r="B20" s="7"/>
      <c r="C20" s="8"/>
      <c r="D20" s="44"/>
      <c r="E20" s="44"/>
      <c r="F20" s="45" t="s">
        <v>1242</v>
      </c>
      <c r="G20" s="807" t="s">
        <v>3276</v>
      </c>
      <c r="H20" s="44">
        <f>((19.3*0.52*0.8*4)+(19.3*7.2*0.3)+(6.8*2.2*0.8*2)+(9.5*3*0.8+9.5*1.8*0.3)+(17.8*0.55*2.8*2))</f>
        <v>180.49320000000003</v>
      </c>
      <c r="I20" s="191"/>
      <c r="J20" s="200"/>
      <c r="N20" s="49"/>
    </row>
    <row r="21" spans="1:14" ht="33" customHeight="1">
      <c r="A21" s="12"/>
      <c r="B21" s="7"/>
      <c r="C21" s="8"/>
      <c r="D21" s="44"/>
      <c r="E21" s="44"/>
      <c r="F21" s="45" t="s">
        <v>1248</v>
      </c>
      <c r="G21" s="45" t="s">
        <v>1249</v>
      </c>
      <c r="H21" s="44">
        <f>((0.9*0.25*80)+(1.25*0.25*263)+(1.15*0.2*263+0.5*0.5*1.05*31))</f>
        <v>168.815</v>
      </c>
      <c r="I21" s="191"/>
      <c r="J21" s="200"/>
      <c r="N21" s="49"/>
    </row>
    <row r="22" spans="1:14" ht="16.5" customHeight="1">
      <c r="A22" s="12"/>
      <c r="B22" s="7"/>
      <c r="C22" s="8"/>
      <c r="D22" s="44"/>
      <c r="E22" s="44"/>
      <c r="F22" s="45" t="s">
        <v>1274</v>
      </c>
      <c r="G22" s="45" t="s">
        <v>1247</v>
      </c>
      <c r="H22" s="44">
        <f>((1.1*0.8-(0.04*0.04*3.14*6))*263+(1.15*5))</f>
        <v>229.26212800000005</v>
      </c>
      <c r="I22" s="191"/>
      <c r="J22" s="200"/>
      <c r="N22" s="49"/>
    </row>
    <row r="23" spans="1:14" ht="16.5" customHeight="1">
      <c r="A23" s="12"/>
      <c r="B23" s="7"/>
      <c r="C23" s="8"/>
      <c r="D23" s="44"/>
      <c r="E23" s="44"/>
      <c r="F23" s="45" t="s">
        <v>1276</v>
      </c>
      <c r="G23" s="45" t="s">
        <v>1275</v>
      </c>
      <c r="H23" s="44">
        <f>((2.1*2.4)-(1.5*1.75))*25.7+(2.1*1.25*0.6)</f>
        <v>63.640500000000003</v>
      </c>
      <c r="I23" s="191"/>
      <c r="J23" s="200"/>
      <c r="N23" s="49"/>
    </row>
    <row r="24" spans="1:14" ht="16.5" customHeight="1">
      <c r="A24" s="12"/>
      <c r="B24" s="7"/>
      <c r="C24" s="8"/>
      <c r="D24" s="44"/>
      <c r="E24" s="44"/>
      <c r="F24" s="45" t="s">
        <v>1250</v>
      </c>
      <c r="G24" s="45" t="s">
        <v>1265</v>
      </c>
      <c r="H24" s="44">
        <f>((3.75*(0.3+0.6)/2*35.65)+(5.5*0.85*35.65))</f>
        <v>226.82312499999998</v>
      </c>
      <c r="I24" s="191"/>
      <c r="J24" s="200"/>
      <c r="N24" s="49"/>
    </row>
    <row r="25" spans="1:14" ht="33" customHeight="1">
      <c r="A25" s="12"/>
      <c r="B25" s="7"/>
      <c r="C25" s="8"/>
      <c r="D25" s="44"/>
      <c r="E25" s="44"/>
      <c r="F25" s="45" t="s">
        <v>1251</v>
      </c>
      <c r="G25" s="45" t="s">
        <v>1253</v>
      </c>
      <c r="H25" s="44">
        <f>((3.75*(0.3+0.6)/2*6.7)+(2.1*0.6*18.7)+(0.35*1.5*18.7)+(0.35*3.75*3.2))</f>
        <v>48.885749999999994</v>
      </c>
      <c r="I25" s="191"/>
      <c r="J25" s="200"/>
      <c r="N25" s="49"/>
    </row>
    <row r="26" spans="1:14" ht="32.25" customHeight="1">
      <c r="A26" s="12"/>
      <c r="B26" s="7"/>
      <c r="C26" s="8"/>
      <c r="D26" s="44"/>
      <c r="E26" s="44"/>
      <c r="F26" s="45" t="s">
        <v>3280</v>
      </c>
      <c r="G26" s="45" t="s">
        <v>3283</v>
      </c>
      <c r="H26" s="44">
        <f>(102.7+276.9+247.7+0+115.1+172.9)*0.525+12.33*21.9</f>
        <v>750.55949999999996</v>
      </c>
      <c r="I26" s="191"/>
      <c r="J26" s="200"/>
      <c r="N26" s="49"/>
    </row>
    <row r="27" spans="1:14" ht="33" customHeight="1">
      <c r="A27" s="12"/>
      <c r="B27" s="7"/>
      <c r="C27" s="8"/>
      <c r="D27" s="44"/>
      <c r="E27" s="44"/>
      <c r="F27" s="45" t="s">
        <v>1252</v>
      </c>
      <c r="G27" s="45" t="s">
        <v>1264</v>
      </c>
      <c r="H27" s="44">
        <f>(1.1*0.35*196.3)+((0.38*0.38*3.14-0.3*0.3*3.14)*196.3)+2.85*2</f>
        <v>114.80668080000002</v>
      </c>
      <c r="I27" s="191"/>
      <c r="J27" s="200"/>
      <c r="N27" s="49"/>
    </row>
    <row r="28" spans="1:14" ht="16.5" customHeight="1">
      <c r="A28" s="12"/>
      <c r="B28" s="7"/>
      <c r="C28" s="8"/>
      <c r="D28" s="44"/>
      <c r="E28" s="44"/>
      <c r="F28" s="45" t="s">
        <v>3272</v>
      </c>
      <c r="G28" s="80" t="s">
        <v>1260</v>
      </c>
      <c r="H28" s="44">
        <f>(401.1+1104.5+1276+169.3+767.7+52.1)*0.3</f>
        <v>1131.21</v>
      </c>
      <c r="I28" s="191"/>
      <c r="J28" s="200"/>
      <c r="N28" s="49"/>
    </row>
    <row r="29" spans="1:14" ht="16.5" customHeight="1">
      <c r="A29" s="12"/>
      <c r="B29" s="7"/>
      <c r="C29" s="8"/>
      <c r="D29" s="44"/>
      <c r="E29" s="44"/>
      <c r="F29" s="45" t="s">
        <v>3273</v>
      </c>
      <c r="G29" s="80" t="s">
        <v>1259</v>
      </c>
      <c r="H29" s="44">
        <f>(77.5+169.3+170.9+49.4)*0.25</f>
        <v>116.77500000000001</v>
      </c>
      <c r="I29" s="191"/>
      <c r="J29" s="200"/>
      <c r="N29" s="49"/>
    </row>
    <row r="30" spans="1:14" ht="33" customHeight="1">
      <c r="A30" s="12"/>
      <c r="B30" s="7"/>
      <c r="C30" s="8"/>
      <c r="D30" s="44"/>
      <c r="E30" s="44"/>
      <c r="F30" s="45" t="s">
        <v>3274</v>
      </c>
      <c r="G30" s="80" t="s">
        <v>1268</v>
      </c>
      <c r="H30" s="44">
        <f>((112.1+241.1+229.5+0+60.8+0)*0.033)+((3+8+5.7+2.9)*0.5*0.75)</f>
        <v>28.585500000000003</v>
      </c>
      <c r="I30" s="191"/>
      <c r="J30" s="200"/>
      <c r="N30" s="49"/>
    </row>
    <row r="31" spans="1:14" ht="16.5" customHeight="1">
      <c r="A31" s="12"/>
      <c r="B31" s="7"/>
      <c r="C31" s="8"/>
      <c r="D31" s="44"/>
      <c r="E31" s="44"/>
      <c r="F31" s="45" t="s">
        <v>1271</v>
      </c>
      <c r="G31" s="45" t="s">
        <v>1272</v>
      </c>
      <c r="H31" s="44">
        <f>(0.8*(0.75+0.35)/2*18.2)+(0.8*0.8*1.45*7)</f>
        <v>14.504000000000001</v>
      </c>
      <c r="I31" s="191"/>
      <c r="J31" s="200"/>
      <c r="N31" s="49"/>
    </row>
    <row r="32" spans="1:14" ht="33" customHeight="1">
      <c r="A32" s="12"/>
      <c r="B32" s="7"/>
      <c r="C32" s="8"/>
      <c r="D32" s="44"/>
      <c r="E32" s="44"/>
      <c r="F32" s="45" t="s">
        <v>1269</v>
      </c>
      <c r="G32" s="45" t="s">
        <v>1270</v>
      </c>
      <c r="H32" s="44">
        <f>(0.25*1.65*39)+((3.5*(0.3+0.6)/2*5.6)+(2.1*0.6*2.3))+(6.2*5.3*0.35+2.1*2.2*0.6)</f>
        <v>42.078499999999991</v>
      </c>
      <c r="I32" s="191"/>
      <c r="J32" s="200"/>
      <c r="N32" s="49"/>
    </row>
    <row r="33" spans="1:14" ht="16.5" customHeight="1">
      <c r="A33" s="12"/>
      <c r="B33" s="7"/>
      <c r="C33" s="8"/>
      <c r="D33" s="44"/>
      <c r="E33" s="44"/>
      <c r="F33" s="45" t="s">
        <v>3268</v>
      </c>
      <c r="G33" s="45" t="s">
        <v>3279</v>
      </c>
      <c r="H33" s="44">
        <f>0.2*0.2*33.7</f>
        <v>1.3480000000000003</v>
      </c>
      <c r="I33" s="191"/>
      <c r="J33" s="200"/>
      <c r="N33" s="49"/>
    </row>
    <row r="34" spans="1:14" ht="16.5" customHeight="1">
      <c r="A34" s="12"/>
      <c r="B34" s="7"/>
      <c r="C34" s="8"/>
      <c r="D34" s="44"/>
      <c r="E34" s="44"/>
      <c r="F34" s="45" t="s">
        <v>3269</v>
      </c>
      <c r="G34" s="45" t="s">
        <v>3271</v>
      </c>
      <c r="H34" s="44">
        <f>11.7*4.8*0.5</f>
        <v>28.08</v>
      </c>
      <c r="I34" s="191"/>
      <c r="J34" s="200"/>
      <c r="N34" s="49"/>
    </row>
    <row r="35" spans="1:14" ht="16.5" customHeight="1">
      <c r="A35" s="12"/>
      <c r="B35" s="7"/>
      <c r="C35" s="8"/>
      <c r="D35" s="44"/>
      <c r="E35" s="44"/>
      <c r="F35" s="45" t="s">
        <v>3270</v>
      </c>
      <c r="G35" s="45" t="s">
        <v>3275</v>
      </c>
      <c r="H35" s="44">
        <f>0.15*0.15*3.14*4*2+4*4*2</f>
        <v>32.565199999999997</v>
      </c>
      <c r="I35" s="191"/>
      <c r="J35" s="200"/>
      <c r="N35" s="49"/>
    </row>
    <row r="36" spans="1:14" ht="16.5" customHeight="1">
      <c r="A36" s="226"/>
      <c r="B36" s="227"/>
      <c r="C36" s="228"/>
      <c r="D36" s="229"/>
      <c r="E36" s="229"/>
      <c r="F36" s="230" t="s">
        <v>3652</v>
      </c>
      <c r="G36" s="230" t="s">
        <v>3282</v>
      </c>
      <c r="H36" s="229">
        <f>3.3*4.2*0.8+5*16.6*0.5+1.1*2.8</f>
        <v>55.667999999999999</v>
      </c>
      <c r="I36" s="241"/>
      <c r="J36" s="92"/>
      <c r="N36" s="49"/>
    </row>
    <row r="37" spans="1:14" ht="30.75" customHeight="1">
      <c r="A37" s="12" t="s">
        <v>43</v>
      </c>
      <c r="B37" s="7" t="s">
        <v>249</v>
      </c>
      <c r="C37" s="8" t="s">
        <v>8</v>
      </c>
      <c r="D37" s="44">
        <v>1743</v>
      </c>
      <c r="E37" s="44">
        <f>I37</f>
        <v>1810.3000000000002</v>
      </c>
      <c r="F37" s="45" t="s">
        <v>1235</v>
      </c>
      <c r="G37" s="47" t="s">
        <v>1236</v>
      </c>
      <c r="H37" s="44">
        <f>(27.2*16+10.5*6)+(1.25*6*12*5)+(2.3*6*7*2)+(3.8*6+5.2*8)+(2.5*3.14*6)</f>
        <v>1252.9000000000001</v>
      </c>
      <c r="I37" s="192">
        <f>H37+H38+H39</f>
        <v>1810.3000000000002</v>
      </c>
      <c r="J37" s="279">
        <f>I37-D37</f>
        <v>67.300000000000182</v>
      </c>
      <c r="K37" s="434" t="s">
        <v>2483</v>
      </c>
      <c r="N37" s="49"/>
    </row>
    <row r="38" spans="1:14" ht="16.5" customHeight="1">
      <c r="A38" s="12"/>
      <c r="B38" s="7"/>
      <c r="C38" s="8"/>
      <c r="D38" s="44"/>
      <c r="E38" s="44"/>
      <c r="F38" s="45" t="s">
        <v>1281</v>
      </c>
      <c r="G38" s="47" t="s">
        <v>1280</v>
      </c>
      <c r="H38" s="44">
        <f>18*12+8.5*4+(1.1*6*12*3+0.8)+(3*2)</f>
        <v>494.40000000000003</v>
      </c>
      <c r="I38" s="191"/>
      <c r="J38" s="200"/>
      <c r="N38" s="49"/>
    </row>
    <row r="39" spans="1:14" ht="38.25" customHeight="1">
      <c r="A39" s="12"/>
      <c r="B39" s="7"/>
      <c r="C39" s="8"/>
      <c r="D39" s="44"/>
      <c r="E39" s="44"/>
      <c r="F39" s="45" t="s">
        <v>3785</v>
      </c>
      <c r="G39" s="47" t="s">
        <v>3786</v>
      </c>
      <c r="H39" s="44">
        <v>63</v>
      </c>
      <c r="I39" s="191"/>
      <c r="J39" s="200"/>
      <c r="N39" s="49"/>
    </row>
    <row r="40" spans="1:14" ht="38.25" customHeight="1">
      <c r="A40" s="12" t="s">
        <v>44</v>
      </c>
      <c r="B40" s="53" t="s">
        <v>229</v>
      </c>
      <c r="C40" s="8" t="s">
        <v>23</v>
      </c>
      <c r="D40" s="44">
        <v>28009.56</v>
      </c>
      <c r="E40" s="44">
        <f>I40</f>
        <v>27495.636704000004</v>
      </c>
      <c r="F40" s="45" t="s">
        <v>1278</v>
      </c>
      <c r="G40" s="807" t="s">
        <v>1278</v>
      </c>
      <c r="H40" s="79">
        <v>26370</v>
      </c>
      <c r="I40" s="192">
        <f>SUM(H40:H43)</f>
        <v>27495.636704000004</v>
      </c>
      <c r="J40" s="279">
        <f>E40-D40</f>
        <v>-513.92329599999721</v>
      </c>
      <c r="N40" s="49"/>
    </row>
    <row r="41" spans="1:14" ht="33" customHeight="1">
      <c r="A41" s="12"/>
      <c r="B41" s="7"/>
      <c r="C41" s="8"/>
      <c r="D41" s="44"/>
      <c r="E41" s="44"/>
      <c r="F41" s="45" t="s">
        <v>1286</v>
      </c>
      <c r="G41" s="47" t="s">
        <v>1287</v>
      </c>
      <c r="H41" s="44">
        <f>((5*6*6.5*2)+(13*3.5*6.8)+(3.2*8.5*1.6))+((747.2+149.44))</f>
        <v>1639.56</v>
      </c>
      <c r="I41" s="191"/>
      <c r="J41" s="200"/>
      <c r="N41" s="49"/>
    </row>
    <row r="42" spans="1:14" ht="16.5" customHeight="1">
      <c r="A42" s="12"/>
      <c r="B42" s="7"/>
      <c r="C42" s="8"/>
      <c r="D42" s="44"/>
      <c r="E42" s="44"/>
      <c r="F42" s="50" t="s">
        <v>2718</v>
      </c>
      <c r="G42" s="51" t="s">
        <v>2688</v>
      </c>
      <c r="H42" s="54">
        <f>-(280-60)*7.35*0.3</f>
        <v>-485.09999999999997</v>
      </c>
      <c r="I42" s="191"/>
      <c r="J42" s="200"/>
      <c r="N42" s="49"/>
    </row>
    <row r="43" spans="1:14" ht="16.5" customHeight="1">
      <c r="A43" s="12"/>
      <c r="B43" s="7"/>
      <c r="C43" s="8"/>
      <c r="D43" s="44"/>
      <c r="E43" s="44"/>
      <c r="F43" s="748" t="s">
        <v>2978</v>
      </c>
      <c r="G43" s="763" t="s">
        <v>3281</v>
      </c>
      <c r="H43" s="54">
        <f>-(0.32*0.32*3.14*36+0.25*0.25*3.14*59.2+3.1+2.53)</f>
        <v>-28.823296000000006</v>
      </c>
      <c r="I43" s="191"/>
      <c r="J43" s="200"/>
      <c r="N43" s="49"/>
    </row>
    <row r="44" spans="1:14" ht="16.5" customHeight="1">
      <c r="A44" s="269"/>
      <c r="B44" s="270"/>
      <c r="C44" s="271"/>
      <c r="D44" s="272"/>
      <c r="E44" s="272"/>
      <c r="F44" s="272"/>
      <c r="G44" s="761"/>
      <c r="H44" s="548"/>
      <c r="I44" s="274"/>
      <c r="J44" s="92"/>
      <c r="N44" s="49"/>
    </row>
    <row r="45" spans="1:14" ht="49.5">
      <c r="A45" s="12" t="s">
        <v>45</v>
      </c>
      <c r="B45" s="10" t="s">
        <v>252</v>
      </c>
      <c r="C45" s="8" t="s">
        <v>6</v>
      </c>
      <c r="D45" s="44">
        <v>4726.67</v>
      </c>
      <c r="E45" s="44">
        <f>I45</f>
        <v>1650.6334999999999</v>
      </c>
      <c r="F45" s="45" t="s">
        <v>3484</v>
      </c>
      <c r="G45" s="45" t="s">
        <v>3998</v>
      </c>
      <c r="H45" s="44">
        <f>719.81+2373.53*0.05+8121.47*0.1</f>
        <v>1650.6334999999999</v>
      </c>
      <c r="I45" s="192">
        <f>H45+H46</f>
        <v>1650.6334999999999</v>
      </c>
      <c r="J45" s="279">
        <f>E45-D45</f>
        <v>-3076.0365000000002</v>
      </c>
      <c r="K45" s="433" t="s">
        <v>3488</v>
      </c>
      <c r="N45" s="49"/>
    </row>
    <row r="46" spans="1:14">
      <c r="A46" s="12"/>
      <c r="B46" s="7"/>
      <c r="C46" s="8"/>
      <c r="D46" s="44"/>
      <c r="E46" s="44"/>
      <c r="F46" s="45"/>
      <c r="G46" s="45"/>
      <c r="H46" s="44"/>
      <c r="I46" s="191"/>
      <c r="J46" s="200"/>
      <c r="M46" s="30"/>
      <c r="N46" s="49"/>
    </row>
    <row r="47" spans="1:14">
      <c r="A47" s="12"/>
      <c r="B47" s="7"/>
      <c r="C47" s="8"/>
      <c r="D47" s="44"/>
      <c r="E47" s="44"/>
      <c r="F47" s="45"/>
      <c r="G47" s="45"/>
      <c r="H47" s="44"/>
      <c r="I47" s="191"/>
      <c r="J47" s="200"/>
      <c r="M47" s="30"/>
      <c r="N47" s="49"/>
    </row>
    <row r="48" spans="1:14">
      <c r="A48" s="12" t="s">
        <v>254</v>
      </c>
      <c r="B48" s="7" t="s">
        <v>255</v>
      </c>
      <c r="C48" s="8" t="s">
        <v>6</v>
      </c>
      <c r="D48" s="44">
        <v>13120</v>
      </c>
      <c r="E48" s="44">
        <f>I48</f>
        <v>15845.924402500001</v>
      </c>
      <c r="F48" s="45"/>
      <c r="G48" s="45" t="s">
        <v>2907</v>
      </c>
      <c r="H48" s="44">
        <f>ROUND(9083/0.9*1.3,0)</f>
        <v>13120</v>
      </c>
      <c r="I48" s="192">
        <f>SUM(H48:H54)</f>
        <v>15845.924402500001</v>
      </c>
      <c r="J48" s="279">
        <f>SUM(H48:H54)-D48</f>
        <v>2725.9244025000007</v>
      </c>
      <c r="K48" s="433" t="s">
        <v>3489</v>
      </c>
      <c r="N48" s="49"/>
    </row>
    <row r="49" spans="1:14" ht="33">
      <c r="A49" s="226"/>
      <c r="B49" s="227"/>
      <c r="C49" s="228"/>
      <c r="D49" s="229"/>
      <c r="E49" s="229"/>
      <c r="F49" s="45" t="s">
        <v>2897</v>
      </c>
      <c r="G49" s="230" t="s">
        <v>1287</v>
      </c>
      <c r="H49" s="229">
        <f>((5*6*6.5*2)+(13*3.5*6.8)+(3.2*8.5*1.6))+((747.2+149.44))</f>
        <v>1639.56</v>
      </c>
      <c r="I49" s="191"/>
      <c r="J49" s="200"/>
      <c r="N49" s="49"/>
    </row>
    <row r="50" spans="1:14">
      <c r="A50" s="269"/>
      <c r="B50" s="270"/>
      <c r="C50" s="271"/>
      <c r="D50" s="272"/>
      <c r="E50" s="272"/>
      <c r="F50" s="273" t="s">
        <v>3284</v>
      </c>
      <c r="G50" s="273" t="s">
        <v>2973</v>
      </c>
      <c r="H50" s="272">
        <f>3.6*2/2*24.3+3.8*26.2/2</f>
        <v>137.26</v>
      </c>
      <c r="I50" s="274"/>
      <c r="J50" s="92"/>
      <c r="N50" s="49"/>
    </row>
    <row r="51" spans="1:14">
      <c r="A51" s="226"/>
      <c r="B51" s="227"/>
      <c r="C51" s="228"/>
      <c r="D51" s="229"/>
      <c r="E51" s="229"/>
      <c r="F51" s="230" t="s">
        <v>2899</v>
      </c>
      <c r="G51" s="230" t="s">
        <v>2980</v>
      </c>
      <c r="H51" s="229">
        <f>(5.46*7.42/2-5.46*3.71/2)*52.3</f>
        <v>529.71008999999992</v>
      </c>
      <c r="I51" s="191"/>
      <c r="J51" s="200"/>
      <c r="N51" s="49"/>
    </row>
    <row r="52" spans="1:14">
      <c r="A52" s="269"/>
      <c r="B52" s="270"/>
      <c r="C52" s="271"/>
      <c r="D52" s="272"/>
      <c r="E52" s="272"/>
      <c r="F52" s="749" t="s">
        <v>2692</v>
      </c>
      <c r="G52" s="273" t="s">
        <v>2901</v>
      </c>
      <c r="H52" s="272">
        <v>331.5</v>
      </c>
      <c r="I52" s="274"/>
      <c r="J52" s="92"/>
      <c r="N52" s="49"/>
    </row>
    <row r="53" spans="1:14">
      <c r="A53" s="12"/>
      <c r="B53" s="7"/>
      <c r="C53" s="8"/>
      <c r="D53" s="44"/>
      <c r="E53" s="44"/>
      <c r="F53" s="750" t="s">
        <v>2902</v>
      </c>
      <c r="G53" s="45" t="s">
        <v>2690</v>
      </c>
      <c r="H53" s="44">
        <f>(3.9625*21.55-1*1)*0.7</f>
        <v>59.074312499999998</v>
      </c>
      <c r="I53" s="191"/>
      <c r="J53" s="200"/>
      <c r="N53" s="49"/>
    </row>
    <row r="54" spans="1:14" ht="33">
      <c r="A54" s="269"/>
      <c r="B54" s="270"/>
      <c r="C54" s="271"/>
      <c r="D54" s="272"/>
      <c r="E54" s="272"/>
      <c r="F54" s="748" t="s">
        <v>2691</v>
      </c>
      <c r="G54" s="51" t="s">
        <v>3372</v>
      </c>
      <c r="H54" s="54">
        <f>ROUND((0.32*0.32*3.14*36+0.25*0.25*3.14*59.2+1*1*3.1+1*1*2.53),2)</f>
        <v>28.82</v>
      </c>
      <c r="I54" s="274"/>
      <c r="J54" s="92"/>
      <c r="N54" s="49"/>
    </row>
    <row r="55" spans="1:14" ht="29.25" customHeight="1">
      <c r="A55" s="12" t="s">
        <v>257</v>
      </c>
      <c r="B55" s="7" t="s">
        <v>258</v>
      </c>
      <c r="C55" s="8" t="s">
        <v>23</v>
      </c>
      <c r="D55" s="44">
        <v>13251</v>
      </c>
      <c r="E55" s="44">
        <v>18244.919999999998</v>
      </c>
      <c r="F55" s="45" t="s">
        <v>1283</v>
      </c>
      <c r="G55" s="45">
        <v>13251</v>
      </c>
      <c r="H55" s="44">
        <v>13251</v>
      </c>
      <c r="I55" s="192">
        <f>ROUND(SUM(H55:H58),2)</f>
        <v>18244.919999999998</v>
      </c>
      <c r="J55" s="279">
        <v>0</v>
      </c>
      <c r="K55" s="747">
        <f>I55-D55</f>
        <v>4993.9199999999983</v>
      </c>
      <c r="N55" s="49"/>
    </row>
    <row r="56" spans="1:14" ht="29.25" customHeight="1">
      <c r="A56" s="269"/>
      <c r="B56" s="270"/>
      <c r="C56" s="271"/>
      <c r="D56" s="272"/>
      <c r="E56" s="272" t="s">
        <v>3020</v>
      </c>
      <c r="F56" s="273" t="s">
        <v>3001</v>
      </c>
      <c r="G56" s="273" t="s">
        <v>3003</v>
      </c>
      <c r="H56" s="272">
        <f>4813.44-212</f>
        <v>4601.4399999999996</v>
      </c>
      <c r="I56" s="287"/>
      <c r="J56" s="92"/>
      <c r="N56" s="49"/>
    </row>
    <row r="57" spans="1:14" ht="29.25" customHeight="1">
      <c r="A57" s="269"/>
      <c r="B57" s="270"/>
      <c r="C57" s="271"/>
      <c r="D57" s="272"/>
      <c r="E57" s="272" t="s">
        <v>2656</v>
      </c>
      <c r="F57" s="273" t="s">
        <v>3011</v>
      </c>
      <c r="G57" s="273" t="s">
        <v>2969</v>
      </c>
      <c r="H57" s="272">
        <f>ROUND(0.3*0.3*3.14*10*57.108,2)</f>
        <v>161.38999999999999</v>
      </c>
      <c r="I57" s="287"/>
      <c r="J57" s="92"/>
      <c r="N57" s="49"/>
    </row>
    <row r="58" spans="1:14" ht="29.25" customHeight="1">
      <c r="A58" s="269"/>
      <c r="B58" s="270"/>
      <c r="C58" s="271"/>
      <c r="D58" s="272"/>
      <c r="E58" s="272" t="s">
        <v>2655</v>
      </c>
      <c r="F58" s="10" t="s">
        <v>205</v>
      </c>
      <c r="G58" s="273">
        <v>231.09</v>
      </c>
      <c r="H58" s="272">
        <v>231.09</v>
      </c>
      <c r="I58" s="287"/>
      <c r="J58" s="92"/>
      <c r="N58" s="49"/>
    </row>
    <row r="59" spans="1:14" ht="39" customHeight="1">
      <c r="A59" s="269"/>
      <c r="B59" s="270"/>
      <c r="C59" s="271"/>
      <c r="D59" s="272"/>
      <c r="E59" s="272" t="s">
        <v>3023</v>
      </c>
      <c r="F59" s="273" t="s">
        <v>3014</v>
      </c>
      <c r="G59" s="273" t="s">
        <v>3485</v>
      </c>
      <c r="H59" s="272">
        <f>ROUND(322/30*35,2)</f>
        <v>375.67</v>
      </c>
      <c r="I59" s="287"/>
      <c r="J59" s="92"/>
      <c r="N59" s="49"/>
    </row>
    <row r="60" spans="1:14" ht="33">
      <c r="A60" s="12" t="s">
        <v>260</v>
      </c>
      <c r="B60" s="10" t="s">
        <v>3000</v>
      </c>
      <c r="C60" s="8" t="s">
        <v>6</v>
      </c>
      <c r="D60" s="44">
        <v>4601.4399999999996</v>
      </c>
      <c r="E60" s="44">
        <v>0</v>
      </c>
      <c r="F60" s="45" t="s">
        <v>3004</v>
      </c>
      <c r="G60" s="50" t="s">
        <v>3002</v>
      </c>
      <c r="H60" s="44">
        <v>0</v>
      </c>
      <c r="I60" s="765" t="s">
        <v>3005</v>
      </c>
      <c r="J60" s="200"/>
      <c r="K60" s="433" t="s">
        <v>2483</v>
      </c>
      <c r="N60" s="49"/>
    </row>
    <row r="61" spans="1:14" ht="57">
      <c r="A61" s="12" t="s">
        <v>263</v>
      </c>
      <c r="B61" s="10" t="s">
        <v>3482</v>
      </c>
      <c r="C61" s="8" t="s">
        <v>13</v>
      </c>
      <c r="D61" s="44">
        <v>2588.5</v>
      </c>
      <c r="E61" s="44">
        <f>I61</f>
        <v>2373.5340000000001</v>
      </c>
      <c r="F61" s="45" t="s">
        <v>3822</v>
      </c>
      <c r="G61" s="45" t="s">
        <v>3996</v>
      </c>
      <c r="H61" s="44">
        <f>265.16+617.85+573.32+53.43+363.71+233.22+408+71.46-((34+37+46.72+40.1+44.1+12.5+51.35)*0.8)</f>
        <v>2373.5340000000001</v>
      </c>
      <c r="I61" s="192">
        <f>H61</f>
        <v>2373.5340000000001</v>
      </c>
      <c r="J61" s="279">
        <f>E61-D61</f>
        <v>-214.96599999999989</v>
      </c>
      <c r="K61" s="433">
        <f>(34+37+46.72+40.1+44.1+12.5+51.35)*0.8</f>
        <v>212.61599999999999</v>
      </c>
      <c r="N61" s="49"/>
    </row>
    <row r="62" spans="1:14">
      <c r="A62" s="12"/>
      <c r="B62" s="7"/>
      <c r="C62" s="8"/>
      <c r="D62" s="44"/>
      <c r="E62" s="44"/>
      <c r="F62" s="45"/>
      <c r="G62" s="45"/>
      <c r="H62" s="44"/>
      <c r="I62" s="191"/>
      <c r="J62" s="200"/>
      <c r="N62" s="49"/>
    </row>
    <row r="63" spans="1:14" ht="93.75" customHeight="1">
      <c r="A63" s="12" t="s">
        <v>266</v>
      </c>
      <c r="B63" s="10" t="s">
        <v>3483</v>
      </c>
      <c r="C63" s="8" t="s">
        <v>13</v>
      </c>
      <c r="D63" s="44">
        <v>9177</v>
      </c>
      <c r="E63" s="922">
        <f>I63</f>
        <v>8121.4740000000002</v>
      </c>
      <c r="F63" s="45" t="s">
        <v>3821</v>
      </c>
      <c r="G63" s="45" t="s">
        <v>3997</v>
      </c>
      <c r="H63" s="44">
        <f>((131.8*7.1)+(45.31*6.75)+(6.4*(38.06+44.56))+(45.27*8.65)+(8.5*92.9))*2+(49.44+22.37+85.59+62.94+140.85+28.46+77.51)*2+(79.46*2)+((34+37+46.72+40.1+44.1+12.5+51.35)*0.8*2)+(9*31.1*2.5)</f>
        <v>8121.4740000000002</v>
      </c>
      <c r="I63" s="192">
        <f>H63</f>
        <v>8121.4740000000002</v>
      </c>
      <c r="J63" s="279">
        <f>E63-D63</f>
        <v>-1055.5259999999998</v>
      </c>
      <c r="K63" s="865" t="s">
        <v>3704</v>
      </c>
      <c r="N63" s="49"/>
    </row>
    <row r="64" spans="1:14">
      <c r="A64" s="12"/>
      <c r="B64" s="7"/>
      <c r="C64" s="8"/>
      <c r="D64" s="44"/>
      <c r="E64" s="44"/>
      <c r="F64" s="45"/>
      <c r="G64" s="45"/>
      <c r="H64" s="44"/>
      <c r="I64" s="192"/>
      <c r="J64" s="200"/>
      <c r="N64" s="49"/>
    </row>
    <row r="65" spans="1:14" ht="49.5">
      <c r="A65" s="12" t="s">
        <v>269</v>
      </c>
      <c r="B65" s="10" t="s">
        <v>270</v>
      </c>
      <c r="C65" s="8" t="s">
        <v>8</v>
      </c>
      <c r="D65" s="44">
        <v>162.5</v>
      </c>
      <c r="E65" s="44">
        <f>I65</f>
        <v>382.97999999999996</v>
      </c>
      <c r="F65" s="45" t="s">
        <v>3374</v>
      </c>
      <c r="G65" s="45" t="s">
        <v>3373</v>
      </c>
      <c r="H65" s="44">
        <f>10.62+6.32+8.3+12.61+8.23+12+40+43+9.4+20.1+9.1+67.4+26.4+21.4+29.6+58.5</f>
        <v>382.97999999999996</v>
      </c>
      <c r="I65" s="192">
        <f>H65</f>
        <v>382.97999999999996</v>
      </c>
      <c r="J65" s="279">
        <f>E65-D65</f>
        <v>220.47999999999996</v>
      </c>
      <c r="N65" s="49"/>
    </row>
    <row r="66" spans="1:14">
      <c r="A66" s="12"/>
      <c r="B66" s="7"/>
      <c r="C66" s="8"/>
      <c r="D66" s="44"/>
      <c r="E66" s="44"/>
      <c r="F66" s="45"/>
      <c r="G66" s="45"/>
      <c r="H66" s="44"/>
      <c r="I66" s="192"/>
      <c r="J66" s="200"/>
      <c r="M66" s="30"/>
      <c r="N66" s="49"/>
    </row>
    <row r="67" spans="1:14" ht="28.5">
      <c r="A67" s="12" t="s">
        <v>272</v>
      </c>
      <c r="B67" s="10" t="s">
        <v>273</v>
      </c>
      <c r="C67" s="8" t="s">
        <v>13</v>
      </c>
      <c r="D67" s="44">
        <v>5217.7</v>
      </c>
      <c r="E67" s="44">
        <f>I67</f>
        <v>5217.7</v>
      </c>
      <c r="F67" s="80" t="s">
        <v>3375</v>
      </c>
      <c r="G67" s="80">
        <v>5217.7</v>
      </c>
      <c r="H67" s="44">
        <v>5217.7</v>
      </c>
      <c r="I67" s="192">
        <f>H67+H68</f>
        <v>5217.7</v>
      </c>
      <c r="J67" s="279">
        <f>E67-D67</f>
        <v>0</v>
      </c>
      <c r="N67" s="49"/>
    </row>
    <row r="68" spans="1:14">
      <c r="A68" s="12"/>
      <c r="B68" s="7"/>
      <c r="C68" s="8"/>
      <c r="D68" s="44"/>
      <c r="E68" s="44"/>
      <c r="F68" s="45"/>
      <c r="G68" s="45"/>
      <c r="H68" s="44"/>
      <c r="I68" s="192"/>
      <c r="J68" s="200"/>
      <c r="M68" s="30"/>
      <c r="N68" s="49"/>
    </row>
    <row r="69" spans="1:14" ht="31.5">
      <c r="A69" s="12" t="s">
        <v>275</v>
      </c>
      <c r="B69" s="7" t="s">
        <v>276</v>
      </c>
      <c r="C69" s="8" t="s">
        <v>6</v>
      </c>
      <c r="D69" s="44">
        <v>782.66</v>
      </c>
      <c r="E69" s="44">
        <f>I69</f>
        <v>782.65499999999997</v>
      </c>
      <c r="F69" s="45" t="s">
        <v>1282</v>
      </c>
      <c r="G69" s="45" t="s">
        <v>3754</v>
      </c>
      <c r="H69" s="44">
        <f>5217.7*0.15</f>
        <v>782.65499999999997</v>
      </c>
      <c r="I69" s="192">
        <f>H69</f>
        <v>782.65499999999997</v>
      </c>
      <c r="J69" s="200">
        <v>0</v>
      </c>
      <c r="N69" s="49"/>
    </row>
    <row r="70" spans="1:14" ht="33">
      <c r="A70" s="12" t="s">
        <v>278</v>
      </c>
      <c r="B70" s="7" t="s">
        <v>279</v>
      </c>
      <c r="C70" s="8" t="s">
        <v>14</v>
      </c>
      <c r="D70" s="44">
        <v>425</v>
      </c>
      <c r="E70" s="44">
        <v>425</v>
      </c>
      <c r="F70" s="45" t="s">
        <v>1301</v>
      </c>
      <c r="G70" s="45" t="s">
        <v>3376</v>
      </c>
      <c r="H70" s="44">
        <f>298+127</f>
        <v>425</v>
      </c>
      <c r="I70" s="192">
        <v>425</v>
      </c>
      <c r="J70" s="200">
        <v>0</v>
      </c>
      <c r="N70" s="49"/>
    </row>
    <row r="71" spans="1:14" ht="51.75" customHeight="1">
      <c r="A71" s="12" t="s">
        <v>281</v>
      </c>
      <c r="B71" s="10" t="s">
        <v>282</v>
      </c>
      <c r="C71" s="8" t="s">
        <v>8</v>
      </c>
      <c r="D71" s="44">
        <v>255.5</v>
      </c>
      <c r="E71" s="44">
        <f>I71</f>
        <v>415.08000000000004</v>
      </c>
      <c r="F71" s="45" t="s">
        <v>1302</v>
      </c>
      <c r="G71" s="45" t="s">
        <v>1303</v>
      </c>
      <c r="H71" s="44">
        <f>35+(55-0.5*7)+(27*8+6.5+5.3)</f>
        <v>314.3</v>
      </c>
      <c r="I71" s="192">
        <f>H71+H72</f>
        <v>415.08000000000004</v>
      </c>
      <c r="J71" s="279">
        <v>0</v>
      </c>
      <c r="K71" s="436" t="s">
        <v>2484</v>
      </c>
      <c r="N71" s="49"/>
    </row>
    <row r="72" spans="1:14">
      <c r="A72" s="12"/>
      <c r="B72" s="7"/>
      <c r="C72" s="8"/>
      <c r="D72" s="44"/>
      <c r="E72" s="44"/>
      <c r="F72" s="45" t="s">
        <v>2889</v>
      </c>
      <c r="G72" s="45" t="s">
        <v>2888</v>
      </c>
      <c r="H72" s="44">
        <f>34.27+66.51</f>
        <v>100.78</v>
      </c>
      <c r="I72" s="191"/>
      <c r="J72" s="200"/>
      <c r="K72" s="747">
        <f>H71-D71</f>
        <v>58.800000000000011</v>
      </c>
      <c r="N72" s="49"/>
    </row>
    <row r="73" spans="1:14">
      <c r="A73" s="12"/>
      <c r="B73" s="7"/>
      <c r="C73" s="8"/>
      <c r="D73" s="44"/>
      <c r="E73" s="44"/>
      <c r="F73" s="45"/>
      <c r="G73" s="45"/>
      <c r="H73" s="44"/>
      <c r="I73" s="191"/>
      <c r="J73" s="200"/>
      <c r="N73" s="49"/>
    </row>
    <row r="74" spans="1:14" ht="31.5">
      <c r="A74" s="12" t="s">
        <v>284</v>
      </c>
      <c r="B74" s="7" t="s">
        <v>285</v>
      </c>
      <c r="C74" s="8" t="s">
        <v>286</v>
      </c>
      <c r="D74" s="44">
        <v>2204</v>
      </c>
      <c r="E74" s="44">
        <v>2204</v>
      </c>
      <c r="F74" s="45" t="s">
        <v>1282</v>
      </c>
      <c r="G74" s="45">
        <v>2204</v>
      </c>
      <c r="H74" s="44">
        <v>2204</v>
      </c>
      <c r="I74" s="192">
        <f>H74</f>
        <v>2204</v>
      </c>
      <c r="J74" s="200">
        <v>0</v>
      </c>
      <c r="N74" s="49"/>
    </row>
    <row r="75" spans="1:14" ht="33">
      <c r="A75" s="12" t="s">
        <v>288</v>
      </c>
      <c r="B75" s="7" t="s">
        <v>289</v>
      </c>
      <c r="C75" s="8" t="s">
        <v>290</v>
      </c>
      <c r="D75" s="44">
        <v>66</v>
      </c>
      <c r="E75" s="44">
        <f>I75</f>
        <v>66</v>
      </c>
      <c r="F75" s="45" t="s">
        <v>1304</v>
      </c>
      <c r="G75" s="45" t="s">
        <v>3480</v>
      </c>
      <c r="H75" s="44">
        <f>7+16+23+9+8+3</f>
        <v>66</v>
      </c>
      <c r="I75" s="192">
        <f>H75</f>
        <v>66</v>
      </c>
      <c r="J75" s="279">
        <f>E75-D75</f>
        <v>0</v>
      </c>
      <c r="N75" s="49"/>
    </row>
    <row r="76" spans="1:14">
      <c r="A76" s="12" t="s">
        <v>292</v>
      </c>
      <c r="B76" s="7" t="s">
        <v>293</v>
      </c>
      <c r="C76" s="8" t="s">
        <v>0</v>
      </c>
      <c r="D76" s="44">
        <v>18</v>
      </c>
      <c r="E76" s="44">
        <v>18</v>
      </c>
      <c r="F76" s="45"/>
      <c r="G76" s="45" t="s">
        <v>1306</v>
      </c>
      <c r="H76" s="44">
        <v>18</v>
      </c>
      <c r="I76" s="192">
        <v>18</v>
      </c>
      <c r="J76" s="279">
        <f t="shared" ref="J76:J81" si="0">E76-D76</f>
        <v>0</v>
      </c>
      <c r="K76" s="866"/>
      <c r="M76" s="819"/>
      <c r="N76" s="49"/>
    </row>
    <row r="77" spans="1:14">
      <c r="A77" s="12" t="s">
        <v>295</v>
      </c>
      <c r="B77" s="7" t="s">
        <v>296</v>
      </c>
      <c r="C77" s="8" t="s">
        <v>0</v>
      </c>
      <c r="D77" s="44">
        <v>4</v>
      </c>
      <c r="E77" s="44">
        <v>4</v>
      </c>
      <c r="F77" s="45"/>
      <c r="G77" s="45" t="s">
        <v>1912</v>
      </c>
      <c r="H77" s="44">
        <v>4</v>
      </c>
      <c r="I77" s="192">
        <v>4</v>
      </c>
      <c r="J77" s="279">
        <f t="shared" si="0"/>
        <v>0</v>
      </c>
      <c r="N77" s="49"/>
    </row>
    <row r="78" spans="1:14">
      <c r="A78" s="12" t="s">
        <v>298</v>
      </c>
      <c r="B78" s="7" t="s">
        <v>299</v>
      </c>
      <c r="C78" s="8" t="s">
        <v>0</v>
      </c>
      <c r="D78" s="44">
        <v>20</v>
      </c>
      <c r="E78" s="44">
        <v>20</v>
      </c>
      <c r="F78" s="45" t="s">
        <v>1230</v>
      </c>
      <c r="G78" s="45">
        <v>20</v>
      </c>
      <c r="H78" s="44">
        <v>20</v>
      </c>
      <c r="I78" s="192">
        <v>20</v>
      </c>
      <c r="J78" s="279">
        <f t="shared" si="0"/>
        <v>0</v>
      </c>
      <c r="N78" s="49"/>
    </row>
    <row r="79" spans="1:14">
      <c r="A79" s="12" t="s">
        <v>301</v>
      </c>
      <c r="B79" s="7" t="s">
        <v>302</v>
      </c>
      <c r="C79" s="8" t="s">
        <v>0</v>
      </c>
      <c r="D79" s="44">
        <v>15</v>
      </c>
      <c r="E79" s="44">
        <f>I79</f>
        <v>21</v>
      </c>
      <c r="F79" s="45" t="s">
        <v>1307</v>
      </c>
      <c r="G79" s="45" t="s">
        <v>1915</v>
      </c>
      <c r="H79" s="44">
        <f>6+3+4+1+1</f>
        <v>15</v>
      </c>
      <c r="I79" s="192">
        <f>H79+H80</f>
        <v>21</v>
      </c>
      <c r="J79" s="279">
        <f t="shared" si="0"/>
        <v>6</v>
      </c>
      <c r="N79" s="49"/>
    </row>
    <row r="80" spans="1:14">
      <c r="A80" s="12"/>
      <c r="B80" s="7"/>
      <c r="C80" s="8"/>
      <c r="D80" s="44"/>
      <c r="E80" s="44"/>
      <c r="F80" s="45" t="s">
        <v>3685</v>
      </c>
      <c r="G80" s="45" t="s">
        <v>3220</v>
      </c>
      <c r="H80" s="44">
        <v>6</v>
      </c>
      <c r="I80" s="191"/>
      <c r="J80" s="200"/>
      <c r="K80" s="866">
        <v>46078</v>
      </c>
      <c r="M80" s="819">
        <v>45932</v>
      </c>
      <c r="N80" s="49">
        <f>K80-M80+1</f>
        <v>147</v>
      </c>
    </row>
    <row r="81" spans="1:15" ht="28.5">
      <c r="A81" s="12" t="s">
        <v>304</v>
      </c>
      <c r="B81" s="10" t="s">
        <v>1308</v>
      </c>
      <c r="C81" s="8" t="s">
        <v>4</v>
      </c>
      <c r="D81" s="44">
        <v>1</v>
      </c>
      <c r="E81" s="44">
        <v>1</v>
      </c>
      <c r="F81" s="45" t="s">
        <v>1309</v>
      </c>
      <c r="G81" s="45">
        <v>1</v>
      </c>
      <c r="H81" s="44">
        <v>1</v>
      </c>
      <c r="I81" s="192">
        <v>1</v>
      </c>
      <c r="J81" s="279">
        <f t="shared" si="0"/>
        <v>0</v>
      </c>
      <c r="K81" s="866">
        <v>45931</v>
      </c>
      <c r="M81" s="819">
        <v>45222</v>
      </c>
      <c r="N81" s="49">
        <f>K81-M81+1</f>
        <v>710</v>
      </c>
      <c r="O81" s="30">
        <f>K80-M81+1</f>
        <v>857</v>
      </c>
    </row>
    <row r="82" spans="1:15" ht="65.25" customHeight="1">
      <c r="A82" s="12" t="s">
        <v>307</v>
      </c>
      <c r="B82" s="10" t="s">
        <v>31</v>
      </c>
      <c r="C82" s="8" t="s">
        <v>16</v>
      </c>
      <c r="D82" s="44">
        <v>30800</v>
      </c>
      <c r="E82" s="44">
        <f>I82</f>
        <v>29207</v>
      </c>
      <c r="F82" s="45" t="s">
        <v>3674</v>
      </c>
      <c r="G82" s="807" t="s">
        <v>3673</v>
      </c>
      <c r="H82" s="44">
        <f>412.5+1409+1907+1456+1377+1457+1410+1457+1410+1361+1457+1410+1311.5+1410+1455+1457+1316+1457+1410+1457+1410</f>
        <v>29207</v>
      </c>
      <c r="I82" s="192">
        <f>H82</f>
        <v>29207</v>
      </c>
      <c r="J82" s="279">
        <f>I82-D82</f>
        <v>-1593</v>
      </c>
      <c r="K82" s="865" t="s">
        <v>3661</v>
      </c>
      <c r="M82" s="170">
        <f>30800/730</f>
        <v>42.19178082191781</v>
      </c>
      <c r="N82" s="49">
        <f>N80+N81</f>
        <v>857</v>
      </c>
      <c r="O82" s="915" t="s">
        <v>3672</v>
      </c>
    </row>
    <row r="83" spans="1:15" ht="28.5">
      <c r="A83" s="12" t="s">
        <v>1311</v>
      </c>
      <c r="B83" s="10" t="s">
        <v>1312</v>
      </c>
      <c r="C83" s="8" t="s">
        <v>13</v>
      </c>
      <c r="D83" s="44">
        <v>2150</v>
      </c>
      <c r="E83" s="44">
        <f>I83</f>
        <v>4920</v>
      </c>
      <c r="F83" s="45" t="s">
        <v>1317</v>
      </c>
      <c r="G83" s="45">
        <v>2150</v>
      </c>
      <c r="H83" s="44">
        <v>2150</v>
      </c>
      <c r="I83" s="192">
        <f>H83+H84</f>
        <v>4920</v>
      </c>
      <c r="J83" s="279">
        <f>E83-D83</f>
        <v>2770</v>
      </c>
      <c r="K83" s="433">
        <f>700*3*16+700*0.5</f>
        <v>33950</v>
      </c>
      <c r="N83" s="49"/>
    </row>
    <row r="84" spans="1:15">
      <c r="A84" s="12"/>
      <c r="B84" s="7"/>
      <c r="C84" s="8"/>
      <c r="D84" s="44"/>
      <c r="E84" s="44"/>
      <c r="F84" s="45" t="s">
        <v>3753</v>
      </c>
      <c r="G84" s="45" t="s">
        <v>3812</v>
      </c>
      <c r="H84" s="44">
        <f>4920-2150</f>
        <v>2770</v>
      </c>
      <c r="I84" s="192"/>
      <c r="J84" s="200"/>
      <c r="M84" s="30"/>
      <c r="N84" s="49"/>
    </row>
    <row r="85" spans="1:15">
      <c r="A85" s="12" t="s">
        <v>1313</v>
      </c>
      <c r="B85" s="7" t="s">
        <v>1314</v>
      </c>
      <c r="C85" s="8" t="s">
        <v>1315</v>
      </c>
      <c r="D85" s="44"/>
      <c r="E85" s="44">
        <v>111</v>
      </c>
      <c r="F85" s="80" t="s">
        <v>1316</v>
      </c>
      <c r="G85" s="80" t="s">
        <v>1316</v>
      </c>
      <c r="H85" s="44">
        <v>111</v>
      </c>
      <c r="I85" s="192">
        <v>111</v>
      </c>
      <c r="J85" s="200">
        <v>0</v>
      </c>
      <c r="K85" s="433">
        <f>700*8+700*0.5</f>
        <v>5950</v>
      </c>
      <c r="N85" s="49"/>
    </row>
    <row r="86" spans="1:15" ht="69.75" customHeight="1">
      <c r="A86" s="12" t="s">
        <v>3172</v>
      </c>
      <c r="B86" s="227" t="str">
        <f>'5變(議價前)'!B37</f>
        <v>交通維持，道路管制人員，夜間(22-06時)，義交</v>
      </c>
      <c r="C86" s="228" t="str">
        <f>'5變(議價前)'!C37</f>
        <v>時</v>
      </c>
      <c r="D86" s="229">
        <v>0</v>
      </c>
      <c r="E86" s="229">
        <f>J86</f>
        <v>5243.5</v>
      </c>
      <c r="F86" s="45" t="s">
        <v>3675</v>
      </c>
      <c r="G86" s="51" t="s">
        <v>3676</v>
      </c>
      <c r="H86" s="44">
        <f>32+240+536+248+344+248+240+248+240+226+248+239.5+218+240+248+248+224+248+240+248+240</f>
        <v>5243.5</v>
      </c>
      <c r="I86" s="249">
        <f>H86</f>
        <v>5243.5</v>
      </c>
      <c r="J86" s="285">
        <f>I86</f>
        <v>5243.5</v>
      </c>
      <c r="K86" s="433" t="s">
        <v>3653</v>
      </c>
      <c r="N86" s="49"/>
    </row>
    <row r="87" spans="1:15" ht="33">
      <c r="A87" s="6" t="s">
        <v>46</v>
      </c>
      <c r="B87" s="7" t="s">
        <v>309</v>
      </c>
      <c r="C87" s="8" t="s">
        <v>4</v>
      </c>
      <c r="D87" s="44">
        <v>1</v>
      </c>
      <c r="E87" s="44"/>
      <c r="F87" s="45"/>
      <c r="G87" s="50"/>
      <c r="H87" s="44"/>
      <c r="I87" s="191" t="s">
        <v>243</v>
      </c>
      <c r="J87" s="200"/>
      <c r="N87" s="49"/>
    </row>
    <row r="88" spans="1:15" ht="60.75" customHeight="1">
      <c r="A88" s="12" t="s">
        <v>47</v>
      </c>
      <c r="B88" s="7" t="s">
        <v>310</v>
      </c>
      <c r="C88" s="8" t="s">
        <v>223</v>
      </c>
      <c r="D88" s="44">
        <v>1887.64</v>
      </c>
      <c r="E88" s="44">
        <v>1887.64</v>
      </c>
      <c r="F88" s="45" t="s">
        <v>3435</v>
      </c>
      <c r="G88" s="45" t="s">
        <v>3477</v>
      </c>
      <c r="H88" s="44">
        <f>(3854.23+462.9+18.76+1254.13+44.64)*0.3</f>
        <v>1690.3980000000001</v>
      </c>
      <c r="I88" s="192">
        <f>H88+H89</f>
        <v>1890.4140000000002</v>
      </c>
      <c r="J88" s="279">
        <v>0</v>
      </c>
      <c r="K88" s="747">
        <f>I88-D88</f>
        <v>2.7740000000001146</v>
      </c>
      <c r="M88" s="170">
        <f>D88*0.05</f>
        <v>94.382000000000005</v>
      </c>
      <c r="N88" s="49"/>
    </row>
    <row r="89" spans="1:15" ht="48" customHeight="1">
      <c r="A89" s="226"/>
      <c r="B89" s="227"/>
      <c r="C89" s="228"/>
      <c r="D89" s="229"/>
      <c r="E89" s="229"/>
      <c r="F89" s="230" t="s">
        <v>3436</v>
      </c>
      <c r="G89" s="230" t="s">
        <v>3486</v>
      </c>
      <c r="H89" s="229">
        <f>((3.96*11.5*2+7.48*12.9)*0.5)+((3.96*2+11.5*2)*2*0.7*1.5)+((7.48*2+12.9*2)*0.7*1.5)-(1*1*0.5*3)</f>
        <v>200.01599999999999</v>
      </c>
      <c r="I89" s="241"/>
      <c r="J89" s="92"/>
      <c r="K89" s="747"/>
      <c r="N89" s="49"/>
    </row>
    <row r="90" spans="1:15" ht="82.5">
      <c r="A90" s="12" t="s">
        <v>48</v>
      </c>
      <c r="B90" s="10" t="s">
        <v>312</v>
      </c>
      <c r="C90" s="8" t="s">
        <v>223</v>
      </c>
      <c r="D90" s="44">
        <v>402.21</v>
      </c>
      <c r="E90" s="44">
        <v>402.21</v>
      </c>
      <c r="F90" s="45"/>
      <c r="G90" s="45" t="s">
        <v>3487</v>
      </c>
      <c r="H90" s="44">
        <f>3.25+3.49+0.23+2.43+2.78+0.09+0.48+9.63+33.7+22.11+5.04+1.55+1.58+2.23+0.34+0.89+0.55+0.85+1.21+0.45+0.65+0.93+0.77+1.16+0.19+0.46+8.85+15.2+1.91+1.21+0.21+9.74+83.93+119.56+3.23+21+5.08+29.69+5.54</f>
        <v>402.19</v>
      </c>
      <c r="I90" s="192">
        <f>H90</f>
        <v>402.19</v>
      </c>
      <c r="J90" s="200">
        <v>0</v>
      </c>
      <c r="N90" s="49"/>
    </row>
    <row r="91" spans="1:15" ht="36.75" customHeight="1">
      <c r="A91" s="12" t="s">
        <v>49</v>
      </c>
      <c r="B91" s="7" t="s">
        <v>192</v>
      </c>
      <c r="C91" s="8" t="s">
        <v>17</v>
      </c>
      <c r="D91" s="44">
        <v>18865.759999999998</v>
      </c>
      <c r="E91" s="44">
        <f>I91</f>
        <v>20249.321400000001</v>
      </c>
      <c r="F91" s="80" t="s">
        <v>1925</v>
      </c>
      <c r="G91" s="45" t="s">
        <v>1781</v>
      </c>
      <c r="H91" s="44">
        <f>(1.65*236*2+6*60*2+3.95*236+2.9*236+6*282)*0.994</f>
        <v>4778.5555999999997</v>
      </c>
      <c r="I91" s="192">
        <f>SUM(H91:H96)</f>
        <v>20249.321400000001</v>
      </c>
      <c r="J91" s="279">
        <f>E91-D91</f>
        <v>1383.5614000000023</v>
      </c>
      <c r="N91" s="49"/>
    </row>
    <row r="92" spans="1:15" ht="21.95" customHeight="1">
      <c r="A92" s="226"/>
      <c r="B92" s="227"/>
      <c r="C92" s="228"/>
      <c r="D92" s="229"/>
      <c r="E92" s="229"/>
      <c r="F92" s="27" t="s">
        <v>3479</v>
      </c>
      <c r="G92" s="230" t="s">
        <v>3637</v>
      </c>
      <c r="H92" s="229">
        <f>(57.22+103.8+33)*42.84</f>
        <v>8311.8168000000005</v>
      </c>
      <c r="I92" s="191"/>
      <c r="J92" s="200"/>
      <c r="N92" s="49"/>
    </row>
    <row r="93" spans="1:15" ht="21.95" customHeight="1">
      <c r="A93" s="226"/>
      <c r="B93" s="227"/>
      <c r="C93" s="228"/>
      <c r="D93" s="229"/>
      <c r="E93" s="229"/>
      <c r="F93" s="867" t="s">
        <v>3377</v>
      </c>
      <c r="G93" s="230" t="s">
        <v>3378</v>
      </c>
      <c r="H93" s="229">
        <f>(0.2*2*0.994*724)+(0.15*2*0.994*13)</f>
        <v>291.73899999999998</v>
      </c>
      <c r="I93" s="241"/>
      <c r="J93" s="92"/>
      <c r="N93" s="49"/>
    </row>
    <row r="94" spans="1:15" ht="21.95" customHeight="1">
      <c r="A94" s="226"/>
      <c r="B94" s="227"/>
      <c r="C94" s="228"/>
      <c r="D94" s="229"/>
      <c r="E94" s="229"/>
      <c r="F94" s="867" t="s">
        <v>3437</v>
      </c>
      <c r="G94" s="230" t="s">
        <v>3438</v>
      </c>
      <c r="H94" s="229">
        <f>(0.5*4*7+0.9*16)*1.25*14</f>
        <v>497</v>
      </c>
      <c r="I94" s="241"/>
      <c r="J94" s="92"/>
      <c r="N94" s="49"/>
    </row>
    <row r="95" spans="1:15" ht="70.5" customHeight="1">
      <c r="A95" s="226"/>
      <c r="B95" s="227"/>
      <c r="C95" s="228"/>
      <c r="D95" s="229"/>
      <c r="E95" s="229"/>
      <c r="F95" s="867" t="s">
        <v>3801</v>
      </c>
      <c r="G95" s="230" t="s">
        <v>3802</v>
      </c>
      <c r="H95" s="229">
        <f>132.68+678.85+64.68+717.73+671.73+8.82+24.88+1238.92+404.46+73.57+212.03+69.68+116.46+85.08+48.51+67.62+33.81+28.22+91.73+951.83+429.1+79.29+18.27</f>
        <v>6247.9500000000016</v>
      </c>
      <c r="I95" s="241"/>
      <c r="J95" s="92"/>
      <c r="N95" s="49"/>
    </row>
    <row r="96" spans="1:15" ht="48.75" customHeight="1">
      <c r="A96" s="226"/>
      <c r="B96" s="227"/>
      <c r="C96" s="228"/>
      <c r="D96" s="229"/>
      <c r="E96" s="237" t="s">
        <v>3749</v>
      </c>
      <c r="F96" s="235" t="s">
        <v>3775</v>
      </c>
      <c r="G96" s="230" t="s">
        <v>3774</v>
      </c>
      <c r="H96" s="229">
        <f>ROUND(((0.25*2+0.2*2)*12*2+(0.2+1.8+0.2)*12+(8+15)*1.8+(0.15+0.25+0.3)*4*12)*0.994,2)</f>
        <v>122.26</v>
      </c>
      <c r="I96" s="241"/>
      <c r="J96" s="92"/>
      <c r="N96" s="49"/>
    </row>
    <row r="97" spans="1:14" ht="28.5">
      <c r="A97" s="12" t="s">
        <v>50</v>
      </c>
      <c r="B97" s="10" t="s">
        <v>315</v>
      </c>
      <c r="C97" s="8" t="s">
        <v>6</v>
      </c>
      <c r="D97" s="44">
        <v>107.91</v>
      </c>
      <c r="E97" s="44">
        <f>I97</f>
        <v>94.566999999999993</v>
      </c>
      <c r="F97" s="80" t="s">
        <v>1925</v>
      </c>
      <c r="G97" s="45" t="s">
        <v>1742</v>
      </c>
      <c r="H97" s="44">
        <f>1.35*35.2*0.1</f>
        <v>4.7520000000000016</v>
      </c>
      <c r="I97" s="192">
        <f>H97+H98+H99</f>
        <v>94.566999999999993</v>
      </c>
      <c r="J97" s="279">
        <f>E97-D97</f>
        <v>-13.343000000000004</v>
      </c>
      <c r="K97" s="433" t="s">
        <v>3491</v>
      </c>
      <c r="N97" s="49"/>
    </row>
    <row r="98" spans="1:14" ht="66">
      <c r="A98" s="226"/>
      <c r="B98" s="231"/>
      <c r="C98" s="228"/>
      <c r="D98" s="229"/>
      <c r="E98" s="229"/>
      <c r="F98" s="868" t="s">
        <v>3505</v>
      </c>
      <c r="G98" s="230" t="s">
        <v>3799</v>
      </c>
      <c r="H98" s="229">
        <f>462.9*0.05+2.55+0.94+5.95+8.67+0.51+0.28+27.2+9.41+0.33+1.07+0.56+0.25+0.04+0.59+0.48+0.13+1.2+2.33+0.56+0.05+0.34+0.2+0.24+0.35+0.45+0.69+0.8+0.19+0.12+0.02</f>
        <v>89.644999999999996</v>
      </c>
      <c r="I98" s="191"/>
      <c r="J98" s="200"/>
      <c r="N98" s="49"/>
    </row>
    <row r="99" spans="1:14">
      <c r="A99" s="226"/>
      <c r="B99" s="231"/>
      <c r="C99" s="228"/>
      <c r="D99" s="229"/>
      <c r="E99" s="237" t="s">
        <v>3749</v>
      </c>
      <c r="F99" s="235" t="s">
        <v>3748</v>
      </c>
      <c r="G99" s="230" t="s">
        <v>3750</v>
      </c>
      <c r="H99" s="229">
        <f>ROUND((0.3+0.3+(1.5-0.3*2)+0.9*2)*0.05,2)</f>
        <v>0.17</v>
      </c>
      <c r="I99" s="241"/>
      <c r="J99" s="92"/>
      <c r="N99" s="49"/>
    </row>
    <row r="100" spans="1:14">
      <c r="A100" s="226"/>
      <c r="B100" s="231"/>
      <c r="C100" s="228"/>
      <c r="D100" s="229"/>
      <c r="E100" s="229"/>
      <c r="F100" s="232"/>
      <c r="G100" s="230"/>
      <c r="H100" s="229"/>
      <c r="I100" s="241"/>
      <c r="J100" s="92"/>
      <c r="N100" s="49"/>
    </row>
    <row r="101" spans="1:14" ht="28.5">
      <c r="A101" s="12" t="s">
        <v>51</v>
      </c>
      <c r="B101" s="10" t="s">
        <v>24</v>
      </c>
      <c r="C101" s="8" t="s">
        <v>6</v>
      </c>
      <c r="D101" s="44">
        <v>564.01</v>
      </c>
      <c r="E101" s="44">
        <f>I101</f>
        <v>580.01675</v>
      </c>
      <c r="F101" s="80" t="s">
        <v>1925</v>
      </c>
      <c r="G101" s="56" t="s">
        <v>1752</v>
      </c>
      <c r="H101" s="44">
        <f>(1.35+2.05)*35.2*0.3+0.8*0.35*35.2</f>
        <v>45.760000000000005</v>
      </c>
      <c r="I101" s="192">
        <f>SUM(H101:H107)</f>
        <v>580.01675</v>
      </c>
      <c r="J101" s="279">
        <f>E101-D101</f>
        <v>16.006750000000011</v>
      </c>
      <c r="K101" s="433" t="s">
        <v>3493</v>
      </c>
      <c r="N101" s="49"/>
    </row>
    <row r="102" spans="1:14">
      <c r="A102" s="226"/>
      <c r="B102" s="231"/>
      <c r="C102" s="228"/>
      <c r="D102" s="229"/>
      <c r="E102" s="229"/>
      <c r="F102" s="232" t="s">
        <v>3474</v>
      </c>
      <c r="G102" s="233" t="s">
        <v>2697</v>
      </c>
      <c r="H102" s="229">
        <f>0.3*0.4*(57.6+24.85)</f>
        <v>9.8940000000000001</v>
      </c>
      <c r="I102" s="191"/>
      <c r="J102" s="200"/>
      <c r="N102" s="49"/>
    </row>
    <row r="103" spans="1:14">
      <c r="A103" s="226"/>
      <c r="B103" s="231"/>
      <c r="C103" s="228"/>
      <c r="D103" s="229"/>
      <c r="E103" s="229"/>
      <c r="F103" s="232" t="s">
        <v>3728</v>
      </c>
      <c r="G103" s="233" t="s">
        <v>3719</v>
      </c>
      <c r="H103" s="229">
        <f>0.3*0.3*(103.8+33)</f>
        <v>12.312000000000001</v>
      </c>
      <c r="I103" s="241"/>
      <c r="J103" s="92"/>
      <c r="N103" s="49"/>
    </row>
    <row r="104" spans="1:14">
      <c r="A104" s="226"/>
      <c r="B104" s="231"/>
      <c r="C104" s="228"/>
      <c r="D104" s="229"/>
      <c r="E104" s="229"/>
      <c r="F104" s="232" t="s">
        <v>3472</v>
      </c>
      <c r="G104" s="233" t="s">
        <v>3475</v>
      </c>
      <c r="H104" s="229">
        <f>3854.23*0.15/2</f>
        <v>289.06725</v>
      </c>
      <c r="I104" s="241"/>
      <c r="J104" s="92"/>
      <c r="N104" s="49"/>
    </row>
    <row r="105" spans="1:14">
      <c r="A105" s="226"/>
      <c r="B105" s="231"/>
      <c r="C105" s="228"/>
      <c r="D105" s="229"/>
      <c r="E105" s="229"/>
      <c r="F105" s="232" t="s">
        <v>3473</v>
      </c>
      <c r="G105" s="233" t="s">
        <v>3476</v>
      </c>
      <c r="H105" s="229">
        <f>462.9*0.15</f>
        <v>69.434999999999988</v>
      </c>
      <c r="I105" s="241"/>
      <c r="J105" s="92"/>
      <c r="N105" s="49"/>
    </row>
    <row r="106" spans="1:14">
      <c r="A106" s="226"/>
      <c r="B106" s="231"/>
      <c r="C106" s="228"/>
      <c r="D106" s="229"/>
      <c r="E106" s="237" t="s">
        <v>3749</v>
      </c>
      <c r="F106" s="235" t="s">
        <v>3748</v>
      </c>
      <c r="G106" s="233" t="s">
        <v>3776</v>
      </c>
      <c r="H106" s="229">
        <f>ROUND((0.3*0.35*1.8*2+0.15*1.8*1.2+0.15*1.8*4),2)</f>
        <v>1.78</v>
      </c>
      <c r="I106" s="241"/>
      <c r="J106" s="92"/>
      <c r="N106" s="49"/>
    </row>
    <row r="107" spans="1:14" ht="82.5" customHeight="1">
      <c r="A107" s="226"/>
      <c r="B107" s="231"/>
      <c r="C107" s="228"/>
      <c r="D107" s="229"/>
      <c r="E107" s="229"/>
      <c r="F107" s="868" t="s">
        <v>3803</v>
      </c>
      <c r="G107" s="233" t="s">
        <v>3804</v>
      </c>
      <c r="H107" s="229">
        <f>((233.57+18.76+118.92+173.3)*0.15)+((0.4*0.6+0.15*0.8)*30.1)+1.22+1.32+0.45+0.63+0.32+0.29+1.2+0.32+0.48+0.3+5.04+8.25+1.65+3.72+16.27+13.72+3.35+0.64+0.08</f>
        <v>151.76849999999999</v>
      </c>
      <c r="I107" s="241"/>
      <c r="J107" s="92"/>
      <c r="N107" s="49"/>
    </row>
    <row r="108" spans="1:14" ht="21.95" customHeight="1">
      <c r="A108" s="12" t="s">
        <v>52</v>
      </c>
      <c r="B108" s="7" t="s">
        <v>193</v>
      </c>
      <c r="C108" s="8" t="s">
        <v>13</v>
      </c>
      <c r="D108" s="44">
        <v>1926.87</v>
      </c>
      <c r="E108" s="44">
        <f>I108</f>
        <v>1711.2399999999998</v>
      </c>
      <c r="F108" s="80" t="s">
        <v>1925</v>
      </c>
      <c r="G108" s="56" t="s">
        <v>1918</v>
      </c>
      <c r="H108" s="44">
        <f>(0.3+2.35+0.5+0.35+2.7)*35.2</f>
        <v>218.24000000000004</v>
      </c>
      <c r="I108" s="192">
        <f>SUM(H108:H113)</f>
        <v>1711.2399999999998</v>
      </c>
      <c r="J108" s="279">
        <f>E108-D108</f>
        <v>-215.63000000000011</v>
      </c>
      <c r="K108" s="433" t="s">
        <v>3495</v>
      </c>
      <c r="N108" s="49"/>
    </row>
    <row r="109" spans="1:14" ht="28.5" customHeight="1">
      <c r="A109" s="286"/>
      <c r="B109" s="251"/>
      <c r="C109" s="252"/>
      <c r="D109" s="108"/>
      <c r="E109" s="108"/>
      <c r="F109" s="869" t="s">
        <v>1336</v>
      </c>
      <c r="G109" s="870" t="s">
        <v>2525</v>
      </c>
      <c r="H109" s="871">
        <f>(0.24+0.95)*2*(18.2+16)+0.4*(0.24+0.95)*4</f>
        <v>83.3</v>
      </c>
      <c r="I109" s="578"/>
      <c r="J109" s="579"/>
      <c r="N109" s="49"/>
    </row>
    <row r="110" spans="1:14" ht="28.5" customHeight="1">
      <c r="A110" s="794"/>
      <c r="B110" s="795"/>
      <c r="C110" s="796"/>
      <c r="D110" s="797"/>
      <c r="E110" s="797"/>
      <c r="F110" s="798" t="s">
        <v>2696</v>
      </c>
      <c r="G110" s="582" t="s">
        <v>2698</v>
      </c>
      <c r="H110" s="585">
        <f>0.4*2*(57.6+24.85)</f>
        <v>65.960000000000008</v>
      </c>
      <c r="I110" s="583"/>
      <c r="J110" s="584"/>
      <c r="N110" s="49"/>
    </row>
    <row r="111" spans="1:14" ht="28.5" customHeight="1">
      <c r="A111" s="800"/>
      <c r="B111" s="801"/>
      <c r="C111" s="802"/>
      <c r="D111" s="803"/>
      <c r="E111" s="803"/>
      <c r="F111" s="232" t="s">
        <v>3134</v>
      </c>
      <c r="G111" s="792" t="s">
        <v>3604</v>
      </c>
      <c r="H111" s="793">
        <f>0.3*2*(31+103.8)</f>
        <v>80.88000000000001</v>
      </c>
      <c r="I111" s="583"/>
      <c r="J111" s="584"/>
      <c r="N111" s="49"/>
    </row>
    <row r="112" spans="1:14" ht="81" customHeight="1">
      <c r="A112" s="872"/>
      <c r="B112" s="873"/>
      <c r="C112" s="874"/>
      <c r="D112" s="793"/>
      <c r="E112" s="793"/>
      <c r="F112" s="875" t="s">
        <v>3494</v>
      </c>
      <c r="G112" s="792" t="s">
        <v>3854</v>
      </c>
      <c r="H112" s="793">
        <f>640.07+92.59*2+51.26+4.13+26.16+38.13+16.73+6.79+1.65+11.2+27.66+10.24+3.72+1.7+3.47+2.71+2.78+5.45+2.72+2.77+7.33+3.7+5.54+0.92+3.08+45.28+96.8+32.21+5.97+1.64+13.06</f>
        <v>1260.05</v>
      </c>
      <c r="I112" s="876"/>
      <c r="J112" s="584"/>
      <c r="N112" s="49"/>
    </row>
    <row r="113" spans="1:15" ht="37.5" customHeight="1">
      <c r="A113" s="872"/>
      <c r="B113" s="873"/>
      <c r="C113" s="874"/>
      <c r="D113" s="793"/>
      <c r="E113" s="237" t="s">
        <v>3749</v>
      </c>
      <c r="F113" s="235" t="s">
        <v>3748</v>
      </c>
      <c r="G113" s="792" t="s">
        <v>3773</v>
      </c>
      <c r="H113" s="793">
        <f>ROUND(((0.35+0.05)*0.3*4*1.8*2+0.15*1.8*4),2)</f>
        <v>2.81</v>
      </c>
      <c r="I113" s="876"/>
      <c r="J113" s="890"/>
      <c r="N113" s="49"/>
    </row>
    <row r="114" spans="1:15" ht="45.75" customHeight="1">
      <c r="A114" s="261" t="s">
        <v>53</v>
      </c>
      <c r="B114" s="262" t="s">
        <v>319</v>
      </c>
      <c r="C114" s="263" t="s">
        <v>13</v>
      </c>
      <c r="D114" s="264">
        <v>301.33</v>
      </c>
      <c r="E114" s="264">
        <f>I114</f>
        <v>277.24</v>
      </c>
      <c r="F114" s="799" t="s">
        <v>2137</v>
      </c>
      <c r="G114" s="265" t="s">
        <v>3496</v>
      </c>
      <c r="H114" s="264">
        <f>116.01+43.82+3.3+29.87+31.26+52.98</f>
        <v>277.24</v>
      </c>
      <c r="I114" s="877">
        <f>H114</f>
        <v>277.24</v>
      </c>
      <c r="J114" s="878">
        <f>E114-D114</f>
        <v>-24.089999999999975</v>
      </c>
      <c r="L114" s="29">
        <f>D114*0.05</f>
        <v>15.0665</v>
      </c>
      <c r="N114" s="49"/>
    </row>
    <row r="115" spans="1:15" ht="73.5" customHeight="1">
      <c r="A115" s="12" t="s">
        <v>54</v>
      </c>
      <c r="B115" s="7" t="s">
        <v>3110</v>
      </c>
      <c r="C115" s="8" t="s">
        <v>17</v>
      </c>
      <c r="D115" s="44">
        <v>5991.34</v>
      </c>
      <c r="E115" s="44">
        <f>I115</f>
        <v>33113.840000000004</v>
      </c>
      <c r="F115" s="45" t="s">
        <v>3405</v>
      </c>
      <c r="G115" s="45" t="s">
        <v>3406</v>
      </c>
      <c r="H115" s="44">
        <f>230.74+114.92+3.95+70.63+228.89+13.68+123.71+1835.99+2260.8+532.75+231.73+343.55</f>
        <v>5991.34</v>
      </c>
      <c r="I115" s="192">
        <f>SUM(H115:H120)</f>
        <v>33113.840000000004</v>
      </c>
      <c r="J115" s="279">
        <f>I115-D115</f>
        <v>27122.500000000004</v>
      </c>
      <c r="M115" s="791" t="s">
        <v>1765</v>
      </c>
      <c r="N115" s="804" t="s">
        <v>3136</v>
      </c>
      <c r="O115" s="805">
        <f>M117+M118+M120</f>
        <v>510.50999999999993</v>
      </c>
    </row>
    <row r="116" spans="1:15" ht="29.25" customHeight="1">
      <c r="A116" s="269"/>
      <c r="B116" s="270"/>
      <c r="C116" s="271"/>
      <c r="D116" s="548"/>
      <c r="E116" s="272"/>
      <c r="F116" s="669" t="s">
        <v>2634</v>
      </c>
      <c r="G116" s="669">
        <f>H116</f>
        <v>978.19</v>
      </c>
      <c r="H116" s="879">
        <f>欄杆!L4</f>
        <v>978.19</v>
      </c>
      <c r="I116" s="287"/>
      <c r="J116" s="92"/>
      <c r="K116" s="433">
        <f>6.35*4+0.53*9+6.61*1</f>
        <v>36.78</v>
      </c>
      <c r="M116" s="170">
        <f>18.25+16+3.25</f>
        <v>37.5</v>
      </c>
      <c r="N116" s="49"/>
    </row>
    <row r="117" spans="1:15" ht="33" customHeight="1">
      <c r="A117" s="269"/>
      <c r="B117" s="270"/>
      <c r="C117" s="271"/>
      <c r="D117" s="548"/>
      <c r="E117" s="272"/>
      <c r="F117" s="669" t="s">
        <v>3603</v>
      </c>
      <c r="G117" s="669">
        <f>H117</f>
        <v>22461.58</v>
      </c>
      <c r="H117" s="879">
        <f>欄杆!L20</f>
        <v>22461.58</v>
      </c>
      <c r="I117" s="274"/>
      <c r="K117" s="433">
        <f>(3.5+2.4*2+21.7+24.85+57.6+7.1+1.68+14.8)</f>
        <v>136.03</v>
      </c>
      <c r="M117" s="170">
        <f>3.5+2.4*2+21.7+24.85+57.6+7.1+1.68+14.8</f>
        <v>136.03</v>
      </c>
      <c r="N117" s="49"/>
    </row>
    <row r="118" spans="1:15" ht="33" customHeight="1">
      <c r="A118" s="269"/>
      <c r="B118" s="270"/>
      <c r="C118" s="271"/>
      <c r="D118" s="548"/>
      <c r="E118" s="272"/>
      <c r="F118" s="669" t="s">
        <v>3498</v>
      </c>
      <c r="G118" s="669">
        <f>H118</f>
        <v>721.02</v>
      </c>
      <c r="H118" s="879">
        <f>欄杆!L24</f>
        <v>721.02</v>
      </c>
      <c r="I118" s="274"/>
      <c r="J118" s="92"/>
      <c r="K118" s="433">
        <f>34.27+66.51+240</f>
        <v>340.78</v>
      </c>
      <c r="M118" s="170">
        <f>34.27+66.51+240</f>
        <v>340.78</v>
      </c>
      <c r="N118" s="49"/>
    </row>
    <row r="119" spans="1:15" ht="21.95" customHeight="1">
      <c r="A119" s="269"/>
      <c r="B119" s="270"/>
      <c r="C119" s="271"/>
      <c r="D119" s="548"/>
      <c r="E119" s="272"/>
      <c r="F119" s="669" t="s">
        <v>3499</v>
      </c>
      <c r="G119" s="669">
        <f>H119</f>
        <v>2961.71</v>
      </c>
      <c r="H119" s="879">
        <f>欄杆!L31</f>
        <v>2961.71</v>
      </c>
      <c r="I119" s="274"/>
      <c r="J119" s="92"/>
      <c r="K119" s="433">
        <f>(1.8+2.34)*2+1.4*8+3.144*2</f>
        <v>25.767999999999997</v>
      </c>
      <c r="M119" s="170">
        <f>21.65+17.75</f>
        <v>39.4</v>
      </c>
      <c r="N119" s="49"/>
    </row>
    <row r="120" spans="1:15" ht="21.95" customHeight="1">
      <c r="A120" s="226"/>
      <c r="B120" s="227"/>
      <c r="C120" s="228"/>
      <c r="D120" s="548"/>
      <c r="E120" s="229"/>
      <c r="F120" s="235"/>
      <c r="G120" s="235"/>
      <c r="H120" s="237"/>
      <c r="I120" s="241"/>
      <c r="J120" s="92"/>
      <c r="M120" s="170">
        <f>33.7</f>
        <v>33.700000000000003</v>
      </c>
      <c r="N120" s="49" t="s">
        <v>3135</v>
      </c>
    </row>
    <row r="121" spans="1:15" ht="49.5">
      <c r="A121" s="12" t="s">
        <v>55</v>
      </c>
      <c r="B121" s="7" t="s">
        <v>323</v>
      </c>
      <c r="C121" s="8" t="s">
        <v>17</v>
      </c>
      <c r="D121" s="44">
        <v>5991.34</v>
      </c>
      <c r="E121" s="44">
        <f>I121</f>
        <v>33113.840000000004</v>
      </c>
      <c r="F121" s="45" t="s">
        <v>3405</v>
      </c>
      <c r="G121" s="45" t="s">
        <v>3406</v>
      </c>
      <c r="H121" s="44">
        <f>230.74+114.92+3.95+70.63+228.89+13.68+123.71+1835.99+2260.8+532.75+231.73+343.55</f>
        <v>5991.34</v>
      </c>
      <c r="I121" s="192">
        <f>SUM(H121:H126)</f>
        <v>33113.840000000004</v>
      </c>
      <c r="J121" s="279">
        <f>I121-D121</f>
        <v>27122.500000000004</v>
      </c>
      <c r="N121" s="49"/>
    </row>
    <row r="122" spans="1:15">
      <c r="A122" s="269"/>
      <c r="B122" s="270"/>
      <c r="C122" s="271"/>
      <c r="D122" s="548"/>
      <c r="E122" s="272"/>
      <c r="F122" s="669" t="s">
        <v>3497</v>
      </c>
      <c r="G122" s="669">
        <f>H122</f>
        <v>978.19</v>
      </c>
      <c r="H122" s="879">
        <f>H116</f>
        <v>978.19</v>
      </c>
      <c r="I122" s="274"/>
      <c r="J122" s="92"/>
      <c r="N122" s="49"/>
    </row>
    <row r="123" spans="1:15">
      <c r="A123" s="269"/>
      <c r="B123" s="270"/>
      <c r="C123" s="271"/>
      <c r="D123" s="548"/>
      <c r="E123" s="272"/>
      <c r="F123" s="669" t="s">
        <v>3603</v>
      </c>
      <c r="G123" s="669">
        <f>H123</f>
        <v>22461.58</v>
      </c>
      <c r="H123" s="879">
        <f t="shared" ref="H123:H125" si="1">H117</f>
        <v>22461.58</v>
      </c>
      <c r="I123" s="274"/>
      <c r="J123" s="92"/>
      <c r="N123" s="49"/>
    </row>
    <row r="124" spans="1:15">
      <c r="A124" s="269"/>
      <c r="B124" s="270"/>
      <c r="C124" s="271"/>
      <c r="D124" s="548"/>
      <c r="E124" s="272"/>
      <c r="F124" s="669" t="s">
        <v>3498</v>
      </c>
      <c r="G124" s="669">
        <f>H124</f>
        <v>721.02</v>
      </c>
      <c r="H124" s="879">
        <f t="shared" si="1"/>
        <v>721.02</v>
      </c>
      <c r="I124" s="274"/>
      <c r="J124" s="92"/>
      <c r="N124" s="49"/>
    </row>
    <row r="125" spans="1:15">
      <c r="A125" s="269"/>
      <c r="B125" s="270"/>
      <c r="C125" s="271"/>
      <c r="D125" s="548"/>
      <c r="E125" s="272"/>
      <c r="F125" s="669" t="s">
        <v>3499</v>
      </c>
      <c r="G125" s="669">
        <f>H125</f>
        <v>2961.71</v>
      </c>
      <c r="H125" s="879">
        <f t="shared" si="1"/>
        <v>2961.71</v>
      </c>
      <c r="I125" s="274"/>
      <c r="J125" s="92"/>
      <c r="N125" s="49"/>
    </row>
    <row r="126" spans="1:15">
      <c r="A126" s="226"/>
      <c r="B126" s="227"/>
      <c r="C126" s="228"/>
      <c r="D126" s="548"/>
      <c r="E126" s="229"/>
      <c r="F126" s="235"/>
      <c r="G126" s="235"/>
      <c r="H126" s="237"/>
      <c r="I126" s="241"/>
      <c r="J126" s="92"/>
      <c r="N126" s="49"/>
    </row>
    <row r="127" spans="1:15" ht="45">
      <c r="A127" s="12" t="s">
        <v>56</v>
      </c>
      <c r="B127" s="53" t="s">
        <v>325</v>
      </c>
      <c r="C127" s="8" t="s">
        <v>17</v>
      </c>
      <c r="D127" s="44">
        <v>1180.03</v>
      </c>
      <c r="E127" s="44">
        <v>1180.03</v>
      </c>
      <c r="F127" s="230" t="s">
        <v>3501</v>
      </c>
      <c r="G127" s="45" t="s">
        <v>3503</v>
      </c>
      <c r="H127" s="44">
        <f>((0.35*0.35*78.5)+((0.06+0.03)*0.075*4*78.5))*14</f>
        <v>164.3005</v>
      </c>
      <c r="I127" s="192">
        <f>H127+H128</f>
        <v>1187.3953000000001</v>
      </c>
      <c r="J127" s="200">
        <v>0</v>
      </c>
      <c r="N127" s="49"/>
    </row>
    <row r="128" spans="1:15" ht="48.75" customHeight="1">
      <c r="A128" s="226"/>
      <c r="B128" s="880"/>
      <c r="C128" s="228"/>
      <c r="D128" s="229"/>
      <c r="E128" s="881"/>
      <c r="F128" s="230"/>
      <c r="G128" s="230" t="s">
        <v>3502</v>
      </c>
      <c r="H128" s="229">
        <f>(1.8*4*19.8*1.05)+(2.1*10*19.8*1.05)+((4.4+0.5+0.5)*2*9.63*1.2)+((4.4+0.5+0.5)*5*9.63*1.2)</f>
        <v>1023.0948000000001</v>
      </c>
      <c r="I128" s="241"/>
      <c r="J128" s="92"/>
      <c r="N128" s="49"/>
    </row>
    <row r="129" spans="1:14" ht="39" customHeight="1">
      <c r="A129" s="12" t="s">
        <v>57</v>
      </c>
      <c r="B129" s="7" t="s">
        <v>327</v>
      </c>
      <c r="C129" s="8" t="s">
        <v>13</v>
      </c>
      <c r="D129" s="44">
        <v>3879.21</v>
      </c>
      <c r="E129" s="917">
        <f>D129</f>
        <v>3879.21</v>
      </c>
      <c r="F129" s="882" t="s">
        <v>3202</v>
      </c>
      <c r="G129" s="45" t="s">
        <v>3600</v>
      </c>
      <c r="H129" s="44">
        <f>60.71+569.24+68.14+34.37+144.52+212.78+250.7+29.22+32.96</f>
        <v>1402.64</v>
      </c>
      <c r="I129" s="192">
        <f>SUM(H129:H132)</f>
        <v>3870.28</v>
      </c>
      <c r="J129" s="279">
        <v>0</v>
      </c>
      <c r="K129" s="747">
        <f>D129-I129</f>
        <v>8.9299999999998363</v>
      </c>
      <c r="M129" s="170" t="s">
        <v>3624</v>
      </c>
      <c r="N129" s="49">
        <f>D129*0.05</f>
        <v>193.96050000000002</v>
      </c>
    </row>
    <row r="130" spans="1:14" ht="39" customHeight="1">
      <c r="A130" s="226"/>
      <c r="B130" s="227"/>
      <c r="C130" s="228"/>
      <c r="D130" s="229"/>
      <c r="E130" s="229"/>
      <c r="F130" s="230" t="s">
        <v>3204</v>
      </c>
      <c r="G130" s="230" t="s">
        <v>3623</v>
      </c>
      <c r="H130" s="229">
        <f>131.14+254.62+417.96+36.21+195.63+68.72+108.92+286.5+72.15+5.93+15.11</f>
        <v>1592.89</v>
      </c>
      <c r="I130" s="241"/>
      <c r="J130" s="92"/>
      <c r="N130" s="49"/>
    </row>
    <row r="131" spans="1:14" ht="39" customHeight="1">
      <c r="A131" s="226"/>
      <c r="B131" s="227"/>
      <c r="C131" s="228"/>
      <c r="D131" s="229"/>
      <c r="E131" s="229"/>
      <c r="F131" s="230" t="s">
        <v>3203</v>
      </c>
      <c r="G131" s="230" t="s">
        <v>3601</v>
      </c>
      <c r="H131" s="229">
        <f>48.47+248.51+13.01+27.39+21.79+13.82+185.14+85.29+16.74+165.79</f>
        <v>825.94999999999993</v>
      </c>
      <c r="I131" s="241"/>
      <c r="J131" s="92"/>
      <c r="N131" s="49"/>
    </row>
    <row r="132" spans="1:14" ht="39" customHeight="1">
      <c r="A132" s="226"/>
      <c r="B132" s="227"/>
      <c r="C132" s="228"/>
      <c r="D132" s="229"/>
      <c r="E132" s="229"/>
      <c r="F132" s="235" t="s">
        <v>3670</v>
      </c>
      <c r="G132" s="230">
        <v>48.8</v>
      </c>
      <c r="H132" s="229">
        <v>48.8</v>
      </c>
      <c r="I132" s="241"/>
      <c r="J132" s="92"/>
      <c r="N132" s="49"/>
    </row>
    <row r="133" spans="1:14" ht="28.5">
      <c r="A133" s="12" t="s">
        <v>58</v>
      </c>
      <c r="B133" s="10" t="s">
        <v>329</v>
      </c>
      <c r="C133" s="8" t="s">
        <v>13</v>
      </c>
      <c r="D133" s="44">
        <v>462.9</v>
      </c>
      <c r="E133" s="44">
        <v>462.9</v>
      </c>
      <c r="F133" s="45" t="s">
        <v>3256</v>
      </c>
      <c r="G133" s="45">
        <v>462.9</v>
      </c>
      <c r="H133" s="44">
        <v>462.9</v>
      </c>
      <c r="I133" s="192">
        <f t="shared" ref="I133:I142" si="2">H133</f>
        <v>462.9</v>
      </c>
      <c r="J133" s="200">
        <v>0</v>
      </c>
      <c r="N133" s="49"/>
    </row>
    <row r="134" spans="1:14" ht="21.95" customHeight="1">
      <c r="A134" s="12" t="s">
        <v>59</v>
      </c>
      <c r="B134" s="7" t="s">
        <v>331</v>
      </c>
      <c r="C134" s="8" t="s">
        <v>13</v>
      </c>
      <c r="D134" s="44">
        <v>5.09</v>
      </c>
      <c r="E134" s="44">
        <v>233.57</v>
      </c>
      <c r="F134" s="45" t="s">
        <v>3257</v>
      </c>
      <c r="G134" s="45" t="s">
        <v>3259</v>
      </c>
      <c r="H134" s="44">
        <f>26.26+55.01+7.47+80.72+59.03+1.9+3.18</f>
        <v>233.57</v>
      </c>
      <c r="I134" s="192">
        <f t="shared" si="2"/>
        <v>233.57</v>
      </c>
      <c r="J134" s="279">
        <v>0</v>
      </c>
      <c r="M134" s="170" t="s">
        <v>3258</v>
      </c>
      <c r="N134" s="49"/>
    </row>
    <row r="135" spans="1:14" ht="21.95" customHeight="1">
      <c r="A135" s="12" t="s">
        <v>60</v>
      </c>
      <c r="B135" s="7" t="s">
        <v>333</v>
      </c>
      <c r="C135" s="8" t="s">
        <v>13</v>
      </c>
      <c r="D135" s="44">
        <v>18.760000000000002</v>
      </c>
      <c r="E135" s="44">
        <f>I135</f>
        <v>18.759999999999998</v>
      </c>
      <c r="F135" s="45"/>
      <c r="G135" s="45" t="s">
        <v>3261</v>
      </c>
      <c r="H135" s="44">
        <f>2.8*6.7</f>
        <v>18.759999999999998</v>
      </c>
      <c r="I135" s="192">
        <f t="shared" si="2"/>
        <v>18.759999999999998</v>
      </c>
      <c r="J135" s="200">
        <v>0</v>
      </c>
      <c r="N135" s="49"/>
    </row>
    <row r="136" spans="1:14" ht="21.95" customHeight="1">
      <c r="A136" s="12" t="s">
        <v>61</v>
      </c>
      <c r="B136" s="7" t="s">
        <v>335</v>
      </c>
      <c r="C136" s="8" t="s">
        <v>13</v>
      </c>
      <c r="D136" s="44">
        <v>118.92</v>
      </c>
      <c r="E136" s="44">
        <f>I136</f>
        <v>118.92000000000002</v>
      </c>
      <c r="F136" s="45"/>
      <c r="G136" s="45" t="s">
        <v>3260</v>
      </c>
      <c r="H136" s="44">
        <f>12.71+30.1+17.03+5.12+53.96</f>
        <v>118.92000000000002</v>
      </c>
      <c r="I136" s="192">
        <f t="shared" si="2"/>
        <v>118.92000000000002</v>
      </c>
      <c r="J136" s="200">
        <v>0</v>
      </c>
      <c r="N136" s="49"/>
    </row>
    <row r="137" spans="1:14" ht="21.95" customHeight="1">
      <c r="A137" s="12" t="s">
        <v>62</v>
      </c>
      <c r="B137" s="7" t="s">
        <v>337</v>
      </c>
      <c r="C137" s="8" t="s">
        <v>13</v>
      </c>
      <c r="D137" s="44">
        <v>173.3</v>
      </c>
      <c r="E137" s="44">
        <f>I137</f>
        <v>173.3</v>
      </c>
      <c r="F137" s="45"/>
      <c r="G137" s="45" t="s">
        <v>3381</v>
      </c>
      <c r="H137" s="44">
        <f>98.2+22.8+52.3</f>
        <v>173.3</v>
      </c>
      <c r="I137" s="192">
        <f t="shared" si="2"/>
        <v>173.3</v>
      </c>
      <c r="J137" s="200">
        <v>0</v>
      </c>
      <c r="N137" s="49"/>
    </row>
    <row r="138" spans="1:14" ht="21.95" customHeight="1">
      <c r="A138" s="12" t="s">
        <v>63</v>
      </c>
      <c r="B138" s="7" t="s">
        <v>339</v>
      </c>
      <c r="C138" s="8" t="s">
        <v>0</v>
      </c>
      <c r="D138" s="44">
        <v>1</v>
      </c>
      <c r="E138" s="44">
        <v>1</v>
      </c>
      <c r="F138" s="45"/>
      <c r="G138" s="45">
        <v>1</v>
      </c>
      <c r="H138" s="44">
        <v>1</v>
      </c>
      <c r="I138" s="192">
        <f t="shared" si="2"/>
        <v>1</v>
      </c>
      <c r="J138" s="200">
        <v>0</v>
      </c>
      <c r="N138" s="49"/>
    </row>
    <row r="139" spans="1:14" ht="21.95" customHeight="1">
      <c r="A139" s="12" t="s">
        <v>64</v>
      </c>
      <c r="B139" s="7" t="s">
        <v>341</v>
      </c>
      <c r="C139" s="8" t="s">
        <v>223</v>
      </c>
      <c r="D139" s="44">
        <v>156.68</v>
      </c>
      <c r="E139" s="44">
        <f>I139</f>
        <v>156.68</v>
      </c>
      <c r="F139" s="45"/>
      <c r="G139" s="45">
        <v>156.68</v>
      </c>
      <c r="H139" s="44">
        <v>156.68</v>
      </c>
      <c r="I139" s="192">
        <f t="shared" si="2"/>
        <v>156.68</v>
      </c>
      <c r="J139" s="200">
        <v>0</v>
      </c>
      <c r="N139" s="49"/>
    </row>
    <row r="140" spans="1:14" ht="69.75" customHeight="1">
      <c r="A140" s="12" t="s">
        <v>65</v>
      </c>
      <c r="B140" s="7" t="s">
        <v>343</v>
      </c>
      <c r="C140" s="8" t="s">
        <v>8</v>
      </c>
      <c r="D140" s="44">
        <v>689.86</v>
      </c>
      <c r="E140" s="44">
        <f>I140</f>
        <v>724.02999999999986</v>
      </c>
      <c r="F140" s="45"/>
      <c r="G140" s="45" t="s">
        <v>3262</v>
      </c>
      <c r="H140" s="44">
        <f>70.66+62.69+1.32+31+17.74+70.26+114.27+23.64+9.02+30.33+13.36+2.36+14.28+1.1+9.14+5.41+3.76+2.18+2.36+24.92+57.38+8.27+4.04+36.79+38.74+20.22+25.92+20.31+1.28+1.28</f>
        <v>724.02999999999986</v>
      </c>
      <c r="I140" s="192">
        <f t="shared" si="2"/>
        <v>724.02999999999986</v>
      </c>
      <c r="J140" s="279">
        <f>E140-D140</f>
        <v>34.169999999999845</v>
      </c>
      <c r="K140" s="433" t="s">
        <v>3382</v>
      </c>
      <c r="L140" s="29">
        <f>D140*0.05</f>
        <v>34.493000000000002</v>
      </c>
      <c r="N140" s="49"/>
    </row>
    <row r="141" spans="1:14" ht="21.95" customHeight="1">
      <c r="A141" s="12" t="s">
        <v>66</v>
      </c>
      <c r="B141" s="7" t="s">
        <v>345</v>
      </c>
      <c r="C141" s="8" t="s">
        <v>8</v>
      </c>
      <c r="D141" s="44">
        <v>12.91</v>
      </c>
      <c r="E141" s="44">
        <f>I141</f>
        <v>12.91</v>
      </c>
      <c r="F141" s="45"/>
      <c r="G141" s="45" t="s">
        <v>3263</v>
      </c>
      <c r="H141" s="44">
        <f>2.53+2.68+2.52+2.51+2.67</f>
        <v>12.91</v>
      </c>
      <c r="I141" s="192">
        <f t="shared" si="2"/>
        <v>12.91</v>
      </c>
      <c r="J141" s="200">
        <v>0</v>
      </c>
      <c r="N141" s="49"/>
    </row>
    <row r="142" spans="1:14" ht="21.95" customHeight="1">
      <c r="A142" s="12" t="s">
        <v>67</v>
      </c>
      <c r="B142" s="7" t="s">
        <v>347</v>
      </c>
      <c r="C142" s="8" t="s">
        <v>8</v>
      </c>
      <c r="D142" s="44">
        <v>56.09</v>
      </c>
      <c r="E142" s="44">
        <f>I142</f>
        <v>0</v>
      </c>
      <c r="F142" s="45"/>
      <c r="G142" s="45">
        <v>0</v>
      </c>
      <c r="H142" s="44">
        <v>0</v>
      </c>
      <c r="I142" s="192">
        <f t="shared" si="2"/>
        <v>0</v>
      </c>
      <c r="J142" s="279">
        <f>E142-D142</f>
        <v>-56.09</v>
      </c>
      <c r="K142" s="433" t="s">
        <v>3411</v>
      </c>
      <c r="N142" s="49"/>
    </row>
    <row r="143" spans="1:14" ht="39" customHeight="1">
      <c r="A143" s="12" t="s">
        <v>68</v>
      </c>
      <c r="B143" s="7" t="s">
        <v>349</v>
      </c>
      <c r="C143" s="8" t="s">
        <v>8</v>
      </c>
      <c r="D143" s="44">
        <v>656.91</v>
      </c>
      <c r="E143" s="44">
        <v>656.91</v>
      </c>
      <c r="F143" s="45"/>
      <c r="G143" s="45" t="s">
        <v>3599</v>
      </c>
      <c r="H143" s="44">
        <f>30.7+32.88+38.64+26.21+2.68+84.45+17.44+67.02+80.48+24.95+36.48+150.42+21.26+63.27</f>
        <v>676.88</v>
      </c>
      <c r="I143" s="192">
        <f>H143+H144</f>
        <v>761.16</v>
      </c>
      <c r="J143" s="279">
        <f>I143-D143</f>
        <v>104.25</v>
      </c>
      <c r="M143" s="170">
        <f>D143*0.05</f>
        <v>32.845500000000001</v>
      </c>
      <c r="N143" s="49"/>
    </row>
    <row r="144" spans="1:14" ht="39" customHeight="1">
      <c r="A144" s="226"/>
      <c r="B144" s="227"/>
      <c r="C144" s="228"/>
      <c r="D144" s="229"/>
      <c r="E144" s="229"/>
      <c r="F144" s="235" t="s">
        <v>3669</v>
      </c>
      <c r="G144" s="230" t="s">
        <v>3671</v>
      </c>
      <c r="H144" s="229">
        <f>22.43+22.05+39.8</f>
        <v>84.28</v>
      </c>
      <c r="I144" s="249"/>
      <c r="J144" s="285"/>
      <c r="N144" s="49"/>
    </row>
    <row r="145" spans="1:14" ht="21.95" customHeight="1">
      <c r="A145" s="12" t="s">
        <v>69</v>
      </c>
      <c r="B145" s="7" t="s">
        <v>351</v>
      </c>
      <c r="C145" s="8" t="s">
        <v>8</v>
      </c>
      <c r="D145" s="44">
        <v>1254.1300000000001</v>
      </c>
      <c r="E145" s="44">
        <f>I145</f>
        <v>1250.4900000000002</v>
      </c>
      <c r="F145" s="45"/>
      <c r="G145" s="45" t="s">
        <v>3605</v>
      </c>
      <c r="H145" s="44">
        <f>鋪面緣石!B41</f>
        <v>1250.4900000000002</v>
      </c>
      <c r="I145" s="883">
        <f>H145</f>
        <v>1250.4900000000002</v>
      </c>
      <c r="J145" s="200"/>
      <c r="K145" s="433" t="s">
        <v>3621</v>
      </c>
      <c r="L145" s="29">
        <f>D145*0.95</f>
        <v>1191.4235000000001</v>
      </c>
      <c r="N145" s="49"/>
    </row>
    <row r="146" spans="1:14" ht="21.95" customHeight="1">
      <c r="A146" s="12" t="s">
        <v>70</v>
      </c>
      <c r="B146" s="7" t="s">
        <v>353</v>
      </c>
      <c r="C146" s="8" t="s">
        <v>8</v>
      </c>
      <c r="D146" s="44">
        <v>44.64</v>
      </c>
      <c r="E146" s="44">
        <f t="shared" ref="E146:E148" si="3">I146</f>
        <v>24.200000000000003</v>
      </c>
      <c r="F146" s="45"/>
      <c r="G146" s="45" t="s">
        <v>3620</v>
      </c>
      <c r="H146" s="44">
        <f>0.55*2*11*2</f>
        <v>24.200000000000003</v>
      </c>
      <c r="I146" s="883">
        <f>H146</f>
        <v>24.200000000000003</v>
      </c>
      <c r="J146" s="200"/>
      <c r="N146" s="49"/>
    </row>
    <row r="147" spans="1:14" ht="57.75" customHeight="1">
      <c r="A147" s="12" t="s">
        <v>71</v>
      </c>
      <c r="B147" s="7" t="s">
        <v>355</v>
      </c>
      <c r="C147" s="8" t="s">
        <v>8</v>
      </c>
      <c r="D147" s="44">
        <v>142.26</v>
      </c>
      <c r="E147" s="44">
        <f t="shared" si="3"/>
        <v>154.22999999999999</v>
      </c>
      <c r="F147" s="45"/>
      <c r="G147" s="884" t="s">
        <v>3606</v>
      </c>
      <c r="H147" s="44">
        <f>5.81+1.8+1.5+3.92+4+2.62+2.88+6.7+4.22+3.79+3.7+11.81+2.5+6.55+7.43+1.5+1.5+2.42+1.5+1.5+8.67+1.5+7.16+1.5+2+2+12.18+11.13+12.18+11.13+7.13</f>
        <v>154.22999999999999</v>
      </c>
      <c r="I147" s="44">
        <f>H147</f>
        <v>154.22999999999999</v>
      </c>
      <c r="J147" s="279">
        <f>E147-D147</f>
        <v>11.969999999999999</v>
      </c>
      <c r="L147" s="29">
        <f>D147*0.05</f>
        <v>7.1129999999999995</v>
      </c>
      <c r="N147" s="49"/>
    </row>
    <row r="148" spans="1:14" ht="21.95" customHeight="1">
      <c r="A148" s="12" t="s">
        <v>72</v>
      </c>
      <c r="B148" s="7" t="s">
        <v>357</v>
      </c>
      <c r="C148" s="8" t="s">
        <v>8</v>
      </c>
      <c r="D148" s="44">
        <v>8.5</v>
      </c>
      <c r="E148" s="44">
        <f t="shared" si="3"/>
        <v>4</v>
      </c>
      <c r="F148" s="45"/>
      <c r="G148" s="45">
        <v>4</v>
      </c>
      <c r="H148" s="44">
        <v>4</v>
      </c>
      <c r="I148" s="883">
        <f>H148</f>
        <v>4</v>
      </c>
      <c r="J148" s="279">
        <f>E148-D148</f>
        <v>-4.5</v>
      </c>
      <c r="N148" s="49"/>
    </row>
    <row r="149" spans="1:14" ht="21.95" customHeight="1">
      <c r="A149" s="12" t="s">
        <v>73</v>
      </c>
      <c r="B149" s="7" t="s">
        <v>359</v>
      </c>
      <c r="C149" s="8" t="s">
        <v>13</v>
      </c>
      <c r="D149" s="44">
        <v>20.48</v>
      </c>
      <c r="E149" s="44">
        <f t="shared" ref="E149:E158" si="4">I149</f>
        <v>29.120000000000005</v>
      </c>
      <c r="F149" s="45"/>
      <c r="G149" s="45" t="s">
        <v>3607</v>
      </c>
      <c r="H149" s="44">
        <f>1.6*0.8*16+1.2*0.6*12</f>
        <v>29.120000000000005</v>
      </c>
      <c r="I149" s="883">
        <f t="shared" ref="I149:I160" si="5">H149</f>
        <v>29.120000000000005</v>
      </c>
      <c r="J149" s="279">
        <f>E149-D149</f>
        <v>8.6400000000000041</v>
      </c>
      <c r="N149" s="49"/>
    </row>
    <row r="150" spans="1:14" ht="21.95" customHeight="1">
      <c r="A150" s="12" t="s">
        <v>74</v>
      </c>
      <c r="B150" s="7" t="s">
        <v>361</v>
      </c>
      <c r="C150" s="8" t="s">
        <v>8</v>
      </c>
      <c r="D150" s="44">
        <v>56.1</v>
      </c>
      <c r="E150" s="44">
        <f t="shared" si="4"/>
        <v>57.300000000000004</v>
      </c>
      <c r="F150" s="45"/>
      <c r="G150" s="45" t="s">
        <v>3504</v>
      </c>
      <c r="H150" s="44">
        <f>5.7+51.6</f>
        <v>57.300000000000004</v>
      </c>
      <c r="I150" s="192">
        <f t="shared" si="5"/>
        <v>57.300000000000004</v>
      </c>
      <c r="J150" s="279">
        <f>E150-D150</f>
        <v>1.2000000000000028</v>
      </c>
      <c r="K150" s="433" t="s">
        <v>3382</v>
      </c>
      <c r="N150" s="49"/>
    </row>
    <row r="151" spans="1:14" ht="21.95" customHeight="1">
      <c r="A151" s="12" t="s">
        <v>75</v>
      </c>
      <c r="B151" s="7" t="s">
        <v>363</v>
      </c>
      <c r="C151" s="8" t="s">
        <v>8</v>
      </c>
      <c r="D151" s="44">
        <v>16.600000000000001</v>
      </c>
      <c r="E151" s="44">
        <f t="shared" si="4"/>
        <v>16.600000000000001</v>
      </c>
      <c r="G151" s="45">
        <v>16.600000000000001</v>
      </c>
      <c r="H151" s="44">
        <v>16.600000000000001</v>
      </c>
      <c r="I151" s="192">
        <f t="shared" si="5"/>
        <v>16.600000000000001</v>
      </c>
      <c r="J151" s="279">
        <f t="shared" ref="J151:J157" si="6">E151-D151</f>
        <v>0</v>
      </c>
      <c r="N151" s="49"/>
    </row>
    <row r="152" spans="1:14" ht="21.95" customHeight="1">
      <c r="A152" s="12" t="s">
        <v>76</v>
      </c>
      <c r="B152" s="7" t="s">
        <v>365</v>
      </c>
      <c r="C152" s="8" t="s">
        <v>8</v>
      </c>
      <c r="D152" s="44">
        <v>2</v>
      </c>
      <c r="E152" s="44">
        <f t="shared" si="4"/>
        <v>2</v>
      </c>
      <c r="F152" s="45"/>
      <c r="G152" s="45">
        <v>2</v>
      </c>
      <c r="H152" s="44">
        <v>2</v>
      </c>
      <c r="I152" s="192">
        <f t="shared" si="5"/>
        <v>2</v>
      </c>
      <c r="J152" s="279">
        <f t="shared" si="6"/>
        <v>0</v>
      </c>
      <c r="N152" s="49"/>
    </row>
    <row r="153" spans="1:14" ht="21.95" customHeight="1">
      <c r="A153" s="12" t="s">
        <v>215</v>
      </c>
      <c r="B153" s="7" t="s">
        <v>367</v>
      </c>
      <c r="C153" s="8" t="s">
        <v>0</v>
      </c>
      <c r="D153" s="44">
        <v>7</v>
      </c>
      <c r="E153" s="44">
        <f t="shared" si="4"/>
        <v>7</v>
      </c>
      <c r="F153" s="45"/>
      <c r="G153" s="45">
        <v>7</v>
      </c>
      <c r="H153" s="44">
        <v>7</v>
      </c>
      <c r="I153" s="192">
        <f t="shared" si="5"/>
        <v>7</v>
      </c>
      <c r="J153" s="279">
        <f t="shared" si="6"/>
        <v>0</v>
      </c>
      <c r="N153" s="49"/>
    </row>
    <row r="154" spans="1:14" ht="21.95" customHeight="1">
      <c r="A154" s="12" t="s">
        <v>216</v>
      </c>
      <c r="B154" s="7" t="s">
        <v>369</v>
      </c>
      <c r="C154" s="8" t="s">
        <v>8</v>
      </c>
      <c r="D154" s="44">
        <v>19.2</v>
      </c>
      <c r="E154" s="44">
        <f t="shared" si="4"/>
        <v>19.2</v>
      </c>
      <c r="F154" s="45"/>
      <c r="G154" s="45">
        <v>19.2</v>
      </c>
      <c r="H154" s="44">
        <v>19.2</v>
      </c>
      <c r="I154" s="192">
        <f t="shared" si="5"/>
        <v>19.2</v>
      </c>
      <c r="J154" s="279">
        <f t="shared" si="6"/>
        <v>0</v>
      </c>
      <c r="N154" s="49"/>
    </row>
    <row r="155" spans="1:14" ht="21.95" customHeight="1">
      <c r="A155" s="12" t="s">
        <v>371</v>
      </c>
      <c r="B155" s="7" t="s">
        <v>372</v>
      </c>
      <c r="C155" s="8" t="s">
        <v>0</v>
      </c>
      <c r="D155" s="44">
        <v>2</v>
      </c>
      <c r="E155" s="44">
        <f t="shared" si="4"/>
        <v>2</v>
      </c>
      <c r="F155" s="45"/>
      <c r="G155" s="45">
        <v>2</v>
      </c>
      <c r="H155" s="44">
        <v>2</v>
      </c>
      <c r="I155" s="192">
        <f t="shared" si="5"/>
        <v>2</v>
      </c>
      <c r="J155" s="279">
        <f t="shared" si="6"/>
        <v>0</v>
      </c>
      <c r="N155" s="49"/>
    </row>
    <row r="156" spans="1:14" ht="21.95" customHeight="1">
      <c r="A156" s="12" t="s">
        <v>208</v>
      </c>
      <c r="B156" s="7" t="s">
        <v>374</v>
      </c>
      <c r="C156" s="8" t="s">
        <v>0</v>
      </c>
      <c r="D156" s="44">
        <v>8</v>
      </c>
      <c r="E156" s="44">
        <f t="shared" si="4"/>
        <v>8</v>
      </c>
      <c r="F156" s="45"/>
      <c r="G156" s="45">
        <v>8</v>
      </c>
      <c r="H156" s="44">
        <v>8</v>
      </c>
      <c r="I156" s="192">
        <f t="shared" si="5"/>
        <v>8</v>
      </c>
      <c r="J156" s="279">
        <f t="shared" si="6"/>
        <v>0</v>
      </c>
      <c r="N156" s="49"/>
    </row>
    <row r="157" spans="1:14" ht="21.95" customHeight="1">
      <c r="A157" s="12" t="s">
        <v>209</v>
      </c>
      <c r="B157" s="7" t="s">
        <v>376</v>
      </c>
      <c r="C157" s="8" t="s">
        <v>0</v>
      </c>
      <c r="D157" s="44">
        <v>3</v>
      </c>
      <c r="E157" s="44">
        <f t="shared" si="4"/>
        <v>3</v>
      </c>
      <c r="F157" s="45"/>
      <c r="G157" s="45">
        <v>3</v>
      </c>
      <c r="H157" s="44">
        <v>3</v>
      </c>
      <c r="I157" s="192">
        <f t="shared" si="5"/>
        <v>3</v>
      </c>
      <c r="J157" s="279">
        <f t="shared" si="6"/>
        <v>0</v>
      </c>
      <c r="N157" s="49"/>
    </row>
    <row r="158" spans="1:14" ht="21.95" customHeight="1">
      <c r="A158" s="12" t="s">
        <v>210</v>
      </c>
      <c r="B158" s="7" t="s">
        <v>378</v>
      </c>
      <c r="C158" s="8" t="s">
        <v>8</v>
      </c>
      <c r="D158" s="44">
        <v>30.1</v>
      </c>
      <c r="E158" s="44">
        <f t="shared" si="4"/>
        <v>30.099999999999998</v>
      </c>
      <c r="F158" s="45"/>
      <c r="G158" s="45" t="s">
        <v>3380</v>
      </c>
      <c r="H158" s="44">
        <f>11.5+10.4+8.2</f>
        <v>30.099999999999998</v>
      </c>
      <c r="I158" s="192">
        <f t="shared" si="5"/>
        <v>30.099999999999998</v>
      </c>
      <c r="J158" s="279">
        <v>0</v>
      </c>
      <c r="N158" s="49"/>
    </row>
    <row r="159" spans="1:14" ht="21.95" customHeight="1">
      <c r="A159" s="12" t="s">
        <v>211</v>
      </c>
      <c r="B159" s="7" t="s">
        <v>380</v>
      </c>
      <c r="C159" s="8" t="s">
        <v>8</v>
      </c>
      <c r="D159" s="44">
        <v>31.2</v>
      </c>
      <c r="E159" s="44">
        <v>35.200000000000003</v>
      </c>
      <c r="F159" s="80" t="s">
        <v>1613</v>
      </c>
      <c r="G159" s="80" t="s">
        <v>1919</v>
      </c>
      <c r="H159" s="44">
        <f>23.2+12</f>
        <v>35.200000000000003</v>
      </c>
      <c r="I159" s="192">
        <f t="shared" si="5"/>
        <v>35.200000000000003</v>
      </c>
      <c r="J159" s="279">
        <v>0</v>
      </c>
      <c r="N159" s="49"/>
    </row>
    <row r="160" spans="1:14" ht="21.95" customHeight="1">
      <c r="A160" s="12" t="s">
        <v>382</v>
      </c>
      <c r="B160" s="7" t="s">
        <v>383</v>
      </c>
      <c r="C160" s="8" t="s">
        <v>8</v>
      </c>
      <c r="D160" s="44">
        <v>17.899999999999999</v>
      </c>
      <c r="E160" s="44">
        <v>24.3</v>
      </c>
      <c r="F160" s="80" t="s">
        <v>1613</v>
      </c>
      <c r="G160" s="80">
        <v>24.3</v>
      </c>
      <c r="H160" s="44">
        <f>G160</f>
        <v>24.3</v>
      </c>
      <c r="I160" s="192">
        <f t="shared" si="5"/>
        <v>24.3</v>
      </c>
      <c r="J160" s="279">
        <v>0</v>
      </c>
      <c r="N160" s="49"/>
    </row>
    <row r="161" spans="1:14" ht="21.95" customHeight="1">
      <c r="A161" s="12" t="s">
        <v>385</v>
      </c>
      <c r="B161" s="7" t="s">
        <v>386</v>
      </c>
      <c r="C161" s="8" t="s">
        <v>8</v>
      </c>
      <c r="D161" s="44">
        <v>19.600000000000001</v>
      </c>
      <c r="E161" s="44">
        <f>I161</f>
        <v>19.600000000000001</v>
      </c>
      <c r="F161" s="45"/>
      <c r="G161" s="45">
        <v>19.600000000000001</v>
      </c>
      <c r="H161" s="44">
        <v>19.600000000000001</v>
      </c>
      <c r="I161" s="192">
        <f t="shared" ref="I161:I168" si="7">H161</f>
        <v>19.600000000000001</v>
      </c>
      <c r="J161" s="279">
        <v>0</v>
      </c>
      <c r="N161" s="49"/>
    </row>
    <row r="162" spans="1:14" ht="21.95" customHeight="1">
      <c r="A162" s="12" t="s">
        <v>388</v>
      </c>
      <c r="B162" s="7" t="s">
        <v>389</v>
      </c>
      <c r="C162" s="8" t="s">
        <v>8</v>
      </c>
      <c r="D162" s="44">
        <v>24.9</v>
      </c>
      <c r="E162" s="44">
        <f t="shared" ref="E162:E173" si="8">I162</f>
        <v>24.9</v>
      </c>
      <c r="F162" s="45"/>
      <c r="G162" s="45">
        <v>24.9</v>
      </c>
      <c r="H162" s="44">
        <v>24.9</v>
      </c>
      <c r="I162" s="192">
        <f t="shared" si="7"/>
        <v>24.9</v>
      </c>
      <c r="J162" s="279">
        <v>0</v>
      </c>
      <c r="N162" s="49"/>
    </row>
    <row r="163" spans="1:14" ht="21.95" customHeight="1">
      <c r="A163" s="12" t="s">
        <v>391</v>
      </c>
      <c r="B163" s="7" t="s">
        <v>392</v>
      </c>
      <c r="C163" s="8" t="s">
        <v>8</v>
      </c>
      <c r="D163" s="44">
        <v>3.5</v>
      </c>
      <c r="E163" s="44">
        <f t="shared" si="8"/>
        <v>3.5</v>
      </c>
      <c r="F163" s="45"/>
      <c r="G163" s="45">
        <v>3.5</v>
      </c>
      <c r="H163" s="44">
        <v>3.5</v>
      </c>
      <c r="I163" s="192">
        <f t="shared" si="7"/>
        <v>3.5</v>
      </c>
      <c r="J163" s="279">
        <v>0</v>
      </c>
      <c r="N163" s="49"/>
    </row>
    <row r="164" spans="1:14" ht="21.95" customHeight="1">
      <c r="A164" s="12" t="s">
        <v>394</v>
      </c>
      <c r="B164" s="7" t="s">
        <v>395</v>
      </c>
      <c r="C164" s="8" t="s">
        <v>0</v>
      </c>
      <c r="D164" s="44">
        <v>1</v>
      </c>
      <c r="E164" s="44">
        <f t="shared" si="8"/>
        <v>1</v>
      </c>
      <c r="F164" s="45"/>
      <c r="G164" s="45">
        <v>1</v>
      </c>
      <c r="H164" s="44">
        <v>1</v>
      </c>
      <c r="I164" s="192">
        <f t="shared" si="7"/>
        <v>1</v>
      </c>
      <c r="J164" s="279">
        <v>0</v>
      </c>
      <c r="N164" s="49"/>
    </row>
    <row r="165" spans="1:14" ht="21.95" customHeight="1">
      <c r="A165" s="12" t="s">
        <v>397</v>
      </c>
      <c r="B165" s="7" t="s">
        <v>398</v>
      </c>
      <c r="C165" s="8" t="s">
        <v>0</v>
      </c>
      <c r="D165" s="44">
        <v>1</v>
      </c>
      <c r="E165" s="44">
        <f t="shared" si="8"/>
        <v>1</v>
      </c>
      <c r="F165" s="45"/>
      <c r="G165" s="45">
        <v>1</v>
      </c>
      <c r="H165" s="44">
        <v>1</v>
      </c>
      <c r="I165" s="192">
        <f t="shared" si="7"/>
        <v>1</v>
      </c>
      <c r="J165" s="279">
        <v>0</v>
      </c>
      <c r="N165" s="49"/>
    </row>
    <row r="166" spans="1:14" ht="21.95" customHeight="1">
      <c r="A166" s="12" t="s">
        <v>400</v>
      </c>
      <c r="B166" s="7" t="s">
        <v>401</v>
      </c>
      <c r="C166" s="8" t="s">
        <v>0</v>
      </c>
      <c r="D166" s="44">
        <v>1</v>
      </c>
      <c r="E166" s="44">
        <f t="shared" si="8"/>
        <v>1</v>
      </c>
      <c r="F166" s="45"/>
      <c r="G166" s="45">
        <v>1</v>
      </c>
      <c r="H166" s="44">
        <v>1</v>
      </c>
      <c r="I166" s="192">
        <f t="shared" si="7"/>
        <v>1</v>
      </c>
      <c r="J166" s="279">
        <v>0</v>
      </c>
      <c r="N166" s="49"/>
    </row>
    <row r="167" spans="1:14" ht="21.95" customHeight="1">
      <c r="A167" s="12" t="s">
        <v>403</v>
      </c>
      <c r="B167" s="7" t="s">
        <v>404</v>
      </c>
      <c r="C167" s="8" t="s">
        <v>0</v>
      </c>
      <c r="D167" s="44">
        <v>1</v>
      </c>
      <c r="E167" s="44">
        <f t="shared" si="8"/>
        <v>1</v>
      </c>
      <c r="F167" s="45"/>
      <c r="G167" s="45">
        <v>1</v>
      </c>
      <c r="H167" s="44">
        <v>1</v>
      </c>
      <c r="I167" s="192">
        <f t="shared" si="7"/>
        <v>1</v>
      </c>
      <c r="J167" s="279">
        <v>0</v>
      </c>
      <c r="N167" s="49"/>
    </row>
    <row r="168" spans="1:14" ht="21.95" customHeight="1">
      <c r="A168" s="12" t="s">
        <v>406</v>
      </c>
      <c r="B168" s="7" t="s">
        <v>407</v>
      </c>
      <c r="C168" s="8" t="s">
        <v>0</v>
      </c>
      <c r="D168" s="44">
        <v>1</v>
      </c>
      <c r="E168" s="44">
        <f t="shared" si="8"/>
        <v>1</v>
      </c>
      <c r="F168" s="45"/>
      <c r="G168" s="45">
        <v>1</v>
      </c>
      <c r="H168" s="44">
        <v>1</v>
      </c>
      <c r="I168" s="192">
        <f t="shared" si="7"/>
        <v>1</v>
      </c>
      <c r="J168" s="279">
        <v>0</v>
      </c>
      <c r="N168" s="49"/>
    </row>
    <row r="169" spans="1:14" ht="33.75" customHeight="1">
      <c r="A169" s="12" t="s">
        <v>409</v>
      </c>
      <c r="B169" s="7" t="s">
        <v>410</v>
      </c>
      <c r="C169" s="8" t="s">
        <v>8</v>
      </c>
      <c r="D169" s="44">
        <v>149.5</v>
      </c>
      <c r="E169" s="44">
        <f t="shared" si="8"/>
        <v>454.32000000000005</v>
      </c>
      <c r="F169" s="45"/>
      <c r="G169" s="45" t="s">
        <v>3625</v>
      </c>
      <c r="H169" s="44">
        <f>20+3.48+5.39+33+6+5+62+103.8+51.6+3.35+160.7</f>
        <v>454.32000000000005</v>
      </c>
      <c r="I169" s="192">
        <f>H169</f>
        <v>454.32000000000005</v>
      </c>
      <c r="J169" s="279">
        <f>E169-D169</f>
        <v>304.82000000000005</v>
      </c>
      <c r="M169" s="170" t="s">
        <v>2101</v>
      </c>
      <c r="N169" s="49"/>
    </row>
    <row r="170" spans="1:14" ht="21.95" customHeight="1">
      <c r="A170" s="12" t="s">
        <v>412</v>
      </c>
      <c r="B170" s="7" t="s">
        <v>413</v>
      </c>
      <c r="C170" s="8" t="s">
        <v>8</v>
      </c>
      <c r="D170" s="44">
        <v>39.299999999999997</v>
      </c>
      <c r="E170" s="44">
        <f t="shared" si="8"/>
        <v>39.299999999999997</v>
      </c>
      <c r="F170" s="45"/>
      <c r="G170" s="45" t="s">
        <v>3379</v>
      </c>
      <c r="H170" s="44">
        <f>17.6+21.7</f>
        <v>39.299999999999997</v>
      </c>
      <c r="I170" s="192">
        <f>H170</f>
        <v>39.299999999999997</v>
      </c>
      <c r="J170" s="200">
        <v>0</v>
      </c>
      <c r="N170" s="49"/>
    </row>
    <row r="171" spans="1:14" ht="21.95" customHeight="1">
      <c r="A171" s="12" t="s">
        <v>415</v>
      </c>
      <c r="B171" s="7" t="s">
        <v>416</v>
      </c>
      <c r="C171" s="8" t="s">
        <v>8</v>
      </c>
      <c r="D171" s="44">
        <v>51.3</v>
      </c>
      <c r="E171" s="44">
        <f t="shared" si="8"/>
        <v>37.450000000000003</v>
      </c>
      <c r="F171" s="45" t="s">
        <v>3507</v>
      </c>
      <c r="G171" s="45" t="s">
        <v>3506</v>
      </c>
      <c r="H171" s="44">
        <f>18.2+16+3.25</f>
        <v>37.450000000000003</v>
      </c>
      <c r="I171" s="192">
        <f>H171</f>
        <v>37.450000000000003</v>
      </c>
      <c r="J171" s="279">
        <f>E171-D171</f>
        <v>-13.849999999999994</v>
      </c>
      <c r="N171" s="49"/>
    </row>
    <row r="172" spans="1:14" ht="21.95" customHeight="1">
      <c r="A172" s="12" t="s">
        <v>418</v>
      </c>
      <c r="B172" s="7" t="s">
        <v>419</v>
      </c>
      <c r="C172" s="8" t="s">
        <v>0</v>
      </c>
      <c r="D172" s="44">
        <v>1</v>
      </c>
      <c r="E172" s="44">
        <f t="shared" si="8"/>
        <v>1</v>
      </c>
      <c r="F172" s="45"/>
      <c r="G172" s="882">
        <v>1</v>
      </c>
      <c r="H172" s="44">
        <v>1</v>
      </c>
      <c r="I172" s="44">
        <v>1</v>
      </c>
      <c r="J172" s="200">
        <v>0</v>
      </c>
      <c r="N172" s="49"/>
    </row>
    <row r="173" spans="1:14" ht="21.95" customHeight="1">
      <c r="A173" s="12" t="s">
        <v>421</v>
      </c>
      <c r="B173" s="7" t="s">
        <v>422</v>
      </c>
      <c r="C173" s="8" t="s">
        <v>0</v>
      </c>
      <c r="D173" s="44">
        <v>2</v>
      </c>
      <c r="E173" s="44">
        <f t="shared" si="8"/>
        <v>2</v>
      </c>
      <c r="F173" s="45"/>
      <c r="G173" s="882">
        <v>2</v>
      </c>
      <c r="H173" s="44">
        <v>2</v>
      </c>
      <c r="I173" s="44">
        <v>2</v>
      </c>
      <c r="J173" s="200">
        <v>0</v>
      </c>
      <c r="N173" s="49"/>
    </row>
    <row r="174" spans="1:14" ht="21.95" customHeight="1">
      <c r="A174" s="12" t="s">
        <v>424</v>
      </c>
      <c r="B174" s="7" t="s">
        <v>425</v>
      </c>
      <c r="C174" s="8" t="s">
        <v>0</v>
      </c>
      <c r="D174" s="44">
        <v>1</v>
      </c>
      <c r="E174" s="44">
        <v>1</v>
      </c>
      <c r="F174" s="45"/>
      <c r="G174" s="882">
        <v>1</v>
      </c>
      <c r="H174" s="44">
        <v>1</v>
      </c>
      <c r="I174" s="44">
        <v>1</v>
      </c>
      <c r="J174" s="200">
        <v>0</v>
      </c>
      <c r="N174" s="49"/>
    </row>
    <row r="175" spans="1:14" ht="21.95" customHeight="1">
      <c r="A175" s="12" t="s">
        <v>427</v>
      </c>
      <c r="B175" s="7" t="s">
        <v>428</v>
      </c>
      <c r="C175" s="8" t="s">
        <v>0</v>
      </c>
      <c r="D175" s="44">
        <v>2</v>
      </c>
      <c r="E175" s="44">
        <v>2</v>
      </c>
      <c r="F175" s="45"/>
      <c r="G175" s="882">
        <v>2</v>
      </c>
      <c r="H175" s="44">
        <v>2</v>
      </c>
      <c r="I175" s="44">
        <v>2</v>
      </c>
      <c r="J175" s="200">
        <v>0</v>
      </c>
      <c r="N175" s="49"/>
    </row>
    <row r="176" spans="1:14" ht="21.95" customHeight="1">
      <c r="A176" s="12" t="s">
        <v>430</v>
      </c>
      <c r="B176" s="7" t="s">
        <v>431</v>
      </c>
      <c r="C176" s="8" t="s">
        <v>0</v>
      </c>
      <c r="D176" s="44">
        <v>2</v>
      </c>
      <c r="E176" s="44">
        <v>2</v>
      </c>
      <c r="F176" s="45"/>
      <c r="G176" s="882">
        <v>2</v>
      </c>
      <c r="H176" s="44">
        <v>2</v>
      </c>
      <c r="I176" s="44">
        <v>2</v>
      </c>
      <c r="J176" s="200">
        <v>0</v>
      </c>
      <c r="N176" s="49"/>
    </row>
    <row r="177" spans="1:14" ht="21.95" customHeight="1">
      <c r="A177" s="12" t="s">
        <v>433</v>
      </c>
      <c r="B177" s="7" t="s">
        <v>434</v>
      </c>
      <c r="C177" s="8" t="s">
        <v>0</v>
      </c>
      <c r="D177" s="44">
        <v>1</v>
      </c>
      <c r="E177" s="44">
        <v>1</v>
      </c>
      <c r="F177" s="45"/>
      <c r="G177" s="882">
        <v>1</v>
      </c>
      <c r="H177" s="44">
        <v>1</v>
      </c>
      <c r="I177" s="44">
        <v>1</v>
      </c>
      <c r="J177" s="200">
        <v>0</v>
      </c>
      <c r="N177" s="49"/>
    </row>
    <row r="178" spans="1:14" ht="21.95" customHeight="1">
      <c r="A178" s="12" t="s">
        <v>436</v>
      </c>
      <c r="B178" s="7" t="s">
        <v>437</v>
      </c>
      <c r="C178" s="8" t="s">
        <v>0</v>
      </c>
      <c r="D178" s="44">
        <v>1</v>
      </c>
      <c r="E178" s="44">
        <v>1</v>
      </c>
      <c r="F178" s="45"/>
      <c r="G178" s="882">
        <v>1</v>
      </c>
      <c r="H178" s="44">
        <v>1</v>
      </c>
      <c r="I178" s="44">
        <v>1</v>
      </c>
      <c r="J178" s="200">
        <v>0</v>
      </c>
      <c r="N178" s="49"/>
    </row>
    <row r="179" spans="1:14" ht="21.95" customHeight="1">
      <c r="A179" s="12" t="s">
        <v>439</v>
      </c>
      <c r="B179" s="7" t="s">
        <v>440</v>
      </c>
      <c r="C179" s="8" t="s">
        <v>0</v>
      </c>
      <c r="D179" s="44">
        <v>1</v>
      </c>
      <c r="E179" s="44">
        <v>1</v>
      </c>
      <c r="F179" s="45"/>
      <c r="G179" s="882">
        <v>1</v>
      </c>
      <c r="H179" s="44">
        <v>1</v>
      </c>
      <c r="I179" s="44">
        <v>1</v>
      </c>
      <c r="J179" s="200">
        <v>0</v>
      </c>
      <c r="N179" s="49"/>
    </row>
    <row r="180" spans="1:14" ht="21.95" customHeight="1">
      <c r="A180" s="12" t="s">
        <v>442</v>
      </c>
      <c r="B180" s="7" t="s">
        <v>443</v>
      </c>
      <c r="C180" s="8" t="s">
        <v>0</v>
      </c>
      <c r="D180" s="44">
        <v>4</v>
      </c>
      <c r="E180" s="44">
        <v>4</v>
      </c>
      <c r="F180" s="45"/>
      <c r="G180" s="882">
        <v>4</v>
      </c>
      <c r="H180" s="44">
        <v>4</v>
      </c>
      <c r="I180" s="44">
        <v>4</v>
      </c>
      <c r="J180" s="200">
        <v>0</v>
      </c>
      <c r="N180" s="49"/>
    </row>
    <row r="181" spans="1:14" ht="21.95" customHeight="1">
      <c r="A181" s="12" t="s">
        <v>445</v>
      </c>
      <c r="B181" s="7" t="s">
        <v>446</v>
      </c>
      <c r="C181" s="8" t="s">
        <v>0</v>
      </c>
      <c r="D181" s="44">
        <v>6</v>
      </c>
      <c r="E181" s="44">
        <v>6</v>
      </c>
      <c r="F181" s="45"/>
      <c r="G181" s="882">
        <v>6</v>
      </c>
      <c r="H181" s="44">
        <v>6</v>
      </c>
      <c r="I181" s="44">
        <v>6</v>
      </c>
      <c r="J181" s="200">
        <v>0</v>
      </c>
      <c r="N181" s="49"/>
    </row>
    <row r="182" spans="1:14" ht="21.95" customHeight="1">
      <c r="A182" s="12" t="s">
        <v>448</v>
      </c>
      <c r="B182" s="7" t="s">
        <v>449</v>
      </c>
      <c r="C182" s="8" t="s">
        <v>0</v>
      </c>
      <c r="D182" s="44">
        <v>1</v>
      </c>
      <c r="E182" s="44">
        <v>1</v>
      </c>
      <c r="F182" s="45"/>
      <c r="G182" s="882">
        <v>1</v>
      </c>
      <c r="H182" s="44">
        <v>1</v>
      </c>
      <c r="I182" s="44">
        <v>1</v>
      </c>
      <c r="J182" s="200">
        <v>0</v>
      </c>
      <c r="N182" s="49"/>
    </row>
    <row r="183" spans="1:14" ht="21.95" customHeight="1">
      <c r="A183" s="12" t="s">
        <v>451</v>
      </c>
      <c r="B183" s="7" t="s">
        <v>452</v>
      </c>
      <c r="C183" s="8" t="s">
        <v>0</v>
      </c>
      <c r="D183" s="44">
        <v>1</v>
      </c>
      <c r="E183" s="44">
        <v>1</v>
      </c>
      <c r="F183" s="45"/>
      <c r="G183" s="882">
        <v>1</v>
      </c>
      <c r="H183" s="44">
        <v>1</v>
      </c>
      <c r="I183" s="44">
        <v>1</v>
      </c>
      <c r="J183" s="200">
        <v>0</v>
      </c>
      <c r="N183" s="49"/>
    </row>
    <row r="184" spans="1:14" ht="21.95" customHeight="1">
      <c r="A184" s="12" t="s">
        <v>454</v>
      </c>
      <c r="B184" s="7" t="s">
        <v>455</v>
      </c>
      <c r="C184" s="8" t="s">
        <v>0</v>
      </c>
      <c r="D184" s="44">
        <v>1</v>
      </c>
      <c r="E184" s="44">
        <v>1</v>
      </c>
      <c r="F184" s="45"/>
      <c r="G184" s="882">
        <v>1</v>
      </c>
      <c r="H184" s="44">
        <v>1</v>
      </c>
      <c r="I184" s="44">
        <v>1</v>
      </c>
      <c r="J184" s="200">
        <v>0</v>
      </c>
      <c r="N184" s="49"/>
    </row>
    <row r="185" spans="1:14" ht="21.95" customHeight="1">
      <c r="A185" s="12" t="s">
        <v>457</v>
      </c>
      <c r="B185" s="7" t="s">
        <v>458</v>
      </c>
      <c r="C185" s="8" t="s">
        <v>0</v>
      </c>
      <c r="D185" s="44">
        <v>1</v>
      </c>
      <c r="E185" s="44">
        <v>1</v>
      </c>
      <c r="F185" s="45"/>
      <c r="G185" s="882">
        <v>1</v>
      </c>
      <c r="H185" s="44">
        <v>1</v>
      </c>
      <c r="I185" s="44">
        <v>1</v>
      </c>
      <c r="J185" s="200">
        <v>0</v>
      </c>
      <c r="N185" s="49"/>
    </row>
    <row r="186" spans="1:14" ht="21.95" customHeight="1">
      <c r="A186" s="12" t="s">
        <v>460</v>
      </c>
      <c r="B186" s="7" t="s">
        <v>461</v>
      </c>
      <c r="C186" s="8" t="s">
        <v>0</v>
      </c>
      <c r="D186" s="44">
        <v>1</v>
      </c>
      <c r="E186" s="44">
        <v>1</v>
      </c>
      <c r="F186" s="45"/>
      <c r="G186" s="882">
        <v>1</v>
      </c>
      <c r="H186" s="44">
        <v>1</v>
      </c>
      <c r="I186" s="44">
        <v>1</v>
      </c>
      <c r="J186" s="200">
        <v>0</v>
      </c>
      <c r="N186" s="49"/>
    </row>
    <row r="187" spans="1:14" ht="21.95" customHeight="1">
      <c r="A187" s="12" t="s">
        <v>463</v>
      </c>
      <c r="B187" s="7" t="s">
        <v>464</v>
      </c>
      <c r="C187" s="8" t="s">
        <v>0</v>
      </c>
      <c r="D187" s="44">
        <v>3</v>
      </c>
      <c r="E187" s="44">
        <v>3</v>
      </c>
      <c r="F187" s="45"/>
      <c r="G187" s="882">
        <v>3</v>
      </c>
      <c r="H187" s="44">
        <v>3</v>
      </c>
      <c r="I187" s="44">
        <v>3</v>
      </c>
      <c r="J187" s="200">
        <v>0</v>
      </c>
      <c r="N187" s="49"/>
    </row>
    <row r="188" spans="1:14" ht="21.95" customHeight="1">
      <c r="A188" s="12" t="s">
        <v>466</v>
      </c>
      <c r="B188" s="7" t="s">
        <v>467</v>
      </c>
      <c r="C188" s="8" t="s">
        <v>0</v>
      </c>
      <c r="D188" s="44">
        <v>7</v>
      </c>
      <c r="E188" s="44">
        <f>I188</f>
        <v>11</v>
      </c>
      <c r="F188" s="45"/>
      <c r="G188" s="882">
        <v>11</v>
      </c>
      <c r="H188" s="44">
        <v>11</v>
      </c>
      <c r="I188" s="44">
        <f>H188</f>
        <v>11</v>
      </c>
      <c r="J188" s="279">
        <f>E188-D188</f>
        <v>4</v>
      </c>
      <c r="N188" s="49"/>
    </row>
    <row r="189" spans="1:14" ht="21.95" customHeight="1">
      <c r="A189" s="12" t="s">
        <v>469</v>
      </c>
      <c r="B189" s="7" t="s">
        <v>470</v>
      </c>
      <c r="C189" s="8" t="s">
        <v>0</v>
      </c>
      <c r="D189" s="44">
        <v>1</v>
      </c>
      <c r="E189" s="44">
        <v>1</v>
      </c>
      <c r="F189" s="45"/>
      <c r="G189" s="45">
        <v>1</v>
      </c>
      <c r="H189" s="44">
        <v>1</v>
      </c>
      <c r="I189" s="44">
        <v>1</v>
      </c>
      <c r="J189" s="200">
        <v>0</v>
      </c>
      <c r="N189" s="49"/>
    </row>
    <row r="190" spans="1:14" ht="42.75">
      <c r="A190" s="12" t="s">
        <v>472</v>
      </c>
      <c r="B190" s="10" t="s">
        <v>473</v>
      </c>
      <c r="C190" s="8" t="s">
        <v>13</v>
      </c>
      <c r="D190" s="44">
        <v>759.43</v>
      </c>
      <c r="E190" s="44">
        <f>I190</f>
        <v>1076.097</v>
      </c>
      <c r="F190" s="45"/>
      <c r="G190" s="45" t="s">
        <v>3508</v>
      </c>
      <c r="H190" s="44">
        <f>26.07+66.19+187.34+1.45+15.65+34.14+206.4+15.91+22.5+37.31+115.12+31.35</f>
        <v>759.43000000000006</v>
      </c>
      <c r="I190" s="192">
        <f>H190+H191+H192+H193</f>
        <v>1076.097</v>
      </c>
      <c r="J190" s="279">
        <f>E190-D190</f>
        <v>316.66700000000003</v>
      </c>
      <c r="K190" s="433" t="s">
        <v>3412</v>
      </c>
      <c r="N190" s="49"/>
    </row>
    <row r="191" spans="1:14" ht="57" customHeight="1">
      <c r="A191" s="226"/>
      <c r="B191" s="231"/>
      <c r="C191" s="228"/>
      <c r="D191" s="229"/>
      <c r="E191" s="229"/>
      <c r="F191" s="230" t="s">
        <v>3509</v>
      </c>
      <c r="G191" s="230" t="s">
        <v>3510</v>
      </c>
      <c r="H191" s="229">
        <f>(36.78+10.38+16.99+10.87+7.7+6.05+138.14+64.59+143.89+48.17+61.28+50.89+24.6+31.5+6+98.4+28.24+28.2)*0.1</f>
        <v>81.26700000000001</v>
      </c>
      <c r="I191" s="241"/>
      <c r="J191" s="92"/>
      <c r="N191" s="49"/>
    </row>
    <row r="192" spans="1:14">
      <c r="A192" s="226"/>
      <c r="B192" s="231"/>
      <c r="C192" s="228"/>
      <c r="D192" s="229"/>
      <c r="E192" s="229"/>
      <c r="F192" s="230" t="s">
        <v>3511</v>
      </c>
      <c r="G192" s="230" t="s">
        <v>3512</v>
      </c>
      <c r="H192" s="229">
        <f>72.8+7+6+6+7+6.5*4+16.7+0.3*22+26.2</f>
        <v>174.29999999999998</v>
      </c>
      <c r="I192" s="241"/>
      <c r="J192" s="92"/>
      <c r="N192" s="49"/>
    </row>
    <row r="193" spans="1:14">
      <c r="A193" s="226"/>
      <c r="B193" s="231"/>
      <c r="C193" s="228"/>
      <c r="D193" s="229"/>
      <c r="E193" s="229"/>
      <c r="F193" s="235" t="s">
        <v>3960</v>
      </c>
      <c r="G193" s="235" t="s">
        <v>3961</v>
      </c>
      <c r="H193" s="229">
        <f>47.4+13.7</f>
        <v>61.099999999999994</v>
      </c>
      <c r="I193" s="241"/>
      <c r="J193" s="92"/>
      <c r="N193" s="49"/>
    </row>
    <row r="194" spans="1:14" ht="21.95" customHeight="1">
      <c r="A194" s="12" t="s">
        <v>475</v>
      </c>
      <c r="B194" s="7" t="s">
        <v>476</v>
      </c>
      <c r="C194" s="8" t="s">
        <v>15</v>
      </c>
      <c r="D194" s="44">
        <v>1</v>
      </c>
      <c r="E194" s="44"/>
      <c r="F194" s="45"/>
      <c r="G194" s="45">
        <v>1</v>
      </c>
      <c r="H194" s="44">
        <v>1</v>
      </c>
      <c r="I194" s="192">
        <f t="shared" ref="I194:I199" si="9">H194</f>
        <v>1</v>
      </c>
      <c r="J194" s="200">
        <v>0</v>
      </c>
      <c r="N194" s="49"/>
    </row>
    <row r="195" spans="1:14" ht="21.95" customHeight="1">
      <c r="A195" s="12" t="s">
        <v>478</v>
      </c>
      <c r="B195" s="7" t="s">
        <v>479</v>
      </c>
      <c r="C195" s="8" t="s">
        <v>15</v>
      </c>
      <c r="D195" s="44">
        <v>3</v>
      </c>
      <c r="E195" s="44"/>
      <c r="F195" s="45"/>
      <c r="G195" s="45">
        <v>3</v>
      </c>
      <c r="H195" s="44">
        <v>3</v>
      </c>
      <c r="I195" s="192">
        <f t="shared" si="9"/>
        <v>3</v>
      </c>
      <c r="J195" s="200">
        <v>0</v>
      </c>
      <c r="N195" s="49"/>
    </row>
    <row r="196" spans="1:14" ht="39.75" customHeight="1">
      <c r="A196" s="12" t="s">
        <v>481</v>
      </c>
      <c r="B196" s="227" t="s">
        <v>482</v>
      </c>
      <c r="C196" s="228" t="s">
        <v>483</v>
      </c>
      <c r="D196" s="229">
        <v>88.17</v>
      </c>
      <c r="E196" s="229">
        <f>I196</f>
        <v>83.093400000000003</v>
      </c>
      <c r="F196" s="230" t="s">
        <v>3464</v>
      </c>
      <c r="G196" s="230" t="s">
        <v>3513</v>
      </c>
      <c r="H196" s="229">
        <f>1.75*1.1*0.7*2.65*12+1.1*0.7*0.6*2.65*19+0.8*0.5*0.3*2.65*35+0.4*0.4*0.3*2.65*46</f>
        <v>83.093400000000003</v>
      </c>
      <c r="I196" s="287">
        <f t="shared" si="9"/>
        <v>83.093400000000003</v>
      </c>
      <c r="J196" s="285">
        <f>H196-D196</f>
        <v>-5.0765999999999991</v>
      </c>
      <c r="K196" s="433">
        <f>D196*0.05</f>
        <v>4.4085000000000001</v>
      </c>
      <c r="N196" s="49"/>
    </row>
    <row r="197" spans="1:14" ht="21.95" customHeight="1">
      <c r="A197" s="12" t="s">
        <v>485</v>
      </c>
      <c r="B197" s="227" t="s">
        <v>486</v>
      </c>
      <c r="C197" s="228" t="s">
        <v>0</v>
      </c>
      <c r="D197" s="229">
        <v>25</v>
      </c>
      <c r="E197" s="229">
        <v>25</v>
      </c>
      <c r="F197" s="230" t="s">
        <v>3521</v>
      </c>
      <c r="G197" s="230" t="s">
        <v>3520</v>
      </c>
      <c r="H197" s="229">
        <f>25+1</f>
        <v>26</v>
      </c>
      <c r="I197" s="287">
        <f t="shared" si="9"/>
        <v>26</v>
      </c>
      <c r="J197" s="285">
        <f>I197-D197</f>
        <v>1</v>
      </c>
      <c r="K197" s="433" t="s">
        <v>3515</v>
      </c>
      <c r="M197" s="170" t="s">
        <v>3522</v>
      </c>
      <c r="N197" s="49"/>
    </row>
    <row r="198" spans="1:14" ht="21.95" customHeight="1">
      <c r="A198" s="12" t="s">
        <v>488</v>
      </c>
      <c r="B198" s="227" t="s">
        <v>489</v>
      </c>
      <c r="C198" s="228" t="s">
        <v>0</v>
      </c>
      <c r="D198" s="229">
        <v>13</v>
      </c>
      <c r="E198" s="229">
        <f>I198</f>
        <v>12</v>
      </c>
      <c r="F198" s="230" t="s">
        <v>3523</v>
      </c>
      <c r="G198" s="230">
        <v>12</v>
      </c>
      <c r="H198" s="229">
        <v>12</v>
      </c>
      <c r="I198" s="287">
        <f t="shared" si="9"/>
        <v>12</v>
      </c>
      <c r="J198" s="285">
        <f>I198-D198</f>
        <v>-1</v>
      </c>
      <c r="K198" s="433">
        <f>13*0.05</f>
        <v>0.65</v>
      </c>
      <c r="N198" s="49"/>
    </row>
    <row r="199" spans="1:14" ht="21.95" customHeight="1">
      <c r="A199" s="12" t="s">
        <v>491</v>
      </c>
      <c r="B199" s="227" t="s">
        <v>492</v>
      </c>
      <c r="C199" s="228" t="s">
        <v>8</v>
      </c>
      <c r="D199" s="229">
        <v>9.8000000000000007</v>
      </c>
      <c r="E199" s="229">
        <f>I199</f>
        <v>33.549999999999997</v>
      </c>
      <c r="F199" s="230" t="s">
        <v>3410</v>
      </c>
      <c r="G199" s="230" t="s">
        <v>3798</v>
      </c>
      <c r="H199" s="229">
        <f>4.4+5.4+4+19.75</f>
        <v>33.549999999999997</v>
      </c>
      <c r="I199" s="287">
        <f t="shared" si="9"/>
        <v>33.549999999999997</v>
      </c>
      <c r="J199" s="285">
        <f>E199-D199</f>
        <v>23.749999999999996</v>
      </c>
      <c r="N199" s="49"/>
    </row>
    <row r="200" spans="1:14" ht="21.95" customHeight="1">
      <c r="A200" s="12" t="s">
        <v>494</v>
      </c>
      <c r="B200" s="227" t="s">
        <v>495</v>
      </c>
      <c r="C200" s="228" t="s">
        <v>8</v>
      </c>
      <c r="D200" s="229">
        <v>6.2</v>
      </c>
      <c r="E200" s="229">
        <f>I200</f>
        <v>6.2</v>
      </c>
      <c r="F200" s="230" t="s">
        <v>3414</v>
      </c>
      <c r="G200" s="230"/>
      <c r="H200" s="229">
        <v>6.2</v>
      </c>
      <c r="I200" s="274">
        <v>6.2</v>
      </c>
      <c r="J200" s="285">
        <f>E200-D200</f>
        <v>0</v>
      </c>
      <c r="K200" s="433" t="s">
        <v>3414</v>
      </c>
      <c r="N200" s="49"/>
    </row>
    <row r="201" spans="1:14" ht="21.95" customHeight="1">
      <c r="A201" s="12" t="s">
        <v>497</v>
      </c>
      <c r="B201" s="227" t="s">
        <v>498</v>
      </c>
      <c r="C201" s="228" t="s">
        <v>8</v>
      </c>
      <c r="D201" s="229">
        <v>3.3</v>
      </c>
      <c r="E201" s="229">
        <v>3.3</v>
      </c>
      <c r="F201" s="230" t="s">
        <v>3424</v>
      </c>
      <c r="G201" s="230">
        <v>3.3</v>
      </c>
      <c r="H201" s="229">
        <v>3.3</v>
      </c>
      <c r="I201" s="287">
        <f t="shared" ref="I201:I206" si="10">H201</f>
        <v>3.3</v>
      </c>
      <c r="J201" s="285">
        <f>E201-D201</f>
        <v>0</v>
      </c>
      <c r="K201" s="433" t="s">
        <v>3413</v>
      </c>
      <c r="N201" s="49"/>
    </row>
    <row r="202" spans="1:14" ht="33" customHeight="1">
      <c r="A202" s="12" t="s">
        <v>500</v>
      </c>
      <c r="B202" s="227" t="s">
        <v>501</v>
      </c>
      <c r="C202" s="228" t="s">
        <v>8</v>
      </c>
      <c r="D202" s="229">
        <v>40.6</v>
      </c>
      <c r="E202" s="229">
        <f>I202</f>
        <v>44.760000000000005</v>
      </c>
      <c r="F202" s="230"/>
      <c r="G202" s="230" t="s">
        <v>3518</v>
      </c>
      <c r="H202" s="229">
        <f>14.35+17.21</f>
        <v>31.560000000000002</v>
      </c>
      <c r="I202" s="287">
        <f>H202+H203</f>
        <v>44.760000000000005</v>
      </c>
      <c r="J202" s="285">
        <f>I202-D202</f>
        <v>4.1600000000000037</v>
      </c>
      <c r="K202" s="433">
        <f>D202*0.05</f>
        <v>2.0300000000000002</v>
      </c>
      <c r="N202" s="49"/>
    </row>
    <row r="203" spans="1:14" ht="33" customHeight="1">
      <c r="A203" s="226"/>
      <c r="B203" s="227"/>
      <c r="C203" s="228"/>
      <c r="D203" s="229"/>
      <c r="E203" s="229"/>
      <c r="F203" s="230" t="s">
        <v>3469</v>
      </c>
      <c r="G203" s="230">
        <v>13.2</v>
      </c>
      <c r="H203" s="229">
        <v>13.2</v>
      </c>
      <c r="I203" s="249"/>
      <c r="J203" s="285"/>
      <c r="N203" s="49"/>
    </row>
    <row r="204" spans="1:14" ht="37.5" customHeight="1">
      <c r="A204" s="12" t="s">
        <v>503</v>
      </c>
      <c r="B204" s="227" t="s">
        <v>504</v>
      </c>
      <c r="C204" s="228" t="s">
        <v>8</v>
      </c>
      <c r="D204" s="229">
        <v>176.7</v>
      </c>
      <c r="E204" s="229">
        <v>176.7</v>
      </c>
      <c r="F204" s="230"/>
      <c r="G204" s="230" t="s">
        <v>3421</v>
      </c>
      <c r="H204" s="229">
        <f>20.34+29.2+26.04+14.97+19+14.44+14.4+14.4+24</f>
        <v>176.79</v>
      </c>
      <c r="I204" s="287">
        <f t="shared" si="10"/>
        <v>176.79</v>
      </c>
      <c r="J204" s="92">
        <v>0</v>
      </c>
      <c r="K204" s="170" t="s">
        <v>3471</v>
      </c>
      <c r="N204" s="49"/>
    </row>
    <row r="205" spans="1:14" ht="39.75" customHeight="1">
      <c r="A205" s="12" t="s">
        <v>506</v>
      </c>
      <c r="B205" s="227" t="s">
        <v>507</v>
      </c>
      <c r="C205" s="228" t="s">
        <v>8</v>
      </c>
      <c r="D205" s="229">
        <v>251.7</v>
      </c>
      <c r="E205" s="229">
        <f>I205</f>
        <v>249.63000000000005</v>
      </c>
      <c r="G205" s="230" t="s">
        <v>3422</v>
      </c>
      <c r="H205" s="229">
        <f>12.8+12.18+8.83+3.37+4.85+12.9+5.43+22.09+11.54+11.11+15.11+14.34+9.58+23.83+81.67</f>
        <v>249.63000000000005</v>
      </c>
      <c r="I205" s="287">
        <f>H205</f>
        <v>249.63000000000005</v>
      </c>
      <c r="J205" s="285">
        <f>E205-D205</f>
        <v>-2.0699999999999363</v>
      </c>
      <c r="K205" s="170" t="s">
        <v>3609</v>
      </c>
      <c r="N205" s="49"/>
    </row>
    <row r="206" spans="1:14" ht="21.95" customHeight="1">
      <c r="A206" s="12" t="s">
        <v>509</v>
      </c>
      <c r="B206" s="227" t="s">
        <v>510</v>
      </c>
      <c r="C206" s="228" t="s">
        <v>8</v>
      </c>
      <c r="D206" s="229">
        <v>6.8</v>
      </c>
      <c r="E206" s="229">
        <v>6.8</v>
      </c>
      <c r="F206" s="230"/>
      <c r="G206" s="230" t="s">
        <v>3423</v>
      </c>
      <c r="H206" s="229">
        <f>0.3+1.98+2.24+2.3</f>
        <v>6.8199999999999994</v>
      </c>
      <c r="I206" s="287">
        <f t="shared" si="10"/>
        <v>6.8199999999999994</v>
      </c>
      <c r="J206" s="92">
        <v>0</v>
      </c>
      <c r="N206" s="49"/>
    </row>
    <row r="207" spans="1:14" ht="36" customHeight="1">
      <c r="A207" s="12" t="s">
        <v>512</v>
      </c>
      <c r="B207" s="227" t="s">
        <v>513</v>
      </c>
      <c r="C207" s="228" t="s">
        <v>8</v>
      </c>
      <c r="D207" s="229">
        <v>44.2</v>
      </c>
      <c r="E207" s="229">
        <f>I207</f>
        <v>60.629999999999995</v>
      </c>
      <c r="F207" s="230" t="s">
        <v>3608</v>
      </c>
      <c r="G207" s="230" t="s">
        <v>3426</v>
      </c>
      <c r="H207" s="229">
        <f>8+2.2+0.8+4.5+5.9+0.5+5.4+0.8+1.3+4+0.7+0.4+0.4+1.1+1.3+1+1+4.9</f>
        <v>44.199999999999996</v>
      </c>
      <c r="I207" s="287">
        <f>H207+H208</f>
        <v>60.629999999999995</v>
      </c>
      <c r="J207" s="285">
        <f>I207-D207</f>
        <v>16.429999999999993</v>
      </c>
      <c r="N207" s="49"/>
    </row>
    <row r="208" spans="1:14" ht="36" customHeight="1">
      <c r="A208" s="226"/>
      <c r="B208" s="227"/>
      <c r="C208" s="228"/>
      <c r="D208" s="229"/>
      <c r="E208" s="229"/>
      <c r="F208" s="230" t="s">
        <v>3469</v>
      </c>
      <c r="G208" s="230" t="s">
        <v>3470</v>
      </c>
      <c r="H208" s="229">
        <f>10.93+5.5</f>
        <v>16.43</v>
      </c>
      <c r="I208" s="249"/>
      <c r="J208" s="92"/>
      <c r="N208" s="49"/>
    </row>
    <row r="209" spans="1:14" ht="42.75" customHeight="1">
      <c r="A209" s="12" t="s">
        <v>515</v>
      </c>
      <c r="B209" s="227" t="s">
        <v>516</v>
      </c>
      <c r="C209" s="228" t="s">
        <v>8</v>
      </c>
      <c r="D209" s="229">
        <v>10.7</v>
      </c>
      <c r="E209" s="229">
        <f>I209</f>
        <v>17.3</v>
      </c>
      <c r="F209" s="230" t="s">
        <v>3425</v>
      </c>
      <c r="G209" s="235" t="s">
        <v>3527</v>
      </c>
      <c r="H209" s="229">
        <v>0</v>
      </c>
      <c r="I209" s="287">
        <f>H209+H210</f>
        <v>17.3</v>
      </c>
      <c r="J209" s="285">
        <f>E209-D209</f>
        <v>6.6000000000000014</v>
      </c>
      <c r="N209" s="49"/>
    </row>
    <row r="210" spans="1:14" ht="42.75" customHeight="1">
      <c r="A210" s="226"/>
      <c r="B210" s="227"/>
      <c r="C210" s="228"/>
      <c r="D210" s="229"/>
      <c r="E210" s="229"/>
      <c r="F210" s="230" t="s">
        <v>3915</v>
      </c>
      <c r="G210" s="235" t="s">
        <v>3916</v>
      </c>
      <c r="H210" s="229">
        <f>10.3+7</f>
        <v>17.3</v>
      </c>
      <c r="I210" s="249"/>
      <c r="J210" s="285"/>
      <c r="N210" s="49"/>
    </row>
    <row r="211" spans="1:14" ht="21.95" customHeight="1">
      <c r="A211" s="12" t="s">
        <v>518</v>
      </c>
      <c r="B211" s="227" t="s">
        <v>3195</v>
      </c>
      <c r="C211" s="228" t="s">
        <v>8</v>
      </c>
      <c r="D211" s="229">
        <v>62.5</v>
      </c>
      <c r="E211" s="229">
        <f>I211</f>
        <v>52.699999999999996</v>
      </c>
      <c r="F211" s="230"/>
      <c r="G211" s="230" t="s">
        <v>3516</v>
      </c>
      <c r="H211" s="229">
        <f>11.2+21.2+9.2+11.1</f>
        <v>52.699999999999996</v>
      </c>
      <c r="I211" s="287">
        <f>H211</f>
        <v>52.699999999999996</v>
      </c>
      <c r="J211" s="285">
        <f>E211-D211</f>
        <v>-9.8000000000000043</v>
      </c>
      <c r="K211" s="433" t="s">
        <v>3517</v>
      </c>
      <c r="N211" s="49"/>
    </row>
    <row r="212" spans="1:14" ht="21.95" customHeight="1">
      <c r="A212" s="12" t="s">
        <v>521</v>
      </c>
      <c r="B212" s="227" t="s">
        <v>522</v>
      </c>
      <c r="C212" s="228" t="s">
        <v>8</v>
      </c>
      <c r="D212" s="229">
        <v>84.8</v>
      </c>
      <c r="E212" s="229">
        <v>0</v>
      </c>
      <c r="F212" s="230"/>
      <c r="G212" s="230" t="s">
        <v>3519</v>
      </c>
      <c r="H212" s="229">
        <v>0</v>
      </c>
      <c r="I212" s="274">
        <v>0</v>
      </c>
      <c r="J212" s="285">
        <f>E212-D212</f>
        <v>-84.8</v>
      </c>
      <c r="N212" s="49"/>
    </row>
    <row r="213" spans="1:14" ht="21.95" customHeight="1">
      <c r="A213" s="12" t="s">
        <v>524</v>
      </c>
      <c r="B213" s="7" t="s">
        <v>525</v>
      </c>
      <c r="C213" s="8" t="s">
        <v>0</v>
      </c>
      <c r="D213" s="44">
        <v>2</v>
      </c>
      <c r="E213" s="44">
        <f t="shared" ref="E213:E218" si="11">I213</f>
        <v>0</v>
      </c>
      <c r="F213" s="51"/>
      <c r="G213" s="50" t="s">
        <v>2132</v>
      </c>
      <c r="H213" s="44">
        <v>0</v>
      </c>
      <c r="I213" s="44">
        <v>0</v>
      </c>
      <c r="J213" s="279">
        <v>0</v>
      </c>
      <c r="N213" s="49"/>
    </row>
    <row r="214" spans="1:14" ht="21.95" customHeight="1">
      <c r="A214" s="12" t="s">
        <v>3173</v>
      </c>
      <c r="B214" s="227" t="str">
        <f>'5變(議價前)'!B124</f>
        <v>雨水回收槽(1)</v>
      </c>
      <c r="C214" s="8" t="s">
        <v>0</v>
      </c>
      <c r="D214" s="229">
        <v>1</v>
      </c>
      <c r="E214" s="44">
        <f t="shared" si="11"/>
        <v>1</v>
      </c>
      <c r="F214" s="885" t="s">
        <v>3427</v>
      </c>
      <c r="G214" s="235">
        <v>1</v>
      </c>
      <c r="H214" s="229">
        <v>1</v>
      </c>
      <c r="I214" s="247">
        <v>1</v>
      </c>
      <c r="J214" s="285">
        <v>1</v>
      </c>
      <c r="N214" s="49"/>
    </row>
    <row r="215" spans="1:14" ht="21.95" customHeight="1">
      <c r="A215" s="12" t="s">
        <v>3174</v>
      </c>
      <c r="B215" s="227" t="str">
        <f>'5變(議價前)'!B125</f>
        <v>雨水回收槽(2)</v>
      </c>
      <c r="C215" s="8" t="s">
        <v>0</v>
      </c>
      <c r="D215" s="229">
        <v>1</v>
      </c>
      <c r="E215" s="44">
        <f t="shared" si="11"/>
        <v>1</v>
      </c>
      <c r="F215" s="885" t="s">
        <v>3428</v>
      </c>
      <c r="G215" s="235">
        <v>1</v>
      </c>
      <c r="H215" s="229">
        <v>1</v>
      </c>
      <c r="I215" s="247">
        <v>1</v>
      </c>
      <c r="J215" s="285">
        <v>1</v>
      </c>
      <c r="N215" s="49"/>
    </row>
    <row r="216" spans="1:14" ht="21.95" customHeight="1">
      <c r="A216" s="12" t="s">
        <v>3175</v>
      </c>
      <c r="B216" s="227" t="str">
        <f>'5變(議價前)'!B126</f>
        <v>雨水回收槽(3)</v>
      </c>
      <c r="C216" s="8" t="s">
        <v>0</v>
      </c>
      <c r="D216" s="229">
        <v>1</v>
      </c>
      <c r="E216" s="44">
        <f t="shared" si="11"/>
        <v>1</v>
      </c>
      <c r="F216" s="885" t="s">
        <v>3429</v>
      </c>
      <c r="G216" s="235">
        <v>1</v>
      </c>
      <c r="H216" s="229">
        <v>1</v>
      </c>
      <c r="I216" s="247">
        <v>1</v>
      </c>
      <c r="J216" s="285">
        <v>1</v>
      </c>
      <c r="N216" s="49"/>
    </row>
    <row r="217" spans="1:14" ht="36" customHeight="1">
      <c r="A217" s="12" t="s">
        <v>3209</v>
      </c>
      <c r="B217" s="227" t="str">
        <f>'5變(議價前)'!B127</f>
        <v>彈性地墊(含顆粒收邊)</v>
      </c>
      <c r="C217" s="228" t="str">
        <f>'5變(議價前)'!C127</f>
        <v>M2</v>
      </c>
      <c r="D217" s="229"/>
      <c r="E217" s="229">
        <f t="shared" si="11"/>
        <v>49.026399999999988</v>
      </c>
      <c r="F217" s="885" t="s">
        <v>3178</v>
      </c>
      <c r="G217" s="235" t="s">
        <v>3179</v>
      </c>
      <c r="H217" s="229">
        <f>((1.4+2.2)*1.8/2)+((4.6+6.6)*2.4/2)+((6.6+10.2)*3.8/2)-3.38*0.87+33.67*0.1</f>
        <v>49.026399999999988</v>
      </c>
      <c r="I217" s="247">
        <f>H217</f>
        <v>49.026399999999988</v>
      </c>
      <c r="J217" s="285">
        <f>E217</f>
        <v>49.026399999999988</v>
      </c>
      <c r="N217" s="49"/>
    </row>
    <row r="218" spans="1:14" ht="21.95" customHeight="1">
      <c r="A218" s="12" t="s">
        <v>3177</v>
      </c>
      <c r="B218" s="227" t="s">
        <v>3751</v>
      </c>
      <c r="C218" s="228" t="s">
        <v>3196</v>
      </c>
      <c r="D218" s="229"/>
      <c r="E218" s="229">
        <f t="shared" si="11"/>
        <v>38</v>
      </c>
      <c r="F218" s="885" t="s">
        <v>3197</v>
      </c>
      <c r="G218" s="235" t="s">
        <v>3550</v>
      </c>
      <c r="H218" s="229">
        <f>7+5+3+12+11</f>
        <v>38</v>
      </c>
      <c r="I218" s="247">
        <f>H218</f>
        <v>38</v>
      </c>
      <c r="J218" s="285">
        <f>E218-D218</f>
        <v>38</v>
      </c>
      <c r="N218" s="49"/>
    </row>
    <row r="219" spans="1:14" ht="21.95" customHeight="1">
      <c r="A219" s="12" t="s">
        <v>3194</v>
      </c>
      <c r="B219" s="227" t="str">
        <f>'5變(議價前)'!B129</f>
        <v>秘林亭</v>
      </c>
      <c r="C219" s="228" t="str">
        <f>'5變(議價前)'!C129</f>
        <v>座</v>
      </c>
      <c r="D219" s="229"/>
      <c r="E219" s="229">
        <v>1</v>
      </c>
      <c r="F219" s="885"/>
      <c r="G219" s="235">
        <v>1</v>
      </c>
      <c r="H219" s="229">
        <v>1</v>
      </c>
      <c r="I219" s="247">
        <v>1</v>
      </c>
      <c r="J219" s="285">
        <v>1</v>
      </c>
      <c r="N219" s="49"/>
    </row>
    <row r="220" spans="1:14" ht="21.95" customHeight="1">
      <c r="A220" s="12" t="s">
        <v>3208</v>
      </c>
      <c r="B220" s="227" t="str">
        <f>'5變(議價前)'!B130</f>
        <v>醉池亭</v>
      </c>
      <c r="C220" s="228" t="str">
        <f>'5變(議價前)'!C130</f>
        <v>座</v>
      </c>
      <c r="D220" s="229"/>
      <c r="E220" s="229">
        <v>1</v>
      </c>
      <c r="F220" s="885"/>
      <c r="G220" s="235">
        <v>1</v>
      </c>
      <c r="H220" s="229">
        <v>1</v>
      </c>
      <c r="I220" s="247">
        <v>1</v>
      </c>
      <c r="J220" s="285">
        <v>1</v>
      </c>
      <c r="N220" s="49"/>
    </row>
    <row r="221" spans="1:14" ht="21.95" customHeight="1">
      <c r="A221" s="12" t="s">
        <v>3255</v>
      </c>
      <c r="B221" s="227" t="str">
        <f>'5變(議價前)'!B131</f>
        <v>既有木作修復更新</v>
      </c>
      <c r="C221" s="228" t="str">
        <f>'5變(議價前)'!C131</f>
        <v>處</v>
      </c>
      <c r="D221" s="229"/>
      <c r="E221" s="229">
        <f>'5變(議價前)'!E131</f>
        <v>5</v>
      </c>
      <c r="F221" s="885"/>
      <c r="G221" s="235">
        <v>5</v>
      </c>
      <c r="H221" s="229">
        <v>5</v>
      </c>
      <c r="I221" s="247">
        <f>H221</f>
        <v>5</v>
      </c>
      <c r="J221" s="285">
        <f>I221</f>
        <v>5</v>
      </c>
      <c r="N221" s="49"/>
    </row>
    <row r="222" spans="1:14" ht="21.95" customHeight="1">
      <c r="A222" s="12" t="s">
        <v>3664</v>
      </c>
      <c r="B222" s="227" t="str">
        <f>'5變(議價前)'!B132</f>
        <v>既有立柱補強</v>
      </c>
      <c r="C222" s="228" t="str">
        <f>'5變(議價前)'!C132</f>
        <v>處</v>
      </c>
      <c r="D222" s="229"/>
      <c r="E222" s="229">
        <f>'5變(議價前)'!E132</f>
        <v>10</v>
      </c>
      <c r="F222" s="885"/>
      <c r="G222" s="235">
        <v>10</v>
      </c>
      <c r="H222" s="229">
        <v>10</v>
      </c>
      <c r="I222" s="247">
        <f t="shared" ref="I222:J224" si="12">H222</f>
        <v>10</v>
      </c>
      <c r="J222" s="285">
        <f t="shared" si="12"/>
        <v>10</v>
      </c>
      <c r="N222" s="49"/>
    </row>
    <row r="223" spans="1:14" ht="32.25" customHeight="1">
      <c r="A223" s="12" t="s">
        <v>3683</v>
      </c>
      <c r="B223" s="227" t="str">
        <f>'5變(議價前)'!B133</f>
        <v>既有木棧道更新，含基礎鋼料更新</v>
      </c>
      <c r="C223" s="228" t="str">
        <f>'5變(議價前)'!C133</f>
        <v>座</v>
      </c>
      <c r="D223" s="229"/>
      <c r="E223" s="229">
        <f>'5變(議價前)'!E133</f>
        <v>1</v>
      </c>
      <c r="F223" s="885" t="s">
        <v>3936</v>
      </c>
      <c r="G223" s="235">
        <v>1</v>
      </c>
      <c r="H223" s="229">
        <v>1</v>
      </c>
      <c r="I223" s="247">
        <f t="shared" si="12"/>
        <v>1</v>
      </c>
      <c r="J223" s="285">
        <f t="shared" si="12"/>
        <v>1</v>
      </c>
      <c r="N223" s="49"/>
    </row>
    <row r="224" spans="1:14" ht="30" customHeight="1">
      <c r="A224" s="12" t="s">
        <v>3694</v>
      </c>
      <c r="B224" s="227" t="str">
        <f>'5變(議價前)'!B134</f>
        <v>園區內木作欄杆修整，含護木漆塗布</v>
      </c>
      <c r="C224" s="228" t="str">
        <f>'5變(議價前)'!C134</f>
        <v>M2</v>
      </c>
      <c r="D224" s="229"/>
      <c r="E224" s="229">
        <f>'5變(議價前)'!E134</f>
        <v>200</v>
      </c>
      <c r="F224" s="885"/>
      <c r="G224" s="235">
        <v>200</v>
      </c>
      <c r="H224" s="229">
        <v>200</v>
      </c>
      <c r="I224" s="247">
        <f t="shared" si="12"/>
        <v>200</v>
      </c>
      <c r="J224" s="285">
        <f t="shared" si="12"/>
        <v>200</v>
      </c>
      <c r="N224" s="49"/>
    </row>
    <row r="225" spans="1:14" ht="32.25" customHeight="1">
      <c r="A225" s="12" t="s">
        <v>3937</v>
      </c>
      <c r="B225" s="227" t="str">
        <f>'5變(議價前)'!B135</f>
        <v>既有木棧橋鋪面更新，含護木漆塗布</v>
      </c>
      <c r="C225" s="228" t="str">
        <f>'5變(議價前)'!C135</f>
        <v>M2</v>
      </c>
      <c r="D225" s="229"/>
      <c r="E225" s="229">
        <f>'5變(議價前)'!E135</f>
        <v>39.200000000000003</v>
      </c>
      <c r="F225" s="885" t="s">
        <v>3943</v>
      </c>
      <c r="G225" s="235" t="s">
        <v>3941</v>
      </c>
      <c r="H225" s="229">
        <v>39.200000000000003</v>
      </c>
      <c r="I225" s="247">
        <f>H225</f>
        <v>39.200000000000003</v>
      </c>
      <c r="J225" s="285">
        <f>E225-D225</f>
        <v>39.200000000000003</v>
      </c>
      <c r="K225" s="433" t="s">
        <v>3942</v>
      </c>
      <c r="M225" s="170">
        <f>22</f>
        <v>22</v>
      </c>
      <c r="N225" s="49"/>
    </row>
    <row r="226" spans="1:14" ht="31.5" customHeight="1">
      <c r="A226" s="12" t="s">
        <v>3938</v>
      </c>
      <c r="B226" s="227" t="str">
        <f>'5變(議價前)'!B136</f>
        <v>導覽牌面陰刻，上漆填色</v>
      </c>
      <c r="C226" s="886" t="str">
        <f>'5變(議價前)'!C136</f>
        <v>座</v>
      </c>
      <c r="D226" s="229"/>
      <c r="E226" s="229">
        <f>'5變(議價前)'!E136</f>
        <v>2</v>
      </c>
      <c r="F226" s="914" t="s">
        <v>3663</v>
      </c>
      <c r="G226" s="235" t="s">
        <v>3665</v>
      </c>
      <c r="H226" s="229">
        <v>2</v>
      </c>
      <c r="I226" s="247">
        <v>2</v>
      </c>
      <c r="J226" s="285">
        <f>E226-D226</f>
        <v>2</v>
      </c>
      <c r="N226" s="49"/>
    </row>
    <row r="227" spans="1:14" ht="21.95" customHeight="1">
      <c r="A227" s="12" t="s">
        <v>3939</v>
      </c>
      <c r="B227" s="227" t="str">
        <f>'5變(議價前)'!B137</f>
        <v>既有水位計移設</v>
      </c>
      <c r="C227" s="886" t="str">
        <f>'5變(議價前)'!C137</f>
        <v>處</v>
      </c>
      <c r="D227" s="229"/>
      <c r="E227" s="229">
        <v>1</v>
      </c>
      <c r="F227" s="918" t="s">
        <v>3696</v>
      </c>
      <c r="G227" s="235">
        <v>1</v>
      </c>
      <c r="H227" s="229">
        <v>1</v>
      </c>
      <c r="I227" s="247">
        <f>H227</f>
        <v>1</v>
      </c>
      <c r="J227" s="285">
        <f t="shared" ref="J227:J228" si="13">E227-D227</f>
        <v>1</v>
      </c>
      <c r="N227" s="49"/>
    </row>
    <row r="228" spans="1:14" ht="21.95" customHeight="1">
      <c r="A228" s="12" t="s">
        <v>3940</v>
      </c>
      <c r="B228" s="227" t="str">
        <f>'5變(議價前)'!B138</f>
        <v>水位尺</v>
      </c>
      <c r="C228" s="886" t="str">
        <f>'5變(議價前)'!C138</f>
        <v>處</v>
      </c>
      <c r="D228" s="229"/>
      <c r="E228" s="229">
        <v>1</v>
      </c>
      <c r="F228" s="918" t="s">
        <v>3695</v>
      </c>
      <c r="G228" s="235">
        <v>1</v>
      </c>
      <c r="H228" s="229">
        <v>1</v>
      </c>
      <c r="I228" s="247">
        <f>H228</f>
        <v>1</v>
      </c>
      <c r="J228" s="285">
        <f t="shared" si="13"/>
        <v>1</v>
      </c>
      <c r="N228" s="49"/>
    </row>
    <row r="229" spans="1:14" ht="33">
      <c r="A229" s="6" t="s">
        <v>77</v>
      </c>
      <c r="B229" s="7" t="s">
        <v>527</v>
      </c>
      <c r="C229" s="8" t="s">
        <v>4</v>
      </c>
      <c r="D229" s="44">
        <v>1</v>
      </c>
      <c r="E229" s="44"/>
      <c r="F229" s="45"/>
      <c r="G229" s="45"/>
      <c r="H229" s="44"/>
      <c r="I229" s="191" t="s">
        <v>243</v>
      </c>
      <c r="J229" s="200"/>
      <c r="N229" s="49"/>
    </row>
    <row r="230" spans="1:14" ht="31.5">
      <c r="A230" s="12" t="s">
        <v>78</v>
      </c>
      <c r="B230" s="7" t="s">
        <v>310</v>
      </c>
      <c r="C230" s="8" t="s">
        <v>223</v>
      </c>
      <c r="D230" s="44">
        <v>185.59</v>
      </c>
      <c r="E230" s="44">
        <v>928.51</v>
      </c>
      <c r="F230" s="45" t="s">
        <v>2904</v>
      </c>
      <c r="G230" s="45" t="s">
        <v>1321</v>
      </c>
      <c r="H230" s="44">
        <f>((5*6*6.5*2)+(13*3.5*6.8)+(3.2*8.5*1.6))</f>
        <v>742.92</v>
      </c>
      <c r="I230" s="192">
        <f>H230+H231+H232</f>
        <v>928.51</v>
      </c>
      <c r="J230" s="92">
        <v>0</v>
      </c>
      <c r="N230" s="49"/>
    </row>
    <row r="231" spans="1:14" ht="33">
      <c r="A231" s="12"/>
      <c r="B231" s="7"/>
      <c r="C231" s="8"/>
      <c r="D231" s="44"/>
      <c r="E231" s="44"/>
      <c r="F231" s="45" t="s">
        <v>1323</v>
      </c>
      <c r="G231" s="45" t="s">
        <v>1322</v>
      </c>
      <c r="H231" s="44">
        <f>(14.35*0.8*1.25+14.35*0.8*2.75+15*0.8*2.75)+((5.1+1.92)*2*1.25)</f>
        <v>96.47</v>
      </c>
      <c r="I231" s="191"/>
      <c r="J231" s="200"/>
      <c r="N231" s="49"/>
    </row>
    <row r="232" spans="1:14">
      <c r="A232" s="12"/>
      <c r="B232" s="7"/>
      <c r="C232" s="8"/>
      <c r="D232" s="44"/>
      <c r="E232" s="44"/>
      <c r="F232" s="45" t="s">
        <v>3654</v>
      </c>
      <c r="G232" s="45">
        <v>89.12</v>
      </c>
      <c r="H232" s="44">
        <v>89.12</v>
      </c>
      <c r="I232" s="191"/>
      <c r="J232" s="200"/>
      <c r="N232" s="49"/>
    </row>
    <row r="233" spans="1:14" ht="28.5">
      <c r="A233" s="12" t="s">
        <v>79</v>
      </c>
      <c r="B233" s="10" t="s">
        <v>315</v>
      </c>
      <c r="C233" s="8" t="s">
        <v>6</v>
      </c>
      <c r="D233" s="44">
        <v>26.33</v>
      </c>
      <c r="E233" s="44">
        <f>I233</f>
        <v>17.143059999999998</v>
      </c>
      <c r="F233" s="45" t="s">
        <v>1325</v>
      </c>
      <c r="G233" s="45" t="s">
        <v>1332</v>
      </c>
      <c r="H233" s="44">
        <f>(15.2*1.9*0.1)+(14.55*1.9*0.1)</f>
        <v>5.6524999999999999</v>
      </c>
      <c r="I233" s="193">
        <f>SUM(H233:H237)</f>
        <v>17.143059999999998</v>
      </c>
      <c r="J233" s="285">
        <f>E233-D233</f>
        <v>-9.1869399999999999</v>
      </c>
      <c r="K233" s="435" t="s">
        <v>3531</v>
      </c>
      <c r="L233" s="25"/>
      <c r="M233" s="174"/>
      <c r="N233" s="49"/>
    </row>
    <row r="234" spans="1:14">
      <c r="A234" s="12"/>
      <c r="B234" s="10"/>
      <c r="C234" s="8"/>
      <c r="D234" s="44"/>
      <c r="E234" s="44"/>
      <c r="F234" s="45" t="s">
        <v>1326</v>
      </c>
      <c r="G234" s="45" t="s">
        <v>1333</v>
      </c>
      <c r="H234" s="44">
        <f>(3.08*4.87*0.1)+(3.7*1.7*0.1)</f>
        <v>2.1289600000000002</v>
      </c>
      <c r="I234" s="191"/>
      <c r="J234" s="200"/>
      <c r="N234" s="49"/>
    </row>
    <row r="235" spans="1:14">
      <c r="A235" s="12"/>
      <c r="B235" s="10"/>
      <c r="C235" s="8"/>
      <c r="D235" s="44"/>
      <c r="E235" s="44"/>
      <c r="F235" s="45" t="s">
        <v>1388</v>
      </c>
      <c r="G235" s="45" t="s">
        <v>1385</v>
      </c>
      <c r="H235" s="44">
        <f>16.2*1.5*0.1</f>
        <v>2.4299999999999997</v>
      </c>
      <c r="I235" s="191"/>
      <c r="J235" s="200"/>
      <c r="N235" s="49"/>
    </row>
    <row r="236" spans="1:14">
      <c r="A236" s="269"/>
      <c r="B236" s="432"/>
      <c r="C236" s="271"/>
      <c r="D236" s="272"/>
      <c r="E236" s="272"/>
      <c r="F236" s="45" t="s">
        <v>2490</v>
      </c>
      <c r="G236" s="273" t="s">
        <v>3529</v>
      </c>
      <c r="H236" s="272">
        <f>(1.2*2.05+3*16.8+1.76*9.35)*0.1</f>
        <v>6.9316000000000004</v>
      </c>
      <c r="I236" s="274"/>
      <c r="J236" s="92"/>
      <c r="N236" s="49"/>
    </row>
    <row r="237" spans="1:14">
      <c r="A237" s="12"/>
      <c r="B237" s="10"/>
      <c r="C237" s="8"/>
      <c r="D237" s="44"/>
      <c r="E237" s="44"/>
      <c r="F237" s="45"/>
      <c r="G237" s="45"/>
      <c r="H237" s="44"/>
      <c r="I237" s="191"/>
      <c r="J237" s="200"/>
      <c r="N237" s="49"/>
    </row>
    <row r="238" spans="1:14" ht="28.5">
      <c r="A238" s="12" t="s">
        <v>80</v>
      </c>
      <c r="B238" s="10" t="s">
        <v>24</v>
      </c>
      <c r="C238" s="8" t="s">
        <v>6</v>
      </c>
      <c r="D238" s="44">
        <v>36.86</v>
      </c>
      <c r="E238" s="44">
        <f>I238</f>
        <v>46.777946950000008</v>
      </c>
      <c r="F238" s="45" t="s">
        <v>2493</v>
      </c>
      <c r="G238" s="45" t="s">
        <v>3130</v>
      </c>
      <c r="H238" s="44">
        <f>(0.367*0.394+(0.367+0.12)*0.394)*1.2*2</f>
        <v>0.80754239999999999</v>
      </c>
      <c r="I238" s="192">
        <f>SUM(H238:H241)</f>
        <v>46.777946950000008</v>
      </c>
      <c r="J238" s="285">
        <f>E238-D238</f>
        <v>9.9179469500000081</v>
      </c>
      <c r="N238" s="49"/>
    </row>
    <row r="239" spans="1:14" ht="72.75" customHeight="1">
      <c r="A239" s="269"/>
      <c r="B239" s="432"/>
      <c r="C239" s="271"/>
      <c r="D239" s="272"/>
      <c r="E239" s="272"/>
      <c r="F239" s="273" t="s">
        <v>3115</v>
      </c>
      <c r="G239" s="273" t="s">
        <v>3131</v>
      </c>
      <c r="H239" s="272">
        <f>(0.3*1*1.84)+(1.84*0.23*(2.2+1.5+2.2))+(0.23*0.45*1.84*4)+(1.5*1.18/2*2*0.23)+(1.84*1.5*0.23)+(1.18*2.07/2*2*0.23)*(0.3*0.15/2*10)+1.5*1.84*0.23+1.5*2.4*0.23</f>
        <v>6.4417445500000019</v>
      </c>
      <c r="I239" s="287"/>
      <c r="J239" s="92"/>
      <c r="N239" s="49"/>
    </row>
    <row r="240" spans="1:14" ht="66" customHeight="1">
      <c r="A240" s="226"/>
      <c r="B240" s="231"/>
      <c r="C240" s="228"/>
      <c r="D240" s="229"/>
      <c r="E240" s="229"/>
      <c r="F240" s="230" t="s">
        <v>3120</v>
      </c>
      <c r="G240" s="230" t="s">
        <v>3129</v>
      </c>
      <c r="H240" s="229">
        <f>0.2*0.45*2.29*5+1.1*2.5*3.62+2.5*3.62*0.2*2+13.5*2.29*0.2+8.88*1.5*0.2+1.74*13.5/2*2*0.2+0.74*8.88/2*2*0.2+2.57*2.28*0.2</f>
        <v>30.636660000000003</v>
      </c>
      <c r="I240" s="249"/>
      <c r="J240" s="92"/>
      <c r="N240" s="49"/>
    </row>
    <row r="241" spans="1:14">
      <c r="A241" s="269"/>
      <c r="B241" s="432"/>
      <c r="C241" s="271"/>
      <c r="D241" s="272"/>
      <c r="E241" s="272"/>
      <c r="F241" s="273" t="s">
        <v>2481</v>
      </c>
      <c r="G241" s="273" t="s">
        <v>2482</v>
      </c>
      <c r="H241" s="272">
        <f>(16+18.2)*2*0.13</f>
        <v>8.8920000000000012</v>
      </c>
      <c r="I241" s="287"/>
      <c r="J241" s="92"/>
      <c r="N241" s="49"/>
    </row>
    <row r="242" spans="1:14">
      <c r="A242" s="269"/>
      <c r="B242" s="432"/>
      <c r="C242" s="271"/>
      <c r="D242" s="272"/>
      <c r="E242" s="272"/>
      <c r="F242" s="273"/>
      <c r="G242" s="273"/>
      <c r="H242" s="272"/>
      <c r="I242" s="287"/>
      <c r="J242" s="92"/>
      <c r="N242" s="49"/>
    </row>
    <row r="243" spans="1:14" ht="49.5">
      <c r="A243" s="12" t="s">
        <v>81</v>
      </c>
      <c r="B243" s="10" t="s">
        <v>528</v>
      </c>
      <c r="C243" s="8" t="s">
        <v>6</v>
      </c>
      <c r="D243" s="44">
        <v>654.83000000000004</v>
      </c>
      <c r="E243" s="44">
        <f>I243</f>
        <v>333.63886500000001</v>
      </c>
      <c r="F243" s="45" t="s">
        <v>1330</v>
      </c>
      <c r="G243" s="45" t="s">
        <v>1339</v>
      </c>
      <c r="H243" s="44">
        <f>((14.35+15.2)*1.15*1.5)+((14.35+15.2)*1.5*0.5)+((14.35+15.2)*(0.42*0.3+0.4*0.42/2))+(2.2*0.45*0.75*14)</f>
        <v>89.736749999999986</v>
      </c>
      <c r="I243" s="192">
        <f>SUM(H243:H253)</f>
        <v>333.63886500000001</v>
      </c>
      <c r="J243" s="285">
        <f>E243-D243</f>
        <v>-321.19113500000003</v>
      </c>
      <c r="K243" s="450" t="s">
        <v>3440</v>
      </c>
      <c r="N243" s="49"/>
    </row>
    <row r="244" spans="1:14" ht="66">
      <c r="A244" s="12"/>
      <c r="B244" s="7"/>
      <c r="C244" s="8"/>
      <c r="D244" s="44"/>
      <c r="E244" s="44"/>
      <c r="F244" s="45" t="s">
        <v>1331</v>
      </c>
      <c r="G244" s="45" t="s">
        <v>3139</v>
      </c>
      <c r="H244" s="44">
        <f>((2.88*4.67*1.15)+(0.5*1*(1.88+1+1.8+2.67)))+((1.5*3.5*1.15)+(0.5*3.5*1)+(0.3*1*2)+(3.5*(0.42*0.3+0.4*0.42/2))+(2.1*0.45*0.75*4)+(0.85*2.27*1.6))</f>
        <v>34.18674</v>
      </c>
      <c r="I244" s="191"/>
      <c r="J244" s="200"/>
      <c r="N244" s="49"/>
    </row>
    <row r="245" spans="1:14" ht="24.75" customHeight="1">
      <c r="A245" s="12"/>
      <c r="B245" s="7"/>
      <c r="C245" s="8"/>
      <c r="D245" s="44"/>
      <c r="E245" s="44"/>
      <c r="F245" s="45" t="s">
        <v>1388</v>
      </c>
      <c r="G245" s="45" t="s">
        <v>1386</v>
      </c>
      <c r="H245" s="44">
        <f>(15.8*0.3*3.45)+(1.2*0.4*15.8)</f>
        <v>23.937000000000001</v>
      </c>
      <c r="I245" s="191"/>
      <c r="J245" s="200"/>
      <c r="N245" s="49"/>
    </row>
    <row r="246" spans="1:14" ht="26.25" customHeight="1">
      <c r="A246" s="239"/>
      <c r="B246" s="178"/>
      <c r="C246" s="179"/>
      <c r="D246" s="180"/>
      <c r="E246" s="180"/>
      <c r="F246" s="302" t="s">
        <v>1996</v>
      </c>
      <c r="G246" s="302" t="s">
        <v>1406</v>
      </c>
      <c r="H246" s="303">
        <f>(2.85*(7.6+6.35)*0.3)+(0.5*(7.6+6.35)*1.5)</f>
        <v>22.389749999999999</v>
      </c>
      <c r="I246" s="192"/>
      <c r="J246" s="200"/>
      <c r="M246" s="174"/>
      <c r="N246" s="49"/>
    </row>
    <row r="247" spans="1:14">
      <c r="A247" s="12"/>
      <c r="B247" s="7"/>
      <c r="C247" s="8"/>
      <c r="D247" s="44"/>
      <c r="E247" s="44"/>
      <c r="F247" s="45" t="s">
        <v>1334</v>
      </c>
      <c r="G247" s="45" t="s">
        <v>1337</v>
      </c>
      <c r="H247" s="44">
        <f>(((16.55+15.7)/2*13.3*0.25)-(12.6*0.6*0.05))</f>
        <v>53.237625000000001</v>
      </c>
      <c r="I247" s="191"/>
      <c r="J247" s="200"/>
      <c r="N247" s="49"/>
    </row>
    <row r="248" spans="1:14">
      <c r="A248" s="12"/>
      <c r="B248" s="7"/>
      <c r="C248" s="8"/>
      <c r="D248" s="44"/>
      <c r="E248" s="44"/>
      <c r="F248" s="80" t="s">
        <v>1335</v>
      </c>
      <c r="G248" s="80" t="s">
        <v>1779</v>
      </c>
      <c r="H248" s="44">
        <f>(16+15.75)*5*0.3</f>
        <v>47.625</v>
      </c>
      <c r="I248" s="191"/>
      <c r="J248" s="200"/>
      <c r="N248" s="49"/>
    </row>
    <row r="249" spans="1:14">
      <c r="A249" s="12"/>
      <c r="B249" s="7"/>
      <c r="C249" s="8"/>
      <c r="D249" s="44"/>
      <c r="E249" s="44"/>
      <c r="F249" s="80" t="s">
        <v>1336</v>
      </c>
      <c r="G249" s="80" t="s">
        <v>1780</v>
      </c>
      <c r="H249" s="44">
        <f>1.2*0.4*(16.87+18.83)</f>
        <v>17.135999999999999</v>
      </c>
      <c r="I249" s="191"/>
      <c r="J249" s="200"/>
      <c r="N249" s="49"/>
    </row>
    <row r="250" spans="1:14">
      <c r="A250" s="12"/>
      <c r="B250" s="7"/>
      <c r="C250" s="8"/>
      <c r="D250" s="44"/>
      <c r="E250" s="44"/>
      <c r="F250" s="45" t="s">
        <v>3430</v>
      </c>
      <c r="G250" s="45" t="s">
        <v>3431</v>
      </c>
      <c r="H250" s="44">
        <f>ROUND(2.57*34.6*0.1,2)</f>
        <v>8.89</v>
      </c>
      <c r="I250" s="191"/>
      <c r="J250" s="200"/>
      <c r="N250" s="49"/>
    </row>
    <row r="251" spans="1:14">
      <c r="A251" s="226"/>
      <c r="B251" s="227"/>
      <c r="C251" s="228"/>
      <c r="D251" s="229"/>
      <c r="E251" s="237" t="s">
        <v>3530</v>
      </c>
      <c r="F251" s="230" t="s">
        <v>3433</v>
      </c>
      <c r="G251" s="230">
        <v>9</v>
      </c>
      <c r="H251" s="229">
        <v>9</v>
      </c>
      <c r="I251" s="241"/>
      <c r="J251" s="92"/>
      <c r="N251" s="49"/>
    </row>
    <row r="252" spans="1:14">
      <c r="A252" s="226"/>
      <c r="B252" s="227"/>
      <c r="C252" s="228"/>
      <c r="D252" s="229"/>
      <c r="E252" s="237" t="s">
        <v>3530</v>
      </c>
      <c r="F252" s="230" t="s">
        <v>3432</v>
      </c>
      <c r="G252" s="230" t="s">
        <v>3434</v>
      </c>
      <c r="H252" s="229">
        <f>8+4.5+15</f>
        <v>27.5</v>
      </c>
      <c r="I252" s="241"/>
      <c r="J252" s="92"/>
      <c r="N252" s="49"/>
    </row>
    <row r="253" spans="1:14">
      <c r="A253" s="226"/>
      <c r="B253" s="227"/>
      <c r="C253" s="228"/>
      <c r="D253" s="229"/>
      <c r="E253" s="229"/>
      <c r="F253" s="230"/>
      <c r="G253" s="230"/>
      <c r="H253" s="229"/>
      <c r="I253" s="241"/>
      <c r="J253" s="92"/>
      <c r="N253" s="49"/>
    </row>
    <row r="254" spans="1:14">
      <c r="A254" s="12" t="s">
        <v>82</v>
      </c>
      <c r="B254" s="7" t="s">
        <v>192</v>
      </c>
      <c r="C254" s="8" t="s">
        <v>17</v>
      </c>
      <c r="D254" s="44">
        <v>6240.88</v>
      </c>
      <c r="E254" s="44">
        <f>I254</f>
        <v>8009.66</v>
      </c>
      <c r="F254" s="45" t="s">
        <v>3120</v>
      </c>
      <c r="G254" s="45" t="s">
        <v>2100</v>
      </c>
      <c r="H254" s="44">
        <f>鋼筋!L193</f>
        <v>5837.66</v>
      </c>
      <c r="I254" s="194">
        <f>SUM(H254:H257)</f>
        <v>8009.66</v>
      </c>
      <c r="J254" s="285">
        <f>E254-D254</f>
        <v>1768.7799999999997</v>
      </c>
      <c r="N254" s="49"/>
    </row>
    <row r="255" spans="1:14">
      <c r="A255" s="12"/>
      <c r="B255" s="7"/>
      <c r="C255" s="8"/>
      <c r="D255" s="44"/>
      <c r="E255" s="44"/>
      <c r="F255" s="45" t="s">
        <v>3115</v>
      </c>
      <c r="G255" s="45" t="s">
        <v>2100</v>
      </c>
      <c r="H255" s="44">
        <f>鋼筋!L209</f>
        <v>2084</v>
      </c>
      <c r="I255" s="194"/>
      <c r="J255" s="200"/>
      <c r="N255" s="49"/>
    </row>
    <row r="256" spans="1:14">
      <c r="A256" s="12"/>
      <c r="B256" s="7"/>
      <c r="C256" s="8"/>
      <c r="D256" s="44"/>
      <c r="E256" s="44"/>
      <c r="F256" s="45" t="s">
        <v>3441</v>
      </c>
      <c r="G256" s="45" t="s">
        <v>3442</v>
      </c>
      <c r="H256" s="44">
        <f>44*2</f>
        <v>88</v>
      </c>
      <c r="I256" s="195"/>
      <c r="J256" s="200"/>
      <c r="N256" s="49"/>
    </row>
    <row r="257" spans="1:15">
      <c r="A257" s="12"/>
      <c r="B257" s="7"/>
      <c r="C257" s="8"/>
      <c r="D257" s="44"/>
      <c r="E257" s="44"/>
      <c r="F257" s="45"/>
      <c r="G257" s="45"/>
      <c r="H257" s="44"/>
      <c r="I257" s="195"/>
      <c r="J257" s="200"/>
      <c r="N257" s="49"/>
    </row>
    <row r="258" spans="1:15" ht="16.5">
      <c r="A258" s="12" t="s">
        <v>83</v>
      </c>
      <c r="B258" s="7" t="s">
        <v>530</v>
      </c>
      <c r="C258" s="8" t="s">
        <v>17</v>
      </c>
      <c r="D258" s="44">
        <v>102796.95</v>
      </c>
      <c r="E258" s="44">
        <f>I258</f>
        <v>58743.740267999994</v>
      </c>
      <c r="F258" s="45" t="s">
        <v>1330</v>
      </c>
      <c r="G258" s="45" t="s">
        <v>2288</v>
      </c>
      <c r="H258" s="44">
        <f>鋼筋!K56</f>
        <v>19888.163419999997</v>
      </c>
      <c r="I258" s="275">
        <f>SUM(H258:H265)</f>
        <v>58743.740267999994</v>
      </c>
      <c r="J258" s="285">
        <f>E258-D258</f>
        <v>-44053.209732000003</v>
      </c>
      <c r="K258" s="450" t="s">
        <v>3440</v>
      </c>
      <c r="M258" s="174"/>
      <c r="N258" s="49"/>
      <c r="O258" s="65"/>
    </row>
    <row r="259" spans="1:15">
      <c r="A259" s="12"/>
      <c r="B259" s="7"/>
      <c r="C259" s="8"/>
      <c r="D259" s="44"/>
      <c r="E259" s="44"/>
      <c r="F259" s="45" t="s">
        <v>1331</v>
      </c>
      <c r="G259" s="45" t="s">
        <v>2289</v>
      </c>
      <c r="H259" s="44">
        <f>鋼筋!M77</f>
        <v>3670.9800480000004</v>
      </c>
      <c r="I259" s="191"/>
      <c r="J259" s="200"/>
      <c r="M259" s="30"/>
      <c r="N259" s="49"/>
    </row>
    <row r="260" spans="1:15" ht="35.25" customHeight="1">
      <c r="A260" s="12"/>
      <c r="B260" s="7"/>
      <c r="C260" s="8"/>
      <c r="D260" s="44"/>
      <c r="E260" s="44"/>
      <c r="F260" s="45" t="s">
        <v>1388</v>
      </c>
      <c r="G260" s="45" t="s">
        <v>2290</v>
      </c>
      <c r="H260" s="44">
        <f>(14.6*36+6.75*80+3.65*80+1.75*80+14.6*12)*1.56+H245*3.2</f>
        <v>2686.1664000000001</v>
      </c>
      <c r="I260" s="191"/>
      <c r="J260" s="200"/>
      <c r="M260" s="30"/>
      <c r="N260" s="49"/>
    </row>
    <row r="261" spans="1:15" ht="49.5">
      <c r="A261" s="12"/>
      <c r="B261" s="7"/>
      <c r="C261" s="8"/>
      <c r="D261" s="44"/>
      <c r="E261" s="44"/>
      <c r="F261" s="45" t="s">
        <v>1334</v>
      </c>
      <c r="G261" s="45" t="s">
        <v>2291</v>
      </c>
      <c r="H261" s="44">
        <f>(11.5*142+5*142+6*45+9.85*71+8.35*142+6.85*71)*2.25+((8.5+6.4+5)*105+1.6*250+1.3*215+1.6*630+11*53+9.8*104+8.6*53)*1.56+H247*3.2</f>
        <v>20487.860400000001</v>
      </c>
      <c r="I261" s="191"/>
      <c r="J261" s="200"/>
      <c r="M261" s="30"/>
      <c r="N261" s="49"/>
    </row>
    <row r="262" spans="1:15" ht="49.5">
      <c r="A262" s="12"/>
      <c r="B262" s="7"/>
      <c r="C262" s="8"/>
      <c r="D262" s="44"/>
      <c r="E262" s="44"/>
      <c r="F262" s="56" t="s">
        <v>1335</v>
      </c>
      <c r="G262" s="45" t="s">
        <v>2292</v>
      </c>
      <c r="H262" s="44">
        <f>5.25*107*3.05+(12*34+4.8*34+5.25*54+10*9+8.5*18+7*9)*2.25+(5.25*106*3.05)+(12*34+4.8*34+5.25*53+10*9+8.5*18+7*9)*2.25+47.63*3.2</f>
        <v>8774.4159999999993</v>
      </c>
      <c r="I262" s="191"/>
      <c r="J262" s="279"/>
      <c r="M262" s="30"/>
      <c r="N262" s="49"/>
    </row>
    <row r="263" spans="1:15">
      <c r="A263" s="12"/>
      <c r="B263" s="7"/>
      <c r="C263" s="8"/>
      <c r="D263" s="44"/>
      <c r="E263" s="44"/>
      <c r="F263" s="45" t="s">
        <v>1336</v>
      </c>
      <c r="G263" s="45" t="s">
        <v>2293</v>
      </c>
      <c r="H263" s="44">
        <f>(7*108+3.1*252+0.5*252)*0.994+H249*3.2</f>
        <v>1708.056</v>
      </c>
      <c r="I263" s="191"/>
      <c r="J263" s="200"/>
      <c r="M263" s="30"/>
      <c r="N263" s="49"/>
    </row>
    <row r="264" spans="1:15" ht="33.75" customHeight="1">
      <c r="A264" s="12"/>
      <c r="B264" s="7"/>
      <c r="C264" s="8"/>
      <c r="D264" s="44"/>
      <c r="E264" s="44"/>
      <c r="F264" s="45" t="s">
        <v>1756</v>
      </c>
      <c r="G264" s="45" t="s">
        <v>3443</v>
      </c>
      <c r="H264" s="44">
        <f>(7.95*8*3.05+(9.45+6.15)*4*1.56+1.1*191*2.25)*2</f>
        <v>1528.098</v>
      </c>
      <c r="I264" s="191"/>
      <c r="J264" s="200"/>
      <c r="M264" s="30"/>
      <c r="N264" s="49"/>
    </row>
    <row r="265" spans="1:15">
      <c r="A265" s="12"/>
      <c r="B265" s="7"/>
      <c r="C265" s="8"/>
      <c r="D265" s="44"/>
      <c r="E265" s="44"/>
      <c r="F265" s="45"/>
      <c r="G265" s="45"/>
      <c r="H265" s="44"/>
      <c r="I265" s="191"/>
      <c r="J265" s="200"/>
      <c r="N265" s="49"/>
    </row>
    <row r="266" spans="1:15">
      <c r="A266" s="12" t="s">
        <v>84</v>
      </c>
      <c r="B266" s="7" t="s">
        <v>532</v>
      </c>
      <c r="C266" s="8" t="s">
        <v>13</v>
      </c>
      <c r="D266" s="44">
        <v>223.3</v>
      </c>
      <c r="E266" s="44">
        <f>I266</f>
        <v>256.92928000000006</v>
      </c>
      <c r="F266" s="45" t="s">
        <v>2493</v>
      </c>
      <c r="G266" s="45" t="s">
        <v>3752</v>
      </c>
      <c r="H266" s="44">
        <f>(0.12*1.2*2+0.394*2*0.24*2+1.2*0.24)*2</f>
        <v>1.90848</v>
      </c>
      <c r="I266" s="192">
        <f>SUM(H266:H268)</f>
        <v>256.92928000000006</v>
      </c>
      <c r="J266" s="285">
        <f>E266-D266</f>
        <v>33.629280000000051</v>
      </c>
      <c r="N266" s="49"/>
    </row>
    <row r="267" spans="1:15" ht="69" customHeight="1">
      <c r="A267" s="226"/>
      <c r="B267" s="227"/>
      <c r="C267" s="228"/>
      <c r="D267" s="229"/>
      <c r="E267" s="229"/>
      <c r="F267" s="45" t="s">
        <v>3115</v>
      </c>
      <c r="G267" s="45" t="s">
        <v>3127</v>
      </c>
      <c r="H267" s="44">
        <f>(0.3*(1.84*2+1*2))+(1.8*0.15*12)+(((0.45+1.18)*1.5/2)+(1.18*1.5)+((1.18+2.07)*1.8/2))*2*2+(1.23+1.25+0.4+0.2+1.5)*1.8+0.45*1.84*2*4+1.84*0.2*4</f>
        <v>44.954000000000008</v>
      </c>
      <c r="I267" s="249"/>
      <c r="J267" s="92"/>
      <c r="N267" s="49"/>
    </row>
    <row r="268" spans="1:15" ht="45.75" customHeight="1">
      <c r="A268" s="226"/>
      <c r="B268" s="227"/>
      <c r="C268" s="228"/>
      <c r="D268" s="229"/>
      <c r="E268" s="229"/>
      <c r="F268" s="230" t="s">
        <v>3116</v>
      </c>
      <c r="G268" s="230" t="s">
        <v>3123</v>
      </c>
      <c r="H268" s="229">
        <f>(1.6+2.1)*6/2*2*2+1.6*1.5*2*2+(1.6+1.1)*6/2*2*2+(8.88+2)*0.74*2*2+1.1*3.62*2*2+1.1*2*2*2+3.62*2+2.29*13.5+1.8*8.88+0.45*2.29*2*5+2.29*0.2*5</f>
        <v>210.06680000000003</v>
      </c>
      <c r="I268" s="249"/>
      <c r="J268" s="92"/>
      <c r="N268" s="49"/>
    </row>
    <row r="269" spans="1:15">
      <c r="A269" s="226"/>
      <c r="B269" s="227"/>
      <c r="C269" s="228"/>
      <c r="D269" s="229"/>
      <c r="E269" s="229"/>
      <c r="F269" s="230"/>
      <c r="G269" s="230"/>
      <c r="H269" s="229"/>
      <c r="I269" s="249"/>
      <c r="J269" s="92"/>
      <c r="N269" s="49"/>
    </row>
    <row r="270" spans="1:15" ht="49.5">
      <c r="A270" s="12" t="s">
        <v>85</v>
      </c>
      <c r="B270" s="7" t="s">
        <v>534</v>
      </c>
      <c r="C270" s="8" t="s">
        <v>13</v>
      </c>
      <c r="D270" s="44">
        <v>484.32</v>
      </c>
      <c r="E270" s="44">
        <v>484.32</v>
      </c>
      <c r="F270" s="45" t="s">
        <v>1330</v>
      </c>
      <c r="G270" s="45" t="s">
        <v>1350</v>
      </c>
      <c r="H270" s="44">
        <f>(15.3+14.35)*(1.15+1.5+2.75+0.1*2)+(1.5*1.15+1.5*0.5+0.42*0.7)*2*2+(0.25*0.6*4)*14+(2.2*0.45*2+0.75*2.2+1.05*0.6)*14</f>
        <v>245.15600000000003</v>
      </c>
      <c r="I270" s="194">
        <f>SUM(H270:H274)</f>
        <v>484.31400000000008</v>
      </c>
      <c r="J270" s="279">
        <f>E270-D270</f>
        <v>0</v>
      </c>
      <c r="K270" s="462" t="s">
        <v>2523</v>
      </c>
      <c r="N270" s="49"/>
    </row>
    <row r="271" spans="1:15" ht="49.5">
      <c r="A271" s="12"/>
      <c r="B271" s="7"/>
      <c r="C271" s="8"/>
      <c r="D271" s="44"/>
      <c r="E271" s="44"/>
      <c r="F271" s="45" t="s">
        <v>1342</v>
      </c>
      <c r="G271" s="56" t="s">
        <v>1352</v>
      </c>
      <c r="H271" s="55">
        <f>(2.38+1.95+0.5+0.5+2.67)*2*1+(0.25*0.6*4)*4+((3.5*2.15)+(3.5*2.35)+1.5*1.15*2+1*0.5*2*0.42*0.7*2)+(2*0.45*2+0.75*2+1.05*0.6)*4</f>
        <v>53.908000000000001</v>
      </c>
      <c r="I271" s="195"/>
      <c r="J271" s="200"/>
      <c r="K271" s="463" t="s">
        <v>2521</v>
      </c>
      <c r="N271" s="49"/>
    </row>
    <row r="272" spans="1:15" ht="33">
      <c r="A272" s="12"/>
      <c r="B272" s="7"/>
      <c r="C272" s="8"/>
      <c r="D272" s="44"/>
      <c r="E272" s="44"/>
      <c r="F272" s="45" t="s">
        <v>1334</v>
      </c>
      <c r="G272" s="45" t="s">
        <v>1348</v>
      </c>
      <c r="H272" s="44">
        <f>(18.6+16.96)/2*(13.3-0.7*7+0.1*14)+(0.2*(18.6+16.96)/2)+(0.25*(15.3+14.5))</f>
        <v>185.25000000000006</v>
      </c>
      <c r="I272" s="195"/>
      <c r="J272" s="200"/>
      <c r="K272" s="463" t="s">
        <v>2522</v>
      </c>
      <c r="N272" s="49"/>
    </row>
    <row r="273" spans="1:14">
      <c r="A273" s="12"/>
      <c r="B273" s="7"/>
      <c r="C273" s="8"/>
      <c r="D273" s="44"/>
      <c r="E273" s="44"/>
      <c r="F273" s="50"/>
      <c r="G273" s="45"/>
      <c r="H273" s="44"/>
      <c r="I273" s="195"/>
      <c r="J273" s="200"/>
      <c r="N273" s="49"/>
    </row>
    <row r="274" spans="1:14">
      <c r="A274" s="12"/>
      <c r="B274" s="7"/>
      <c r="C274" s="8"/>
      <c r="D274" s="44"/>
      <c r="E274" s="44"/>
      <c r="F274" s="45"/>
      <c r="G274" s="45"/>
      <c r="H274" s="44"/>
      <c r="I274" s="195"/>
      <c r="J274" s="200"/>
      <c r="N274" s="49"/>
    </row>
    <row r="275" spans="1:14" ht="33">
      <c r="A275" s="12" t="s">
        <v>86</v>
      </c>
      <c r="B275" s="7" t="s">
        <v>536</v>
      </c>
      <c r="C275" s="8" t="s">
        <v>13</v>
      </c>
      <c r="D275" s="44">
        <v>42.54</v>
      </c>
      <c r="E275" s="44">
        <v>42.54</v>
      </c>
      <c r="F275" s="45" t="s">
        <v>1326</v>
      </c>
      <c r="G275" s="45" t="s">
        <v>1353</v>
      </c>
      <c r="H275" s="44">
        <f>ROUND((4.67*1.15)*2+(2.88*1.15*2)+(5.05+3.1+3.9+1.9)*2*0.1+(15.7+14.75+1.9*2)*2*0.1,2)</f>
        <v>27.01</v>
      </c>
      <c r="I275" s="194">
        <f>SUM(H275:H278)</f>
        <v>42.534999999999997</v>
      </c>
      <c r="J275" s="279">
        <v>0</v>
      </c>
      <c r="N275" s="49"/>
    </row>
    <row r="276" spans="1:14">
      <c r="A276" s="12"/>
      <c r="B276" s="7"/>
      <c r="C276" s="8"/>
      <c r="D276" s="44"/>
      <c r="E276" s="44"/>
      <c r="F276" s="45" t="s">
        <v>1737</v>
      </c>
      <c r="G276" s="45" t="s">
        <v>2274</v>
      </c>
      <c r="H276" s="44">
        <f>(5*4+16+15.75)*0.3</f>
        <v>15.524999999999999</v>
      </c>
      <c r="I276" s="191"/>
      <c r="J276" s="200"/>
      <c r="N276" s="49"/>
    </row>
    <row r="277" spans="1:14">
      <c r="A277" s="12"/>
      <c r="B277" s="7"/>
      <c r="C277" s="8"/>
      <c r="D277" s="44"/>
      <c r="E277" s="44"/>
      <c r="F277" s="45"/>
      <c r="G277" s="45"/>
      <c r="H277" s="44"/>
      <c r="I277" s="191"/>
      <c r="J277" s="200"/>
      <c r="L277" s="45"/>
      <c r="M277" s="45"/>
      <c r="N277" s="44"/>
    </row>
    <row r="278" spans="1:14">
      <c r="A278" s="226"/>
      <c r="B278" s="227"/>
      <c r="C278" s="228"/>
      <c r="D278" s="229"/>
      <c r="E278" s="229"/>
      <c r="F278" s="230"/>
      <c r="G278" s="230"/>
      <c r="H278" s="229"/>
      <c r="I278" s="241"/>
      <c r="J278" s="92"/>
      <c r="L278" s="230"/>
      <c r="M278" s="230"/>
      <c r="N278" s="229"/>
    </row>
    <row r="279" spans="1:14" ht="44.25" customHeight="1">
      <c r="A279" s="12" t="s">
        <v>87</v>
      </c>
      <c r="B279" s="7" t="s">
        <v>538</v>
      </c>
      <c r="C279" s="8" t="s">
        <v>539</v>
      </c>
      <c r="D279" s="44">
        <v>25655</v>
      </c>
      <c r="E279" s="44">
        <f>I279</f>
        <v>25655</v>
      </c>
      <c r="F279" s="45" t="s">
        <v>3444</v>
      </c>
      <c r="G279" s="45" t="s">
        <v>3445</v>
      </c>
      <c r="H279" s="44">
        <f>1925.12+2779.79+2803.34+1517.1+824.04+2572.48+1526.53+11706.6</f>
        <v>25655</v>
      </c>
      <c r="I279" s="192">
        <f>H279</f>
        <v>25655</v>
      </c>
      <c r="J279" s="285">
        <f>E279-D279</f>
        <v>0</v>
      </c>
      <c r="N279" s="49"/>
    </row>
    <row r="280" spans="1:14" ht="21.95" customHeight="1">
      <c r="A280" s="12" t="s">
        <v>541</v>
      </c>
      <c r="B280" s="7" t="s">
        <v>321</v>
      </c>
      <c r="C280" s="8" t="s">
        <v>17</v>
      </c>
      <c r="D280" s="44">
        <v>3691</v>
      </c>
      <c r="E280" s="44"/>
      <c r="F280" s="45"/>
      <c r="G280" s="45"/>
      <c r="H280" s="44"/>
      <c r="I280" s="191" t="s">
        <v>243</v>
      </c>
      <c r="J280" s="92"/>
      <c r="N280" s="49"/>
    </row>
    <row r="281" spans="1:14" ht="33">
      <c r="A281" s="12" t="s">
        <v>88</v>
      </c>
      <c r="B281" s="10" t="s">
        <v>323</v>
      </c>
      <c r="C281" s="8" t="s">
        <v>17</v>
      </c>
      <c r="D281" s="44">
        <v>3691</v>
      </c>
      <c r="E281" s="44"/>
      <c r="F281" s="45"/>
      <c r="G281" s="45"/>
      <c r="H281" s="44"/>
      <c r="I281" s="191" t="s">
        <v>243</v>
      </c>
      <c r="J281" s="92"/>
      <c r="N281" s="49"/>
    </row>
    <row r="282" spans="1:14" ht="28.5">
      <c r="A282" s="12" t="s">
        <v>89</v>
      </c>
      <c r="B282" s="10" t="s">
        <v>542</v>
      </c>
      <c r="C282" s="8" t="s">
        <v>17</v>
      </c>
      <c r="D282" s="44">
        <v>2162</v>
      </c>
      <c r="E282" s="44">
        <f>I282</f>
        <v>2232</v>
      </c>
      <c r="F282" s="45" t="s">
        <v>3446</v>
      </c>
      <c r="G282" s="45">
        <v>2162</v>
      </c>
      <c r="H282" s="44">
        <v>2162</v>
      </c>
      <c r="I282" s="44">
        <f>H282+H283</f>
        <v>2232</v>
      </c>
      <c r="J282" s="92">
        <v>0</v>
      </c>
      <c r="N282" s="49"/>
    </row>
    <row r="283" spans="1:14">
      <c r="A283" s="226"/>
      <c r="B283" s="231"/>
      <c r="C283" s="228"/>
      <c r="D283" s="229"/>
      <c r="E283" s="229"/>
      <c r="F283" s="235" t="s">
        <v>3800</v>
      </c>
      <c r="G283" s="230">
        <v>70</v>
      </c>
      <c r="H283" s="229">
        <v>70</v>
      </c>
      <c r="I283" s="229"/>
      <c r="J283" s="92"/>
      <c r="N283" s="49"/>
    </row>
    <row r="284" spans="1:14" ht="42.75">
      <c r="A284" s="12" t="s">
        <v>90</v>
      </c>
      <c r="B284" s="10" t="s">
        <v>544</v>
      </c>
      <c r="C284" s="8" t="s">
        <v>13</v>
      </c>
      <c r="D284" s="44">
        <v>99.7</v>
      </c>
      <c r="E284" s="44">
        <f>I284</f>
        <v>99.7</v>
      </c>
      <c r="F284" s="45"/>
      <c r="G284" s="45">
        <v>99.7</v>
      </c>
      <c r="H284" s="44">
        <v>99.7</v>
      </c>
      <c r="I284" s="44">
        <v>99.7</v>
      </c>
      <c r="J284" s="92">
        <v>0</v>
      </c>
      <c r="N284" s="49"/>
    </row>
    <row r="285" spans="1:14" ht="71.25">
      <c r="A285" s="12" t="s">
        <v>91</v>
      </c>
      <c r="B285" s="10" t="s">
        <v>325</v>
      </c>
      <c r="C285" s="8" t="s">
        <v>17</v>
      </c>
      <c r="D285" s="44">
        <v>96604.35</v>
      </c>
      <c r="E285" s="44">
        <f>I285</f>
        <v>96604.35</v>
      </c>
      <c r="F285" s="45" t="s">
        <v>1234</v>
      </c>
      <c r="G285" s="56" t="s">
        <v>1358</v>
      </c>
      <c r="H285" s="55">
        <v>47258</v>
      </c>
      <c r="I285" s="192">
        <f>H285+H286</f>
        <v>96604.35</v>
      </c>
      <c r="J285" s="279">
        <f>96604.35-D285</f>
        <v>0</v>
      </c>
      <c r="N285" s="49"/>
    </row>
    <row r="286" spans="1:14">
      <c r="A286" s="12"/>
      <c r="B286" s="7"/>
      <c r="C286" s="8"/>
      <c r="D286" s="44"/>
      <c r="E286" s="44"/>
      <c r="F286" s="45" t="s">
        <v>1324</v>
      </c>
      <c r="G286" s="56" t="s">
        <v>1344</v>
      </c>
      <c r="H286" s="55">
        <v>49346.35</v>
      </c>
      <c r="I286" s="191"/>
      <c r="J286" s="200"/>
      <c r="N286" s="49"/>
    </row>
    <row r="287" spans="1:14" ht="33">
      <c r="A287" s="12" t="s">
        <v>203</v>
      </c>
      <c r="B287" s="66" t="s">
        <v>222</v>
      </c>
      <c r="C287" s="67" t="s">
        <v>13</v>
      </c>
      <c r="D287" s="55">
        <v>438.86</v>
      </c>
      <c r="E287" s="55">
        <f>I287</f>
        <v>611.66</v>
      </c>
      <c r="F287" s="56" t="s">
        <v>1355</v>
      </c>
      <c r="G287" s="56" t="s">
        <v>2930</v>
      </c>
      <c r="H287" s="55">
        <f>ROUND(((1.8*12.77*3*2+1.8*12.8*2*2+1.8*8*2*5)+(1.8*3*2+1.8*5*4+1.8*5*2)+1.8*3*32),2)</f>
        <v>611.67999999999995</v>
      </c>
      <c r="I287" s="194">
        <f>SUM(H287:H289)-0.02</f>
        <v>611.66</v>
      </c>
      <c r="J287" s="285">
        <f>I287-D287</f>
        <v>172.79999999999995</v>
      </c>
      <c r="K287" s="433">
        <f>1.8*3*32</f>
        <v>172.8</v>
      </c>
      <c r="N287" s="49"/>
    </row>
    <row r="288" spans="1:14">
      <c r="A288" s="12"/>
      <c r="B288" s="7"/>
      <c r="C288" s="8"/>
      <c r="D288" s="44"/>
      <c r="E288" s="44"/>
      <c r="F288" s="45"/>
      <c r="G288" s="45"/>
      <c r="H288" s="44"/>
      <c r="I288" s="191"/>
      <c r="J288" s="200"/>
      <c r="K288" s="747">
        <f>K287-J287</f>
        <v>0</v>
      </c>
      <c r="M288" s="30"/>
      <c r="N288" s="49"/>
    </row>
    <row r="289" spans="1:14">
      <c r="A289" s="12"/>
      <c r="B289" s="7"/>
      <c r="C289" s="8"/>
      <c r="D289" s="44"/>
      <c r="E289" s="44"/>
      <c r="F289" s="45"/>
      <c r="G289" s="45"/>
      <c r="H289" s="44"/>
      <c r="I289" s="191"/>
      <c r="J289" s="200"/>
      <c r="M289" s="30"/>
      <c r="N289" s="49"/>
    </row>
    <row r="290" spans="1:14" ht="42.75">
      <c r="A290" s="12" t="s">
        <v>202</v>
      </c>
      <c r="B290" s="10" t="s">
        <v>194</v>
      </c>
      <c r="C290" s="8" t="s">
        <v>23</v>
      </c>
      <c r="D290" s="44">
        <v>342.71</v>
      </c>
      <c r="E290" s="44">
        <v>342.71</v>
      </c>
      <c r="F290" s="45" t="s">
        <v>1343</v>
      </c>
      <c r="G290" s="45" t="s">
        <v>1354</v>
      </c>
      <c r="H290" s="44">
        <f>((16.2*3.35*2.7+16.8*3.25*1.8)+6.3*4.5*2+4.1*3.6*2.5)</f>
        <v>338.40899999999999</v>
      </c>
      <c r="I290" s="192">
        <f>H290</f>
        <v>338.40899999999999</v>
      </c>
      <c r="J290" s="279">
        <f>I290-D290</f>
        <v>-4.3009999999999877</v>
      </c>
      <c r="K290" s="433" t="s">
        <v>2483</v>
      </c>
      <c r="N290" s="49"/>
    </row>
    <row r="291" spans="1:14" ht="28.5">
      <c r="A291" s="12" t="s">
        <v>201</v>
      </c>
      <c r="B291" s="10" t="s">
        <v>205</v>
      </c>
      <c r="C291" s="8" t="s">
        <v>23</v>
      </c>
      <c r="D291" s="44">
        <v>231.09</v>
      </c>
      <c r="E291" s="44">
        <v>0</v>
      </c>
      <c r="F291" s="45"/>
      <c r="G291" s="50"/>
      <c r="H291" s="44">
        <v>0</v>
      </c>
      <c r="I291" s="192">
        <f>H291</f>
        <v>0</v>
      </c>
      <c r="J291" s="279">
        <f>I291-D291</f>
        <v>-231.09</v>
      </c>
      <c r="K291" s="433" t="s">
        <v>2483</v>
      </c>
      <c r="N291" s="49"/>
    </row>
    <row r="292" spans="1:14">
      <c r="A292" s="12" t="s">
        <v>200</v>
      </c>
      <c r="B292" s="7" t="s">
        <v>548</v>
      </c>
      <c r="C292" s="8" t="s">
        <v>13</v>
      </c>
      <c r="D292" s="44">
        <v>27956</v>
      </c>
      <c r="E292" s="44">
        <f>I292</f>
        <v>32876</v>
      </c>
      <c r="F292" s="45" t="s">
        <v>3449</v>
      </c>
      <c r="G292" s="45">
        <v>27956</v>
      </c>
      <c r="H292" s="44">
        <v>27956</v>
      </c>
      <c r="I292" s="192">
        <f>H292+H293</f>
        <v>32876</v>
      </c>
      <c r="J292" s="285">
        <f>E292-D292</f>
        <v>4920</v>
      </c>
      <c r="N292" s="49"/>
    </row>
    <row r="293" spans="1:14">
      <c r="A293" s="12"/>
      <c r="B293" s="7"/>
      <c r="C293" s="8"/>
      <c r="D293" s="44"/>
      <c r="E293" s="44"/>
      <c r="F293" s="45" t="s">
        <v>3918</v>
      </c>
      <c r="G293" s="45">
        <v>4920</v>
      </c>
      <c r="H293" s="44">
        <v>4920</v>
      </c>
      <c r="I293" s="191"/>
      <c r="J293" s="200"/>
      <c r="N293" s="49"/>
    </row>
    <row r="294" spans="1:14" ht="28.5">
      <c r="A294" s="12" t="s">
        <v>199</v>
      </c>
      <c r="B294" s="10" t="s">
        <v>550</v>
      </c>
      <c r="C294" s="8" t="s">
        <v>8</v>
      </c>
      <c r="D294" s="44">
        <v>322</v>
      </c>
      <c r="E294" s="44">
        <v>322</v>
      </c>
      <c r="F294" s="45" t="s">
        <v>1343</v>
      </c>
      <c r="G294" s="45" t="s">
        <v>1357</v>
      </c>
      <c r="H294" s="44">
        <f>2*45+3*36+4*31</f>
        <v>322</v>
      </c>
      <c r="I294" s="194">
        <f>H294</f>
        <v>322</v>
      </c>
      <c r="J294" s="200">
        <v>0</v>
      </c>
      <c r="N294" s="49"/>
    </row>
    <row r="295" spans="1:14" ht="28.5">
      <c r="A295" s="12" t="s">
        <v>198</v>
      </c>
      <c r="B295" s="10" t="s">
        <v>552</v>
      </c>
      <c r="C295" s="8" t="s">
        <v>13</v>
      </c>
      <c r="D295" s="44">
        <v>100</v>
      </c>
      <c r="E295" s="44"/>
      <c r="F295" s="45" t="s">
        <v>3448</v>
      </c>
      <c r="G295" s="45" t="s">
        <v>3447</v>
      </c>
      <c r="H295" s="44">
        <f>2.4*(6+1.5+6)+(2.5*3.62)+8.9*1.6+4.72*2.12+34.3</f>
        <v>99.996400000000008</v>
      </c>
      <c r="I295" s="192">
        <f>H295</f>
        <v>99.996400000000008</v>
      </c>
      <c r="J295" s="92">
        <v>0</v>
      </c>
      <c r="K295" s="433">
        <f>D296*0.05</f>
        <v>4.1500000000000004</v>
      </c>
      <c r="N295" s="49"/>
    </row>
    <row r="296" spans="1:14" ht="28.5">
      <c r="A296" s="12" t="s">
        <v>197</v>
      </c>
      <c r="B296" s="10" t="s">
        <v>554</v>
      </c>
      <c r="C296" s="8" t="s">
        <v>13</v>
      </c>
      <c r="D296" s="44">
        <v>83</v>
      </c>
      <c r="E296" s="44">
        <f>I296</f>
        <v>74.535000000000011</v>
      </c>
      <c r="F296" s="45" t="s">
        <v>3439</v>
      </c>
      <c r="G296" s="45" t="s">
        <v>3698</v>
      </c>
      <c r="H296" s="44">
        <f>2.1*32.6+2.25*2.3+2.25*0.4</f>
        <v>74.535000000000011</v>
      </c>
      <c r="I296" s="192">
        <f>H296</f>
        <v>74.535000000000011</v>
      </c>
      <c r="J296" s="285">
        <f>I296-D296</f>
        <v>-8.4649999999999892</v>
      </c>
      <c r="K296" s="433">
        <f>D296*0.05</f>
        <v>4.1500000000000004</v>
      </c>
      <c r="M296" s="170">
        <f>H296-D296</f>
        <v>-8.4649999999999892</v>
      </c>
      <c r="N296" s="49"/>
    </row>
    <row r="297" spans="1:14">
      <c r="A297" s="12" t="s">
        <v>196</v>
      </c>
      <c r="B297" s="7" t="s">
        <v>556</v>
      </c>
      <c r="C297" s="8" t="s">
        <v>13</v>
      </c>
      <c r="D297" s="44">
        <v>2.1</v>
      </c>
      <c r="E297" s="44"/>
      <c r="F297" s="45"/>
      <c r="G297" s="45">
        <v>2.1</v>
      </c>
      <c r="H297" s="44">
        <v>2.1</v>
      </c>
      <c r="I297" s="44">
        <v>2.1</v>
      </c>
      <c r="J297" s="92">
        <v>0</v>
      </c>
      <c r="N297" s="49"/>
    </row>
    <row r="298" spans="1:14" ht="31.5">
      <c r="A298" s="12" t="s">
        <v>195</v>
      </c>
      <c r="B298" s="7" t="s">
        <v>558</v>
      </c>
      <c r="C298" s="8" t="s">
        <v>8</v>
      </c>
      <c r="D298" s="44">
        <v>62</v>
      </c>
      <c r="E298" s="44"/>
      <c r="F298" s="45" t="s">
        <v>3116</v>
      </c>
      <c r="G298" s="45">
        <v>62</v>
      </c>
      <c r="H298" s="44">
        <v>62</v>
      </c>
      <c r="I298" s="44">
        <v>62</v>
      </c>
      <c r="J298" s="285">
        <f>I298-D298</f>
        <v>0</v>
      </c>
      <c r="N298" s="49"/>
    </row>
    <row r="299" spans="1:14" ht="31.5">
      <c r="A299" s="12" t="s">
        <v>212</v>
      </c>
      <c r="B299" s="7" t="s">
        <v>560</v>
      </c>
      <c r="C299" s="8" t="s">
        <v>8</v>
      </c>
      <c r="D299" s="44">
        <v>33</v>
      </c>
      <c r="E299" s="44">
        <v>33</v>
      </c>
      <c r="F299" s="45" t="s">
        <v>3451</v>
      </c>
      <c r="G299" s="45">
        <v>33</v>
      </c>
      <c r="H299" s="44">
        <v>33</v>
      </c>
      <c r="I299" s="44">
        <v>33</v>
      </c>
      <c r="J299" s="92">
        <v>0</v>
      </c>
      <c r="N299" s="49"/>
    </row>
    <row r="300" spans="1:14" ht="28.5">
      <c r="A300" s="12" t="s">
        <v>213</v>
      </c>
      <c r="B300" s="10" t="s">
        <v>562</v>
      </c>
      <c r="C300" s="8" t="s">
        <v>8</v>
      </c>
      <c r="D300" s="44">
        <v>32.6</v>
      </c>
      <c r="E300" s="44">
        <f>I300</f>
        <v>33</v>
      </c>
      <c r="F300" s="45"/>
      <c r="G300" s="45">
        <v>33</v>
      </c>
      <c r="H300" s="44">
        <v>33</v>
      </c>
      <c r="I300" s="44">
        <f>H300</f>
        <v>33</v>
      </c>
      <c r="J300" s="285">
        <f>E300-D300</f>
        <v>0.39999999999999858</v>
      </c>
      <c r="K300" s="433" t="s">
        <v>3686</v>
      </c>
      <c r="N300" s="49"/>
    </row>
    <row r="301" spans="1:14" ht="42.75">
      <c r="A301" s="12" t="s">
        <v>217</v>
      </c>
      <c r="B301" s="10" t="s">
        <v>564</v>
      </c>
      <c r="C301" s="8" t="s">
        <v>8</v>
      </c>
      <c r="D301" s="44">
        <v>32.6</v>
      </c>
      <c r="E301" s="44">
        <f>I301</f>
        <v>33</v>
      </c>
      <c r="F301" s="45"/>
      <c r="G301" s="45">
        <v>33</v>
      </c>
      <c r="H301" s="44">
        <v>33</v>
      </c>
      <c r="I301" s="44">
        <f>H301</f>
        <v>33</v>
      </c>
      <c r="J301" s="285">
        <f>E301-D301</f>
        <v>0.39999999999999858</v>
      </c>
      <c r="K301" s="433" t="s">
        <v>3686</v>
      </c>
      <c r="N301" s="49"/>
    </row>
    <row r="302" spans="1:14">
      <c r="A302" s="12" t="s">
        <v>566</v>
      </c>
      <c r="B302" s="7" t="s">
        <v>567</v>
      </c>
      <c r="C302" s="8" t="s">
        <v>0</v>
      </c>
      <c r="D302" s="44">
        <v>1</v>
      </c>
      <c r="E302" s="44"/>
      <c r="F302" s="45"/>
      <c r="G302" s="45">
        <v>1</v>
      </c>
      <c r="H302" s="44">
        <v>1</v>
      </c>
      <c r="I302" s="44">
        <v>1</v>
      </c>
      <c r="J302" s="92">
        <v>0</v>
      </c>
      <c r="N302" s="49"/>
    </row>
    <row r="303" spans="1:14">
      <c r="A303" s="12" t="s">
        <v>569</v>
      </c>
      <c r="B303" s="7" t="s">
        <v>570</v>
      </c>
      <c r="C303" s="8" t="s">
        <v>8</v>
      </c>
      <c r="D303" s="44">
        <v>9.6</v>
      </c>
      <c r="E303" s="44"/>
      <c r="F303" s="45"/>
      <c r="G303" s="45" t="s">
        <v>3452</v>
      </c>
      <c r="H303" s="44">
        <f>4.8*2</f>
        <v>9.6</v>
      </c>
      <c r="I303" s="44">
        <f>4.8*2</f>
        <v>9.6</v>
      </c>
      <c r="J303" s="92">
        <v>0</v>
      </c>
      <c r="N303" s="49"/>
    </row>
    <row r="304" spans="1:14">
      <c r="A304" s="12" t="s">
        <v>572</v>
      </c>
      <c r="B304" s="7" t="s">
        <v>573</v>
      </c>
      <c r="C304" s="8" t="s">
        <v>0</v>
      </c>
      <c r="D304" s="44">
        <v>1</v>
      </c>
      <c r="E304" s="44">
        <v>2</v>
      </c>
      <c r="F304" s="45" t="s">
        <v>3454</v>
      </c>
      <c r="G304" s="45" t="s">
        <v>3453</v>
      </c>
      <c r="H304" s="44">
        <f>1+1</f>
        <v>2</v>
      </c>
      <c r="I304" s="44">
        <f>1+1</f>
        <v>2</v>
      </c>
      <c r="J304" s="285">
        <f>E304-D304</f>
        <v>1</v>
      </c>
      <c r="N304" s="49"/>
    </row>
    <row r="305" spans="1:14">
      <c r="A305" s="12" t="s">
        <v>575</v>
      </c>
      <c r="B305" s="7" t="s">
        <v>576</v>
      </c>
      <c r="C305" s="8" t="s">
        <v>8</v>
      </c>
      <c r="D305" s="44">
        <v>32.6</v>
      </c>
      <c r="E305" s="44"/>
      <c r="F305" s="45"/>
      <c r="G305" s="45">
        <v>32.6</v>
      </c>
      <c r="H305" s="44">
        <v>32.6</v>
      </c>
      <c r="I305" s="44">
        <v>32.6</v>
      </c>
      <c r="J305" s="92">
        <v>0</v>
      </c>
      <c r="N305" s="49"/>
    </row>
    <row r="306" spans="1:14" ht="28.5">
      <c r="A306" s="12" t="s">
        <v>578</v>
      </c>
      <c r="B306" s="10" t="s">
        <v>579</v>
      </c>
      <c r="C306" s="8" t="s">
        <v>8</v>
      </c>
      <c r="D306" s="44">
        <v>32.6</v>
      </c>
      <c r="E306" s="44"/>
      <c r="F306" s="45"/>
      <c r="G306" s="45">
        <v>32.6</v>
      </c>
      <c r="H306" s="44">
        <v>32.6</v>
      </c>
      <c r="I306" s="44">
        <v>32.6</v>
      </c>
      <c r="J306" s="92">
        <v>0</v>
      </c>
      <c r="N306" s="49"/>
    </row>
    <row r="307" spans="1:14" ht="42.75">
      <c r="A307" s="12" t="s">
        <v>581</v>
      </c>
      <c r="B307" s="10" t="s">
        <v>582</v>
      </c>
      <c r="C307" s="8" t="s">
        <v>583</v>
      </c>
      <c r="D307" s="44">
        <v>4</v>
      </c>
      <c r="E307" s="44"/>
      <c r="F307" s="45" t="s">
        <v>1234</v>
      </c>
      <c r="G307" s="45">
        <v>4</v>
      </c>
      <c r="H307" s="44">
        <v>4</v>
      </c>
      <c r="I307" s="192">
        <f>H307</f>
        <v>4</v>
      </c>
      <c r="J307" s="200">
        <v>0</v>
      </c>
      <c r="N307" s="49"/>
    </row>
    <row r="308" spans="1:14">
      <c r="A308" s="12" t="s">
        <v>585</v>
      </c>
      <c r="B308" s="7" t="s">
        <v>586</v>
      </c>
      <c r="C308" s="8" t="s">
        <v>8</v>
      </c>
      <c r="D308" s="44">
        <v>4.8</v>
      </c>
      <c r="E308" s="44"/>
      <c r="F308" s="45"/>
      <c r="G308" s="45">
        <v>4.8</v>
      </c>
      <c r="H308" s="44">
        <v>4.8</v>
      </c>
      <c r="I308" s="192">
        <f>H308</f>
        <v>4.8</v>
      </c>
      <c r="J308" s="92">
        <v>0</v>
      </c>
      <c r="N308" s="49"/>
    </row>
    <row r="309" spans="1:14">
      <c r="A309" s="12" t="s">
        <v>588</v>
      </c>
      <c r="B309" s="7" t="s">
        <v>589</v>
      </c>
      <c r="C309" s="8" t="s">
        <v>0</v>
      </c>
      <c r="D309" s="44">
        <v>1</v>
      </c>
      <c r="E309" s="44"/>
      <c r="F309" s="45"/>
      <c r="G309" s="45">
        <v>1</v>
      </c>
      <c r="H309" s="44">
        <v>1</v>
      </c>
      <c r="I309" s="192">
        <f>H309</f>
        <v>1</v>
      </c>
      <c r="J309" s="92">
        <v>0</v>
      </c>
      <c r="N309" s="49"/>
    </row>
    <row r="310" spans="1:14">
      <c r="A310" s="12" t="s">
        <v>591</v>
      </c>
      <c r="B310" s="7" t="s">
        <v>592</v>
      </c>
      <c r="C310" s="8" t="s">
        <v>0</v>
      </c>
      <c r="D310" s="44">
        <v>1</v>
      </c>
      <c r="E310" s="44"/>
      <c r="F310" s="45"/>
      <c r="G310" s="45">
        <v>1</v>
      </c>
      <c r="H310" s="44">
        <v>1</v>
      </c>
      <c r="I310" s="192">
        <f>H310</f>
        <v>1</v>
      </c>
      <c r="J310" s="92">
        <v>0</v>
      </c>
      <c r="M310" s="174"/>
      <c r="N310" s="49"/>
    </row>
    <row r="311" spans="1:14">
      <c r="A311" s="12" t="s">
        <v>1359</v>
      </c>
      <c r="B311" s="7" t="s">
        <v>1360</v>
      </c>
      <c r="C311" s="8" t="s">
        <v>606</v>
      </c>
      <c r="D311" s="44"/>
      <c r="E311" s="44">
        <v>2</v>
      </c>
      <c r="F311" s="45" t="s">
        <v>1343</v>
      </c>
      <c r="G311" s="45">
        <v>2</v>
      </c>
      <c r="H311" s="44">
        <v>2</v>
      </c>
      <c r="I311" s="192">
        <f>H311</f>
        <v>2</v>
      </c>
      <c r="J311" s="92">
        <v>0</v>
      </c>
      <c r="N311" s="49"/>
    </row>
    <row r="312" spans="1:14">
      <c r="A312" s="12" t="s">
        <v>1361</v>
      </c>
      <c r="B312" s="7" t="s">
        <v>1362</v>
      </c>
      <c r="C312" s="8" t="s">
        <v>539</v>
      </c>
      <c r="D312" s="44">
        <v>96850</v>
      </c>
      <c r="E312" s="44">
        <f>I312</f>
        <v>133434.85</v>
      </c>
      <c r="F312" s="45" t="s">
        <v>1343</v>
      </c>
      <c r="G312" s="45" t="s">
        <v>3726</v>
      </c>
      <c r="H312" s="44">
        <f>47258+49346.35</f>
        <v>96604.35</v>
      </c>
      <c r="I312" s="192">
        <f>H312+H313</f>
        <v>133434.85</v>
      </c>
      <c r="J312" s="279">
        <f>E312-D312</f>
        <v>36584.850000000006</v>
      </c>
      <c r="N312" s="49"/>
    </row>
    <row r="313" spans="1:14">
      <c r="A313" s="226"/>
      <c r="B313" s="227"/>
      <c r="C313" s="228"/>
      <c r="D313" s="229"/>
      <c r="E313" s="229"/>
      <c r="F313" s="935" t="s">
        <v>3787</v>
      </c>
      <c r="G313" s="935">
        <v>36830.5</v>
      </c>
      <c r="H313" s="940">
        <v>36830.5</v>
      </c>
      <c r="I313" s="249"/>
      <c r="J313" s="285"/>
      <c r="N313" s="49"/>
    </row>
    <row r="314" spans="1:14">
      <c r="A314" s="12" t="s">
        <v>1363</v>
      </c>
      <c r="B314" s="7" t="s">
        <v>1364</v>
      </c>
      <c r="C314" s="8" t="s">
        <v>15</v>
      </c>
      <c r="D314" s="44"/>
      <c r="E314" s="44">
        <v>18</v>
      </c>
      <c r="F314" s="45" t="s">
        <v>1343</v>
      </c>
      <c r="G314" s="45" t="s">
        <v>1490</v>
      </c>
      <c r="H314" s="44">
        <v>18</v>
      </c>
      <c r="I314" s="192">
        <f>H314</f>
        <v>18</v>
      </c>
      <c r="J314" s="279">
        <f>I314-E314</f>
        <v>0</v>
      </c>
      <c r="K314" s="433" t="s">
        <v>2955</v>
      </c>
      <c r="N314" s="49"/>
    </row>
    <row r="315" spans="1:14">
      <c r="A315" s="12" t="s">
        <v>3181</v>
      </c>
      <c r="B315" s="227" t="str">
        <f>'5變(議價前)'!B179</f>
        <v>磺港橋沖孔飾板</v>
      </c>
      <c r="C315" s="228" t="str">
        <f>'5變(議價前)'!C179</f>
        <v>座</v>
      </c>
      <c r="D315" s="229"/>
      <c r="E315" s="229">
        <v>1</v>
      </c>
      <c r="F315" s="230"/>
      <c r="G315" s="230">
        <v>1</v>
      </c>
      <c r="H315" s="229">
        <v>1</v>
      </c>
      <c r="I315" s="249">
        <f>H315</f>
        <v>1</v>
      </c>
      <c r="J315" s="285">
        <f>I315</f>
        <v>1</v>
      </c>
      <c r="N315" s="49"/>
    </row>
    <row r="316" spans="1:14" ht="42.75" customHeight="1">
      <c r="A316" s="12" t="s">
        <v>3535</v>
      </c>
      <c r="B316" s="227" t="str">
        <f>'5變(議價前)'!B180</f>
        <v>仿清水模塗料粉刷</v>
      </c>
      <c r="C316" s="228" t="s">
        <v>3536</v>
      </c>
      <c r="D316" s="229"/>
      <c r="E316" s="229">
        <f>I316</f>
        <v>44.4238</v>
      </c>
      <c r="F316" s="230" t="s">
        <v>3450</v>
      </c>
      <c r="G316" s="230" t="s">
        <v>3537</v>
      </c>
      <c r="H316" s="229">
        <f>1.34*1.47+1.47*18.7/2*2+0.75*9/2+0.7*3.7+4.5*2</f>
        <v>44.4238</v>
      </c>
      <c r="I316" s="249">
        <f>H316</f>
        <v>44.4238</v>
      </c>
      <c r="J316" s="285">
        <f>E316-D316</f>
        <v>44.4238</v>
      </c>
      <c r="N316" s="49"/>
    </row>
    <row r="317" spans="1:14" ht="33">
      <c r="A317" s="6" t="s">
        <v>92</v>
      </c>
      <c r="B317" s="7" t="s">
        <v>594</v>
      </c>
      <c r="C317" s="8" t="s">
        <v>4</v>
      </c>
      <c r="D317" s="44">
        <v>1</v>
      </c>
      <c r="E317" s="44"/>
      <c r="F317" s="45"/>
      <c r="G317" s="45"/>
      <c r="H317" s="44"/>
      <c r="I317" s="191" t="s">
        <v>243</v>
      </c>
      <c r="J317" s="200"/>
      <c r="N317" s="49"/>
    </row>
    <row r="318" spans="1:14" ht="28.5">
      <c r="A318" s="12" t="s">
        <v>93</v>
      </c>
      <c r="B318" s="10" t="s">
        <v>1383</v>
      </c>
      <c r="C318" s="8" t="s">
        <v>6</v>
      </c>
      <c r="D318" s="44">
        <v>22</v>
      </c>
      <c r="E318" s="44"/>
      <c r="F318" s="45" t="s">
        <v>1511</v>
      </c>
      <c r="G318" s="45" t="s">
        <v>1390</v>
      </c>
      <c r="H318" s="44">
        <f>(246.3*0.85*0.05)+(1.7*0.1*(11.2+57.6))</f>
        <v>22.16375</v>
      </c>
      <c r="I318" s="192">
        <v>22</v>
      </c>
      <c r="J318" s="200">
        <v>0</v>
      </c>
      <c r="N318" s="49"/>
    </row>
    <row r="319" spans="1:14">
      <c r="A319" s="12"/>
      <c r="B319" s="10"/>
      <c r="C319" s="8"/>
      <c r="D319" s="44"/>
      <c r="E319" s="44"/>
      <c r="F319" s="80"/>
      <c r="G319" s="45"/>
      <c r="H319" s="44"/>
      <c r="I319" s="192"/>
      <c r="J319" s="200"/>
      <c r="N319" s="49"/>
    </row>
    <row r="320" spans="1:14">
      <c r="A320" s="12"/>
      <c r="B320" s="10"/>
      <c r="C320" s="8"/>
      <c r="D320" s="44"/>
      <c r="E320" s="44"/>
      <c r="F320" s="45"/>
      <c r="G320" s="45"/>
      <c r="H320" s="44"/>
      <c r="I320" s="192"/>
      <c r="J320" s="200"/>
      <c r="N320" s="49"/>
    </row>
    <row r="321" spans="1:14" ht="33">
      <c r="A321" s="12" t="s">
        <v>94</v>
      </c>
      <c r="B321" s="10" t="s">
        <v>3718</v>
      </c>
      <c r="C321" s="8" t="s">
        <v>6</v>
      </c>
      <c r="D321" s="44">
        <v>302</v>
      </c>
      <c r="E321" s="44"/>
      <c r="F321" s="50" t="s">
        <v>1811</v>
      </c>
      <c r="G321" s="50" t="s">
        <v>1920</v>
      </c>
      <c r="H321" s="44">
        <f>58*8*(0.25*0.25*3.14)</f>
        <v>91.06</v>
      </c>
      <c r="I321" s="193">
        <f>SUM(H321:H325)</f>
        <v>301.99828571428571</v>
      </c>
      <c r="J321" s="279">
        <f>I321-D321</f>
        <v>-1.7142857142857792E-3</v>
      </c>
      <c r="M321" s="174"/>
      <c r="N321" s="49"/>
    </row>
    <row r="322" spans="1:14" ht="27.75" customHeight="1">
      <c r="A322" s="12"/>
      <c r="B322" s="7"/>
      <c r="C322" s="8"/>
      <c r="D322" s="44"/>
      <c r="E322" s="44"/>
      <c r="F322" s="50" t="s">
        <v>1926</v>
      </c>
      <c r="G322" s="50" t="s">
        <v>1440</v>
      </c>
      <c r="H322" s="54">
        <f>0.6*0.4*(23.8+19.8)</f>
        <v>10.464</v>
      </c>
      <c r="I322" s="192"/>
      <c r="J322" s="200"/>
      <c r="M322" s="174"/>
      <c r="N322" s="49"/>
    </row>
    <row r="323" spans="1:14" ht="91.5" customHeight="1">
      <c r="A323" s="12"/>
      <c r="B323" s="7"/>
      <c r="C323" s="8"/>
      <c r="D323" s="44"/>
      <c r="E323" s="44"/>
      <c r="F323" s="50" t="s">
        <v>1806</v>
      </c>
      <c r="G323" s="50" t="s">
        <v>2638</v>
      </c>
      <c r="H323" s="54">
        <f>(0.25*0.15*250)+((0.08+0.46+0.44+0.42+0.39+0.3+0.24+0.18+0.13+0.13+0.12+0.1+0.05+0.02)/14*0.2*230)+((0.2*0.55)+(0.2*0.4)+(0.375*0.2)+(0.225+0.375)*0.15/2)*18.8+(0.02+0.6)/2*0.2*20</f>
        <v>26.497285714285713</v>
      </c>
      <c r="I323" s="192"/>
      <c r="J323" s="200"/>
      <c r="M323" s="174"/>
      <c r="N323" s="49"/>
    </row>
    <row r="324" spans="1:14" ht="33">
      <c r="A324" s="239" t="s">
        <v>1924</v>
      </c>
      <c r="B324" s="227"/>
      <c r="C324" s="228"/>
      <c r="D324" s="229"/>
      <c r="E324" s="229"/>
      <c r="F324" s="235" t="s">
        <v>1998</v>
      </c>
      <c r="G324" s="235" t="s">
        <v>2939</v>
      </c>
      <c r="H324" s="237">
        <f>ROUND((0.1+0.9)/2*0.3*7.1+(0.3+0.45)/2*0.42*1.68+(1.7*14.8/2*0.3),2)+0.35*1.8*(14.8-2.9)</f>
        <v>12.597</v>
      </c>
      <c r="I324" s="249"/>
      <c r="J324" s="280"/>
      <c r="M324" s="174"/>
      <c r="N324" s="49"/>
    </row>
    <row r="325" spans="1:14">
      <c r="A325" s="12"/>
      <c r="B325" s="888" t="s">
        <v>2744</v>
      </c>
      <c r="C325" s="889"/>
      <c r="D325" s="54"/>
      <c r="E325" s="54"/>
      <c r="F325" s="50" t="s">
        <v>2743</v>
      </c>
      <c r="G325" s="68"/>
      <c r="H325" s="54">
        <v>161.38</v>
      </c>
      <c r="I325" s="192"/>
      <c r="J325" s="200"/>
      <c r="M325" s="174"/>
      <c r="N325" s="49"/>
    </row>
    <row r="326" spans="1:14" ht="33">
      <c r="A326" s="12" t="s">
        <v>95</v>
      </c>
      <c r="B326" s="10" t="s">
        <v>528</v>
      </c>
      <c r="C326" s="8" t="s">
        <v>6</v>
      </c>
      <c r="D326" s="44">
        <v>766</v>
      </c>
      <c r="E326" s="54">
        <v>0</v>
      </c>
      <c r="F326" s="45" t="s">
        <v>1366</v>
      </c>
      <c r="G326" s="68" t="s">
        <v>3456</v>
      </c>
      <c r="H326" s="44">
        <v>0</v>
      </c>
      <c r="I326" s="44">
        <v>0</v>
      </c>
      <c r="J326" s="279">
        <v>0</v>
      </c>
      <c r="M326" s="174"/>
      <c r="N326" s="49"/>
    </row>
    <row r="327" spans="1:14" ht="31.5">
      <c r="A327" s="12" t="s">
        <v>96</v>
      </c>
      <c r="B327" s="7" t="s">
        <v>595</v>
      </c>
      <c r="C327" s="8" t="s">
        <v>6</v>
      </c>
      <c r="D327" s="44">
        <v>1090</v>
      </c>
      <c r="E327" s="44">
        <v>1501.9</v>
      </c>
      <c r="F327" s="59" t="s">
        <v>1660</v>
      </c>
      <c r="G327" s="45" t="s">
        <v>3455</v>
      </c>
      <c r="H327" s="44">
        <f>I318+I321+I393</f>
        <v>1501.8982857142857</v>
      </c>
      <c r="I327" s="192">
        <f>H327</f>
        <v>1501.8982857142857</v>
      </c>
      <c r="J327" s="279">
        <v>0</v>
      </c>
      <c r="N327" s="49"/>
    </row>
    <row r="328" spans="1:14">
      <c r="A328" s="12" t="s">
        <v>191</v>
      </c>
      <c r="B328" s="7" t="s">
        <v>534</v>
      </c>
      <c r="C328" s="8" t="s">
        <v>13</v>
      </c>
      <c r="D328" s="44">
        <v>1203</v>
      </c>
      <c r="E328" s="44">
        <f>I328</f>
        <v>1274.9890000000003</v>
      </c>
      <c r="F328" s="45" t="s">
        <v>1382</v>
      </c>
      <c r="G328" s="45" t="s">
        <v>1391</v>
      </c>
      <c r="H328" s="44">
        <f>(1.5*2*246.3+1.5*0.75*12)</f>
        <v>752.40000000000009</v>
      </c>
      <c r="I328" s="194">
        <f>SUM(H328:H333)</f>
        <v>1274.9890000000003</v>
      </c>
      <c r="J328" s="279">
        <v>0</v>
      </c>
      <c r="N328" s="49"/>
    </row>
    <row r="329" spans="1:14" ht="49.5">
      <c r="A329" s="12"/>
      <c r="B329" s="7"/>
      <c r="C329" s="8"/>
      <c r="D329" s="44"/>
      <c r="E329" s="44"/>
      <c r="F329" s="45" t="s">
        <v>1398</v>
      </c>
      <c r="G329" s="45" t="s">
        <v>1401</v>
      </c>
      <c r="H329" s="44">
        <f>(3.63*41.1*1+(1.1+0.5)/2*3.6*3)+(2.1*16.5*1)+(3.95*11.2*1+(1.1+0.5)/2*3.95*2)</f>
        <v>243.04300000000003</v>
      </c>
      <c r="I329" s="196"/>
      <c r="J329" s="200"/>
      <c r="N329" s="49"/>
    </row>
    <row r="330" spans="1:14" ht="35.25" customHeight="1">
      <c r="A330" s="12"/>
      <c r="B330" s="7"/>
      <c r="C330" s="8"/>
      <c r="D330" s="44"/>
      <c r="E330" s="44"/>
      <c r="F330" s="45" t="s">
        <v>1399</v>
      </c>
      <c r="G330" s="45" t="s">
        <v>1393</v>
      </c>
      <c r="H330" s="44">
        <f>((4.79+3.4)/2*17*2+(0.3+0.5)/2*(4.79+3.4)/2*2)</f>
        <v>142.506</v>
      </c>
      <c r="I330" s="191"/>
      <c r="J330" s="200"/>
      <c r="N330" s="49"/>
    </row>
    <row r="331" spans="1:14" ht="43.5" customHeight="1">
      <c r="A331" s="12"/>
      <c r="B331" s="7"/>
      <c r="C331" s="8"/>
      <c r="D331" s="44"/>
      <c r="E331" s="44"/>
      <c r="F331" s="45" t="s">
        <v>2094</v>
      </c>
      <c r="G331" s="45" t="s">
        <v>1392</v>
      </c>
      <c r="H331" s="44">
        <f>(15.8*3.45-7.05*2.6)*2</f>
        <v>72.360000000000014</v>
      </c>
      <c r="I331" s="191"/>
      <c r="J331" s="200"/>
      <c r="N331" s="49"/>
    </row>
    <row r="332" spans="1:14">
      <c r="A332" s="12"/>
      <c r="B332" s="7"/>
      <c r="C332" s="8"/>
      <c r="D332" s="44"/>
      <c r="E332" s="44"/>
      <c r="F332" s="45" t="s">
        <v>1394</v>
      </c>
      <c r="G332" s="45" t="s">
        <v>1396</v>
      </c>
      <c r="H332" s="44">
        <f>(9.8*3.3*2)</f>
        <v>64.680000000000007</v>
      </c>
      <c r="I332" s="191"/>
      <c r="J332" s="200"/>
      <c r="N332" s="49"/>
    </row>
    <row r="333" spans="1:14">
      <c r="A333" s="12"/>
      <c r="B333" s="7"/>
      <c r="C333" s="8"/>
      <c r="D333" s="44"/>
      <c r="E333" s="44"/>
      <c r="F333" s="45"/>
      <c r="G333" s="45"/>
      <c r="H333" s="44"/>
      <c r="I333" s="191"/>
      <c r="J333" s="200"/>
      <c r="N333" s="49"/>
    </row>
    <row r="334" spans="1:14" ht="66">
      <c r="A334" s="12" t="s">
        <v>190</v>
      </c>
      <c r="B334" s="7" t="s">
        <v>536</v>
      </c>
      <c r="C334" s="8" t="s">
        <v>13</v>
      </c>
      <c r="D334" s="44">
        <v>393</v>
      </c>
      <c r="E334" s="44">
        <f>'5變(議價前)'!E187</f>
        <v>821.93</v>
      </c>
      <c r="F334" s="45" t="s">
        <v>1397</v>
      </c>
      <c r="G334" s="45" t="s">
        <v>1400</v>
      </c>
      <c r="H334" s="55">
        <f>((0.6*41.1*2)+(0.6*1.7*3))+(1.7*16.5+0.6*16.5+0.6*2.2*2)+(3.63*41.1*1+(2.1*16.5*1))+(3.95*11.2*1+(0.6*11.2*2)+(0.6*1.7*1))+(41.1*2+1.7*4+11.2*2)*0.1</f>
        <v>346.65299999999996</v>
      </c>
      <c r="I334" s="194">
        <f>SUM(H334:H341)</f>
        <v>821.92859999999985</v>
      </c>
      <c r="J334" s="279">
        <v>0</v>
      </c>
      <c r="N334" s="49"/>
    </row>
    <row r="335" spans="1:14">
      <c r="A335" s="12"/>
      <c r="B335" s="7"/>
      <c r="C335" s="8"/>
      <c r="D335" s="44"/>
      <c r="E335" s="44"/>
      <c r="F335" s="45" t="s">
        <v>1389</v>
      </c>
      <c r="G335" s="45" t="s">
        <v>1395</v>
      </c>
      <c r="H335" s="44">
        <f>(0.45*17)*2+(2.5*0.45*2)</f>
        <v>17.55</v>
      </c>
      <c r="I335" s="191"/>
      <c r="J335" s="200"/>
      <c r="N335" s="49"/>
    </row>
    <row r="336" spans="1:14">
      <c r="A336" s="239" t="s">
        <v>1924</v>
      </c>
      <c r="B336" s="7"/>
      <c r="C336" s="8"/>
      <c r="D336" s="44"/>
      <c r="E336" s="44"/>
      <c r="F336" s="50" t="s">
        <v>1402</v>
      </c>
      <c r="G336" s="50" t="s">
        <v>1404</v>
      </c>
      <c r="H336" s="54">
        <f>ROUND((2.85+0.5)*7.6*2+(2.85+0.5)*6.35*2,2)</f>
        <v>93.47</v>
      </c>
      <c r="I336" s="191"/>
      <c r="J336" s="200"/>
      <c r="N336" s="49"/>
    </row>
    <row r="337" spans="1:14">
      <c r="A337" s="239" t="s">
        <v>1924</v>
      </c>
      <c r="B337" s="7"/>
      <c r="C337" s="8"/>
      <c r="D337" s="44"/>
      <c r="E337" s="44"/>
      <c r="F337" s="50" t="s">
        <v>1926</v>
      </c>
      <c r="G337" s="50" t="s">
        <v>1441</v>
      </c>
      <c r="H337" s="54">
        <f>0.6*(23.8+19.8)*2+0.6*0.4*4</f>
        <v>53.28</v>
      </c>
      <c r="I337" s="191"/>
      <c r="J337" s="200"/>
      <c r="N337" s="49"/>
    </row>
    <row r="338" spans="1:14">
      <c r="A338" s="239" t="s">
        <v>1924</v>
      </c>
      <c r="B338" s="178"/>
      <c r="C338" s="179"/>
      <c r="D338" s="180"/>
      <c r="E338" s="180"/>
      <c r="F338" s="50" t="s">
        <v>1798</v>
      </c>
      <c r="G338" s="50" t="s">
        <v>1807</v>
      </c>
      <c r="H338" s="238">
        <v>115.54</v>
      </c>
      <c r="I338" s="191"/>
      <c r="J338" s="200"/>
      <c r="N338" s="49"/>
    </row>
    <row r="339" spans="1:14">
      <c r="A339" s="239" t="s">
        <v>1924</v>
      </c>
      <c r="B339" s="178"/>
      <c r="C339" s="179"/>
      <c r="D339" s="180"/>
      <c r="E339" s="180"/>
      <c r="F339" s="182" t="s">
        <v>1808</v>
      </c>
      <c r="G339" s="182" t="s">
        <v>1810</v>
      </c>
      <c r="H339" s="238">
        <f>0.25*2*250</f>
        <v>125</v>
      </c>
      <c r="I339" s="191"/>
      <c r="J339" s="200"/>
      <c r="N339" s="49"/>
    </row>
    <row r="340" spans="1:14" ht="33">
      <c r="A340" s="239" t="s">
        <v>1924</v>
      </c>
      <c r="B340" s="227"/>
      <c r="C340" s="228"/>
      <c r="D340" s="229"/>
      <c r="E340" s="229"/>
      <c r="F340" s="235" t="s">
        <v>1928</v>
      </c>
      <c r="G340" s="235" t="s">
        <v>1927</v>
      </c>
      <c r="H340" s="237">
        <f>(0.2+0.55+0.4+0.225+0.212+0.375)*18.8</f>
        <v>36.885600000000004</v>
      </c>
      <c r="I340" s="191"/>
      <c r="J340" s="200"/>
      <c r="N340" s="49"/>
    </row>
    <row r="341" spans="1:14" ht="33">
      <c r="A341" s="239" t="s">
        <v>1924</v>
      </c>
      <c r="B341" s="227"/>
      <c r="C341" s="228"/>
      <c r="D341" s="229"/>
      <c r="E341" s="229"/>
      <c r="F341" s="235" t="s">
        <v>2937</v>
      </c>
      <c r="G341" s="45" t="s">
        <v>2942</v>
      </c>
      <c r="H341" s="44">
        <f>(0.1+0.9)/2*7.1*2+0.3*0.1+(0.3+0.45)/2*1.68*2+1.7/2*14.8*2</f>
        <v>33.549999999999997</v>
      </c>
      <c r="I341" s="191"/>
      <c r="J341" s="200"/>
      <c r="N341" s="49"/>
    </row>
    <row r="342" spans="1:14">
      <c r="A342" s="12" t="s">
        <v>189</v>
      </c>
      <c r="B342" s="7" t="s">
        <v>192</v>
      </c>
      <c r="C342" s="8" t="s">
        <v>17</v>
      </c>
      <c r="D342" s="44">
        <v>13138</v>
      </c>
      <c r="E342" s="44">
        <f>'5變(議價前)'!E188</f>
        <v>35217.519999999997</v>
      </c>
      <c r="F342" s="45" t="s">
        <v>1403</v>
      </c>
      <c r="G342" s="45" t="s">
        <v>1345</v>
      </c>
      <c r="H342" s="44">
        <f>鋼筋!E87+鋼筋!N93+鋼筋!F103+鋼筋!E119+鋼筋!M113</f>
        <v>18521.1036957</v>
      </c>
      <c r="I342" s="192">
        <f>SUM(H342:H353)</f>
        <v>35217.512095699996</v>
      </c>
      <c r="J342" s="279">
        <v>0</v>
      </c>
      <c r="N342" s="49"/>
    </row>
    <row r="343" spans="1:14">
      <c r="A343" s="12"/>
      <c r="B343" s="7"/>
      <c r="C343" s="8"/>
      <c r="D343" s="44"/>
      <c r="E343" s="44"/>
      <c r="F343" s="80" t="s">
        <v>1417</v>
      </c>
      <c r="G343" s="45" t="s">
        <v>1450</v>
      </c>
      <c r="H343" s="44">
        <f>ROUND(((2.8*1.56*8)+(0.55*0.56*13))*58,2)</f>
        <v>2258.98</v>
      </c>
      <c r="I343" s="192"/>
      <c r="J343" s="200"/>
      <c r="N343" s="49"/>
    </row>
    <row r="344" spans="1:14">
      <c r="A344" s="12"/>
      <c r="B344" s="7"/>
      <c r="C344" s="8"/>
      <c r="D344" s="44"/>
      <c r="E344" s="44"/>
      <c r="F344" s="45" t="s">
        <v>1402</v>
      </c>
      <c r="G344" s="45" t="s">
        <v>1345</v>
      </c>
      <c r="H344" s="44">
        <f>鋼筋!N125</f>
        <v>2266.5672</v>
      </c>
      <c r="I344" s="192"/>
      <c r="J344" s="200"/>
      <c r="N344" s="49"/>
    </row>
    <row r="345" spans="1:14" ht="33">
      <c r="A345" s="239" t="s">
        <v>1924</v>
      </c>
      <c r="B345" s="7"/>
      <c r="C345" s="8"/>
      <c r="D345" s="44"/>
      <c r="E345" s="44"/>
      <c r="F345" s="80" t="s">
        <v>1434</v>
      </c>
      <c r="G345" s="45" t="s">
        <v>1451</v>
      </c>
      <c r="H345" s="44">
        <f>ROUND((43.6+0.6*8)*4*0.994+(0.3+0.35+0.18*2+0.55)*43.6/0.3*0.994,2)</f>
        <v>417.8</v>
      </c>
      <c r="I345" s="192"/>
      <c r="J345" s="200"/>
      <c r="N345" s="49"/>
    </row>
    <row r="346" spans="1:14" ht="31.5" customHeight="1">
      <c r="A346" s="239" t="s">
        <v>1924</v>
      </c>
      <c r="B346" s="7"/>
      <c r="C346" s="8"/>
      <c r="D346" s="44"/>
      <c r="E346" s="44"/>
      <c r="F346" s="80" t="s">
        <v>1741</v>
      </c>
      <c r="G346" s="45" t="s">
        <v>1781</v>
      </c>
      <c r="H346" s="44">
        <f>(1.65*236*2+6*60*2+3.95*236+2.9*236+6*282)*0.994</f>
        <v>4778.5555999999997</v>
      </c>
      <c r="I346" s="192"/>
      <c r="J346" s="200"/>
      <c r="N346" s="49"/>
    </row>
    <row r="347" spans="1:14">
      <c r="A347" s="239" t="s">
        <v>1924</v>
      </c>
      <c r="B347" s="7"/>
      <c r="C347" s="8"/>
      <c r="D347" s="44"/>
      <c r="E347" s="44"/>
      <c r="F347" s="45" t="s">
        <v>1798</v>
      </c>
      <c r="G347" s="45" t="s">
        <v>1807</v>
      </c>
      <c r="H347" s="44">
        <v>599.58000000000004</v>
      </c>
      <c r="I347" s="191"/>
      <c r="J347" s="200"/>
      <c r="N347" s="49"/>
    </row>
    <row r="348" spans="1:14" ht="33">
      <c r="A348" s="239" t="s">
        <v>1924</v>
      </c>
      <c r="B348" s="227"/>
      <c r="C348" s="228"/>
      <c r="D348" s="229"/>
      <c r="E348" s="229"/>
      <c r="F348" s="235" t="s">
        <v>1928</v>
      </c>
      <c r="G348" s="230" t="s">
        <v>1929</v>
      </c>
      <c r="H348" s="229">
        <f>ROUND((18.8/0.2)*(1.075+0.62)*1.56+(8*18.8*1.56),2)</f>
        <v>483.18</v>
      </c>
      <c r="I348" s="241"/>
      <c r="J348" s="280"/>
      <c r="N348" s="49"/>
    </row>
    <row r="349" spans="1:14">
      <c r="A349" s="239" t="s">
        <v>1924</v>
      </c>
      <c r="B349" s="178"/>
      <c r="C349" s="179"/>
      <c r="D349" s="180"/>
      <c r="E349" s="180"/>
      <c r="F349" s="181" t="s">
        <v>1808</v>
      </c>
      <c r="G349" s="181" t="s">
        <v>1809</v>
      </c>
      <c r="H349" s="180">
        <f>ROUND((250/0.5*0.4+1*250)*0.994,2)</f>
        <v>447.3</v>
      </c>
      <c r="I349" s="191"/>
      <c r="J349" s="200"/>
      <c r="N349" s="49"/>
    </row>
    <row r="350" spans="1:14" ht="36.75" customHeight="1">
      <c r="A350" s="250" t="s">
        <v>1999</v>
      </c>
      <c r="B350" s="251"/>
      <c r="C350" s="252"/>
      <c r="D350" s="108"/>
      <c r="E350" s="108"/>
      <c r="F350" s="253" t="s">
        <v>2093</v>
      </c>
      <c r="G350" s="45" t="s">
        <v>1345</v>
      </c>
      <c r="H350" s="229">
        <f>鋼筋!Q68</f>
        <v>2686.1664000000001</v>
      </c>
      <c r="I350" s="241"/>
      <c r="J350" s="280"/>
      <c r="N350" s="49"/>
    </row>
    <row r="351" spans="1:14">
      <c r="A351" s="254" t="s">
        <v>1999</v>
      </c>
      <c r="B351" s="255"/>
      <c r="C351" s="256"/>
      <c r="D351" s="109"/>
      <c r="E351" s="109"/>
      <c r="F351" s="253" t="s">
        <v>1995</v>
      </c>
      <c r="G351" s="45" t="s">
        <v>1345</v>
      </c>
      <c r="H351" s="229">
        <f>鋼筋!N125</f>
        <v>2266.5672</v>
      </c>
      <c r="I351" s="241"/>
      <c r="J351" s="280"/>
      <c r="N351" s="49"/>
    </row>
    <row r="352" spans="1:14">
      <c r="A352" s="254" t="s">
        <v>1999</v>
      </c>
      <c r="B352" s="266"/>
      <c r="C352" s="267"/>
      <c r="D352" s="268"/>
      <c r="E352" s="268"/>
      <c r="F352" s="257" t="s">
        <v>1997</v>
      </c>
      <c r="G352" s="45" t="s">
        <v>1345</v>
      </c>
      <c r="H352" s="229">
        <f>鋼筋!E178</f>
        <v>491.71199999999993</v>
      </c>
      <c r="I352" s="241"/>
      <c r="J352" s="280"/>
      <c r="N352" s="49"/>
    </row>
    <row r="353" spans="1:14">
      <c r="A353" s="261"/>
      <c r="B353" s="262"/>
      <c r="C353" s="263"/>
      <c r="D353" s="264"/>
      <c r="E353" s="264"/>
      <c r="F353" s="265"/>
      <c r="G353" s="181"/>
      <c r="H353" s="180"/>
      <c r="I353" s="191"/>
      <c r="J353" s="200"/>
      <c r="N353" s="49"/>
    </row>
    <row r="354" spans="1:14">
      <c r="A354" s="12" t="s">
        <v>188</v>
      </c>
      <c r="B354" s="7" t="s">
        <v>530</v>
      </c>
      <c r="C354" s="8" t="s">
        <v>17</v>
      </c>
      <c r="D354" s="44">
        <v>15589</v>
      </c>
      <c r="E354" s="44">
        <f>'5變(議價前)'!E189</f>
        <v>25125.17</v>
      </c>
      <c r="F354" s="45" t="s">
        <v>1407</v>
      </c>
      <c r="G354" s="45" t="s">
        <v>1345</v>
      </c>
      <c r="H354" s="44">
        <f>鋼筋!M95+鋼筋!E104+鋼筋!E120+鋼筋!M114</f>
        <v>15565.554937500001</v>
      </c>
      <c r="I354" s="192">
        <f>SUM(H354:H357)</f>
        <v>25125.1749375</v>
      </c>
      <c r="J354" s="279">
        <v>0</v>
      </c>
      <c r="N354" s="49"/>
    </row>
    <row r="355" spans="1:14">
      <c r="A355" s="239" t="s">
        <v>1924</v>
      </c>
      <c r="B355" s="7"/>
      <c r="C355" s="8"/>
      <c r="D355" s="44"/>
      <c r="E355" s="44"/>
      <c r="F355" s="50" t="s">
        <v>1435</v>
      </c>
      <c r="G355" s="50" t="s">
        <v>1448</v>
      </c>
      <c r="H355" s="44">
        <f>6*218*6.39</f>
        <v>8358.119999999999</v>
      </c>
      <c r="I355" s="191"/>
      <c r="J355" s="200"/>
      <c r="N355" s="49"/>
    </row>
    <row r="356" spans="1:14">
      <c r="A356" s="254" t="s">
        <v>1999</v>
      </c>
      <c r="B356" s="255"/>
      <c r="C356" s="256"/>
      <c r="D356" s="109"/>
      <c r="E356" s="109"/>
      <c r="F356" s="257" t="s">
        <v>1997</v>
      </c>
      <c r="G356" s="45" t="s">
        <v>1345</v>
      </c>
      <c r="H356" s="229">
        <f>鋼筋!E179</f>
        <v>1201.5</v>
      </c>
      <c r="I356" s="241"/>
      <c r="J356" s="280"/>
      <c r="N356" s="49"/>
    </row>
    <row r="357" spans="1:14">
      <c r="A357" s="12"/>
      <c r="B357" s="7"/>
      <c r="C357" s="8"/>
      <c r="D357" s="44"/>
      <c r="E357" s="44"/>
      <c r="F357" s="45"/>
      <c r="G357" s="45"/>
      <c r="H357" s="44"/>
      <c r="I357" s="191"/>
      <c r="J357" s="200"/>
      <c r="N357" s="49"/>
    </row>
    <row r="358" spans="1:14" ht="30" customHeight="1">
      <c r="A358" s="12" t="s">
        <v>187</v>
      </c>
      <c r="B358" s="7" t="s">
        <v>1408</v>
      </c>
      <c r="C358" s="8" t="s">
        <v>13</v>
      </c>
      <c r="D358" s="44">
        <v>776</v>
      </c>
      <c r="E358" s="44">
        <f>'5變(議價前)'!E190</f>
        <v>776</v>
      </c>
      <c r="F358" s="45" t="s">
        <v>2086</v>
      </c>
      <c r="G358" s="45" t="s">
        <v>2077</v>
      </c>
      <c r="H358" s="44">
        <f>614.13+154.5+7.26</f>
        <v>775.89</v>
      </c>
      <c r="I358" s="192">
        <f>H358</f>
        <v>775.89</v>
      </c>
      <c r="J358" s="200">
        <v>0</v>
      </c>
      <c r="N358" s="49"/>
    </row>
    <row r="359" spans="1:14" ht="31.5">
      <c r="A359" s="12" t="s">
        <v>186</v>
      </c>
      <c r="B359" s="7" t="s">
        <v>1411</v>
      </c>
      <c r="C359" s="8" t="s">
        <v>223</v>
      </c>
      <c r="D359" s="44">
        <v>235</v>
      </c>
      <c r="E359" s="44">
        <f>'5變(議價前)'!E191</f>
        <v>251.85</v>
      </c>
      <c r="F359" s="45" t="s">
        <v>1382</v>
      </c>
      <c r="G359" s="45" t="s">
        <v>1908</v>
      </c>
      <c r="H359" s="44">
        <v>251.85</v>
      </c>
      <c r="I359" s="192">
        <f>H359</f>
        <v>251.85</v>
      </c>
      <c r="J359" s="200">
        <v>0</v>
      </c>
      <c r="N359" s="49"/>
    </row>
    <row r="360" spans="1:14" ht="31.5">
      <c r="A360" s="12" t="s">
        <v>185</v>
      </c>
      <c r="B360" s="7" t="s">
        <v>1409</v>
      </c>
      <c r="C360" s="8" t="s">
        <v>13</v>
      </c>
      <c r="D360" s="44">
        <v>102</v>
      </c>
      <c r="E360" s="44">
        <f>'5變(議價前)'!E192</f>
        <v>173.82</v>
      </c>
      <c r="F360" s="45" t="s">
        <v>1410</v>
      </c>
      <c r="G360" s="45" t="s">
        <v>1909</v>
      </c>
      <c r="H360" s="44">
        <f>94.85+78.97</f>
        <v>173.82</v>
      </c>
      <c r="I360" s="192">
        <f>H360</f>
        <v>173.82</v>
      </c>
      <c r="J360" s="200">
        <v>0</v>
      </c>
      <c r="N360" s="49"/>
    </row>
    <row r="361" spans="1:14" ht="49.5">
      <c r="A361" s="12" t="s">
        <v>184</v>
      </c>
      <c r="B361" s="7" t="s">
        <v>603</v>
      </c>
      <c r="C361" s="8" t="s">
        <v>13</v>
      </c>
      <c r="D361" s="44">
        <f>'5變(議價前)'!D193</f>
        <v>841.37</v>
      </c>
      <c r="E361" s="44">
        <f>I361</f>
        <v>1317.6909999999998</v>
      </c>
      <c r="F361" s="45" t="s">
        <v>1794</v>
      </c>
      <c r="G361" s="45" t="s">
        <v>2919</v>
      </c>
      <c r="H361" s="44">
        <f>(0.4+0.5+0.25)*(291-60)+((2.27+1.3)/2+0.25+0.5)*60+((0.19+0.56)/2+0.15)*18.8</f>
        <v>427.62</v>
      </c>
      <c r="I361" s="192">
        <f>SUM(H361:H376)</f>
        <v>1317.6909999999998</v>
      </c>
      <c r="J361" s="279">
        <f>E361-D361</f>
        <v>476.3209999999998</v>
      </c>
      <c r="N361" s="49"/>
    </row>
    <row r="362" spans="1:14" ht="33">
      <c r="A362" s="177"/>
      <c r="B362" s="178"/>
      <c r="C362" s="179"/>
      <c r="D362" s="180"/>
      <c r="E362" s="180"/>
      <c r="F362" s="181" t="s">
        <v>1795</v>
      </c>
      <c r="G362" s="181" t="s">
        <v>2528</v>
      </c>
      <c r="H362" s="180">
        <f>(0.95+0.24)*(18.2+16)+0.95*(18.2+16)+0.4*(18.2+16)+0.4*(0.95+0.2)*4</f>
        <v>88.708000000000013</v>
      </c>
      <c r="I362" s="192"/>
      <c r="J362" s="200"/>
      <c r="N362" s="49"/>
    </row>
    <row r="363" spans="1:14">
      <c r="A363" s="269"/>
      <c r="B363" s="270"/>
      <c r="C363" s="271"/>
      <c r="D363" s="272"/>
      <c r="E363" s="272"/>
      <c r="F363" s="273" t="s">
        <v>1808</v>
      </c>
      <c r="G363" s="669" t="s">
        <v>3792</v>
      </c>
      <c r="H363" s="548">
        <f>(((1.05+0.87)/2)+0.15+0.1)*300</f>
        <v>363</v>
      </c>
      <c r="I363" s="287"/>
      <c r="J363" s="92"/>
      <c r="N363" s="49"/>
    </row>
    <row r="364" spans="1:14">
      <c r="A364" s="269"/>
      <c r="B364" s="270"/>
      <c r="C364" s="271"/>
      <c r="D364" s="272"/>
      <c r="E364" s="272"/>
      <c r="F364" s="273" t="s">
        <v>2921</v>
      </c>
      <c r="G364" s="273" t="s">
        <v>2920</v>
      </c>
      <c r="H364" s="272">
        <f>3*3+3*4*0.1+(4.85*5-3*3)+4.85*2*0.2+5*2*0.2</f>
        <v>29.39</v>
      </c>
      <c r="I364" s="287"/>
      <c r="J364" s="92"/>
      <c r="N364" s="49"/>
    </row>
    <row r="365" spans="1:14" ht="33">
      <c r="A365" s="177"/>
      <c r="B365" s="178"/>
      <c r="C365" s="179"/>
      <c r="D365" s="180"/>
      <c r="E365" s="180"/>
      <c r="F365" s="181" t="s">
        <v>2922</v>
      </c>
      <c r="G365" s="181" t="s">
        <v>2923</v>
      </c>
      <c r="H365" s="180">
        <f>(0.15*2+0.4)*(1.65+5.8+2.93+0.65+10.1+1.7+0.9+1.65+1.5)</f>
        <v>18.815999999999995</v>
      </c>
      <c r="I365" s="192"/>
      <c r="J365" s="200"/>
      <c r="N365" s="49"/>
    </row>
    <row r="366" spans="1:14">
      <c r="A366" s="269"/>
      <c r="B366" s="270"/>
      <c r="C366" s="271"/>
      <c r="D366" s="272"/>
      <c r="E366" s="272"/>
      <c r="F366" s="273" t="s">
        <v>3729</v>
      </c>
      <c r="G366" s="273" t="s">
        <v>3457</v>
      </c>
      <c r="H366" s="272">
        <f>((0.2+0.6+0.4)/3+0.25+0.25)*103.8</f>
        <v>93.420000000000016</v>
      </c>
      <c r="I366" s="287"/>
      <c r="J366" s="92"/>
      <c r="N366" s="49"/>
    </row>
    <row r="367" spans="1:14">
      <c r="A367" s="269"/>
      <c r="B367" s="270"/>
      <c r="C367" s="271"/>
      <c r="D367" s="272"/>
      <c r="E367" s="272"/>
      <c r="F367" s="273" t="s">
        <v>2924</v>
      </c>
      <c r="G367" s="273" t="s">
        <v>2925</v>
      </c>
      <c r="H367" s="272">
        <f>3.2*3.2-1.56*1.2*2-1.2*1.1*2</f>
        <v>3.8560000000000021</v>
      </c>
      <c r="I367" s="287"/>
      <c r="J367" s="92"/>
      <c r="N367" s="49"/>
    </row>
    <row r="368" spans="1:14" ht="33">
      <c r="A368" s="269"/>
      <c r="B368" s="270"/>
      <c r="C368" s="271"/>
      <c r="D368" s="272"/>
      <c r="E368" s="272"/>
      <c r="F368" s="923" t="s">
        <v>1997</v>
      </c>
      <c r="G368" s="273" t="s">
        <v>2943</v>
      </c>
      <c r="H368" s="272">
        <f>((0.9+0.1)/2*7.1*2+0.3*7.1+0.3*0.1)+((0.3+0.45)/2*2+0.4)*1.68+(1.7/2*2+0.4)*14.8</f>
        <v>42.272000000000006</v>
      </c>
      <c r="I368" s="287"/>
      <c r="J368" s="92"/>
      <c r="N368" s="49"/>
    </row>
    <row r="369" spans="1:14" ht="35.25" customHeight="1">
      <c r="A369" s="236" t="s">
        <v>3265</v>
      </c>
      <c r="B369" s="227"/>
      <c r="C369" s="228"/>
      <c r="D369" s="229"/>
      <c r="E369" s="229"/>
      <c r="F369" s="235" t="s">
        <v>3458</v>
      </c>
      <c r="G369" s="230" t="s">
        <v>3657</v>
      </c>
      <c r="H369" s="229">
        <f>((0.2+0.6+0.4)/3+0.25+0.25)*(57.22+3.6+1.22)</f>
        <v>55.836000000000006</v>
      </c>
      <c r="I369" s="249"/>
      <c r="J369" s="92"/>
      <c r="K369" s="433" t="s">
        <v>3459</v>
      </c>
      <c r="N369" s="49"/>
    </row>
    <row r="370" spans="1:14" ht="35.25" customHeight="1">
      <c r="A370" s="236" t="s">
        <v>2635</v>
      </c>
      <c r="B370" s="227"/>
      <c r="C370" s="228"/>
      <c r="D370" s="229"/>
      <c r="E370" s="229"/>
      <c r="F370" s="235" t="s">
        <v>3931</v>
      </c>
      <c r="G370" s="235" t="s">
        <v>3934</v>
      </c>
      <c r="H370" s="237">
        <f>(0.3+0.3)*(33+26)+0.3*0.3*2*2</f>
        <v>35.76</v>
      </c>
      <c r="I370" s="249"/>
      <c r="J370" s="92"/>
      <c r="N370" s="49"/>
    </row>
    <row r="371" spans="1:14" ht="35.25" customHeight="1">
      <c r="A371" s="236" t="s">
        <v>2635</v>
      </c>
      <c r="B371" s="227"/>
      <c r="C371" s="228"/>
      <c r="D371" s="229"/>
      <c r="E371" s="229"/>
      <c r="F371" s="235" t="s">
        <v>3898</v>
      </c>
      <c r="G371" s="235" t="s">
        <v>3899</v>
      </c>
      <c r="H371" s="237">
        <f>(0.1+0.2+0.3+0.1)*11.8+(0.87+0.2+0.22+0.1)*8.2</f>
        <v>19.658000000000001</v>
      </c>
      <c r="I371" s="249"/>
      <c r="J371" s="92"/>
      <c r="N371" s="49"/>
    </row>
    <row r="372" spans="1:14" ht="35.25" customHeight="1">
      <c r="A372" s="236" t="s">
        <v>2635</v>
      </c>
      <c r="B372" s="227"/>
      <c r="C372" s="228"/>
      <c r="D372" s="229"/>
      <c r="E372" s="229"/>
      <c r="F372" s="235" t="s">
        <v>3895</v>
      </c>
      <c r="G372" s="235" t="s">
        <v>3896</v>
      </c>
      <c r="H372" s="237">
        <f>(1.1+0.1)*14.5/2*2+0.3*14.5+0.1*0.3+1.1*2*2+0.3*2</f>
        <v>26.78</v>
      </c>
      <c r="I372" s="249"/>
      <c r="J372" s="92"/>
      <c r="N372" s="49"/>
    </row>
    <row r="373" spans="1:14" ht="35.25" customHeight="1">
      <c r="A373" s="236" t="s">
        <v>2635</v>
      </c>
      <c r="B373" s="227"/>
      <c r="C373" s="228"/>
      <c r="D373" s="229"/>
      <c r="E373" s="229"/>
      <c r="F373" s="235" t="s">
        <v>3903</v>
      </c>
      <c r="G373" s="235" t="s">
        <v>3905</v>
      </c>
      <c r="H373" s="237">
        <f>(0.3+0.3+0.3)*11</f>
        <v>9.8999999999999986</v>
      </c>
      <c r="I373" s="249"/>
      <c r="J373" s="92"/>
      <c r="N373" s="49"/>
    </row>
    <row r="374" spans="1:14" ht="35.25" customHeight="1">
      <c r="A374" s="236" t="s">
        <v>2635</v>
      </c>
      <c r="B374" s="227"/>
      <c r="C374" s="228"/>
      <c r="D374" s="229"/>
      <c r="E374" s="229"/>
      <c r="F374" s="235" t="s">
        <v>3929</v>
      </c>
      <c r="G374" s="235" t="s">
        <v>3930</v>
      </c>
      <c r="H374" s="237">
        <f>3*1.5</f>
        <v>4.5</v>
      </c>
      <c r="I374" s="249"/>
      <c r="J374" s="92"/>
      <c r="N374" s="49"/>
    </row>
    <row r="375" spans="1:14" ht="35.25" customHeight="1">
      <c r="A375" s="236" t="s">
        <v>2635</v>
      </c>
      <c r="B375" s="227"/>
      <c r="C375" s="228"/>
      <c r="D375" s="229"/>
      <c r="E375" s="229"/>
      <c r="F375" s="235" t="s">
        <v>3897</v>
      </c>
      <c r="G375" s="235" t="s">
        <v>3900</v>
      </c>
      <c r="H375" s="237">
        <f>(0.3+0.3+0.3)*50</f>
        <v>44.999999999999993</v>
      </c>
      <c r="I375" s="249"/>
      <c r="J375" s="92"/>
      <c r="K375" s="433" t="s">
        <v>3904</v>
      </c>
      <c r="N375" s="49"/>
    </row>
    <row r="376" spans="1:14" ht="35.25" customHeight="1">
      <c r="A376" s="236" t="s">
        <v>2635</v>
      </c>
      <c r="B376" s="227"/>
      <c r="C376" s="228"/>
      <c r="D376" s="229"/>
      <c r="E376" s="229"/>
      <c r="F376" s="235" t="s">
        <v>3901</v>
      </c>
      <c r="G376" s="235" t="s">
        <v>3902</v>
      </c>
      <c r="H376" s="237">
        <f>(0.8+0.4)*35.2+(0.3+0.15)*24.3</f>
        <v>53.175000000000011</v>
      </c>
      <c r="I376" s="249"/>
      <c r="J376" s="92"/>
      <c r="N376" s="49"/>
    </row>
    <row r="377" spans="1:14" ht="42.75">
      <c r="A377" s="12" t="s">
        <v>183</v>
      </c>
      <c r="B377" s="10" t="s">
        <v>605</v>
      </c>
      <c r="C377" s="8" t="s">
        <v>606</v>
      </c>
      <c r="D377" s="44">
        <v>333</v>
      </c>
      <c r="E377" s="44">
        <v>333</v>
      </c>
      <c r="F377" s="45" t="s">
        <v>1387</v>
      </c>
      <c r="G377" s="45" t="s">
        <v>1416</v>
      </c>
      <c r="H377" s="44">
        <f>(3/0.15)*17</f>
        <v>340</v>
      </c>
      <c r="I377" s="192">
        <f>H377</f>
        <v>340</v>
      </c>
      <c r="J377" s="279">
        <v>0</v>
      </c>
      <c r="N377" s="49"/>
    </row>
    <row r="378" spans="1:14">
      <c r="A378" s="226"/>
      <c r="B378" s="234"/>
      <c r="C378" s="228"/>
      <c r="D378" s="229"/>
      <c r="E378" s="229"/>
      <c r="F378" s="230"/>
      <c r="G378" s="230"/>
      <c r="H378" s="229"/>
      <c r="I378" s="192"/>
      <c r="J378" s="200"/>
      <c r="N378" s="49"/>
    </row>
    <row r="379" spans="1:14" ht="56.25" customHeight="1">
      <c r="A379" s="12" t="s">
        <v>182</v>
      </c>
      <c r="B379" s="7" t="s">
        <v>608</v>
      </c>
      <c r="C379" s="8" t="s">
        <v>13</v>
      </c>
      <c r="D379" s="44">
        <v>1702</v>
      </c>
      <c r="E379" s="44">
        <f>I379</f>
        <v>1552.4450000000002</v>
      </c>
      <c r="F379" s="80" t="s">
        <v>1382</v>
      </c>
      <c r="G379" s="80" t="s">
        <v>2887</v>
      </c>
      <c r="H379" s="44">
        <f>(160*5.9)+(26.7*8.2)+((1.9+7.4)*17.7/2)+(3.9*5.1)+(47.1*6.1)</f>
        <v>1552.4450000000002</v>
      </c>
      <c r="I379" s="192">
        <f>H379</f>
        <v>1552.4450000000002</v>
      </c>
      <c r="J379" s="285">
        <f>E379-D379</f>
        <v>-149.55499999999984</v>
      </c>
      <c r="N379" s="49"/>
    </row>
    <row r="380" spans="1:14">
      <c r="A380" s="12" t="s">
        <v>181</v>
      </c>
      <c r="B380" s="7" t="s">
        <v>357</v>
      </c>
      <c r="C380" s="8" t="s">
        <v>8</v>
      </c>
      <c r="D380" s="44">
        <v>49</v>
      </c>
      <c r="E380" s="44">
        <v>49</v>
      </c>
      <c r="F380" s="45" t="s">
        <v>1403</v>
      </c>
      <c r="G380" s="45" t="s">
        <v>2082</v>
      </c>
      <c r="H380" s="44">
        <f>1.5*12+(4.6+1.7)*( 3+1)+(3.3+0.5+0.95+3.2)</f>
        <v>51.150000000000006</v>
      </c>
      <c r="I380" s="192">
        <f>D380</f>
        <v>49</v>
      </c>
      <c r="J380" s="279">
        <f>H380-I380</f>
        <v>2.1500000000000057</v>
      </c>
      <c r="K380" s="433" t="s">
        <v>2911</v>
      </c>
      <c r="N380" s="49"/>
    </row>
    <row r="381" spans="1:14">
      <c r="A381" s="12" t="s">
        <v>610</v>
      </c>
      <c r="B381" s="7" t="s">
        <v>611</v>
      </c>
      <c r="C381" s="8" t="s">
        <v>8</v>
      </c>
      <c r="D381" s="44">
        <v>85</v>
      </c>
      <c r="E381" s="44">
        <v>85</v>
      </c>
      <c r="F381" s="45" t="s">
        <v>1407</v>
      </c>
      <c r="G381" s="45" t="s">
        <v>2083</v>
      </c>
      <c r="H381" s="44">
        <f>57.6+11.2+17</f>
        <v>85.8</v>
      </c>
      <c r="I381" s="192">
        <f>D381</f>
        <v>85</v>
      </c>
      <c r="J381" s="279">
        <f>H381-I381</f>
        <v>0.79999999999999716</v>
      </c>
      <c r="K381" s="433" t="s">
        <v>2911</v>
      </c>
      <c r="N381" s="49"/>
    </row>
    <row r="382" spans="1:14" ht="33">
      <c r="A382" s="12" t="s">
        <v>613</v>
      </c>
      <c r="B382" s="10" t="s">
        <v>222</v>
      </c>
      <c r="C382" s="8" t="s">
        <v>13</v>
      </c>
      <c r="D382" s="44">
        <v>385</v>
      </c>
      <c r="E382" s="44">
        <f>'5變(議價前)'!E198</f>
        <v>1847.54</v>
      </c>
      <c r="F382" s="45" t="s">
        <v>2621</v>
      </c>
      <c r="G382" s="50" t="s">
        <v>3460</v>
      </c>
      <c r="H382" s="44">
        <f>(1.8*33.5*2+1.8*11.5*2+1.8*10*3*2+1.8*16*2*2)+1.8*3*190.8+1.8*4*60</f>
        <v>1847.5200000000002</v>
      </c>
      <c r="I382" s="192">
        <f>H382</f>
        <v>1847.5200000000002</v>
      </c>
      <c r="J382" s="279">
        <v>0</v>
      </c>
      <c r="K382" s="767"/>
      <c r="N382" s="49"/>
    </row>
    <row r="383" spans="1:14" ht="31.5">
      <c r="A383" s="12" t="s">
        <v>614</v>
      </c>
      <c r="B383" s="7" t="s">
        <v>615</v>
      </c>
      <c r="C383" s="8" t="s">
        <v>8</v>
      </c>
      <c r="D383" s="44">
        <v>686</v>
      </c>
      <c r="E383" s="44">
        <v>0</v>
      </c>
      <c r="F383" s="45"/>
      <c r="G383" s="45">
        <v>0</v>
      </c>
      <c r="H383" s="44">
        <v>0</v>
      </c>
      <c r="I383" s="192">
        <f>H383</f>
        <v>0</v>
      </c>
      <c r="J383" s="200">
        <v>0</v>
      </c>
      <c r="N383" s="49"/>
    </row>
    <row r="384" spans="1:14">
      <c r="A384" s="12" t="s">
        <v>617</v>
      </c>
      <c r="B384" s="7" t="s">
        <v>1421</v>
      </c>
      <c r="C384" s="8" t="s">
        <v>23</v>
      </c>
      <c r="D384" s="44">
        <f>'5變(議價前)'!D200</f>
        <v>1070.5</v>
      </c>
      <c r="E384" s="44"/>
      <c r="F384" s="45" t="s">
        <v>1421</v>
      </c>
      <c r="G384" s="45" t="s">
        <v>1422</v>
      </c>
      <c r="H384" s="44">
        <f>312*7*0.5</f>
        <v>1092</v>
      </c>
      <c r="I384" s="192">
        <f>H384</f>
        <v>1092</v>
      </c>
      <c r="J384" s="279">
        <f>I384-D384</f>
        <v>21.5</v>
      </c>
      <c r="K384" s="433" t="s">
        <v>2911</v>
      </c>
      <c r="N384" s="49"/>
    </row>
    <row r="385" spans="1:14" ht="22.5">
      <c r="A385" s="12" t="s">
        <v>620</v>
      </c>
      <c r="B385" s="53" t="s">
        <v>621</v>
      </c>
      <c r="C385" s="8" t="s">
        <v>19</v>
      </c>
      <c r="D385" s="44">
        <f>'5變(議價前)'!D201</f>
        <v>2</v>
      </c>
      <c r="E385" s="44"/>
      <c r="F385" s="45" t="s">
        <v>2084</v>
      </c>
      <c r="G385" s="45">
        <v>2</v>
      </c>
      <c r="H385" s="44">
        <v>2</v>
      </c>
      <c r="I385" s="192">
        <f>H385</f>
        <v>2</v>
      </c>
      <c r="J385" s="200">
        <v>0</v>
      </c>
      <c r="N385" s="49"/>
    </row>
    <row r="386" spans="1:14" ht="33.75">
      <c r="A386" s="12" t="s">
        <v>1367</v>
      </c>
      <c r="B386" s="53" t="s">
        <v>1368</v>
      </c>
      <c r="C386" s="8" t="s">
        <v>8</v>
      </c>
      <c r="D386" s="44">
        <f>'5變(議價前)'!D202</f>
        <v>571.08000000000004</v>
      </c>
      <c r="E386" s="44">
        <v>571.08000000000004</v>
      </c>
      <c r="F386" s="45" t="s">
        <v>2092</v>
      </c>
      <c r="G386" s="45" t="s">
        <v>1381</v>
      </c>
      <c r="H386" s="44">
        <v>580</v>
      </c>
      <c r="I386" s="192">
        <f>H386</f>
        <v>580</v>
      </c>
      <c r="J386" s="279">
        <f>I386-E386</f>
        <v>8.9199999999999591</v>
      </c>
      <c r="K386" s="433" t="s">
        <v>2911</v>
      </c>
      <c r="N386" s="49"/>
    </row>
    <row r="387" spans="1:14">
      <c r="A387" s="12" t="s">
        <v>1369</v>
      </c>
      <c r="B387" s="7" t="s">
        <v>1370</v>
      </c>
      <c r="C387" s="8" t="s">
        <v>6</v>
      </c>
      <c r="D387" s="44">
        <f>'5變(議價前)'!D203</f>
        <v>0</v>
      </c>
      <c r="E387" s="44">
        <v>161.38999999999999</v>
      </c>
      <c r="F387" s="45"/>
      <c r="G387" s="45">
        <v>0</v>
      </c>
      <c r="H387" s="44">
        <v>0</v>
      </c>
      <c r="I387" s="191">
        <v>0</v>
      </c>
      <c r="J387" s="279">
        <v>0</v>
      </c>
      <c r="N387" s="49"/>
    </row>
    <row r="388" spans="1:14" ht="28.5">
      <c r="A388" s="12" t="s">
        <v>1371</v>
      </c>
      <c r="B388" s="10" t="s">
        <v>1372</v>
      </c>
      <c r="C388" s="8" t="s">
        <v>13</v>
      </c>
      <c r="D388" s="44">
        <f>'5變(議價前)'!D204</f>
        <v>776.79</v>
      </c>
      <c r="E388" s="44">
        <f>'5變(議價前)'!E204</f>
        <v>776.79</v>
      </c>
      <c r="F388" s="45" t="s">
        <v>2085</v>
      </c>
      <c r="G388" s="45" t="s">
        <v>2079</v>
      </c>
      <c r="H388" s="44">
        <f>467.53+92.19</f>
        <v>559.72</v>
      </c>
      <c r="I388" s="192">
        <f>H388+H389</f>
        <v>776.79333333333329</v>
      </c>
      <c r="J388" s="279">
        <f>I388-E388</f>
        <v>3.3333333333303017E-3</v>
      </c>
      <c r="N388" s="49"/>
    </row>
    <row r="389" spans="1:14" ht="33" customHeight="1">
      <c r="A389" s="236" t="s">
        <v>1924</v>
      </c>
      <c r="B389" s="231"/>
      <c r="C389" s="228"/>
      <c r="D389" s="229"/>
      <c r="E389" s="229"/>
      <c r="F389" s="235" t="s">
        <v>2078</v>
      </c>
      <c r="G389" s="235" t="s">
        <v>2080</v>
      </c>
      <c r="H389" s="237">
        <f>(3.8+3.7+4)/3*26.2+((8.1+4.3+6.5)/3-1.5)*24.3</f>
        <v>217.07333333333332</v>
      </c>
      <c r="I389" s="249"/>
      <c r="J389" s="280"/>
      <c r="N389" s="49"/>
    </row>
    <row r="390" spans="1:14" ht="33">
      <c r="A390" s="12" t="s">
        <v>1373</v>
      </c>
      <c r="B390" s="7" t="s">
        <v>586</v>
      </c>
      <c r="C390" s="8" t="s">
        <v>8</v>
      </c>
      <c r="D390" s="44">
        <f>'5變(議價前)'!D205</f>
        <v>343.5</v>
      </c>
      <c r="E390" s="44">
        <v>343.5</v>
      </c>
      <c r="F390" s="45" t="s">
        <v>1425</v>
      </c>
      <c r="G390" s="45" t="s">
        <v>1426</v>
      </c>
      <c r="H390" s="44">
        <f>295*0.7+76*0.75+40*2+12*0.3</f>
        <v>347.1</v>
      </c>
      <c r="I390" s="192">
        <f>H390</f>
        <v>347.1</v>
      </c>
      <c r="J390" s="279">
        <f>I390-E390</f>
        <v>3.6000000000000227</v>
      </c>
      <c r="K390" s="433" t="s">
        <v>2911</v>
      </c>
      <c r="N390" s="49"/>
    </row>
    <row r="391" spans="1:14" ht="33">
      <c r="A391" s="12" t="s">
        <v>1374</v>
      </c>
      <c r="B391" s="7" t="s">
        <v>1375</v>
      </c>
      <c r="C391" s="8" t="s">
        <v>7</v>
      </c>
      <c r="D391" s="44">
        <f>'5變(議價前)'!D206</f>
        <v>451</v>
      </c>
      <c r="E391" s="44">
        <v>451</v>
      </c>
      <c r="F391" s="45" t="s">
        <v>1425</v>
      </c>
      <c r="G391" s="45" t="s">
        <v>1427</v>
      </c>
      <c r="H391" s="44">
        <f>295+76+80+12</f>
        <v>463</v>
      </c>
      <c r="I391" s="192">
        <f>H391</f>
        <v>463</v>
      </c>
      <c r="J391" s="279">
        <f>I391-E391</f>
        <v>12</v>
      </c>
      <c r="K391" s="433" t="s">
        <v>2911</v>
      </c>
      <c r="N391" s="49"/>
    </row>
    <row r="392" spans="1:14" ht="31.5">
      <c r="A392" s="12" t="s">
        <v>1376</v>
      </c>
      <c r="B392" s="7" t="s">
        <v>1377</v>
      </c>
      <c r="C392" s="8" t="s">
        <v>6</v>
      </c>
      <c r="D392" s="44">
        <f>'5變(議價前)'!D207</f>
        <v>1513</v>
      </c>
      <c r="E392" s="44">
        <f>I392</f>
        <v>1526.8799999999999</v>
      </c>
      <c r="F392" s="45" t="s">
        <v>3757</v>
      </c>
      <c r="G392" s="45" t="s">
        <v>1431</v>
      </c>
      <c r="H392" s="44">
        <f>(282.3*8.2*0.5)+(246.3*(1.5*0.6+0.6*1))</f>
        <v>1526.8799999999999</v>
      </c>
      <c r="I392" s="192">
        <f>H392</f>
        <v>1526.8799999999999</v>
      </c>
      <c r="J392" s="279">
        <f>I392-E392</f>
        <v>0</v>
      </c>
      <c r="K392" s="433" t="s">
        <v>2911</v>
      </c>
      <c r="N392" s="49"/>
    </row>
    <row r="393" spans="1:14" ht="42.75">
      <c r="A393" s="12" t="s">
        <v>1378</v>
      </c>
      <c r="B393" s="10" t="s">
        <v>1365</v>
      </c>
      <c r="C393" s="8" t="s">
        <v>6</v>
      </c>
      <c r="D393" s="44">
        <f>'5變(議價前)'!D208</f>
        <v>1177.9000000000001</v>
      </c>
      <c r="E393" s="44">
        <v>1177.9000000000001</v>
      </c>
      <c r="F393" s="45" t="s">
        <v>1382</v>
      </c>
      <c r="G393" s="45" t="s">
        <v>1430</v>
      </c>
      <c r="H393" s="44">
        <f>ROUND(246.3*0.75*1.5,2)</f>
        <v>277.08999999999997</v>
      </c>
      <c r="I393" s="192">
        <f>E393</f>
        <v>1177.9000000000001</v>
      </c>
      <c r="J393" s="279">
        <v>0</v>
      </c>
      <c r="N393" s="49"/>
    </row>
    <row r="394" spans="1:14" ht="33">
      <c r="A394" s="12"/>
      <c r="B394" s="7"/>
      <c r="C394" s="8"/>
      <c r="D394" s="44"/>
      <c r="E394" s="44"/>
      <c r="F394" s="45" t="s">
        <v>1432</v>
      </c>
      <c r="G394" s="45" t="s">
        <v>1454</v>
      </c>
      <c r="H394" s="44">
        <f>ROUND((17*2.5*0.45)+(17*(0.5+0.7)/2*(4.79+3.4)/2)+(0.5*3.2*5.1),2)</f>
        <v>69.05</v>
      </c>
      <c r="I394" s="191"/>
      <c r="J394" s="200"/>
      <c r="N394" s="49"/>
    </row>
    <row r="395" spans="1:14" ht="45" customHeight="1">
      <c r="A395" s="12"/>
      <c r="B395" s="7"/>
      <c r="C395" s="8"/>
      <c r="D395" s="44"/>
      <c r="E395" s="44"/>
      <c r="F395" s="45" t="s">
        <v>1429</v>
      </c>
      <c r="G395" s="45" t="s">
        <v>1455</v>
      </c>
      <c r="H395" s="44">
        <f>ROUND((41.1*1.7*0.6)+(41.1*(0.5+1.1)/2*3.63)+(16.5*2.2*0.6)+(16.5*(0.5+0.85)/2*2.1+16.5*0.3*1.1),2)</f>
        <v>211.89</v>
      </c>
      <c r="I395" s="191"/>
      <c r="J395" s="200"/>
      <c r="N395" s="49"/>
    </row>
    <row r="396" spans="1:14" ht="33">
      <c r="A396" s="12"/>
      <c r="B396" s="7"/>
      <c r="C396" s="8"/>
      <c r="D396" s="44"/>
      <c r="E396" s="44"/>
      <c r="F396" s="56" t="s">
        <v>1736</v>
      </c>
      <c r="G396" s="45" t="s">
        <v>1456</v>
      </c>
      <c r="H396" s="44">
        <f>ROUND(246.3*1.75*0.25+503.7*0.15+1335.6*0.15+82.85*0.35+78.97*0.25,2)</f>
        <v>432.39</v>
      </c>
      <c r="I396" s="191"/>
      <c r="J396" s="200"/>
      <c r="N396" s="49"/>
    </row>
    <row r="397" spans="1:14" ht="33">
      <c r="A397" s="12"/>
      <c r="B397" s="7"/>
      <c r="C397" s="8"/>
      <c r="D397" s="44"/>
      <c r="E397" s="44"/>
      <c r="F397" s="56" t="s">
        <v>1744</v>
      </c>
      <c r="G397" s="50" t="s">
        <v>1743</v>
      </c>
      <c r="H397" s="44">
        <f>ROUND(35.2*2*0.15+26.2*3.83*0.35+25.7*5.5*0.35,2)</f>
        <v>95.15</v>
      </c>
      <c r="I397" s="191"/>
      <c r="J397" s="200"/>
      <c r="N397" s="49"/>
    </row>
    <row r="398" spans="1:14">
      <c r="A398" s="12"/>
      <c r="B398" s="7"/>
      <c r="C398" s="8"/>
      <c r="D398" s="44"/>
      <c r="E398" s="44"/>
      <c r="F398" s="50" t="s">
        <v>1930</v>
      </c>
      <c r="G398" s="50" t="s">
        <v>1735</v>
      </c>
      <c r="H398" s="44">
        <f>ROUND(0.25*2*246.3,2)</f>
        <v>123.15</v>
      </c>
      <c r="I398" s="191"/>
      <c r="J398" s="200"/>
      <c r="N398" s="49"/>
    </row>
    <row r="399" spans="1:14" ht="40.5" customHeight="1">
      <c r="A399" s="12"/>
      <c r="B399" s="7"/>
      <c r="C399" s="8"/>
      <c r="D399" s="44"/>
      <c r="E399" s="44"/>
      <c r="F399" s="45" t="s">
        <v>2094</v>
      </c>
      <c r="G399" s="45" t="s">
        <v>2081</v>
      </c>
      <c r="H399" s="44">
        <f>ROUND((12.85*4-7.05*2.6)*0.25,2)</f>
        <v>8.27</v>
      </c>
      <c r="I399" s="191"/>
      <c r="J399" s="200"/>
      <c r="N399" s="49"/>
    </row>
    <row r="400" spans="1:14" ht="31.5">
      <c r="A400" s="12" t="s">
        <v>1379</v>
      </c>
      <c r="B400" s="7" t="s">
        <v>1380</v>
      </c>
      <c r="C400" s="8" t="s">
        <v>13</v>
      </c>
      <c r="D400" s="44">
        <f>'5變(議價前)'!D209</f>
        <v>734.3</v>
      </c>
      <c r="E400" s="44">
        <f>I400</f>
        <v>758.04600000000005</v>
      </c>
      <c r="F400" s="56" t="s">
        <v>1436</v>
      </c>
      <c r="G400" s="45" t="s">
        <v>1663</v>
      </c>
      <c r="H400" s="44">
        <f>246.3*2+26.2*3.83+25.7*5.5</f>
        <v>734.29600000000005</v>
      </c>
      <c r="I400" s="192">
        <f>H400+H401</f>
        <v>758.04600000000005</v>
      </c>
      <c r="J400" s="279">
        <f>I400-E400</f>
        <v>0</v>
      </c>
      <c r="K400" s="433" t="s">
        <v>2911</v>
      </c>
      <c r="L400" s="29">
        <f>E400*0.05</f>
        <v>37.902300000000004</v>
      </c>
      <c r="N400" s="49"/>
    </row>
    <row r="401" spans="1:14">
      <c r="A401" s="226"/>
      <c r="B401" s="227"/>
      <c r="C401" s="228"/>
      <c r="D401" s="229"/>
      <c r="E401" s="229" t="s">
        <v>2635</v>
      </c>
      <c r="F401" s="233" t="s">
        <v>3467</v>
      </c>
      <c r="G401" s="230" t="s">
        <v>3533</v>
      </c>
      <c r="H401" s="229">
        <f>(1.3+0.6)*25/2</f>
        <v>23.75</v>
      </c>
      <c r="I401" s="249"/>
      <c r="J401" s="285"/>
      <c r="N401" s="49"/>
    </row>
    <row r="402" spans="1:14" ht="42" customHeight="1">
      <c r="A402" s="12" t="s">
        <v>3182</v>
      </c>
      <c r="B402" s="234" t="str">
        <f>'5變(議價前)'!B210</f>
        <v>鋼筋，植筋，D13mm，鑽孔(含空氣槍清孔)及化學藥劑</v>
      </c>
      <c r="C402" s="228" t="str">
        <f>'5變(議價前)'!C210</f>
        <v>孔</v>
      </c>
      <c r="D402" s="229">
        <v>0</v>
      </c>
      <c r="E402" s="229">
        <f>J402</f>
        <v>1155</v>
      </c>
      <c r="F402" s="235" t="s">
        <v>1923</v>
      </c>
      <c r="G402" s="235" t="s">
        <v>2498</v>
      </c>
      <c r="H402" s="237">
        <f>(280-30)/0.5*2</f>
        <v>1000</v>
      </c>
      <c r="I402" s="192">
        <f>H402+H403</f>
        <v>1155</v>
      </c>
      <c r="J402" s="279">
        <f>I402</f>
        <v>1155</v>
      </c>
      <c r="N402" s="49"/>
    </row>
    <row r="403" spans="1:14" ht="42" customHeight="1">
      <c r="A403" s="226"/>
      <c r="B403" s="234"/>
      <c r="C403" s="228"/>
      <c r="D403" s="229"/>
      <c r="E403" s="229"/>
      <c r="F403" s="235" t="s">
        <v>3186</v>
      </c>
      <c r="G403" s="235" t="s">
        <v>3187</v>
      </c>
      <c r="H403" s="237">
        <f>31/0.2</f>
        <v>155</v>
      </c>
      <c r="I403" s="249"/>
      <c r="J403" s="92"/>
      <c r="N403" s="49"/>
    </row>
    <row r="404" spans="1:14" ht="42.75">
      <c r="A404" s="12" t="s">
        <v>3183</v>
      </c>
      <c r="B404" s="234" t="str">
        <f>'5變(議價前)'!B211</f>
        <v>鋼筋，植筋，D16mm，鑽孔(含空氣槍清孔)及化學藥劑</v>
      </c>
      <c r="C404" s="228" t="str">
        <f>'5變(議價前)'!C211</f>
        <v>孔</v>
      </c>
      <c r="D404" s="229">
        <v>0</v>
      </c>
      <c r="E404" s="229">
        <f>J404</f>
        <v>277</v>
      </c>
      <c r="F404" s="235" t="s">
        <v>3921</v>
      </c>
      <c r="G404" s="235" t="s">
        <v>3923</v>
      </c>
      <c r="H404" s="237">
        <f>ROUNDUP(7.05/0.2*2,0)</f>
        <v>71</v>
      </c>
      <c r="I404" s="192">
        <f>H404+H405+H406</f>
        <v>277</v>
      </c>
      <c r="J404" s="279">
        <f>I404</f>
        <v>277</v>
      </c>
      <c r="N404" s="49"/>
    </row>
    <row r="405" spans="1:14">
      <c r="A405" s="226"/>
      <c r="B405" s="234"/>
      <c r="C405" s="228"/>
      <c r="D405" s="229"/>
      <c r="E405" s="229"/>
      <c r="F405" s="235" t="s">
        <v>3922</v>
      </c>
      <c r="G405" s="235" t="s">
        <v>3924</v>
      </c>
      <c r="H405" s="237">
        <f>18.8/0.2*2</f>
        <v>188</v>
      </c>
      <c r="I405" s="249"/>
      <c r="J405" s="285"/>
      <c r="N405" s="49"/>
    </row>
    <row r="406" spans="1:14">
      <c r="A406" s="226"/>
      <c r="B406" s="234"/>
      <c r="C406" s="228"/>
      <c r="D406" s="229"/>
      <c r="E406" s="229"/>
      <c r="F406" s="235" t="s">
        <v>3013</v>
      </c>
      <c r="G406" s="230" t="s">
        <v>3920</v>
      </c>
      <c r="H406" s="229">
        <f>9*2</f>
        <v>18</v>
      </c>
      <c r="I406" s="192"/>
      <c r="J406" s="200"/>
      <c r="N406" s="49"/>
    </row>
    <row r="407" spans="1:14" ht="49.5">
      <c r="A407" s="12" t="s">
        <v>3189</v>
      </c>
      <c r="B407" s="7" t="s">
        <v>3190</v>
      </c>
      <c r="C407" s="8" t="s">
        <v>3191</v>
      </c>
      <c r="D407" s="44">
        <v>0</v>
      </c>
      <c r="E407" s="44">
        <f>J407</f>
        <v>1768</v>
      </c>
      <c r="F407" s="80" t="s">
        <v>3192</v>
      </c>
      <c r="G407" s="80" t="s">
        <v>3200</v>
      </c>
      <c r="H407" s="44">
        <f>(160*(5.9+1))+(26.7*8.2+((1.9+7.4)*(17.7+1)/2)+(3.9*(5.1+1))+47.1*(6.1+1))</f>
        <v>1768.095</v>
      </c>
      <c r="I407" s="192">
        <f>H407</f>
        <v>1768.095</v>
      </c>
      <c r="J407" s="279">
        <v>1768</v>
      </c>
      <c r="N407" s="49"/>
    </row>
    <row r="408" spans="1:14" ht="33">
      <c r="A408" s="6" t="s">
        <v>97</v>
      </c>
      <c r="B408" s="7" t="s">
        <v>623</v>
      </c>
      <c r="C408" s="8" t="s">
        <v>4</v>
      </c>
      <c r="D408" s="44">
        <v>1</v>
      </c>
      <c r="E408" s="44"/>
      <c r="F408" s="45"/>
      <c r="G408" s="45">
        <f>5*3.7*0.1+1.8*2.1*0.1</f>
        <v>2.2280000000000002</v>
      </c>
      <c r="H408" s="44"/>
      <c r="I408" s="191" t="s">
        <v>243</v>
      </c>
      <c r="J408" s="200"/>
      <c r="N408" s="49"/>
    </row>
    <row r="409" spans="1:14" ht="36.75" customHeight="1">
      <c r="A409" s="12" t="s">
        <v>98</v>
      </c>
      <c r="B409" s="10" t="s">
        <v>1383</v>
      </c>
      <c r="C409" s="8" t="s">
        <v>6</v>
      </c>
      <c r="D409" s="44">
        <v>252</v>
      </c>
      <c r="E409" s="44">
        <f>'5變(議價前)'!E214</f>
        <v>109.33</v>
      </c>
      <c r="F409" s="45" t="s">
        <v>1468</v>
      </c>
      <c r="G409" s="45" t="s">
        <v>1472</v>
      </c>
      <c r="H409" s="44">
        <f>ROUND((2.1*0.1*300)+(5*3.7*0.1+1.8*2.1*0.1)+(7.35*0.1*60),2)</f>
        <v>109.33</v>
      </c>
      <c r="I409" s="192">
        <f>H409</f>
        <v>109.33</v>
      </c>
      <c r="J409" s="279">
        <v>0</v>
      </c>
      <c r="K409" s="433" t="s">
        <v>2534</v>
      </c>
      <c r="N409" s="49"/>
    </row>
    <row r="410" spans="1:14" ht="28.5">
      <c r="A410" s="12" t="s">
        <v>99</v>
      </c>
      <c r="B410" s="10" t="s">
        <v>24</v>
      </c>
      <c r="C410" s="8" t="s">
        <v>6</v>
      </c>
      <c r="D410" s="44">
        <v>2490</v>
      </c>
      <c r="E410" s="44">
        <f>I410</f>
        <v>2512.33</v>
      </c>
      <c r="F410" s="80" t="s">
        <v>1664</v>
      </c>
      <c r="G410" s="80" t="s">
        <v>1474</v>
      </c>
      <c r="H410" s="44">
        <f>ROUND((1.8*0.3*2+1.2*0.3*2)*300,2)</f>
        <v>540</v>
      </c>
      <c r="I410" s="197">
        <f>SUM(H410:H414)</f>
        <v>2512.33</v>
      </c>
      <c r="J410" s="279">
        <f>I410-E410</f>
        <v>0</v>
      </c>
      <c r="K410" s="433" t="s">
        <v>2938</v>
      </c>
      <c r="N410" s="49"/>
    </row>
    <row r="411" spans="1:14" ht="49.5">
      <c r="A411" s="12"/>
      <c r="B411" s="10"/>
      <c r="C411" s="8"/>
      <c r="D411" s="44"/>
      <c r="E411" s="44"/>
      <c r="F411" s="80" t="s">
        <v>1489</v>
      </c>
      <c r="G411" s="80" t="s">
        <v>1482</v>
      </c>
      <c r="H411" s="44">
        <f>ROUND((4.7*3.4*0.3*2)+(2.7*4.7*0.3*2)+(1.75*0.2*2.8+2.8*2.45*0.2)+(2.7*2.8*0.3*2)-(2.4*1.5+1.2*1.2*2)*0.3,2)</f>
        <v>22.15</v>
      </c>
      <c r="I411" s="198"/>
      <c r="J411" s="200"/>
      <c r="N411" s="49"/>
    </row>
    <row r="412" spans="1:14">
      <c r="A412" s="12"/>
      <c r="B412" s="10"/>
      <c r="C412" s="8"/>
      <c r="D412" s="44"/>
      <c r="E412" s="44"/>
      <c r="F412" s="80" t="s">
        <v>1665</v>
      </c>
      <c r="G412" s="80" t="s">
        <v>1587</v>
      </c>
      <c r="H412" s="44">
        <f>ROUND((7.05*2.7-3*2*2+0.35*0.35*4)*280,2)</f>
        <v>2107</v>
      </c>
      <c r="I412" s="198"/>
      <c r="J412" s="200"/>
      <c r="N412" s="49"/>
    </row>
    <row r="413" spans="1:14" ht="49.5">
      <c r="A413" s="12"/>
      <c r="B413" s="10"/>
      <c r="C413" s="8"/>
      <c r="D413" s="44"/>
      <c r="E413" s="44"/>
      <c r="F413" s="80" t="s">
        <v>1966</v>
      </c>
      <c r="G413" s="80" t="s">
        <v>2138</v>
      </c>
      <c r="H413" s="44">
        <f>ROUND((0.45*0.45-0.3*0.3)*3.14*(1.41+2.59+2.57+1.88)+(1.5*1.5-(0.3*0.3*3.14))*0.2*4,2)</f>
        <v>4.5599999999999996</v>
      </c>
      <c r="I413" s="198"/>
      <c r="J413" s="200"/>
      <c r="N413" s="49"/>
    </row>
    <row r="414" spans="1:14">
      <c r="A414" s="226"/>
      <c r="B414" s="231" t="s">
        <v>2744</v>
      </c>
      <c r="C414" s="228"/>
      <c r="D414" s="229"/>
      <c r="E414" s="229"/>
      <c r="F414" s="235" t="s">
        <v>2745</v>
      </c>
      <c r="G414" s="235"/>
      <c r="H414" s="237">
        <v>-161.38</v>
      </c>
      <c r="I414" s="247"/>
      <c r="J414" s="280"/>
      <c r="N414" s="49"/>
    </row>
    <row r="415" spans="1:14" ht="31.5">
      <c r="A415" s="12" t="s">
        <v>100</v>
      </c>
      <c r="B415" s="7" t="s">
        <v>1460</v>
      </c>
      <c r="C415" s="8" t="s">
        <v>6</v>
      </c>
      <c r="D415" s="44">
        <v>998</v>
      </c>
      <c r="E415" s="44">
        <f>I415</f>
        <v>869.48054000000002</v>
      </c>
      <c r="F415" s="45" t="s">
        <v>1464</v>
      </c>
      <c r="G415" s="45" t="s">
        <v>1471</v>
      </c>
      <c r="H415" s="44">
        <f>16.5*1.3*0.65+2.7*(2.5+1.35)/2*15.2</f>
        <v>92.944500000000005</v>
      </c>
      <c r="I415" s="197">
        <f>SUM(H415:H419)</f>
        <v>869.48054000000002</v>
      </c>
      <c r="J415" s="279">
        <f>I415-D415</f>
        <v>-128.51945999999998</v>
      </c>
      <c r="N415" s="49"/>
    </row>
    <row r="416" spans="1:14">
      <c r="A416" s="12"/>
      <c r="B416" s="7"/>
      <c r="C416" s="8"/>
      <c r="D416" s="44"/>
      <c r="E416" s="44"/>
      <c r="F416" s="45" t="s">
        <v>1470</v>
      </c>
      <c r="G416" s="45" t="s">
        <v>1473</v>
      </c>
      <c r="H416" s="44">
        <f>(1.8+0.8)/2*1.6*2.45</f>
        <v>5.096000000000001</v>
      </c>
      <c r="I416" s="197"/>
      <c r="J416" s="200"/>
      <c r="N416" s="49"/>
    </row>
    <row r="417" spans="1:15">
      <c r="A417" s="12"/>
      <c r="B417" s="7"/>
      <c r="C417" s="8"/>
      <c r="D417" s="44"/>
      <c r="E417" s="44"/>
      <c r="F417" s="45" t="s">
        <v>1466</v>
      </c>
      <c r="G417" s="45" t="s">
        <v>1467</v>
      </c>
      <c r="H417" s="44">
        <f>1.15*1.8*245.7</f>
        <v>508.59899999999993</v>
      </c>
      <c r="I417" s="198"/>
      <c r="J417" s="200"/>
      <c r="N417" s="49"/>
    </row>
    <row r="418" spans="1:15">
      <c r="A418" s="12"/>
      <c r="B418" s="7"/>
      <c r="C418" s="8"/>
      <c r="D418" s="44"/>
      <c r="E418" s="44"/>
      <c r="F418" s="50" t="s">
        <v>3461</v>
      </c>
      <c r="G418" s="50" t="s">
        <v>1967</v>
      </c>
      <c r="H418" s="54">
        <f>(2*0.9-(0.3*0.3*3.14))*(39*2.4+26)</f>
        <v>181.48104000000001</v>
      </c>
      <c r="I418" s="198"/>
      <c r="J418" s="200"/>
      <c r="N418" s="49"/>
    </row>
    <row r="419" spans="1:15">
      <c r="A419" s="269"/>
      <c r="B419" s="270"/>
      <c r="C419" s="271"/>
      <c r="D419" s="272"/>
      <c r="E419" s="272"/>
      <c r="F419" s="669" t="s">
        <v>2741</v>
      </c>
      <c r="G419" s="669" t="s">
        <v>2742</v>
      </c>
      <c r="H419" s="548">
        <f>(1011+946+55+22)*0.2*0.2</f>
        <v>81.360000000000014</v>
      </c>
      <c r="I419" s="284"/>
      <c r="J419" s="92"/>
      <c r="N419" s="49"/>
    </row>
    <row r="420" spans="1:15" ht="33">
      <c r="A420" s="12" t="s">
        <v>101</v>
      </c>
      <c r="B420" s="7" t="s">
        <v>595</v>
      </c>
      <c r="C420" s="8" t="s">
        <v>6</v>
      </c>
      <c r="D420" s="44">
        <v>3740</v>
      </c>
      <c r="E420" s="44">
        <f>I420</f>
        <v>3491.1405399999999</v>
      </c>
      <c r="F420" s="45" t="s">
        <v>1465</v>
      </c>
      <c r="G420" s="50" t="s">
        <v>2087</v>
      </c>
      <c r="H420" s="44">
        <f>I409+I410+I415</f>
        <v>3491.1405399999999</v>
      </c>
      <c r="I420" s="198">
        <f>H420</f>
        <v>3491.1405399999999</v>
      </c>
      <c r="J420" s="279">
        <f>I420-D420</f>
        <v>-248.85946000000013</v>
      </c>
      <c r="L420" s="29">
        <f>D420*0.05</f>
        <v>187</v>
      </c>
      <c r="N420" s="49"/>
    </row>
    <row r="421" spans="1:15">
      <c r="A421" s="12" t="s">
        <v>102</v>
      </c>
      <c r="B421" s="7" t="s">
        <v>534</v>
      </c>
      <c r="C421" s="8" t="s">
        <v>13</v>
      </c>
      <c r="D421" s="44">
        <v>3740</v>
      </c>
      <c r="E421" s="44">
        <f>'5變(議價前)'!E218</f>
        <v>4949.6099999999997</v>
      </c>
      <c r="F421" s="45" t="s">
        <v>1475</v>
      </c>
      <c r="G421" s="47" t="s">
        <v>1480</v>
      </c>
      <c r="H421" s="44">
        <f>(1.3*4+2.3*2+0.495*8)*280</f>
        <v>3852.8000000000006</v>
      </c>
      <c r="I421" s="198">
        <f>SUM(H421:H423)</f>
        <v>4949.6072000000013</v>
      </c>
      <c r="J421" s="279">
        <f>I421-E421</f>
        <v>-2.7999999983876478E-3</v>
      </c>
      <c r="N421" s="49"/>
      <c r="O421" s="175"/>
    </row>
    <row r="422" spans="1:15">
      <c r="A422" s="12"/>
      <c r="B422" s="7"/>
      <c r="C422" s="8"/>
      <c r="D422" s="44"/>
      <c r="E422" s="44"/>
      <c r="F422" s="45" t="s">
        <v>1476</v>
      </c>
      <c r="G422" s="47" t="s">
        <v>1481</v>
      </c>
      <c r="H422" s="44">
        <f>1.2*3*300</f>
        <v>1080</v>
      </c>
      <c r="I422" s="198"/>
      <c r="J422" s="200"/>
      <c r="N422" s="49"/>
      <c r="O422" s="175"/>
    </row>
    <row r="423" spans="1:15" ht="33">
      <c r="A423" s="12"/>
      <c r="B423" s="7"/>
      <c r="C423" s="8"/>
      <c r="D423" s="44"/>
      <c r="E423" s="44"/>
      <c r="F423" s="45" t="s">
        <v>2088</v>
      </c>
      <c r="G423" s="47" t="s">
        <v>2090</v>
      </c>
      <c r="H423" s="44">
        <f>((1.41-0.2)+(2.59-0.2)+(2.57-0.2)+(1.88-0.2))*2+(0.6*3.14*0.2*4)</f>
        <v>16.807199999999998</v>
      </c>
      <c r="I423" s="198"/>
      <c r="J423" s="200"/>
      <c r="N423" s="49"/>
      <c r="O423" s="175"/>
    </row>
    <row r="424" spans="1:15" ht="38.25" customHeight="1">
      <c r="A424" s="12" t="s">
        <v>180</v>
      </c>
      <c r="B424" s="7" t="s">
        <v>626</v>
      </c>
      <c r="C424" s="8" t="s">
        <v>13</v>
      </c>
      <c r="D424" s="44">
        <v>38</v>
      </c>
      <c r="E424" s="44">
        <f>'5變(議價前)'!E219</f>
        <v>49.36</v>
      </c>
      <c r="F424" s="45" t="s">
        <v>1478</v>
      </c>
      <c r="G424" s="45" t="s">
        <v>1483</v>
      </c>
      <c r="H424" s="44">
        <f>(4.1*2.7+2.8*2.7)*2-(1.2*1.2*2)+4.1*2.8+1.75*2</f>
        <v>49.359999999999992</v>
      </c>
      <c r="I424" s="198">
        <f>H424</f>
        <v>49.359999999999992</v>
      </c>
      <c r="J424" s="279">
        <f>I424-E424</f>
        <v>0</v>
      </c>
      <c r="N424" s="49"/>
      <c r="O424" s="175"/>
    </row>
    <row r="425" spans="1:15" ht="33">
      <c r="A425" s="12" t="s">
        <v>179</v>
      </c>
      <c r="B425" s="7" t="s">
        <v>536</v>
      </c>
      <c r="C425" s="8" t="s">
        <v>13</v>
      </c>
      <c r="D425" s="44">
        <v>783</v>
      </c>
      <c r="E425" s="44">
        <f>'5變(議價前)'!E220</f>
        <v>1409.35</v>
      </c>
      <c r="F425" s="45" t="s">
        <v>1485</v>
      </c>
      <c r="G425" s="47" t="s">
        <v>1746</v>
      </c>
      <c r="H425" s="44">
        <f>(2.8*2)*60+(2.2*2)*220+(0.7*7.05+0.35*2*3+0.35*0.35*4)*14</f>
        <v>1409.35</v>
      </c>
      <c r="I425" s="198">
        <f>SUM(H425:H426)</f>
        <v>1409.35</v>
      </c>
      <c r="J425" s="279">
        <f>I425-E425</f>
        <v>0</v>
      </c>
      <c r="N425" s="49"/>
    </row>
    <row r="426" spans="1:15" ht="16.5" customHeight="1">
      <c r="A426" s="12"/>
      <c r="B426" s="7"/>
      <c r="C426" s="8"/>
      <c r="D426" s="44"/>
      <c r="E426" s="44"/>
      <c r="F426" s="45"/>
      <c r="G426" s="47"/>
      <c r="H426" s="44"/>
      <c r="I426" s="198"/>
      <c r="J426" s="200"/>
      <c r="N426" s="49"/>
    </row>
    <row r="427" spans="1:15">
      <c r="A427" s="12" t="s">
        <v>178</v>
      </c>
      <c r="B427" s="7" t="s">
        <v>193</v>
      </c>
      <c r="C427" s="8" t="s">
        <v>13</v>
      </c>
      <c r="D427" s="44">
        <v>300</v>
      </c>
      <c r="E427" s="44">
        <f>'5變(議價前)'!E221</f>
        <v>761.34</v>
      </c>
      <c r="F427" s="45" t="s">
        <v>1479</v>
      </c>
      <c r="G427" s="45" t="s">
        <v>1484</v>
      </c>
      <c r="H427" s="44">
        <f>(4.7+3.4)*3.4*2-(1.2*1.2)</f>
        <v>53.64</v>
      </c>
      <c r="I427" s="198">
        <f>SUM(H427:H429)</f>
        <v>761.34</v>
      </c>
      <c r="J427" s="279">
        <f>I427-E427</f>
        <v>0</v>
      </c>
      <c r="N427" s="49"/>
    </row>
    <row r="428" spans="1:15" ht="34.5" customHeight="1">
      <c r="A428" s="12"/>
      <c r="B428" s="7"/>
      <c r="C428" s="8"/>
      <c r="D428" s="44"/>
      <c r="E428" s="44"/>
      <c r="F428" s="45" t="s">
        <v>1477</v>
      </c>
      <c r="G428" s="47" t="s">
        <v>1487</v>
      </c>
      <c r="H428" s="44">
        <f>1.8*2*67+1.8*1*233+(1.8*1.8-1.2*1.2)*15</f>
        <v>687.6</v>
      </c>
      <c r="I428" s="198"/>
      <c r="J428" s="200"/>
      <c r="N428" s="49"/>
    </row>
    <row r="429" spans="1:15" ht="35.25" customHeight="1">
      <c r="A429" s="12"/>
      <c r="B429" s="7"/>
      <c r="C429" s="8"/>
      <c r="D429" s="44"/>
      <c r="E429" s="44"/>
      <c r="F429" s="45" t="s">
        <v>2089</v>
      </c>
      <c r="G429" s="47" t="s">
        <v>2091</v>
      </c>
      <c r="H429" s="44">
        <f>((1.41-0.2)+(2.59-0.2)+(2.57-0.2)+(1.88-0.2))*2+(1.5*4*0.2*4)</f>
        <v>20.099999999999998</v>
      </c>
      <c r="I429" s="198"/>
      <c r="J429" s="200"/>
      <c r="N429" s="49"/>
    </row>
    <row r="430" spans="1:15">
      <c r="A430" s="12" t="s">
        <v>177</v>
      </c>
      <c r="B430" s="7" t="s">
        <v>192</v>
      </c>
      <c r="C430" s="8" t="s">
        <v>17</v>
      </c>
      <c r="D430" s="44">
        <v>137462</v>
      </c>
      <c r="E430" s="44">
        <f>'5變(議價前)'!E222</f>
        <v>207085.18</v>
      </c>
      <c r="F430" s="80" t="s">
        <v>1461</v>
      </c>
      <c r="G430" s="45" t="s">
        <v>1345</v>
      </c>
      <c r="H430" s="44">
        <v>75613.2</v>
      </c>
      <c r="I430" s="198">
        <f>SUM(H430:H433)</f>
        <v>207085.17720000001</v>
      </c>
      <c r="J430" s="279">
        <f>I430-E430</f>
        <v>-2.7999999874737114E-3</v>
      </c>
      <c r="N430" s="49"/>
    </row>
    <row r="431" spans="1:15">
      <c r="A431" s="12"/>
      <c r="B431" s="7"/>
      <c r="C431" s="8"/>
      <c r="D431" s="44"/>
      <c r="E431" s="44"/>
      <c r="F431" s="80" t="s">
        <v>1489</v>
      </c>
      <c r="G431" s="45" t="s">
        <v>1345</v>
      </c>
      <c r="H431" s="44">
        <f>鋼筋!L162</f>
        <v>262.21719999999999</v>
      </c>
      <c r="I431" s="198"/>
      <c r="J431" s="200"/>
      <c r="N431" s="49"/>
    </row>
    <row r="432" spans="1:15">
      <c r="A432" s="12"/>
      <c r="B432" s="7"/>
      <c r="C432" s="8"/>
      <c r="D432" s="44"/>
      <c r="E432" s="44"/>
      <c r="F432" s="80" t="s">
        <v>1459</v>
      </c>
      <c r="G432" s="45" t="s">
        <v>1345</v>
      </c>
      <c r="H432" s="44">
        <v>130550.17</v>
      </c>
      <c r="I432" s="198"/>
      <c r="J432" s="200"/>
      <c r="N432" s="49"/>
    </row>
    <row r="433" spans="1:14" ht="42.75" customHeight="1">
      <c r="A433" s="12"/>
      <c r="B433" s="7"/>
      <c r="C433" s="8"/>
      <c r="D433" s="44"/>
      <c r="E433" s="44"/>
      <c r="F433" s="80" t="s">
        <v>1965</v>
      </c>
      <c r="G433" s="45" t="s">
        <v>2095</v>
      </c>
      <c r="H433" s="44">
        <f>ROUND((1.35*9*2*2*1.56+1.2*8*2*0.994)*4+(1.41+2.59+2.57+1.88)*13*1.56+0.6*3.14*(10+18+17+13)*0.994,2)</f>
        <v>659.59</v>
      </c>
      <c r="I433" s="198"/>
      <c r="J433" s="200"/>
      <c r="N433" s="49"/>
    </row>
    <row r="434" spans="1:14">
      <c r="A434" s="226"/>
      <c r="B434" s="227"/>
      <c r="C434" s="228"/>
      <c r="D434" s="229"/>
      <c r="E434" s="229"/>
      <c r="F434" s="232"/>
      <c r="G434" s="230"/>
      <c r="H434" s="229"/>
      <c r="I434" s="247"/>
      <c r="J434" s="280"/>
      <c r="N434" s="49"/>
    </row>
    <row r="435" spans="1:14">
      <c r="A435" s="12" t="s">
        <v>176</v>
      </c>
      <c r="B435" s="7" t="s">
        <v>530</v>
      </c>
      <c r="C435" s="8" t="s">
        <v>17</v>
      </c>
      <c r="D435" s="44">
        <v>116638</v>
      </c>
      <c r="E435" s="44">
        <f>'5變(議價前)'!E223</f>
        <v>168230.73</v>
      </c>
      <c r="F435" s="80" t="s">
        <v>1489</v>
      </c>
      <c r="G435" s="45" t="s">
        <v>1345</v>
      </c>
      <c r="H435" s="44">
        <f>鋼筋!L163</f>
        <v>5375.7860000000001</v>
      </c>
      <c r="I435" s="198">
        <f>SUM(H435:H438)</f>
        <v>168230.73</v>
      </c>
      <c r="J435" s="279">
        <f>I435-E435</f>
        <v>0</v>
      </c>
      <c r="N435" s="49"/>
    </row>
    <row r="436" spans="1:14">
      <c r="A436" s="12"/>
      <c r="B436" s="7"/>
      <c r="C436" s="8"/>
      <c r="D436" s="44"/>
      <c r="E436" s="44"/>
      <c r="F436" s="80" t="s">
        <v>1459</v>
      </c>
      <c r="G436" s="45" t="s">
        <v>1345</v>
      </c>
      <c r="H436" s="44">
        <f>鋼筋!E157</f>
        <v>162854.94400000002</v>
      </c>
      <c r="I436" s="198"/>
      <c r="J436" s="200"/>
      <c r="N436" s="49"/>
    </row>
    <row r="437" spans="1:14">
      <c r="A437" s="12"/>
      <c r="B437" s="7"/>
      <c r="C437" s="8"/>
      <c r="D437" s="44"/>
      <c r="E437" s="44"/>
      <c r="F437" s="50"/>
      <c r="G437" s="45"/>
      <c r="H437" s="44"/>
      <c r="I437" s="198"/>
      <c r="J437" s="200"/>
      <c r="N437" s="49"/>
    </row>
    <row r="438" spans="1:14">
      <c r="A438" s="12"/>
      <c r="B438" s="7"/>
      <c r="C438" s="8"/>
      <c r="D438" s="44"/>
      <c r="E438" s="44"/>
      <c r="F438" s="45"/>
      <c r="G438" s="45"/>
      <c r="H438" s="44"/>
      <c r="I438" s="198"/>
      <c r="J438" s="200"/>
      <c r="N438" s="49"/>
    </row>
    <row r="439" spans="1:14" ht="42.75">
      <c r="A439" s="12" t="s">
        <v>175</v>
      </c>
      <c r="B439" s="10" t="s">
        <v>628</v>
      </c>
      <c r="C439" s="8" t="s">
        <v>8</v>
      </c>
      <c r="D439" s="44">
        <v>112</v>
      </c>
      <c r="E439" s="54">
        <f t="shared" ref="E439:E444" si="14">I439</f>
        <v>95</v>
      </c>
      <c r="F439" s="45" t="s">
        <v>2967</v>
      </c>
      <c r="G439" s="45" t="s">
        <v>3552</v>
      </c>
      <c r="H439" s="44">
        <f>11.1+10+11.2+20.6+17.5+10.7+2.3+6.8+4.8</f>
        <v>95</v>
      </c>
      <c r="I439" s="198">
        <f t="shared" ref="I439:I445" si="15">H439</f>
        <v>95</v>
      </c>
      <c r="J439" s="281">
        <f>E439-D439</f>
        <v>-17</v>
      </c>
      <c r="K439" s="433" t="s">
        <v>3551</v>
      </c>
      <c r="N439" s="49"/>
    </row>
    <row r="440" spans="1:14" ht="33">
      <c r="A440" s="12" t="s">
        <v>174</v>
      </c>
      <c r="B440" s="10" t="s">
        <v>630</v>
      </c>
      <c r="C440" s="8" t="s">
        <v>0</v>
      </c>
      <c r="D440" s="44">
        <v>47</v>
      </c>
      <c r="E440" s="44">
        <f t="shared" si="14"/>
        <v>40</v>
      </c>
      <c r="F440" s="45" t="s">
        <v>3555</v>
      </c>
      <c r="G440" s="45" t="s">
        <v>3553</v>
      </c>
      <c r="H440" s="44">
        <f>ROUNDUP(95/2.4,0)</f>
        <v>40</v>
      </c>
      <c r="I440" s="192">
        <f t="shared" si="15"/>
        <v>40</v>
      </c>
      <c r="J440" s="279">
        <f>E440-D440</f>
        <v>-7</v>
      </c>
      <c r="N440" s="49"/>
    </row>
    <row r="441" spans="1:14" ht="57">
      <c r="A441" s="12" t="s">
        <v>173</v>
      </c>
      <c r="B441" s="10" t="s">
        <v>632</v>
      </c>
      <c r="C441" s="8" t="s">
        <v>8</v>
      </c>
      <c r="D441" s="44">
        <v>148</v>
      </c>
      <c r="E441" s="44">
        <f t="shared" si="14"/>
        <v>75.36</v>
      </c>
      <c r="F441" s="45"/>
      <c r="G441" s="45" t="s">
        <v>3554</v>
      </c>
      <c r="H441" s="44">
        <f>0.6*3.14*40</f>
        <v>75.36</v>
      </c>
      <c r="I441" s="192">
        <f t="shared" si="15"/>
        <v>75.36</v>
      </c>
      <c r="J441" s="279">
        <f>E441-D441</f>
        <v>-72.64</v>
      </c>
      <c r="N441" s="49"/>
    </row>
    <row r="442" spans="1:14" ht="42.75">
      <c r="A442" s="12" t="s">
        <v>218</v>
      </c>
      <c r="B442" s="10" t="s">
        <v>634</v>
      </c>
      <c r="C442" s="8" t="s">
        <v>15</v>
      </c>
      <c r="D442" s="44">
        <v>6</v>
      </c>
      <c r="E442" s="44">
        <f t="shared" si="14"/>
        <v>5</v>
      </c>
      <c r="F442" s="45" t="s">
        <v>2125</v>
      </c>
      <c r="G442" s="45">
        <v>5</v>
      </c>
      <c r="H442" s="44">
        <v>5</v>
      </c>
      <c r="I442" s="44">
        <f t="shared" si="15"/>
        <v>5</v>
      </c>
      <c r="J442" s="279">
        <f>I442-D442</f>
        <v>-1</v>
      </c>
      <c r="N442" s="49"/>
    </row>
    <row r="443" spans="1:14">
      <c r="A443" s="12" t="s">
        <v>636</v>
      </c>
      <c r="B443" s="7" t="s">
        <v>1346</v>
      </c>
      <c r="C443" s="8" t="s">
        <v>8</v>
      </c>
      <c r="D443" s="44">
        <v>746</v>
      </c>
      <c r="E443" s="44">
        <f t="shared" si="14"/>
        <v>400.19999999999993</v>
      </c>
      <c r="F443" s="45" t="s">
        <v>1491</v>
      </c>
      <c r="G443" s="45" t="s">
        <v>1494</v>
      </c>
      <c r="H443" s="44">
        <f>(1.8*2+1.6*2)*15+(7.05*2+2.4*3)*14</f>
        <v>400.19999999999993</v>
      </c>
      <c r="I443" s="192">
        <f t="shared" si="15"/>
        <v>400.19999999999993</v>
      </c>
      <c r="J443" s="279">
        <f>I443-D443</f>
        <v>-345.80000000000007</v>
      </c>
      <c r="K443" s="433" t="s">
        <v>3201</v>
      </c>
      <c r="N443" s="49"/>
    </row>
    <row r="444" spans="1:14" ht="33">
      <c r="A444" s="12" t="s">
        <v>637</v>
      </c>
      <c r="B444" s="7" t="s">
        <v>1492</v>
      </c>
      <c r="C444" s="8" t="s">
        <v>8</v>
      </c>
      <c r="D444" s="44">
        <v>1740</v>
      </c>
      <c r="E444" s="44">
        <f t="shared" si="14"/>
        <v>1240.1999999999998</v>
      </c>
      <c r="F444" s="45" t="s">
        <v>2126</v>
      </c>
      <c r="G444" s="230" t="s">
        <v>1495</v>
      </c>
      <c r="H444" s="44">
        <f>280*3+(1.8*2+1.6*2)*15+(7.05*2+2.4*3)*14</f>
        <v>1240.1999999999998</v>
      </c>
      <c r="I444" s="192">
        <f t="shared" si="15"/>
        <v>1240.1999999999998</v>
      </c>
      <c r="J444" s="279">
        <f>I444-D444</f>
        <v>-499.80000000000018</v>
      </c>
      <c r="K444" s="433" t="s">
        <v>3201</v>
      </c>
      <c r="N444" s="49"/>
    </row>
    <row r="445" spans="1:14" ht="33">
      <c r="A445" s="12" t="s">
        <v>638</v>
      </c>
      <c r="B445" s="10" t="s">
        <v>222</v>
      </c>
      <c r="C445" s="8" t="s">
        <v>13</v>
      </c>
      <c r="D445" s="44">
        <v>783</v>
      </c>
      <c r="E445" s="44">
        <f>'5變(議價前)'!E230</f>
        <v>783</v>
      </c>
      <c r="F445" s="45" t="s">
        <v>1468</v>
      </c>
      <c r="G445" s="45" t="s">
        <v>2128</v>
      </c>
      <c r="H445" s="44">
        <f>(1.8*1*120)+(1.8*3*6)+(1.8*2*150)</f>
        <v>788.4</v>
      </c>
      <c r="I445" s="192">
        <f t="shared" si="15"/>
        <v>788.4</v>
      </c>
      <c r="J445" s="279">
        <f>I445-E445</f>
        <v>5.3999999999999773</v>
      </c>
      <c r="K445" s="433" t="s">
        <v>2938</v>
      </c>
      <c r="M445" s="170">
        <f>1.8*300+2.7*280</f>
        <v>1296</v>
      </c>
      <c r="N445" s="49"/>
    </row>
    <row r="446" spans="1:14" ht="42.75">
      <c r="A446" s="12" t="s">
        <v>639</v>
      </c>
      <c r="B446" s="10" t="s">
        <v>640</v>
      </c>
      <c r="C446" s="8" t="s">
        <v>15</v>
      </c>
      <c r="D446" s="44">
        <v>1</v>
      </c>
      <c r="E446" s="44">
        <v>1</v>
      </c>
      <c r="F446" s="50" t="s">
        <v>1968</v>
      </c>
      <c r="G446" s="45">
        <v>1</v>
      </c>
      <c r="H446" s="44">
        <v>1</v>
      </c>
      <c r="I446" s="44">
        <v>1</v>
      </c>
      <c r="J446" s="200">
        <v>0</v>
      </c>
      <c r="N446" s="49"/>
    </row>
    <row r="447" spans="1:14" ht="31.5">
      <c r="A447" s="12" t="s">
        <v>642</v>
      </c>
      <c r="B447" s="7" t="s">
        <v>643</v>
      </c>
      <c r="C447" s="8" t="s">
        <v>5</v>
      </c>
      <c r="D447" s="44">
        <v>44</v>
      </c>
      <c r="E447" s="44">
        <f>I447</f>
        <v>35</v>
      </c>
      <c r="F447" s="45" t="s">
        <v>2125</v>
      </c>
      <c r="G447" s="45" t="s">
        <v>3680</v>
      </c>
      <c r="H447" s="44">
        <f>10+5+9+6+5</f>
        <v>35</v>
      </c>
      <c r="I447" s="44">
        <f>H447</f>
        <v>35</v>
      </c>
      <c r="J447" s="279">
        <f>E447-D447</f>
        <v>-9</v>
      </c>
      <c r="N447" s="49"/>
    </row>
    <row r="448" spans="1:14" ht="33">
      <c r="A448" s="6" t="s">
        <v>172</v>
      </c>
      <c r="B448" s="7" t="s">
        <v>645</v>
      </c>
      <c r="C448" s="8" t="s">
        <v>4</v>
      </c>
      <c r="D448" s="44">
        <v>1</v>
      </c>
      <c r="E448" s="44"/>
      <c r="F448" s="45"/>
      <c r="G448" s="45"/>
      <c r="H448" s="44"/>
      <c r="I448" s="191" t="s">
        <v>243</v>
      </c>
      <c r="J448" s="200"/>
      <c r="N448" s="49"/>
    </row>
    <row r="449" spans="1:14" ht="28.5">
      <c r="A449" s="12" t="s">
        <v>171</v>
      </c>
      <c r="B449" s="10" t="s">
        <v>646</v>
      </c>
      <c r="C449" s="8" t="s">
        <v>6</v>
      </c>
      <c r="D449" s="44">
        <v>230</v>
      </c>
      <c r="E449" s="44">
        <f>I449</f>
        <v>279.9425</v>
      </c>
      <c r="F449" s="45" t="s">
        <v>1499</v>
      </c>
      <c r="G449" s="45" t="s">
        <v>1500</v>
      </c>
      <c r="H449" s="44">
        <f>(22.5*4.5*0.05)</f>
        <v>5.0625</v>
      </c>
      <c r="I449" s="192">
        <f>SUM(H449:H450)</f>
        <v>279.9425</v>
      </c>
      <c r="J449" s="285">
        <f>I449-D449</f>
        <v>49.942499999999995</v>
      </c>
      <c r="N449" s="49"/>
    </row>
    <row r="450" spans="1:14">
      <c r="A450" s="12"/>
      <c r="B450" s="10"/>
      <c r="C450" s="8"/>
      <c r="D450" s="44"/>
      <c r="E450" s="44"/>
      <c r="F450" s="45" t="s">
        <v>3462</v>
      </c>
      <c r="G450" s="50" t="s">
        <v>3991</v>
      </c>
      <c r="H450" s="54">
        <f>ROUND((6245-747.46)*0.05,2)</f>
        <v>274.88</v>
      </c>
      <c r="I450" s="191"/>
      <c r="J450" s="200"/>
      <c r="N450" s="49"/>
    </row>
    <row r="451" spans="1:14" ht="42.75">
      <c r="A451" s="12" t="s">
        <v>170</v>
      </c>
      <c r="B451" s="10" t="s">
        <v>648</v>
      </c>
      <c r="C451" s="8" t="s">
        <v>6</v>
      </c>
      <c r="D451" s="44">
        <v>689</v>
      </c>
      <c r="E451" s="44">
        <f>I451</f>
        <v>632.62249999999995</v>
      </c>
      <c r="F451" s="45" t="s">
        <v>1499</v>
      </c>
      <c r="G451" s="45" t="s">
        <v>1500</v>
      </c>
      <c r="H451" s="44">
        <f>(22.5*4.5*0.05)</f>
        <v>5.0625</v>
      </c>
      <c r="I451" s="192">
        <f>SUM(H451:H452)</f>
        <v>632.62249999999995</v>
      </c>
      <c r="J451" s="285">
        <f>I451-D451</f>
        <v>-56.377500000000055</v>
      </c>
      <c r="N451" s="49"/>
    </row>
    <row r="452" spans="1:14">
      <c r="A452" s="12"/>
      <c r="B452" s="10"/>
      <c r="C452" s="8"/>
      <c r="D452" s="44"/>
      <c r="E452" s="44"/>
      <c r="F452" s="45" t="s">
        <v>3462</v>
      </c>
      <c r="G452" s="50" t="s">
        <v>3992</v>
      </c>
      <c r="H452" s="54">
        <f>ROUND((6245-747.46-1313.8)*0.15,2)</f>
        <v>627.55999999999995</v>
      </c>
      <c r="I452" s="192"/>
      <c r="J452" s="200"/>
      <c r="N452" s="49"/>
    </row>
    <row r="453" spans="1:14" ht="33">
      <c r="A453" s="12" t="s">
        <v>169</v>
      </c>
      <c r="B453" s="7" t="s">
        <v>650</v>
      </c>
      <c r="C453" s="8" t="s">
        <v>13</v>
      </c>
      <c r="D453" s="44">
        <v>4589</v>
      </c>
      <c r="E453" s="44">
        <f>I453</f>
        <v>4183.74</v>
      </c>
      <c r="F453" s="954" t="s">
        <v>3990</v>
      </c>
      <c r="G453" s="954" t="s">
        <v>3993</v>
      </c>
      <c r="H453" s="955">
        <f>6245-747.46-1313.8</f>
        <v>4183.74</v>
      </c>
      <c r="I453" s="956">
        <f>H453</f>
        <v>4183.74</v>
      </c>
      <c r="J453" s="279">
        <f>I453-D453</f>
        <v>-405.26000000000022</v>
      </c>
      <c r="N453" s="49"/>
    </row>
    <row r="454" spans="1:14" ht="31.5">
      <c r="A454" s="12" t="s">
        <v>168</v>
      </c>
      <c r="B454" s="7" t="s">
        <v>652</v>
      </c>
      <c r="C454" s="8" t="s">
        <v>13</v>
      </c>
      <c r="D454" s="44">
        <v>4589</v>
      </c>
      <c r="E454" s="44">
        <f>I454</f>
        <v>4284.99</v>
      </c>
      <c r="F454" s="45" t="s">
        <v>1499</v>
      </c>
      <c r="G454" s="45" t="s">
        <v>1501</v>
      </c>
      <c r="H454" s="44">
        <f>22.5*4.5</f>
        <v>101.25</v>
      </c>
      <c r="I454" s="192">
        <f>SUM(H454:H455)</f>
        <v>4284.99</v>
      </c>
      <c r="J454" s="285">
        <f>I454-D454</f>
        <v>-304.01000000000022</v>
      </c>
      <c r="K454" s="433">
        <f>D454*0.05</f>
        <v>229.45000000000002</v>
      </c>
      <c r="M454" s="832" t="s">
        <v>3463</v>
      </c>
      <c r="N454" s="49"/>
    </row>
    <row r="455" spans="1:14">
      <c r="A455" s="12"/>
      <c r="B455" s="7"/>
      <c r="C455" s="8"/>
      <c r="D455" s="44"/>
      <c r="E455" s="44"/>
      <c r="F455" s="45" t="s">
        <v>3462</v>
      </c>
      <c r="G455" s="45" t="s">
        <v>3993</v>
      </c>
      <c r="H455" s="44">
        <f>6245-747.46-1313.8</f>
        <v>4183.74</v>
      </c>
      <c r="I455" s="192"/>
      <c r="J455" s="200"/>
      <c r="N455" s="49"/>
    </row>
    <row r="456" spans="1:14" ht="31.5">
      <c r="A456" s="12" t="s">
        <v>167</v>
      </c>
      <c r="B456" s="7" t="s">
        <v>204</v>
      </c>
      <c r="C456" s="8" t="s">
        <v>13</v>
      </c>
      <c r="D456" s="44">
        <v>13765</v>
      </c>
      <c r="E456" s="44">
        <f>I456</f>
        <v>13993.27</v>
      </c>
      <c r="F456" s="45" t="s">
        <v>1499</v>
      </c>
      <c r="G456" s="45" t="s">
        <v>1501</v>
      </c>
      <c r="H456" s="44">
        <f>22.5*4.5</f>
        <v>101.25</v>
      </c>
      <c r="I456" s="192">
        <f>SUM(H456:H457)</f>
        <v>13993.27</v>
      </c>
      <c r="J456" s="285">
        <f>I456-D456</f>
        <v>228.27000000000044</v>
      </c>
      <c r="K456" s="433">
        <f>D456*0.05</f>
        <v>688.25</v>
      </c>
      <c r="M456" s="832" t="s">
        <v>3463</v>
      </c>
      <c r="N456" s="49"/>
    </row>
    <row r="457" spans="1:14" ht="38.25" customHeight="1">
      <c r="A457" s="12"/>
      <c r="B457" s="7"/>
      <c r="C457" s="8"/>
      <c r="D457" s="44"/>
      <c r="E457" s="44"/>
      <c r="F457" s="50" t="s">
        <v>3994</v>
      </c>
      <c r="G457" s="50" t="s">
        <v>3995</v>
      </c>
      <c r="H457" s="54">
        <f>4183.74*2+5497.54+6*4.5</f>
        <v>13892.02</v>
      </c>
      <c r="I457" s="191"/>
      <c r="J457" s="200"/>
      <c r="N457" s="49"/>
    </row>
    <row r="458" spans="1:14" ht="28.5">
      <c r="A458" s="12" t="s">
        <v>166</v>
      </c>
      <c r="B458" s="10" t="s">
        <v>315</v>
      </c>
      <c r="C458" s="8" t="s">
        <v>6</v>
      </c>
      <c r="D458" s="44">
        <v>49</v>
      </c>
      <c r="E458" s="44">
        <f>I458</f>
        <v>40.645499999999998</v>
      </c>
      <c r="F458" s="45" t="s">
        <v>2097</v>
      </c>
      <c r="G458" s="45" t="s">
        <v>3465</v>
      </c>
      <c r="H458" s="44">
        <f>(0.8+0.2)*731.4*0.05+(1.1*1.3*0.05*57)</f>
        <v>40.645499999999998</v>
      </c>
      <c r="I458" s="192">
        <f>H458</f>
        <v>40.645499999999998</v>
      </c>
      <c r="J458" s="92"/>
      <c r="N458" s="49"/>
    </row>
    <row r="459" spans="1:14" ht="28.5">
      <c r="A459" s="12" t="s">
        <v>165</v>
      </c>
      <c r="B459" s="10" t="s">
        <v>24</v>
      </c>
      <c r="C459" s="8" t="s">
        <v>6</v>
      </c>
      <c r="D459" s="44">
        <v>328</v>
      </c>
      <c r="E459" s="44">
        <f>I459</f>
        <v>398.61779999999993</v>
      </c>
      <c r="F459" s="45" t="s">
        <v>2098</v>
      </c>
      <c r="G459" s="45" t="s">
        <v>2100</v>
      </c>
      <c r="H459" s="54">
        <f>'水溝集水井 (2)'!I90</f>
        <v>350.52</v>
      </c>
      <c r="I459" s="196">
        <f>SUM(H459:H464)</f>
        <v>398.61779999999993</v>
      </c>
      <c r="J459" s="279">
        <f>E459-D459</f>
        <v>70.617799999999932</v>
      </c>
      <c r="N459" s="49"/>
    </row>
    <row r="460" spans="1:14" ht="24.75" customHeight="1">
      <c r="A460" s="226"/>
      <c r="B460" s="231"/>
      <c r="C460" s="228"/>
      <c r="D460" s="229"/>
      <c r="E460" s="229"/>
      <c r="F460" s="230" t="s">
        <v>2008</v>
      </c>
      <c r="G460" s="45" t="s">
        <v>2100</v>
      </c>
      <c r="H460" s="54">
        <f>'水溝集水井 (2)'!I91</f>
        <v>26.909999999999986</v>
      </c>
      <c r="I460" s="241"/>
      <c r="J460" s="280"/>
      <c r="N460" s="49"/>
    </row>
    <row r="461" spans="1:14" ht="24.75" customHeight="1">
      <c r="A461" s="226"/>
      <c r="B461" s="231"/>
      <c r="C461" s="228"/>
      <c r="D461" s="229"/>
      <c r="E461" s="229"/>
      <c r="F461" s="230" t="s">
        <v>3466</v>
      </c>
      <c r="G461" s="230" t="s">
        <v>3205</v>
      </c>
      <c r="H461" s="229">
        <f>31*1.8*0.1</f>
        <v>5.580000000000001</v>
      </c>
      <c r="I461" s="241"/>
      <c r="J461" s="92"/>
      <c r="N461" s="49"/>
    </row>
    <row r="462" spans="1:14" ht="24.75" customHeight="1">
      <c r="A462" s="226"/>
      <c r="B462" s="231"/>
      <c r="C462" s="228"/>
      <c r="D462" s="229"/>
      <c r="E462" s="229"/>
      <c r="F462" s="230" t="s">
        <v>3467</v>
      </c>
      <c r="G462" s="230" t="s">
        <v>3534</v>
      </c>
      <c r="H462" s="229">
        <f>(1.3+0.6)*25/2*0.1</f>
        <v>2.375</v>
      </c>
      <c r="I462" s="241"/>
      <c r="J462" s="92"/>
      <c r="N462" s="49"/>
    </row>
    <row r="463" spans="1:14" ht="31.5" customHeight="1">
      <c r="A463" s="226"/>
      <c r="B463" s="231"/>
      <c r="C463" s="228"/>
      <c r="D463" s="229"/>
      <c r="E463" s="229"/>
      <c r="F463" s="867" t="s">
        <v>3610</v>
      </c>
      <c r="G463" s="233" t="s">
        <v>3611</v>
      </c>
      <c r="H463" s="229">
        <f>(0.6*0.2+0.95*0.2)*20</f>
        <v>6.2</v>
      </c>
      <c r="I463" s="241"/>
      <c r="J463" s="92"/>
      <c r="N463" s="49"/>
    </row>
    <row r="464" spans="1:14" ht="33">
      <c r="A464" s="226"/>
      <c r="B464" s="231"/>
      <c r="C464" s="228"/>
      <c r="D464" s="229"/>
      <c r="E464" s="229"/>
      <c r="F464" s="867" t="s">
        <v>3612</v>
      </c>
      <c r="G464" s="233" t="s">
        <v>3634</v>
      </c>
      <c r="H464" s="229">
        <f>(0.75*0.6+0.63*0.2+0.2*0.1)*11.8</f>
        <v>7.0327999999999999</v>
      </c>
      <c r="I464" s="191"/>
      <c r="J464" s="200"/>
      <c r="N464" s="49"/>
    </row>
    <row r="465" spans="1:14" ht="21.95" customHeight="1">
      <c r="A465" s="226"/>
      <c r="B465" s="227"/>
      <c r="C465" s="228"/>
      <c r="D465" s="229"/>
      <c r="E465" s="229"/>
      <c r="F465" s="916" t="s">
        <v>3679</v>
      </c>
      <c r="G465" s="230" t="s">
        <v>3793</v>
      </c>
      <c r="H465" s="229">
        <f>5*0.6*0.2+(0.88+0.68)/2*(4.84+0.55)*0.2</f>
        <v>1.4408400000000001</v>
      </c>
      <c r="I465" s="241"/>
      <c r="J465" s="92"/>
      <c r="N465" s="49"/>
    </row>
    <row r="466" spans="1:14" ht="31.5">
      <c r="A466" s="12" t="s">
        <v>164</v>
      </c>
      <c r="B466" s="7" t="s">
        <v>595</v>
      </c>
      <c r="C466" s="8" t="s">
        <v>6</v>
      </c>
      <c r="D466" s="44">
        <v>377</v>
      </c>
      <c r="E466" s="44">
        <f>E458+E459</f>
        <v>439.26329999999996</v>
      </c>
      <c r="F466" s="45" t="s">
        <v>2114</v>
      </c>
      <c r="G466" s="45" t="s">
        <v>2114</v>
      </c>
      <c r="H466" s="44">
        <f>I458+I459</f>
        <v>439.26329999999996</v>
      </c>
      <c r="I466" s="192">
        <f>H466</f>
        <v>439.26329999999996</v>
      </c>
      <c r="J466" s="279">
        <f>H466-D466</f>
        <v>62.263299999999958</v>
      </c>
      <c r="N466" s="49"/>
    </row>
    <row r="467" spans="1:14">
      <c r="A467" s="12" t="s">
        <v>163</v>
      </c>
      <c r="B467" s="7" t="s">
        <v>626</v>
      </c>
      <c r="C467" s="8" t="s">
        <v>13</v>
      </c>
      <c r="D467" s="44">
        <v>867</v>
      </c>
      <c r="E467" s="44">
        <f>I467</f>
        <v>969.93000000000006</v>
      </c>
      <c r="F467" s="45" t="s">
        <v>2115</v>
      </c>
      <c r="G467" s="45" t="s">
        <v>2100</v>
      </c>
      <c r="H467" s="44">
        <f>'水溝集水井 (2)'!F90</f>
        <v>819.75</v>
      </c>
      <c r="I467" s="192">
        <f>H467+H468+H469+H470</f>
        <v>969.93000000000006</v>
      </c>
      <c r="J467" s="279">
        <f>E467-D467</f>
        <v>102.93000000000006</v>
      </c>
      <c r="N467" s="49"/>
    </row>
    <row r="468" spans="1:14">
      <c r="A468" s="226"/>
      <c r="B468" s="227"/>
      <c r="C468" s="228"/>
      <c r="D468" s="229"/>
      <c r="E468" s="229"/>
      <c r="F468" s="230" t="s">
        <v>2116</v>
      </c>
      <c r="G468" s="45" t="s">
        <v>2100</v>
      </c>
      <c r="H468" s="44">
        <f>'水溝集水井 (2)'!F91</f>
        <v>70.080000000000027</v>
      </c>
      <c r="I468" s="241"/>
      <c r="J468" s="280"/>
      <c r="N468" s="49"/>
    </row>
    <row r="469" spans="1:14">
      <c r="A469" s="226"/>
      <c r="B469" s="227"/>
      <c r="C469" s="228"/>
      <c r="D469" s="229"/>
      <c r="E469" s="229"/>
      <c r="F469" s="230" t="s">
        <v>3466</v>
      </c>
      <c r="G469" s="230" t="s">
        <v>3210</v>
      </c>
      <c r="H469" s="229">
        <f>31*1.8+1.8*0.1*2</f>
        <v>56.160000000000004</v>
      </c>
      <c r="I469" s="241"/>
      <c r="J469" s="92"/>
      <c r="N469" s="49"/>
    </row>
    <row r="470" spans="1:14">
      <c r="A470" s="226"/>
      <c r="B470" s="227"/>
      <c r="C470" s="228"/>
      <c r="D470" s="229"/>
      <c r="E470" s="229"/>
      <c r="F470" s="230" t="s">
        <v>3467</v>
      </c>
      <c r="G470" s="230" t="s">
        <v>3468</v>
      </c>
      <c r="H470" s="229">
        <f>(1.3+0.6)*25/2+1.3*0.1+0.6*0.1</f>
        <v>23.939999999999998</v>
      </c>
      <c r="I470" s="241"/>
      <c r="J470" s="92"/>
      <c r="N470" s="49"/>
    </row>
    <row r="471" spans="1:14">
      <c r="A471" s="12" t="s">
        <v>162</v>
      </c>
      <c r="B471" s="7" t="s">
        <v>193</v>
      </c>
      <c r="C471" s="8" t="s">
        <v>13</v>
      </c>
      <c r="D471" s="44">
        <v>1257</v>
      </c>
      <c r="E471" s="44">
        <f>I471</f>
        <v>1509.9923999999996</v>
      </c>
      <c r="F471" s="45" t="s">
        <v>2117</v>
      </c>
      <c r="G471" s="45" t="s">
        <v>2100</v>
      </c>
      <c r="H471" s="44">
        <f>'水溝集水井 (2)'!G90</f>
        <v>1265.8</v>
      </c>
      <c r="I471" s="192">
        <f>SUM(H471:H475)</f>
        <v>1509.9923999999996</v>
      </c>
      <c r="J471" s="279">
        <f>E471-D471</f>
        <v>252.99239999999963</v>
      </c>
      <c r="N471" s="49"/>
    </row>
    <row r="472" spans="1:14">
      <c r="A472" s="226"/>
      <c r="B472" s="227"/>
      <c r="C472" s="228"/>
      <c r="D472" s="229"/>
      <c r="E472" s="229"/>
      <c r="F472" s="230" t="s">
        <v>2118</v>
      </c>
      <c r="G472" s="45" t="s">
        <v>2100</v>
      </c>
      <c r="H472" s="44">
        <f>'水溝集水井 (2)'!G91</f>
        <v>162.39999999999995</v>
      </c>
      <c r="I472" s="241"/>
      <c r="J472" s="280"/>
      <c r="N472" s="49"/>
    </row>
    <row r="473" spans="1:14" ht="46.5" customHeight="1">
      <c r="A473" s="872"/>
      <c r="B473" s="873"/>
      <c r="C473" s="874"/>
      <c r="D473" s="793"/>
      <c r="E473" s="793"/>
      <c r="F473" s="867" t="s">
        <v>3613</v>
      </c>
      <c r="G473" s="792" t="s">
        <v>3614</v>
      </c>
      <c r="H473" s="793">
        <f>(1.15+0.95+0.2)*20</f>
        <v>46</v>
      </c>
      <c r="I473" s="876"/>
      <c r="J473" s="890"/>
      <c r="N473" s="49"/>
    </row>
    <row r="474" spans="1:14" ht="41.25" customHeight="1">
      <c r="A474" s="872"/>
      <c r="B474" s="873"/>
      <c r="C474" s="874"/>
      <c r="D474" s="793"/>
      <c r="E474" s="793"/>
      <c r="F474" s="867" t="s">
        <v>3615</v>
      </c>
      <c r="G474" s="792" t="s">
        <v>3616</v>
      </c>
      <c r="H474" s="793">
        <f>(0.75+0.3+0.55+0.63+0.1)*11.8</f>
        <v>27.494000000000003</v>
      </c>
      <c r="I474" s="876"/>
      <c r="J474" s="584"/>
      <c r="N474" s="49"/>
    </row>
    <row r="475" spans="1:14" ht="21.95" customHeight="1">
      <c r="A475" s="226"/>
      <c r="B475" s="227"/>
      <c r="C475" s="228"/>
      <c r="D475" s="229"/>
      <c r="E475" s="229"/>
      <c r="F475" s="916" t="s">
        <v>3679</v>
      </c>
      <c r="G475" s="230" t="s">
        <v>3794</v>
      </c>
      <c r="H475" s="229">
        <f>0.55*0.68*2+4.84*0.78*2</f>
        <v>8.2983999999999991</v>
      </c>
      <c r="I475" s="241"/>
      <c r="J475" s="92"/>
      <c r="N475" s="49"/>
    </row>
    <row r="476" spans="1:14">
      <c r="A476" s="12" t="s">
        <v>161</v>
      </c>
      <c r="B476" s="7" t="s">
        <v>192</v>
      </c>
      <c r="C476" s="8" t="s">
        <v>17</v>
      </c>
      <c r="D476" s="44">
        <v>12810</v>
      </c>
      <c r="E476" s="44">
        <f>I476</f>
        <v>48726.898139999998</v>
      </c>
      <c r="F476" s="45" t="s">
        <v>2098</v>
      </c>
      <c r="G476" s="45" t="s">
        <v>2100</v>
      </c>
      <c r="H476" s="44">
        <f>'水溝集水井 (2)'!D90+'水溝集水井 (2)'!E90</f>
        <v>41616.69</v>
      </c>
      <c r="I476" s="192">
        <f>SUM(H476:H481)</f>
        <v>48726.898139999998</v>
      </c>
      <c r="J476" s="279">
        <f>E476-D476</f>
        <v>35916.898139999998</v>
      </c>
      <c r="N476" s="49"/>
    </row>
    <row r="477" spans="1:14">
      <c r="A477" s="269"/>
      <c r="B477" s="270"/>
      <c r="C477" s="271"/>
      <c r="D477" s="272"/>
      <c r="E477" s="272"/>
      <c r="F477" s="230" t="s">
        <v>2008</v>
      </c>
      <c r="G477" s="45" t="s">
        <v>2100</v>
      </c>
      <c r="H477" s="272">
        <f>'水溝集水井 (2)'!D91</f>
        <v>5250.1299999999992</v>
      </c>
      <c r="I477" s="274"/>
      <c r="J477" s="92"/>
      <c r="N477" s="49"/>
    </row>
    <row r="478" spans="1:14">
      <c r="A478" s="226"/>
      <c r="B478" s="227"/>
      <c r="C478" s="228"/>
      <c r="D478" s="229"/>
      <c r="E478" s="229"/>
      <c r="F478" s="230" t="s">
        <v>3466</v>
      </c>
      <c r="G478" s="45" t="s">
        <v>2100</v>
      </c>
      <c r="H478" s="229">
        <f>ROUND(鋼筋!E187,2)</f>
        <v>572.54</v>
      </c>
      <c r="I478" s="241"/>
      <c r="J478" s="92"/>
      <c r="N478" s="49"/>
    </row>
    <row r="479" spans="1:14" ht="36.75" customHeight="1">
      <c r="A479" s="226"/>
      <c r="B479" s="227"/>
      <c r="C479" s="228"/>
      <c r="D479" s="229"/>
      <c r="E479" s="229"/>
      <c r="F479" s="867" t="s">
        <v>3617</v>
      </c>
      <c r="G479" s="230" t="s">
        <v>3618</v>
      </c>
      <c r="H479" s="229">
        <f>(1.1*79+24*11.8+79*2.7)*0.994</f>
        <v>579.89960000000008</v>
      </c>
      <c r="I479" s="241"/>
      <c r="J479" s="92"/>
      <c r="N479" s="49"/>
    </row>
    <row r="480" spans="1:14" ht="21.95" customHeight="1">
      <c r="A480" s="226"/>
      <c r="B480" s="227"/>
      <c r="C480" s="228"/>
      <c r="D480" s="229"/>
      <c r="E480" s="229"/>
      <c r="F480" s="867" t="s">
        <v>3615</v>
      </c>
      <c r="G480" s="230" t="s">
        <v>3619</v>
      </c>
      <c r="H480" s="229">
        <f>(20*15+0.5*268+1.2*134)*0.994</f>
        <v>591.23119999999994</v>
      </c>
      <c r="I480" s="241"/>
      <c r="J480" s="92"/>
      <c r="N480" s="49"/>
    </row>
    <row r="481" spans="1:14" ht="21.95" customHeight="1">
      <c r="A481" s="226"/>
      <c r="B481" s="227"/>
      <c r="C481" s="228"/>
      <c r="D481" s="229"/>
      <c r="E481" s="229"/>
      <c r="F481" s="916" t="s">
        <v>3679</v>
      </c>
      <c r="G481" s="230" t="s">
        <v>3795</v>
      </c>
      <c r="H481" s="229">
        <f>(7*5.25+35*0.9+35*0.78+0.55*4+4.84*4)*0.994</f>
        <v>116.40734</v>
      </c>
      <c r="I481" s="241"/>
      <c r="J481" s="92"/>
      <c r="N481" s="49"/>
    </row>
    <row r="482" spans="1:14" ht="42.75">
      <c r="A482" s="12" t="s">
        <v>160</v>
      </c>
      <c r="B482" s="10" t="s">
        <v>655</v>
      </c>
      <c r="C482" s="8" t="s">
        <v>15</v>
      </c>
      <c r="D482" s="44">
        <v>158</v>
      </c>
      <c r="E482" s="44">
        <f>I482</f>
        <v>158</v>
      </c>
      <c r="F482" s="45"/>
      <c r="G482" s="45">
        <v>158</v>
      </c>
      <c r="H482" s="44">
        <v>158</v>
      </c>
      <c r="I482" s="192">
        <f>H482</f>
        <v>158</v>
      </c>
      <c r="J482" s="285">
        <f>D482-E482</f>
        <v>0</v>
      </c>
      <c r="N482" s="49"/>
    </row>
    <row r="483" spans="1:14" ht="42.75">
      <c r="A483" s="12" t="s">
        <v>159</v>
      </c>
      <c r="B483" s="10" t="s">
        <v>657</v>
      </c>
      <c r="C483" s="8" t="s">
        <v>17</v>
      </c>
      <c r="D483" s="44">
        <v>3713</v>
      </c>
      <c r="E483" s="44">
        <f t="shared" ref="E483:E484" si="16">I483</f>
        <v>3713</v>
      </c>
      <c r="F483" s="45"/>
      <c r="G483" s="45" t="s">
        <v>3548</v>
      </c>
      <c r="H483" s="44">
        <f>158*23.5</f>
        <v>3713</v>
      </c>
      <c r="I483" s="192">
        <f>H483</f>
        <v>3713</v>
      </c>
      <c r="J483" s="285">
        <f t="shared" ref="J483:J485" si="17">D483-E483</f>
        <v>0</v>
      </c>
      <c r="N483" s="49"/>
    </row>
    <row r="484" spans="1:14">
      <c r="A484" s="12" t="s">
        <v>158</v>
      </c>
      <c r="B484" s="7" t="s">
        <v>357</v>
      </c>
      <c r="C484" s="8" t="s">
        <v>8</v>
      </c>
      <c r="D484" s="44">
        <v>155</v>
      </c>
      <c r="E484" s="44">
        <f t="shared" si="16"/>
        <v>155.79999999999998</v>
      </c>
      <c r="F484" s="45"/>
      <c r="G484" s="45" t="s">
        <v>3558</v>
      </c>
      <c r="H484" s="44">
        <f>(0.6*2+0.7)*82</f>
        <v>155.79999999999998</v>
      </c>
      <c r="I484" s="192">
        <f>H484</f>
        <v>155.79999999999998</v>
      </c>
      <c r="J484" s="285">
        <f>E484-D484</f>
        <v>0.79999999999998295</v>
      </c>
      <c r="K484" s="433" t="s">
        <v>3549</v>
      </c>
      <c r="N484" s="49"/>
    </row>
    <row r="485" spans="1:14" ht="31.5">
      <c r="A485" s="12" t="s">
        <v>157</v>
      </c>
      <c r="B485" s="7" t="s">
        <v>1497</v>
      </c>
      <c r="C485" s="8" t="s">
        <v>223</v>
      </c>
      <c r="D485" s="44">
        <v>1376.7</v>
      </c>
      <c r="E485" s="44">
        <v>1376.7</v>
      </c>
      <c r="F485" s="45"/>
      <c r="G485" s="45" t="s">
        <v>3630</v>
      </c>
      <c r="H485" s="44">
        <f>4589*0.3</f>
        <v>1376.7</v>
      </c>
      <c r="I485" s="192">
        <f>H485</f>
        <v>1376.7</v>
      </c>
      <c r="J485" s="285">
        <f t="shared" si="17"/>
        <v>0</v>
      </c>
      <c r="M485" s="170">
        <f>H453</f>
        <v>4183.74</v>
      </c>
      <c r="N485" s="49"/>
    </row>
    <row r="486" spans="1:14" ht="31.5">
      <c r="A486" s="12" t="s">
        <v>214</v>
      </c>
      <c r="B486" s="7" t="s">
        <v>1498</v>
      </c>
      <c r="C486" s="8" t="s">
        <v>13</v>
      </c>
      <c r="D486" s="44">
        <v>512.1</v>
      </c>
      <c r="E486" s="44">
        <f>I486</f>
        <v>499.08000000000004</v>
      </c>
      <c r="F486" s="45" t="s">
        <v>3211</v>
      </c>
      <c r="G486" s="45" t="s">
        <v>2100</v>
      </c>
      <c r="H486" s="44">
        <f>'水溝集水井 (2)'!H92</f>
        <v>438.84000000000003</v>
      </c>
      <c r="I486" s="192">
        <f>H486+H487</f>
        <v>499.08000000000004</v>
      </c>
      <c r="J486" s="279">
        <f>E486-D486</f>
        <v>-13.019999999999982</v>
      </c>
      <c r="K486" s="433">
        <f>D486*0.05</f>
        <v>25.605000000000004</v>
      </c>
      <c r="M486" s="170" t="s">
        <v>3549</v>
      </c>
      <c r="N486" s="49"/>
    </row>
    <row r="487" spans="1:14">
      <c r="A487" s="226"/>
      <c r="B487" s="227"/>
      <c r="C487" s="228"/>
      <c r="D487" s="229"/>
      <c r="E487" s="229"/>
      <c r="F487" s="230" t="s">
        <v>3212</v>
      </c>
      <c r="G487" s="230" t="s">
        <v>3547</v>
      </c>
      <c r="H487" s="229">
        <f>80.3*0.6+20.1*0.6</f>
        <v>60.24</v>
      </c>
      <c r="I487" s="249"/>
      <c r="J487" s="285"/>
      <c r="N487" s="49"/>
    </row>
    <row r="488" spans="1:14" ht="21.95" customHeight="1">
      <c r="A488" s="12" t="s">
        <v>3835</v>
      </c>
      <c r="B488" s="227" t="str">
        <f>'5變(議價前)'!B252</f>
        <v>1:3水泥砂漿粉光</v>
      </c>
      <c r="C488" s="886" t="str">
        <f>'5變(議價前)'!C252</f>
        <v>M2</v>
      </c>
      <c r="D488" s="229"/>
      <c r="E488" s="229">
        <f t="shared" ref="E488" si="18">I488</f>
        <v>16.166000000000004</v>
      </c>
      <c r="F488" s="887" t="s">
        <v>3528</v>
      </c>
      <c r="G488" s="235" t="s">
        <v>3639</v>
      </c>
      <c r="H488" s="229">
        <f>((1.28+0.2)/2+0.1+0.53)*11.8</f>
        <v>16.166000000000004</v>
      </c>
      <c r="I488" s="247">
        <f t="shared" ref="I488" si="19">H488</f>
        <v>16.166000000000004</v>
      </c>
      <c r="J488" s="285">
        <f>E488-D488</f>
        <v>16.166000000000004</v>
      </c>
      <c r="N488" s="49"/>
    </row>
    <row r="489" spans="1:14" ht="21.95" customHeight="1">
      <c r="A489" s="12" t="s">
        <v>3859</v>
      </c>
      <c r="B489" s="227" t="str">
        <f>'5變(議價前)'!B253</f>
        <v>油漆標線，路線漆</v>
      </c>
      <c r="C489" s="886" t="str">
        <f>'5變(議價前)'!C253</f>
        <v>M2</v>
      </c>
      <c r="D489" s="229"/>
      <c r="E489" s="229">
        <f>I489</f>
        <v>498.33375000000007</v>
      </c>
      <c r="F489" s="887" t="s">
        <v>3861</v>
      </c>
      <c r="G489" s="235" t="s">
        <v>3862</v>
      </c>
      <c r="H489" s="229">
        <f>(0.15+0.225)*1254.13+0.15*44.64+0.15*142.26</f>
        <v>498.33375000000007</v>
      </c>
      <c r="I489" s="247">
        <f>H489</f>
        <v>498.33375000000007</v>
      </c>
      <c r="J489" s="285">
        <f t="shared" ref="J489:J490" si="20">E489-D489</f>
        <v>498.33375000000007</v>
      </c>
      <c r="N489" s="49"/>
    </row>
    <row r="490" spans="1:14" ht="62.25" customHeight="1">
      <c r="A490" s="12" t="s">
        <v>3860</v>
      </c>
      <c r="B490" s="227" t="str">
        <f>'5變(議價前)'!B254</f>
        <v>道路交通標誌</v>
      </c>
      <c r="C490" s="886" t="str">
        <f>'5變(議價前)'!C254</f>
        <v>組</v>
      </c>
      <c r="D490" s="229"/>
      <c r="E490" s="229">
        <f>I490</f>
        <v>12</v>
      </c>
      <c r="F490" s="939" t="s">
        <v>3863</v>
      </c>
      <c r="G490" s="235" t="s">
        <v>3864</v>
      </c>
      <c r="H490" s="229">
        <f>3+3+2+2+1+1</f>
        <v>12</v>
      </c>
      <c r="I490" s="247">
        <f>H490</f>
        <v>12</v>
      </c>
      <c r="J490" s="285">
        <f t="shared" si="20"/>
        <v>12</v>
      </c>
      <c r="N490" s="49"/>
    </row>
    <row r="491" spans="1:14" ht="33">
      <c r="A491" s="6" t="s">
        <v>659</v>
      </c>
      <c r="B491" s="71" t="s">
        <v>660</v>
      </c>
      <c r="C491" s="67" t="s">
        <v>4</v>
      </c>
      <c r="D491" s="55">
        <v>1</v>
      </c>
      <c r="E491" s="44"/>
      <c r="F491" s="45"/>
      <c r="G491" s="45"/>
      <c r="H491" s="44"/>
      <c r="I491" s="191" t="s">
        <v>243</v>
      </c>
      <c r="J491" s="200"/>
      <c r="N491" s="49"/>
    </row>
    <row r="492" spans="1:14" ht="31.5">
      <c r="A492" s="12" t="s">
        <v>661</v>
      </c>
      <c r="B492" s="71" t="s">
        <v>662</v>
      </c>
      <c r="C492" s="67" t="s">
        <v>223</v>
      </c>
      <c r="D492" s="55">
        <v>1</v>
      </c>
      <c r="E492" s="44">
        <f>I492</f>
        <v>2626.49</v>
      </c>
      <c r="F492" s="45" t="s">
        <v>1739</v>
      </c>
      <c r="G492" s="50" t="s">
        <v>1740</v>
      </c>
      <c r="H492" s="55">
        <f>0.32*0.25*(280-25)</f>
        <v>20.400000000000002</v>
      </c>
      <c r="I492" s="192">
        <f>SUM(H492:H495)</f>
        <v>2626.49</v>
      </c>
      <c r="J492" s="279">
        <f>E492-D492</f>
        <v>2625.49</v>
      </c>
      <c r="N492" s="49"/>
    </row>
    <row r="493" spans="1:14">
      <c r="A493" s="226"/>
      <c r="B493" s="402"/>
      <c r="C493" s="403"/>
      <c r="D493" s="404"/>
      <c r="E493" s="229"/>
      <c r="F493" s="230" t="s">
        <v>2473</v>
      </c>
      <c r="G493" s="235">
        <v>109.59</v>
      </c>
      <c r="H493" s="404">
        <f>G493</f>
        <v>109.59</v>
      </c>
      <c r="I493" s="274"/>
      <c r="J493" s="92"/>
      <c r="N493" s="49"/>
    </row>
    <row r="494" spans="1:14">
      <c r="A494" s="226"/>
      <c r="B494" s="402"/>
      <c r="C494" s="403"/>
      <c r="D494" s="404"/>
      <c r="E494" s="229"/>
      <c r="F494" s="230" t="s">
        <v>3856</v>
      </c>
      <c r="G494" s="235" t="s">
        <v>3857</v>
      </c>
      <c r="H494" s="404">
        <f>400*0.2</f>
        <v>80</v>
      </c>
      <c r="I494" s="241"/>
      <c r="J494" s="92"/>
      <c r="N494" s="49"/>
    </row>
    <row r="495" spans="1:14">
      <c r="A495" s="226"/>
      <c r="B495" s="402"/>
      <c r="C495" s="403"/>
      <c r="D495" s="404"/>
      <c r="E495" s="229"/>
      <c r="F495" s="230" t="s">
        <v>2474</v>
      </c>
      <c r="G495" s="235">
        <v>2416.5</v>
      </c>
      <c r="H495" s="404">
        <f>G495</f>
        <v>2416.5</v>
      </c>
      <c r="I495" s="274"/>
      <c r="J495" s="92"/>
      <c r="N495" s="49"/>
    </row>
    <row r="496" spans="1:14" ht="49.5">
      <c r="A496" s="12" t="s">
        <v>664</v>
      </c>
      <c r="B496" s="71" t="s">
        <v>665</v>
      </c>
      <c r="C496" s="67" t="s">
        <v>5</v>
      </c>
      <c r="D496" s="55">
        <f>'5變(議價前)'!D257</f>
        <v>1</v>
      </c>
      <c r="E496" s="44">
        <f>I496</f>
        <v>200</v>
      </c>
      <c r="F496" s="72" t="s">
        <v>3592</v>
      </c>
      <c r="G496" s="45" t="s">
        <v>3593</v>
      </c>
      <c r="H496" s="44">
        <f>4*4+4*46</f>
        <v>200</v>
      </c>
      <c r="I496" s="192">
        <f>H496</f>
        <v>200</v>
      </c>
      <c r="J496" s="279">
        <f>E496-D496</f>
        <v>199</v>
      </c>
      <c r="N496" s="49"/>
    </row>
    <row r="497" spans="1:14" ht="49.5">
      <c r="A497" s="12" t="s">
        <v>667</v>
      </c>
      <c r="B497" s="66" t="s">
        <v>668</v>
      </c>
      <c r="C497" s="67" t="s">
        <v>669</v>
      </c>
      <c r="D497" s="55">
        <f>'5變(議價前)'!D258</f>
        <v>15</v>
      </c>
      <c r="E497" s="44">
        <f>I497</f>
        <v>15</v>
      </c>
      <c r="F497" s="45" t="s">
        <v>1504</v>
      </c>
      <c r="G497" s="45" t="s">
        <v>2858</v>
      </c>
      <c r="H497" s="44">
        <v>14</v>
      </c>
      <c r="I497" s="192">
        <v>15</v>
      </c>
      <c r="J497" s="279">
        <f t="shared" ref="J497:J506" si="21">E497-D497</f>
        <v>0</v>
      </c>
      <c r="N497" s="49"/>
    </row>
    <row r="498" spans="1:14" ht="28.5">
      <c r="A498" s="12" t="s">
        <v>671</v>
      </c>
      <c r="B498" s="66" t="s">
        <v>1503</v>
      </c>
      <c r="C498" s="67" t="s">
        <v>669</v>
      </c>
      <c r="D498" s="55">
        <f>'5變(議價前)'!D259</f>
        <v>2</v>
      </c>
      <c r="E498" s="44">
        <f t="shared" ref="E498:E509" si="22">I498</f>
        <v>2</v>
      </c>
      <c r="F498" s="45" t="s">
        <v>1504</v>
      </c>
      <c r="G498" s="45" t="s">
        <v>2859</v>
      </c>
      <c r="H498" s="44">
        <v>2</v>
      </c>
      <c r="I498" s="192">
        <f t="shared" ref="I498:I516" si="23">H498</f>
        <v>2</v>
      </c>
      <c r="J498" s="279">
        <f t="shared" si="21"/>
        <v>0</v>
      </c>
      <c r="N498" s="49"/>
    </row>
    <row r="499" spans="1:14" ht="33">
      <c r="A499" s="12" t="s">
        <v>674</v>
      </c>
      <c r="B499" s="10" t="s">
        <v>675</v>
      </c>
      <c r="C499" s="8" t="s">
        <v>669</v>
      </c>
      <c r="D499" s="55">
        <f>'5變(議價前)'!D260</f>
        <v>9</v>
      </c>
      <c r="E499" s="44">
        <f t="shared" si="22"/>
        <v>9</v>
      </c>
      <c r="F499" s="45" t="s">
        <v>1504</v>
      </c>
      <c r="G499" s="45" t="s">
        <v>2860</v>
      </c>
      <c r="H499" s="44">
        <v>9</v>
      </c>
      <c r="I499" s="192">
        <f t="shared" si="23"/>
        <v>9</v>
      </c>
      <c r="J499" s="279">
        <f t="shared" si="21"/>
        <v>0</v>
      </c>
      <c r="N499" s="49"/>
    </row>
    <row r="500" spans="1:14" ht="33">
      <c r="A500" s="12" t="s">
        <v>677</v>
      </c>
      <c r="B500" s="10" t="s">
        <v>678</v>
      </c>
      <c r="C500" s="8" t="s">
        <v>669</v>
      </c>
      <c r="D500" s="55">
        <f>'5變(議價前)'!D261</f>
        <v>8</v>
      </c>
      <c r="E500" s="44">
        <f t="shared" si="22"/>
        <v>8</v>
      </c>
      <c r="F500" s="45" t="s">
        <v>1504</v>
      </c>
      <c r="G500" s="45" t="s">
        <v>2861</v>
      </c>
      <c r="H500" s="44">
        <v>8</v>
      </c>
      <c r="I500" s="192">
        <f t="shared" si="23"/>
        <v>8</v>
      </c>
      <c r="J500" s="279">
        <f t="shared" si="21"/>
        <v>0</v>
      </c>
      <c r="N500" s="49"/>
    </row>
    <row r="501" spans="1:14" ht="33">
      <c r="A501" s="12" t="s">
        <v>680</v>
      </c>
      <c r="B501" s="10" t="s">
        <v>681</v>
      </c>
      <c r="C501" s="8" t="s">
        <v>669</v>
      </c>
      <c r="D501" s="55">
        <f>'5變(議價前)'!D262</f>
        <v>5</v>
      </c>
      <c r="E501" s="44">
        <f t="shared" si="22"/>
        <v>5</v>
      </c>
      <c r="F501" s="45" t="s">
        <v>1504</v>
      </c>
      <c r="G501" s="45" t="s">
        <v>2862</v>
      </c>
      <c r="H501" s="44">
        <v>5</v>
      </c>
      <c r="I501" s="192">
        <f t="shared" si="23"/>
        <v>5</v>
      </c>
      <c r="J501" s="279">
        <f t="shared" si="21"/>
        <v>0</v>
      </c>
      <c r="N501" s="49"/>
    </row>
    <row r="502" spans="1:14" ht="28.5">
      <c r="A502" s="12" t="s">
        <v>683</v>
      </c>
      <c r="B502" s="10" t="s">
        <v>684</v>
      </c>
      <c r="C502" s="8" t="s">
        <v>669</v>
      </c>
      <c r="D502" s="55">
        <f>'5變(議價前)'!D263</f>
        <v>3</v>
      </c>
      <c r="E502" s="44">
        <f t="shared" si="22"/>
        <v>3</v>
      </c>
      <c r="F502" s="45" t="s">
        <v>1504</v>
      </c>
      <c r="G502" s="45" t="s">
        <v>2863</v>
      </c>
      <c r="H502" s="44">
        <v>3</v>
      </c>
      <c r="I502" s="192">
        <f t="shared" si="23"/>
        <v>3</v>
      </c>
      <c r="J502" s="279">
        <f t="shared" si="21"/>
        <v>0</v>
      </c>
      <c r="N502" s="49"/>
    </row>
    <row r="503" spans="1:14" ht="28.5">
      <c r="A503" s="12" t="s">
        <v>686</v>
      </c>
      <c r="B503" s="10" t="s">
        <v>687</v>
      </c>
      <c r="C503" s="8" t="s">
        <v>669</v>
      </c>
      <c r="D503" s="55">
        <f>'5變(議價前)'!D264</f>
        <v>2</v>
      </c>
      <c r="E503" s="44">
        <f t="shared" si="22"/>
        <v>2</v>
      </c>
      <c r="F503" s="45" t="s">
        <v>1504</v>
      </c>
      <c r="G503" s="45" t="s">
        <v>2864</v>
      </c>
      <c r="H503" s="44">
        <v>2</v>
      </c>
      <c r="I503" s="192">
        <f t="shared" si="23"/>
        <v>2</v>
      </c>
      <c r="J503" s="279">
        <f t="shared" si="21"/>
        <v>0</v>
      </c>
      <c r="N503" s="49"/>
    </row>
    <row r="504" spans="1:14" ht="28.5">
      <c r="A504" s="12" t="s">
        <v>689</v>
      </c>
      <c r="B504" s="10" t="s">
        <v>690</v>
      </c>
      <c r="C504" s="8" t="s">
        <v>669</v>
      </c>
      <c r="D504" s="55">
        <f>'5變(議價前)'!D265</f>
        <v>1</v>
      </c>
      <c r="E504" s="44">
        <f>I504</f>
        <v>1</v>
      </c>
      <c r="F504" s="45" t="s">
        <v>1504</v>
      </c>
      <c r="G504" s="45" t="s">
        <v>2865</v>
      </c>
      <c r="H504" s="44">
        <v>1</v>
      </c>
      <c r="I504" s="192">
        <f t="shared" si="23"/>
        <v>1</v>
      </c>
      <c r="J504" s="279">
        <f t="shared" si="21"/>
        <v>0</v>
      </c>
      <c r="N504" s="49"/>
    </row>
    <row r="505" spans="1:14" ht="28.5">
      <c r="A505" s="12" t="s">
        <v>692</v>
      </c>
      <c r="B505" s="10" t="s">
        <v>693</v>
      </c>
      <c r="C505" s="8" t="s">
        <v>669</v>
      </c>
      <c r="D505" s="55">
        <f>'5變(議價前)'!D266</f>
        <v>1</v>
      </c>
      <c r="E505" s="44">
        <f t="shared" si="22"/>
        <v>1</v>
      </c>
      <c r="F505" s="45" t="s">
        <v>1504</v>
      </c>
      <c r="G505" s="45" t="s">
        <v>2866</v>
      </c>
      <c r="H505" s="44">
        <v>1</v>
      </c>
      <c r="I505" s="192">
        <f t="shared" si="23"/>
        <v>1</v>
      </c>
      <c r="J505" s="279">
        <f t="shared" si="21"/>
        <v>0</v>
      </c>
      <c r="N505" s="49"/>
    </row>
    <row r="506" spans="1:14" ht="49.5">
      <c r="A506" s="12" t="s">
        <v>695</v>
      </c>
      <c r="B506" s="10" t="s">
        <v>696</v>
      </c>
      <c r="C506" s="8" t="s">
        <v>669</v>
      </c>
      <c r="D506" s="55">
        <f>'5變(議價前)'!D267</f>
        <v>4</v>
      </c>
      <c r="E506" s="44">
        <f t="shared" si="22"/>
        <v>4</v>
      </c>
      <c r="F506" s="72" t="s">
        <v>3562</v>
      </c>
      <c r="G506" s="72" t="s">
        <v>2867</v>
      </c>
      <c r="H506" s="44">
        <v>1</v>
      </c>
      <c r="I506" s="192">
        <v>4</v>
      </c>
      <c r="J506" s="279">
        <f t="shared" si="21"/>
        <v>0</v>
      </c>
      <c r="N506" s="49"/>
    </row>
    <row r="507" spans="1:14" ht="42.75">
      <c r="A507" s="12" t="s">
        <v>698</v>
      </c>
      <c r="B507" s="10" t="s">
        <v>699</v>
      </c>
      <c r="C507" s="8" t="s">
        <v>669</v>
      </c>
      <c r="D507" s="55">
        <f>'5變(議價前)'!D268</f>
        <v>2</v>
      </c>
      <c r="E507" s="44">
        <f t="shared" si="22"/>
        <v>2</v>
      </c>
      <c r="F507" s="45"/>
      <c r="G507" s="45" t="s">
        <v>2868</v>
      </c>
      <c r="H507" s="44">
        <v>2</v>
      </c>
      <c r="I507" s="192">
        <f t="shared" si="23"/>
        <v>2</v>
      </c>
      <c r="J507" s="279">
        <f>I507-E507</f>
        <v>0</v>
      </c>
      <c r="N507" s="49"/>
    </row>
    <row r="508" spans="1:14" ht="49.5">
      <c r="A508" s="12" t="s">
        <v>701</v>
      </c>
      <c r="B508" s="10" t="s">
        <v>702</v>
      </c>
      <c r="C508" s="8" t="s">
        <v>669</v>
      </c>
      <c r="D508" s="55">
        <f>'5變(議價前)'!D269</f>
        <v>7</v>
      </c>
      <c r="E508" s="44">
        <f t="shared" si="22"/>
        <v>7</v>
      </c>
      <c r="F508" s="45" t="s">
        <v>2476</v>
      </c>
      <c r="G508" s="45" t="s">
        <v>2869</v>
      </c>
      <c r="H508" s="44">
        <v>4</v>
      </c>
      <c r="I508" s="192">
        <v>7</v>
      </c>
      <c r="J508" s="279">
        <f>I508-E508</f>
        <v>0</v>
      </c>
      <c r="N508" s="49"/>
    </row>
    <row r="509" spans="1:14" ht="42.75">
      <c r="A509" s="12" t="s">
        <v>704</v>
      </c>
      <c r="B509" s="10" t="s">
        <v>705</v>
      </c>
      <c r="C509" s="8" t="s">
        <v>669</v>
      </c>
      <c r="D509" s="55">
        <f>'5變(議價前)'!D270</f>
        <v>3</v>
      </c>
      <c r="E509" s="44">
        <f t="shared" si="22"/>
        <v>3</v>
      </c>
      <c r="F509" s="45"/>
      <c r="G509" s="45" t="s">
        <v>2870</v>
      </c>
      <c r="H509" s="44">
        <v>1</v>
      </c>
      <c r="I509" s="192">
        <v>3</v>
      </c>
      <c r="J509" s="279">
        <f>I509-E509</f>
        <v>0</v>
      </c>
      <c r="N509" s="49"/>
    </row>
    <row r="510" spans="1:14" ht="82.5">
      <c r="A510" s="12" t="s">
        <v>707</v>
      </c>
      <c r="B510" s="10" t="s">
        <v>708</v>
      </c>
      <c r="C510" s="8" t="s">
        <v>669</v>
      </c>
      <c r="D510" s="55">
        <f>'5變(議價前)'!D271</f>
        <v>6</v>
      </c>
      <c r="E510" s="44">
        <f>I510</f>
        <v>7</v>
      </c>
      <c r="F510" s="45" t="s">
        <v>3560</v>
      </c>
      <c r="G510" s="45" t="s">
        <v>3559</v>
      </c>
      <c r="H510" s="44">
        <v>7</v>
      </c>
      <c r="I510" s="192">
        <f>H510</f>
        <v>7</v>
      </c>
      <c r="J510" s="279">
        <f>E510-D510</f>
        <v>1</v>
      </c>
      <c r="N510" s="49"/>
    </row>
    <row r="511" spans="1:14" ht="49.5">
      <c r="A511" s="12" t="s">
        <v>710</v>
      </c>
      <c r="B511" s="10" t="s">
        <v>147</v>
      </c>
      <c r="C511" s="8" t="s">
        <v>8</v>
      </c>
      <c r="D511" s="55">
        <f>'5變(議價前)'!D272</f>
        <v>162</v>
      </c>
      <c r="E511" s="44">
        <v>162</v>
      </c>
      <c r="F511" s="72" t="s">
        <v>3562</v>
      </c>
      <c r="G511" s="45">
        <v>162</v>
      </c>
      <c r="H511" s="44">
        <v>162</v>
      </c>
      <c r="I511" s="192">
        <v>162</v>
      </c>
      <c r="J511" s="200">
        <v>0</v>
      </c>
      <c r="N511" s="49"/>
    </row>
    <row r="512" spans="1:14" ht="49.5">
      <c r="A512" s="12" t="s">
        <v>712</v>
      </c>
      <c r="B512" s="10" t="s">
        <v>713</v>
      </c>
      <c r="C512" s="8" t="s">
        <v>15</v>
      </c>
      <c r="D512" s="55">
        <f>'5變(議價前)'!D273</f>
        <v>1</v>
      </c>
      <c r="E512" s="44">
        <f>I512</f>
        <v>4</v>
      </c>
      <c r="F512" s="72" t="s">
        <v>3562</v>
      </c>
      <c r="G512" s="45">
        <v>4</v>
      </c>
      <c r="H512" s="44">
        <v>4</v>
      </c>
      <c r="I512" s="192">
        <f t="shared" si="23"/>
        <v>4</v>
      </c>
      <c r="J512" s="279">
        <f>E512-D512</f>
        <v>3</v>
      </c>
      <c r="N512" s="49"/>
    </row>
    <row r="513" spans="1:14" ht="42.75">
      <c r="A513" s="12" t="s">
        <v>715</v>
      </c>
      <c r="B513" s="10" t="s">
        <v>716</v>
      </c>
      <c r="C513" s="8" t="s">
        <v>15</v>
      </c>
      <c r="D513" s="55">
        <f>'5變(議價前)'!D274</f>
        <v>268</v>
      </c>
      <c r="E513" s="44">
        <v>268</v>
      </c>
      <c r="F513" s="45"/>
      <c r="G513" s="45"/>
      <c r="H513" s="44">
        <v>268</v>
      </c>
      <c r="I513" s="192">
        <f t="shared" si="23"/>
        <v>268</v>
      </c>
      <c r="J513" s="279">
        <f t="shared" ref="J513:J519" si="24">E513-D513</f>
        <v>0</v>
      </c>
      <c r="N513" s="49"/>
    </row>
    <row r="514" spans="1:14" ht="42.75">
      <c r="A514" s="12" t="s">
        <v>718</v>
      </c>
      <c r="B514" s="10" t="s">
        <v>719</v>
      </c>
      <c r="C514" s="8" t="s">
        <v>7</v>
      </c>
      <c r="D514" s="55">
        <f>'5變(議價前)'!D275</f>
        <v>1340</v>
      </c>
      <c r="E514" s="44">
        <v>1340</v>
      </c>
      <c r="F514" s="72"/>
      <c r="G514" s="45"/>
      <c r="H514" s="44">
        <v>1340</v>
      </c>
      <c r="I514" s="192">
        <f t="shared" si="23"/>
        <v>1340</v>
      </c>
      <c r="J514" s="279">
        <f t="shared" si="24"/>
        <v>0</v>
      </c>
      <c r="N514" s="49"/>
    </row>
    <row r="515" spans="1:14" ht="42.75">
      <c r="A515" s="12" t="s">
        <v>721</v>
      </c>
      <c r="B515" s="10" t="s">
        <v>722</v>
      </c>
      <c r="C515" s="8" t="s">
        <v>8</v>
      </c>
      <c r="D515" s="44">
        <v>1</v>
      </c>
      <c r="E515" s="44">
        <v>1</v>
      </c>
      <c r="F515" s="45"/>
      <c r="G515" s="45"/>
      <c r="H515" s="44">
        <v>1</v>
      </c>
      <c r="I515" s="192">
        <f t="shared" si="23"/>
        <v>1</v>
      </c>
      <c r="J515" s="279">
        <f t="shared" si="24"/>
        <v>0</v>
      </c>
      <c r="N515" s="49"/>
    </row>
    <row r="516" spans="1:14" ht="20.100000000000001" customHeight="1">
      <c r="A516" s="12" t="s">
        <v>724</v>
      </c>
      <c r="B516" s="7" t="s">
        <v>725</v>
      </c>
      <c r="C516" s="8" t="s">
        <v>13</v>
      </c>
      <c r="D516" s="44">
        <v>1</v>
      </c>
      <c r="E516" s="44">
        <v>1</v>
      </c>
      <c r="F516" s="50" t="s">
        <v>3640</v>
      </c>
      <c r="G516" s="45"/>
      <c r="H516" s="44">
        <v>1</v>
      </c>
      <c r="I516" s="192">
        <f t="shared" si="23"/>
        <v>1</v>
      </c>
      <c r="J516" s="279">
        <f t="shared" si="24"/>
        <v>0</v>
      </c>
      <c r="N516" s="49"/>
    </row>
    <row r="517" spans="1:14" ht="20.100000000000001" customHeight="1">
      <c r="A517" s="12" t="s">
        <v>727</v>
      </c>
      <c r="B517" s="7" t="s">
        <v>728</v>
      </c>
      <c r="C517" s="8" t="s">
        <v>6</v>
      </c>
      <c r="D517" s="44">
        <v>11.31</v>
      </c>
      <c r="E517" s="44">
        <v>11.31</v>
      </c>
      <c r="F517" s="72" t="s">
        <v>1502</v>
      </c>
      <c r="G517" s="45"/>
      <c r="H517" s="44">
        <v>11.31</v>
      </c>
      <c r="I517" s="192">
        <f>H517</f>
        <v>11.31</v>
      </c>
      <c r="J517" s="279">
        <v>0</v>
      </c>
      <c r="N517" s="49"/>
    </row>
    <row r="518" spans="1:14" ht="20.100000000000001" customHeight="1">
      <c r="A518" s="12" t="s">
        <v>730</v>
      </c>
      <c r="B518" s="7" t="s">
        <v>731</v>
      </c>
      <c r="C518" s="8" t="s">
        <v>4</v>
      </c>
      <c r="D518" s="44">
        <v>1</v>
      </c>
      <c r="E518" s="44">
        <v>1</v>
      </c>
      <c r="F518" s="45"/>
      <c r="G518" s="45"/>
      <c r="H518" s="44">
        <v>1</v>
      </c>
      <c r="I518" s="192">
        <f>H518</f>
        <v>1</v>
      </c>
      <c r="J518" s="279">
        <f t="shared" si="24"/>
        <v>0</v>
      </c>
      <c r="N518" s="49"/>
    </row>
    <row r="519" spans="1:14" ht="28.5">
      <c r="A519" s="12" t="s">
        <v>733</v>
      </c>
      <c r="B519" s="10" t="s">
        <v>734</v>
      </c>
      <c r="C519" s="8" t="s">
        <v>13</v>
      </c>
      <c r="D519" s="44">
        <v>1</v>
      </c>
      <c r="E519" s="44">
        <v>1</v>
      </c>
      <c r="F519" s="50" t="s">
        <v>3641</v>
      </c>
      <c r="G519" s="45"/>
      <c r="H519" s="44">
        <v>1</v>
      </c>
      <c r="I519" s="192">
        <f>H519</f>
        <v>1</v>
      </c>
      <c r="J519" s="279">
        <f t="shared" si="24"/>
        <v>0</v>
      </c>
      <c r="N519" s="49"/>
    </row>
    <row r="520" spans="1:14" ht="33.75">
      <c r="A520" s="12" t="s">
        <v>736</v>
      </c>
      <c r="B520" s="53" t="s">
        <v>737</v>
      </c>
      <c r="C520" s="8" t="s">
        <v>669</v>
      </c>
      <c r="D520" s="44">
        <v>1</v>
      </c>
      <c r="E520" s="44">
        <f>I520</f>
        <v>0</v>
      </c>
      <c r="F520" s="45"/>
      <c r="G520" s="45"/>
      <c r="H520" s="44">
        <v>0</v>
      </c>
      <c r="I520" s="192">
        <v>0</v>
      </c>
      <c r="J520" s="279">
        <v>-1</v>
      </c>
      <c r="N520" s="49"/>
    </row>
    <row r="521" spans="1:14" ht="38.25" customHeight="1">
      <c r="A521" s="236" t="s">
        <v>3218</v>
      </c>
      <c r="B521" s="880" t="str">
        <f>'5變(議價前)'!B282</f>
        <v>烏心石，400 ≦ 樹高 &lt; 450㎝，160≦樹幅＜180cm，8≦ 米高直徑 &lt; 10㎝</v>
      </c>
      <c r="C521" s="228" t="str">
        <f>'5變(議價前)'!C282</f>
        <v>株</v>
      </c>
      <c r="D521" s="229">
        <v>0</v>
      </c>
      <c r="E521" s="44">
        <f t="shared" ref="E521:E572" si="25">I521</f>
        <v>35</v>
      </c>
      <c r="F521" s="230"/>
      <c r="G521" s="45" t="s">
        <v>3215</v>
      </c>
      <c r="H521" s="44">
        <f>5+6+7+5+5+7</f>
        <v>35</v>
      </c>
      <c r="I521" s="249">
        <v>35</v>
      </c>
      <c r="J521" s="285">
        <v>35</v>
      </c>
      <c r="N521" s="49"/>
    </row>
    <row r="522" spans="1:14" ht="33.75">
      <c r="A522" s="12" t="s">
        <v>739</v>
      </c>
      <c r="B522" s="53" t="s">
        <v>740</v>
      </c>
      <c r="C522" s="8" t="s">
        <v>669</v>
      </c>
      <c r="D522" s="44">
        <v>1</v>
      </c>
      <c r="E522" s="44">
        <f t="shared" si="25"/>
        <v>29</v>
      </c>
      <c r="F522" s="45"/>
      <c r="G522" s="45" t="s">
        <v>3216</v>
      </c>
      <c r="H522" s="44">
        <f>4+3+6+7+5+1+3</f>
        <v>29</v>
      </c>
      <c r="I522" s="192">
        <f>H522</f>
        <v>29</v>
      </c>
      <c r="J522" s="279">
        <f t="shared" ref="J522:J574" si="26">E522-D522</f>
        <v>28</v>
      </c>
      <c r="N522" s="49"/>
    </row>
    <row r="523" spans="1:14" ht="33.75">
      <c r="A523" s="12" t="s">
        <v>742</v>
      </c>
      <c r="B523" s="53" t="s">
        <v>743</v>
      </c>
      <c r="C523" s="8" t="s">
        <v>669</v>
      </c>
      <c r="D523" s="44">
        <v>1</v>
      </c>
      <c r="E523" s="44">
        <f t="shared" si="25"/>
        <v>0</v>
      </c>
      <c r="F523" s="45"/>
      <c r="G523" s="45"/>
      <c r="H523" s="44">
        <v>0</v>
      </c>
      <c r="I523" s="192">
        <f>H523</f>
        <v>0</v>
      </c>
      <c r="J523" s="279">
        <f t="shared" si="26"/>
        <v>-1</v>
      </c>
      <c r="N523" s="49"/>
    </row>
    <row r="524" spans="1:14" ht="41.25" customHeight="1">
      <c r="A524" s="236" t="s">
        <v>3218</v>
      </c>
      <c r="B524" s="880" t="str">
        <f>'5變(議價前)'!B285</f>
        <v>光蠟樹，450 ≦ 樹高 &lt; 500㎝，220≦樹幅＜240cm，10 ≦ 米高直徑 &lt; 12㎝</v>
      </c>
      <c r="C524" s="891" t="str">
        <f>'5變(議價前)'!C285</f>
        <v>株</v>
      </c>
      <c r="D524" s="229">
        <v>0</v>
      </c>
      <c r="E524" s="44">
        <f t="shared" si="25"/>
        <v>19</v>
      </c>
      <c r="F524" s="230"/>
      <c r="G524" s="230" t="s">
        <v>3217</v>
      </c>
      <c r="H524" s="229">
        <f>8+6+5</f>
        <v>19</v>
      </c>
      <c r="I524" s="192">
        <f t="shared" ref="I524:I531" si="27">H524</f>
        <v>19</v>
      </c>
      <c r="J524" s="285">
        <v>19</v>
      </c>
      <c r="N524" s="49"/>
    </row>
    <row r="525" spans="1:14" ht="33.75">
      <c r="A525" s="12" t="s">
        <v>745</v>
      </c>
      <c r="B525" s="53" t="s">
        <v>746</v>
      </c>
      <c r="C525" s="8" t="s">
        <v>669</v>
      </c>
      <c r="D525" s="44">
        <v>1</v>
      </c>
      <c r="E525" s="44">
        <f t="shared" si="25"/>
        <v>12</v>
      </c>
      <c r="F525" s="45"/>
      <c r="G525" s="45" t="s">
        <v>3219</v>
      </c>
      <c r="H525" s="44">
        <f>1+11</f>
        <v>12</v>
      </c>
      <c r="I525" s="192">
        <f t="shared" si="27"/>
        <v>12</v>
      </c>
      <c r="J525" s="279">
        <f>I525-D525</f>
        <v>11</v>
      </c>
      <c r="N525" s="49"/>
    </row>
    <row r="526" spans="1:14" ht="33.75">
      <c r="A526" s="12" t="s">
        <v>748</v>
      </c>
      <c r="B526" s="53" t="s">
        <v>749</v>
      </c>
      <c r="C526" s="8" t="s">
        <v>669</v>
      </c>
      <c r="D526" s="44">
        <v>1</v>
      </c>
      <c r="E526" s="44">
        <f t="shared" si="25"/>
        <v>3</v>
      </c>
      <c r="F526" s="45"/>
      <c r="G526" s="45">
        <v>3</v>
      </c>
      <c r="H526" s="44">
        <v>3</v>
      </c>
      <c r="I526" s="192">
        <f t="shared" si="27"/>
        <v>3</v>
      </c>
      <c r="J526" s="279">
        <f t="shared" si="26"/>
        <v>2</v>
      </c>
      <c r="N526" s="49"/>
    </row>
    <row r="527" spans="1:14" ht="33.75">
      <c r="A527" s="12" t="s">
        <v>751</v>
      </c>
      <c r="B527" s="53" t="s">
        <v>752</v>
      </c>
      <c r="C527" s="8" t="s">
        <v>669</v>
      </c>
      <c r="D527" s="44">
        <v>1</v>
      </c>
      <c r="E527" s="44">
        <f t="shared" si="25"/>
        <v>0</v>
      </c>
      <c r="F527" s="45"/>
      <c r="G527" s="45"/>
      <c r="H527" s="44">
        <v>0</v>
      </c>
      <c r="I527" s="192">
        <f t="shared" si="27"/>
        <v>0</v>
      </c>
      <c r="J527" s="279">
        <f t="shared" si="26"/>
        <v>-1</v>
      </c>
      <c r="N527" s="49"/>
    </row>
    <row r="528" spans="1:14" ht="33.75">
      <c r="A528" s="12" t="s">
        <v>754</v>
      </c>
      <c r="B528" s="53" t="s">
        <v>755</v>
      </c>
      <c r="C528" s="8" t="s">
        <v>669</v>
      </c>
      <c r="D528" s="44">
        <v>1</v>
      </c>
      <c r="E528" s="44">
        <f t="shared" si="25"/>
        <v>3</v>
      </c>
      <c r="F528" s="45"/>
      <c r="G528" s="45">
        <v>3</v>
      </c>
      <c r="H528" s="44">
        <v>3</v>
      </c>
      <c r="I528" s="192">
        <f t="shared" si="27"/>
        <v>3</v>
      </c>
      <c r="J528" s="279">
        <f t="shared" si="26"/>
        <v>2</v>
      </c>
      <c r="N528" s="49"/>
    </row>
    <row r="529" spans="1:14" ht="33.75">
      <c r="A529" s="12" t="s">
        <v>757</v>
      </c>
      <c r="B529" s="53" t="s">
        <v>758</v>
      </c>
      <c r="C529" s="8" t="s">
        <v>669</v>
      </c>
      <c r="D529" s="44">
        <v>1</v>
      </c>
      <c r="E529" s="44">
        <f t="shared" si="25"/>
        <v>6</v>
      </c>
      <c r="F529" s="45"/>
      <c r="G529" s="45" t="s">
        <v>3220</v>
      </c>
      <c r="H529" s="44">
        <f>2+2+1+1</f>
        <v>6</v>
      </c>
      <c r="I529" s="192">
        <f t="shared" si="27"/>
        <v>6</v>
      </c>
      <c r="J529" s="279">
        <f t="shared" si="26"/>
        <v>5</v>
      </c>
      <c r="N529" s="49"/>
    </row>
    <row r="530" spans="1:14" ht="33.75">
      <c r="A530" s="12" t="s">
        <v>760</v>
      </c>
      <c r="B530" s="53" t="s">
        <v>761</v>
      </c>
      <c r="C530" s="8" t="s">
        <v>669</v>
      </c>
      <c r="D530" s="44">
        <v>1</v>
      </c>
      <c r="E530" s="44">
        <f t="shared" si="25"/>
        <v>24</v>
      </c>
      <c r="F530" s="45"/>
      <c r="G530" s="45" t="s">
        <v>3636</v>
      </c>
      <c r="H530" s="44">
        <f>5+3+2+2+5+4+3</f>
        <v>24</v>
      </c>
      <c r="I530" s="192">
        <f t="shared" si="27"/>
        <v>24</v>
      </c>
      <c r="J530" s="279">
        <f t="shared" si="26"/>
        <v>23</v>
      </c>
      <c r="N530" s="49"/>
    </row>
    <row r="531" spans="1:14" ht="33.75">
      <c r="A531" s="12" t="s">
        <v>763</v>
      </c>
      <c r="B531" s="53" t="s">
        <v>764</v>
      </c>
      <c r="C531" s="8" t="s">
        <v>669</v>
      </c>
      <c r="D531" s="44">
        <v>1</v>
      </c>
      <c r="E531" s="44">
        <f t="shared" si="25"/>
        <v>2</v>
      </c>
      <c r="F531" s="45"/>
      <c r="G531" s="45">
        <v>2</v>
      </c>
      <c r="H531" s="44">
        <v>2</v>
      </c>
      <c r="I531" s="192">
        <f t="shared" si="27"/>
        <v>2</v>
      </c>
      <c r="J531" s="279">
        <f t="shared" si="26"/>
        <v>1</v>
      </c>
      <c r="N531" s="49"/>
    </row>
    <row r="532" spans="1:14" ht="22.5">
      <c r="A532" s="12" t="s">
        <v>766</v>
      </c>
      <c r="B532" s="53" t="s">
        <v>767</v>
      </c>
      <c r="C532" s="8" t="s">
        <v>669</v>
      </c>
      <c r="D532" s="44">
        <v>1</v>
      </c>
      <c r="E532" s="44">
        <f t="shared" si="25"/>
        <v>215</v>
      </c>
      <c r="F532" s="45"/>
      <c r="G532" s="45" t="s">
        <v>3226</v>
      </c>
      <c r="H532" s="44">
        <f>ROUND(35.9*6,0)</f>
        <v>215</v>
      </c>
      <c r="I532" s="192">
        <f>H532</f>
        <v>215</v>
      </c>
      <c r="J532" s="279">
        <f t="shared" si="26"/>
        <v>214</v>
      </c>
      <c r="N532" s="49"/>
    </row>
    <row r="533" spans="1:14" ht="22.5">
      <c r="A533" s="12" t="s">
        <v>769</v>
      </c>
      <c r="B533" s="53" t="s">
        <v>770</v>
      </c>
      <c r="C533" s="8" t="s">
        <v>669</v>
      </c>
      <c r="D533" s="44">
        <v>1</v>
      </c>
      <c r="E533" s="44">
        <f t="shared" si="25"/>
        <v>0</v>
      </c>
      <c r="F533" s="45"/>
      <c r="G533" s="45">
        <v>0</v>
      </c>
      <c r="H533" s="44">
        <v>0</v>
      </c>
      <c r="I533" s="192">
        <f t="shared" ref="I533:I572" si="28">H533</f>
        <v>0</v>
      </c>
      <c r="J533" s="279">
        <f t="shared" si="26"/>
        <v>-1</v>
      </c>
      <c r="N533" s="49"/>
    </row>
    <row r="534" spans="1:14" ht="22.5">
      <c r="A534" s="12" t="s">
        <v>772</v>
      </c>
      <c r="B534" s="53" t="s">
        <v>773</v>
      </c>
      <c r="C534" s="8" t="s">
        <v>669</v>
      </c>
      <c r="D534" s="44">
        <v>1</v>
      </c>
      <c r="E534" s="44">
        <f t="shared" si="25"/>
        <v>770</v>
      </c>
      <c r="F534" s="45"/>
      <c r="G534" s="45" t="s">
        <v>3225</v>
      </c>
      <c r="H534" s="44">
        <f>ROUND(85.5*9,0)</f>
        <v>770</v>
      </c>
      <c r="I534" s="192">
        <f t="shared" si="28"/>
        <v>770</v>
      </c>
      <c r="J534" s="279">
        <f t="shared" si="26"/>
        <v>769</v>
      </c>
      <c r="N534" s="49"/>
    </row>
    <row r="535" spans="1:14" ht="22.5">
      <c r="A535" s="12" t="s">
        <v>775</v>
      </c>
      <c r="B535" s="53" t="s">
        <v>776</v>
      </c>
      <c r="C535" s="8" t="s">
        <v>669</v>
      </c>
      <c r="D535" s="44">
        <v>1</v>
      </c>
      <c r="E535" s="44">
        <f t="shared" si="25"/>
        <v>804</v>
      </c>
      <c r="F535" s="45"/>
      <c r="G535" s="50" t="s">
        <v>3836</v>
      </c>
      <c r="H535" s="44">
        <f>ROUND(89.3*9,0)</f>
        <v>804</v>
      </c>
      <c r="I535" s="192">
        <f t="shared" si="28"/>
        <v>804</v>
      </c>
      <c r="J535" s="279">
        <f t="shared" si="26"/>
        <v>803</v>
      </c>
      <c r="N535" s="49"/>
    </row>
    <row r="536" spans="1:14" ht="22.5">
      <c r="A536" s="12" t="s">
        <v>778</v>
      </c>
      <c r="B536" s="53" t="s">
        <v>779</v>
      </c>
      <c r="C536" s="8" t="s">
        <v>669</v>
      </c>
      <c r="D536" s="44">
        <v>1</v>
      </c>
      <c r="E536" s="44">
        <f t="shared" si="25"/>
        <v>2383</v>
      </c>
      <c r="F536" s="45"/>
      <c r="G536" s="50" t="s">
        <v>3837</v>
      </c>
      <c r="H536" s="44">
        <f>ROUND(397.1*6,0)</f>
        <v>2383</v>
      </c>
      <c r="I536" s="192">
        <f t="shared" si="28"/>
        <v>2383</v>
      </c>
      <c r="J536" s="279">
        <f t="shared" si="26"/>
        <v>2382</v>
      </c>
      <c r="N536" s="49"/>
    </row>
    <row r="537" spans="1:14" ht="22.5">
      <c r="A537" s="12" t="s">
        <v>781</v>
      </c>
      <c r="B537" s="53" t="s">
        <v>3227</v>
      </c>
      <c r="C537" s="8" t="s">
        <v>669</v>
      </c>
      <c r="D537" s="44">
        <v>1</v>
      </c>
      <c r="E537" s="44">
        <f t="shared" si="25"/>
        <v>1079</v>
      </c>
      <c r="F537" s="45"/>
      <c r="G537" s="50" t="s">
        <v>3838</v>
      </c>
      <c r="H537" s="44">
        <f>ROUND(119.9*9,0)</f>
        <v>1079</v>
      </c>
      <c r="I537" s="192">
        <f t="shared" si="28"/>
        <v>1079</v>
      </c>
      <c r="J537" s="279">
        <f t="shared" si="26"/>
        <v>1078</v>
      </c>
      <c r="N537" s="49"/>
    </row>
    <row r="538" spans="1:14" ht="22.5">
      <c r="A538" s="12" t="s">
        <v>784</v>
      </c>
      <c r="B538" s="53" t="s">
        <v>785</v>
      </c>
      <c r="C538" s="8" t="s">
        <v>669</v>
      </c>
      <c r="D538" s="44">
        <v>1</v>
      </c>
      <c r="E538" s="44">
        <f t="shared" si="25"/>
        <v>2343</v>
      </c>
      <c r="F538" s="45"/>
      <c r="G538" s="50" t="s">
        <v>3839</v>
      </c>
      <c r="H538" s="44">
        <f>ROUND(93.7*25,0)</f>
        <v>2343</v>
      </c>
      <c r="I538" s="192">
        <f t="shared" si="28"/>
        <v>2343</v>
      </c>
      <c r="J538" s="279">
        <f t="shared" si="26"/>
        <v>2342</v>
      </c>
      <c r="N538" s="49"/>
    </row>
    <row r="539" spans="1:14" ht="22.5">
      <c r="A539" s="12" t="s">
        <v>787</v>
      </c>
      <c r="B539" s="53" t="s">
        <v>788</v>
      </c>
      <c r="C539" s="8" t="s">
        <v>669</v>
      </c>
      <c r="D539" s="44">
        <v>1</v>
      </c>
      <c r="E539" s="44">
        <f t="shared" si="25"/>
        <v>6458</v>
      </c>
      <c r="F539" s="45"/>
      <c r="G539" s="50" t="s">
        <v>3840</v>
      </c>
      <c r="H539" s="44">
        <f>ROUND(179.4*36,0)</f>
        <v>6458</v>
      </c>
      <c r="I539" s="192">
        <f t="shared" si="28"/>
        <v>6458</v>
      </c>
      <c r="J539" s="279">
        <f t="shared" si="26"/>
        <v>6457</v>
      </c>
      <c r="N539" s="49"/>
    </row>
    <row r="540" spans="1:14" ht="22.5">
      <c r="A540" s="12" t="s">
        <v>790</v>
      </c>
      <c r="B540" s="53" t="s">
        <v>791</v>
      </c>
      <c r="C540" s="8" t="s">
        <v>669</v>
      </c>
      <c r="D540" s="44">
        <v>1</v>
      </c>
      <c r="E540" s="44">
        <f t="shared" si="25"/>
        <v>7893</v>
      </c>
      <c r="F540" s="45"/>
      <c r="G540" s="50" t="s">
        <v>3841</v>
      </c>
      <c r="H540" s="44">
        <f>ROUND(315.7*25,0)</f>
        <v>7893</v>
      </c>
      <c r="I540" s="192">
        <f t="shared" si="28"/>
        <v>7893</v>
      </c>
      <c r="J540" s="279">
        <f t="shared" si="26"/>
        <v>7892</v>
      </c>
      <c r="N540" s="49"/>
    </row>
    <row r="541" spans="1:14" ht="22.5">
      <c r="A541" s="12" t="s">
        <v>793</v>
      </c>
      <c r="B541" s="53" t="s">
        <v>794</v>
      </c>
      <c r="C541" s="8" t="s">
        <v>669</v>
      </c>
      <c r="D541" s="44">
        <v>1</v>
      </c>
      <c r="E541" s="44">
        <f t="shared" si="25"/>
        <v>2013</v>
      </c>
      <c r="F541" s="45"/>
      <c r="G541" s="45" t="s">
        <v>3230</v>
      </c>
      <c r="H541" s="44">
        <f>ROUND(80.5*25,0)</f>
        <v>2013</v>
      </c>
      <c r="I541" s="192">
        <f t="shared" si="28"/>
        <v>2013</v>
      </c>
      <c r="J541" s="279">
        <f t="shared" si="26"/>
        <v>2012</v>
      </c>
      <c r="N541" s="49"/>
    </row>
    <row r="542" spans="1:14" ht="22.5">
      <c r="A542" s="12" t="s">
        <v>796</v>
      </c>
      <c r="B542" s="53" t="s">
        <v>797</v>
      </c>
      <c r="C542" s="8" t="s">
        <v>669</v>
      </c>
      <c r="D542" s="44">
        <v>1</v>
      </c>
      <c r="E542" s="44">
        <f t="shared" si="25"/>
        <v>5128</v>
      </c>
      <c r="F542" s="45"/>
      <c r="G542" s="50" t="s">
        <v>3842</v>
      </c>
      <c r="H542" s="44">
        <f>ROUND(205.1*25,0)</f>
        <v>5128</v>
      </c>
      <c r="I542" s="192">
        <f t="shared" si="28"/>
        <v>5128</v>
      </c>
      <c r="J542" s="279">
        <f t="shared" si="26"/>
        <v>5127</v>
      </c>
      <c r="N542" s="49"/>
    </row>
    <row r="543" spans="1:14" ht="22.5">
      <c r="A543" s="12" t="s">
        <v>799</v>
      </c>
      <c r="B543" s="53" t="s">
        <v>800</v>
      </c>
      <c r="C543" s="8" t="s">
        <v>669</v>
      </c>
      <c r="D543" s="44">
        <v>1</v>
      </c>
      <c r="E543" s="44">
        <f t="shared" si="25"/>
        <v>0</v>
      </c>
      <c r="F543" s="45"/>
      <c r="G543" s="45">
        <v>0</v>
      </c>
      <c r="H543" s="44">
        <v>0</v>
      </c>
      <c r="I543" s="192">
        <f t="shared" si="28"/>
        <v>0</v>
      </c>
      <c r="J543" s="279">
        <f t="shared" si="26"/>
        <v>-1</v>
      </c>
      <c r="N543" s="49"/>
    </row>
    <row r="544" spans="1:14" ht="22.5">
      <c r="A544" s="12" t="s">
        <v>802</v>
      </c>
      <c r="B544" s="53" t="s">
        <v>803</v>
      </c>
      <c r="C544" s="8" t="s">
        <v>669</v>
      </c>
      <c r="D544" s="44">
        <v>1</v>
      </c>
      <c r="E544" s="44">
        <f t="shared" si="25"/>
        <v>840</v>
      </c>
      <c r="F544" s="45"/>
      <c r="G544" s="45" t="s">
        <v>3231</v>
      </c>
      <c r="H544" s="44">
        <f>ROUND(33.6*25,0)</f>
        <v>840</v>
      </c>
      <c r="I544" s="192">
        <f t="shared" si="28"/>
        <v>840</v>
      </c>
      <c r="J544" s="279">
        <f t="shared" si="26"/>
        <v>839</v>
      </c>
      <c r="N544" s="49"/>
    </row>
    <row r="545" spans="1:14" ht="22.5">
      <c r="A545" s="12" t="s">
        <v>805</v>
      </c>
      <c r="B545" s="53" t="s">
        <v>806</v>
      </c>
      <c r="C545" s="8" t="s">
        <v>669</v>
      </c>
      <c r="D545" s="44">
        <v>1</v>
      </c>
      <c r="E545" s="44">
        <f t="shared" si="25"/>
        <v>1525</v>
      </c>
      <c r="F545" s="45"/>
      <c r="G545" s="45" t="s">
        <v>3232</v>
      </c>
      <c r="H545" s="44">
        <f>ROUND(61*25,0)</f>
        <v>1525</v>
      </c>
      <c r="I545" s="192">
        <f>H545</f>
        <v>1525</v>
      </c>
      <c r="J545" s="279">
        <f t="shared" si="26"/>
        <v>1524</v>
      </c>
      <c r="N545" s="49"/>
    </row>
    <row r="546" spans="1:14" ht="22.5">
      <c r="A546" s="12" t="s">
        <v>808</v>
      </c>
      <c r="B546" s="53" t="s">
        <v>809</v>
      </c>
      <c r="C546" s="8" t="s">
        <v>669</v>
      </c>
      <c r="D546" s="44">
        <v>1</v>
      </c>
      <c r="E546" s="44">
        <f t="shared" si="25"/>
        <v>14958</v>
      </c>
      <c r="F546" s="45"/>
      <c r="G546" s="50" t="s">
        <v>3843</v>
      </c>
      <c r="H546" s="44">
        <f>ROUND(598.3*25,0)</f>
        <v>14958</v>
      </c>
      <c r="I546" s="192">
        <f t="shared" si="28"/>
        <v>14958</v>
      </c>
      <c r="J546" s="279">
        <f t="shared" si="26"/>
        <v>14957</v>
      </c>
      <c r="N546" s="49"/>
    </row>
    <row r="547" spans="1:14" ht="22.5">
      <c r="A547" s="12" t="s">
        <v>811</v>
      </c>
      <c r="B547" s="53" t="s">
        <v>812</v>
      </c>
      <c r="C547" s="8" t="s">
        <v>669</v>
      </c>
      <c r="D547" s="44">
        <v>1</v>
      </c>
      <c r="E547" s="44">
        <f t="shared" si="25"/>
        <v>0</v>
      </c>
      <c r="F547" s="45"/>
      <c r="G547" s="45">
        <v>0</v>
      </c>
      <c r="H547" s="44">
        <v>0</v>
      </c>
      <c r="I547" s="192">
        <f t="shared" si="28"/>
        <v>0</v>
      </c>
      <c r="J547" s="279">
        <f t="shared" si="26"/>
        <v>-1</v>
      </c>
      <c r="N547" s="49"/>
    </row>
    <row r="548" spans="1:14" ht="22.5">
      <c r="A548" s="12" t="s">
        <v>814</v>
      </c>
      <c r="B548" s="53" t="s">
        <v>815</v>
      </c>
      <c r="C548" s="8" t="s">
        <v>669</v>
      </c>
      <c r="D548" s="44">
        <v>1</v>
      </c>
      <c r="E548" s="44">
        <f t="shared" si="25"/>
        <v>410</v>
      </c>
      <c r="F548" s="45"/>
      <c r="G548" s="45" t="s">
        <v>3236</v>
      </c>
      <c r="H548" s="44">
        <f>ROUND(16.4*25,0)</f>
        <v>410</v>
      </c>
      <c r="I548" s="192">
        <f t="shared" si="28"/>
        <v>410</v>
      </c>
      <c r="J548" s="279">
        <f t="shared" si="26"/>
        <v>409</v>
      </c>
      <c r="N548" s="49"/>
    </row>
    <row r="549" spans="1:14" ht="22.5">
      <c r="A549" s="12" t="s">
        <v>817</v>
      </c>
      <c r="B549" s="53" t="s">
        <v>818</v>
      </c>
      <c r="C549" s="8" t="s">
        <v>669</v>
      </c>
      <c r="D549" s="44">
        <v>1</v>
      </c>
      <c r="E549" s="44">
        <f t="shared" si="25"/>
        <v>5738</v>
      </c>
      <c r="F549" s="45"/>
      <c r="G549" s="936" t="s">
        <v>3845</v>
      </c>
      <c r="H549" s="44">
        <f>ROUND(229.5*25,0)</f>
        <v>5738</v>
      </c>
      <c r="I549" s="192">
        <f t="shared" si="28"/>
        <v>5738</v>
      </c>
      <c r="J549" s="279">
        <f t="shared" si="26"/>
        <v>5737</v>
      </c>
      <c r="N549" s="49"/>
    </row>
    <row r="550" spans="1:14" ht="22.5">
      <c r="A550" s="12" t="s">
        <v>820</v>
      </c>
      <c r="B550" s="53" t="s">
        <v>821</v>
      </c>
      <c r="C550" s="8" t="s">
        <v>669</v>
      </c>
      <c r="D550" s="44">
        <v>1</v>
      </c>
      <c r="E550" s="44">
        <f t="shared" si="25"/>
        <v>735</v>
      </c>
      <c r="F550" s="45"/>
      <c r="G550" s="45" t="s">
        <v>3237</v>
      </c>
      <c r="H550" s="44">
        <f>ROUND(29.4*25,0)</f>
        <v>735</v>
      </c>
      <c r="I550" s="192">
        <f t="shared" si="28"/>
        <v>735</v>
      </c>
      <c r="J550" s="279">
        <f t="shared" si="26"/>
        <v>734</v>
      </c>
      <c r="N550" s="49"/>
    </row>
    <row r="551" spans="1:14" ht="22.5">
      <c r="A551" s="12" t="s">
        <v>823</v>
      </c>
      <c r="B551" s="53" t="s">
        <v>824</v>
      </c>
      <c r="C551" s="8" t="s">
        <v>669</v>
      </c>
      <c r="D551" s="44">
        <v>1</v>
      </c>
      <c r="E551" s="44">
        <f t="shared" si="25"/>
        <v>248</v>
      </c>
      <c r="F551" s="45"/>
      <c r="G551" s="45" t="s">
        <v>3238</v>
      </c>
      <c r="H551" s="44">
        <f>ROUND(9.9*25,0)</f>
        <v>248</v>
      </c>
      <c r="I551" s="192">
        <f>H551</f>
        <v>248</v>
      </c>
      <c r="J551" s="279">
        <f t="shared" si="26"/>
        <v>247</v>
      </c>
      <c r="N551" s="49"/>
    </row>
    <row r="552" spans="1:14" ht="22.5">
      <c r="A552" s="12" t="s">
        <v>826</v>
      </c>
      <c r="B552" s="53" t="s">
        <v>827</v>
      </c>
      <c r="C552" s="8" t="s">
        <v>669</v>
      </c>
      <c r="D552" s="44">
        <v>1</v>
      </c>
      <c r="E552" s="44">
        <f t="shared" si="25"/>
        <v>2733</v>
      </c>
      <c r="F552" s="45"/>
      <c r="G552" s="45" t="s">
        <v>3239</v>
      </c>
      <c r="H552" s="44">
        <f>ROUND(109.3*25,0)</f>
        <v>2733</v>
      </c>
      <c r="I552" s="192">
        <f t="shared" si="28"/>
        <v>2733</v>
      </c>
      <c r="J552" s="279">
        <f t="shared" si="26"/>
        <v>2732</v>
      </c>
      <c r="N552" s="49"/>
    </row>
    <row r="553" spans="1:14" ht="22.5">
      <c r="A553" s="12" t="s">
        <v>829</v>
      </c>
      <c r="B553" s="53" t="s">
        <v>830</v>
      </c>
      <c r="C553" s="8" t="s">
        <v>669</v>
      </c>
      <c r="D553" s="44">
        <v>1</v>
      </c>
      <c r="E553" s="44">
        <f t="shared" si="25"/>
        <v>0</v>
      </c>
      <c r="F553" s="45"/>
      <c r="G553" s="45">
        <v>0</v>
      </c>
      <c r="H553" s="44">
        <v>0</v>
      </c>
      <c r="I553" s="192">
        <f t="shared" si="28"/>
        <v>0</v>
      </c>
      <c r="J553" s="279">
        <f t="shared" si="26"/>
        <v>-1</v>
      </c>
      <c r="N553" s="49"/>
    </row>
    <row r="554" spans="1:14" ht="22.5">
      <c r="A554" s="12" t="s">
        <v>832</v>
      </c>
      <c r="B554" s="53" t="s">
        <v>833</v>
      </c>
      <c r="C554" s="8" t="s">
        <v>669</v>
      </c>
      <c r="D554" s="44">
        <v>1</v>
      </c>
      <c r="E554" s="44">
        <f t="shared" si="25"/>
        <v>0</v>
      </c>
      <c r="F554" s="45"/>
      <c r="G554" s="45">
        <v>0</v>
      </c>
      <c r="H554" s="44">
        <v>0</v>
      </c>
      <c r="I554" s="192">
        <f t="shared" si="28"/>
        <v>0</v>
      </c>
      <c r="J554" s="279">
        <f t="shared" si="26"/>
        <v>-1</v>
      </c>
      <c r="N554" s="49"/>
    </row>
    <row r="555" spans="1:14" ht="22.5">
      <c r="A555" s="236" t="s">
        <v>3218</v>
      </c>
      <c r="B555" s="937" t="str">
        <f>'5變(議價前)'!B316</f>
        <v>紙莎草，30≦枝長&lt;40cm，寬度&lt;10cm</v>
      </c>
      <c r="C555" s="8" t="s">
        <v>669</v>
      </c>
      <c r="D555" s="229">
        <v>0</v>
      </c>
      <c r="E555" s="44">
        <f t="shared" si="25"/>
        <v>949</v>
      </c>
      <c r="F555" s="230"/>
      <c r="G555" s="230" t="s">
        <v>3240</v>
      </c>
      <c r="H555" s="229">
        <f>ROUND(59.3*16,0)</f>
        <v>949</v>
      </c>
      <c r="I555" s="249">
        <f>H555</f>
        <v>949</v>
      </c>
      <c r="J555" s="279">
        <f t="shared" si="26"/>
        <v>949</v>
      </c>
      <c r="N555" s="49"/>
    </row>
    <row r="556" spans="1:14" ht="22.5">
      <c r="A556" s="12" t="s">
        <v>835</v>
      </c>
      <c r="B556" s="53" t="s">
        <v>836</v>
      </c>
      <c r="C556" s="8" t="s">
        <v>669</v>
      </c>
      <c r="D556" s="44">
        <v>1</v>
      </c>
      <c r="E556" s="44">
        <f t="shared" si="25"/>
        <v>0</v>
      </c>
      <c r="F556" s="45"/>
      <c r="G556" s="45">
        <v>0</v>
      </c>
      <c r="H556" s="44">
        <v>0</v>
      </c>
      <c r="I556" s="192">
        <f t="shared" si="28"/>
        <v>0</v>
      </c>
      <c r="J556" s="279">
        <f t="shared" si="26"/>
        <v>-1</v>
      </c>
      <c r="N556" s="49"/>
    </row>
    <row r="557" spans="1:14" ht="22.5">
      <c r="A557" s="12" t="s">
        <v>838</v>
      </c>
      <c r="B557" s="53" t="s">
        <v>839</v>
      </c>
      <c r="C557" s="8" t="s">
        <v>669</v>
      </c>
      <c r="D557" s="44">
        <v>1</v>
      </c>
      <c r="E557" s="44">
        <f t="shared" si="25"/>
        <v>1962</v>
      </c>
      <c r="F557" s="45"/>
      <c r="G557" s="936" t="s">
        <v>3847</v>
      </c>
      <c r="H557" s="44">
        <f>ROUND(218*9,0)</f>
        <v>1962</v>
      </c>
      <c r="I557" s="192">
        <f t="shared" si="28"/>
        <v>1962</v>
      </c>
      <c r="J557" s="279">
        <f t="shared" si="26"/>
        <v>1961</v>
      </c>
      <c r="N557" s="49"/>
    </row>
    <row r="558" spans="1:14" ht="22.5">
      <c r="A558" s="12" t="s">
        <v>841</v>
      </c>
      <c r="B558" s="53" t="s">
        <v>842</v>
      </c>
      <c r="C558" s="8" t="s">
        <v>669</v>
      </c>
      <c r="D558" s="44">
        <v>1</v>
      </c>
      <c r="E558" s="44">
        <f t="shared" si="25"/>
        <v>0</v>
      </c>
      <c r="F558" s="45"/>
      <c r="G558" s="45">
        <v>0</v>
      </c>
      <c r="H558" s="44">
        <v>0</v>
      </c>
      <c r="I558" s="192">
        <f t="shared" si="28"/>
        <v>0</v>
      </c>
      <c r="J558" s="279">
        <f t="shared" si="26"/>
        <v>-1</v>
      </c>
      <c r="N558" s="49"/>
    </row>
    <row r="559" spans="1:14" ht="22.5">
      <c r="A559" s="12" t="s">
        <v>844</v>
      </c>
      <c r="B559" s="53" t="s">
        <v>845</v>
      </c>
      <c r="C559" s="8" t="s">
        <v>669</v>
      </c>
      <c r="D559" s="44">
        <v>1</v>
      </c>
      <c r="E559" s="44">
        <f t="shared" si="25"/>
        <v>1650</v>
      </c>
      <c r="F559" s="45"/>
      <c r="G559" s="936" t="s">
        <v>3848</v>
      </c>
      <c r="H559" s="44">
        <f>ROUND(66*25,0)</f>
        <v>1650</v>
      </c>
      <c r="I559" s="192">
        <f t="shared" si="28"/>
        <v>1650</v>
      </c>
      <c r="J559" s="279">
        <f t="shared" si="26"/>
        <v>1649</v>
      </c>
      <c r="N559" s="49"/>
    </row>
    <row r="560" spans="1:14" ht="22.5">
      <c r="A560" s="12" t="s">
        <v>847</v>
      </c>
      <c r="B560" s="53" t="s">
        <v>848</v>
      </c>
      <c r="C560" s="8" t="s">
        <v>669</v>
      </c>
      <c r="D560" s="44">
        <v>1</v>
      </c>
      <c r="E560" s="44">
        <f t="shared" si="25"/>
        <v>510</v>
      </c>
      <c r="F560" s="45"/>
      <c r="G560" s="45" t="s">
        <v>3241</v>
      </c>
      <c r="H560" s="44">
        <f>ROUND(20.4*25,0)</f>
        <v>510</v>
      </c>
      <c r="I560" s="192">
        <f t="shared" si="28"/>
        <v>510</v>
      </c>
      <c r="J560" s="279">
        <f t="shared" si="26"/>
        <v>509</v>
      </c>
      <c r="N560" s="49"/>
    </row>
    <row r="561" spans="1:14" ht="22.5">
      <c r="A561" s="12" t="s">
        <v>850</v>
      </c>
      <c r="B561" s="53" t="s">
        <v>851</v>
      </c>
      <c r="C561" s="8" t="s">
        <v>669</v>
      </c>
      <c r="D561" s="44">
        <v>1</v>
      </c>
      <c r="E561" s="44">
        <f t="shared" si="25"/>
        <v>1078</v>
      </c>
      <c r="F561" s="45"/>
      <c r="G561" s="936" t="s">
        <v>3849</v>
      </c>
      <c r="H561" s="44">
        <f>ROUND(67.4*16,0)</f>
        <v>1078</v>
      </c>
      <c r="I561" s="192">
        <f t="shared" si="28"/>
        <v>1078</v>
      </c>
      <c r="J561" s="279">
        <f t="shared" si="26"/>
        <v>1077</v>
      </c>
      <c r="N561" s="49"/>
    </row>
    <row r="562" spans="1:14" ht="22.5">
      <c r="A562" s="12" t="s">
        <v>853</v>
      </c>
      <c r="B562" s="53" t="s">
        <v>854</v>
      </c>
      <c r="C562" s="8" t="s">
        <v>669</v>
      </c>
      <c r="D562" s="44">
        <v>1</v>
      </c>
      <c r="E562" s="44">
        <f t="shared" si="25"/>
        <v>0</v>
      </c>
      <c r="F562" s="45"/>
      <c r="G562" s="45">
        <v>0</v>
      </c>
      <c r="H562" s="44">
        <v>0</v>
      </c>
      <c r="I562" s="192">
        <f t="shared" si="28"/>
        <v>0</v>
      </c>
      <c r="J562" s="279">
        <f t="shared" si="26"/>
        <v>-1</v>
      </c>
      <c r="N562" s="49"/>
    </row>
    <row r="563" spans="1:14" ht="22.5">
      <c r="A563" s="12" t="s">
        <v>856</v>
      </c>
      <c r="B563" s="53" t="s">
        <v>857</v>
      </c>
      <c r="C563" s="8" t="s">
        <v>669</v>
      </c>
      <c r="D563" s="44">
        <v>1</v>
      </c>
      <c r="E563" s="44">
        <f t="shared" si="25"/>
        <v>0</v>
      </c>
      <c r="F563" s="45"/>
      <c r="G563" s="45">
        <v>0</v>
      </c>
      <c r="H563" s="44">
        <v>0</v>
      </c>
      <c r="I563" s="192">
        <f t="shared" si="28"/>
        <v>0</v>
      </c>
      <c r="J563" s="279">
        <f t="shared" si="26"/>
        <v>-1</v>
      </c>
      <c r="N563" s="49"/>
    </row>
    <row r="564" spans="1:14" ht="22.5">
      <c r="A564" s="12" t="s">
        <v>859</v>
      </c>
      <c r="B564" s="53" t="s">
        <v>860</v>
      </c>
      <c r="C564" s="8" t="s">
        <v>669</v>
      </c>
      <c r="D564" s="44">
        <v>1</v>
      </c>
      <c r="E564" s="44">
        <f t="shared" si="25"/>
        <v>2150</v>
      </c>
      <c r="F564" s="45"/>
      <c r="G564" s="45">
        <v>134.4</v>
      </c>
      <c r="H564" s="44">
        <f>ROUND(134.4*16,0)</f>
        <v>2150</v>
      </c>
      <c r="I564" s="192">
        <f t="shared" si="28"/>
        <v>2150</v>
      </c>
      <c r="J564" s="279">
        <f t="shared" si="26"/>
        <v>2149</v>
      </c>
      <c r="N564" s="49"/>
    </row>
    <row r="565" spans="1:14" ht="22.5">
      <c r="A565" s="12" t="s">
        <v>862</v>
      </c>
      <c r="B565" s="53" t="s">
        <v>863</v>
      </c>
      <c r="C565" s="8" t="s">
        <v>669</v>
      </c>
      <c r="D565" s="44">
        <v>1</v>
      </c>
      <c r="E565" s="44">
        <f t="shared" si="25"/>
        <v>5336</v>
      </c>
      <c r="F565" s="45"/>
      <c r="G565" s="45" t="s">
        <v>3242</v>
      </c>
      <c r="H565" s="44">
        <f>ROUND(592.9*9,0)</f>
        <v>5336</v>
      </c>
      <c r="I565" s="192">
        <f>H565</f>
        <v>5336</v>
      </c>
      <c r="J565" s="279">
        <f t="shared" si="26"/>
        <v>5335</v>
      </c>
      <c r="N565" s="49"/>
    </row>
    <row r="566" spans="1:14" ht="22.5">
      <c r="A566" s="12" t="s">
        <v>865</v>
      </c>
      <c r="B566" s="53" t="s">
        <v>866</v>
      </c>
      <c r="C566" s="8" t="s">
        <v>669</v>
      </c>
      <c r="D566" s="44">
        <v>1</v>
      </c>
      <c r="E566" s="44">
        <f t="shared" si="25"/>
        <v>0</v>
      </c>
      <c r="F566" s="45"/>
      <c r="G566" s="45">
        <v>0</v>
      </c>
      <c r="H566" s="44">
        <v>0</v>
      </c>
      <c r="I566" s="192">
        <f t="shared" si="28"/>
        <v>0</v>
      </c>
      <c r="J566" s="279">
        <f t="shared" si="26"/>
        <v>-1</v>
      </c>
      <c r="N566" s="49"/>
    </row>
    <row r="567" spans="1:14" ht="22.5">
      <c r="A567" s="12" t="s">
        <v>868</v>
      </c>
      <c r="B567" s="53" t="s">
        <v>869</v>
      </c>
      <c r="C567" s="8" t="s">
        <v>669</v>
      </c>
      <c r="D567" s="44">
        <v>1</v>
      </c>
      <c r="E567" s="44">
        <f t="shared" si="25"/>
        <v>0</v>
      </c>
      <c r="F567" s="45"/>
      <c r="G567" s="45">
        <v>0</v>
      </c>
      <c r="H567" s="44">
        <v>0</v>
      </c>
      <c r="I567" s="192">
        <f t="shared" si="28"/>
        <v>0</v>
      </c>
      <c r="J567" s="279">
        <f t="shared" si="26"/>
        <v>-1</v>
      </c>
      <c r="N567" s="49"/>
    </row>
    <row r="568" spans="1:14" ht="22.5">
      <c r="A568" s="12" t="s">
        <v>871</v>
      </c>
      <c r="B568" s="53" t="s">
        <v>872</v>
      </c>
      <c r="C568" s="8" t="s">
        <v>669</v>
      </c>
      <c r="D568" s="44">
        <v>1</v>
      </c>
      <c r="E568" s="44">
        <f t="shared" si="25"/>
        <v>1492</v>
      </c>
      <c r="F568" s="45"/>
      <c r="G568" s="45" t="s">
        <v>3244</v>
      </c>
      <c r="H568" s="44">
        <f>ROUND(165.8*9,0)</f>
        <v>1492</v>
      </c>
      <c r="I568" s="192">
        <f t="shared" si="28"/>
        <v>1492</v>
      </c>
      <c r="J568" s="279">
        <f t="shared" si="26"/>
        <v>1491</v>
      </c>
      <c r="N568" s="49"/>
    </row>
    <row r="569" spans="1:14" ht="22.5">
      <c r="A569" s="12" t="s">
        <v>874</v>
      </c>
      <c r="B569" s="53" t="s">
        <v>875</v>
      </c>
      <c r="C569" s="8" t="s">
        <v>669</v>
      </c>
      <c r="D569" s="44">
        <v>1</v>
      </c>
      <c r="E569" s="44">
        <f t="shared" si="25"/>
        <v>202</v>
      </c>
      <c r="F569" s="45"/>
      <c r="G569" s="45" t="s">
        <v>3243</v>
      </c>
      <c r="H569" s="44">
        <f>ROUND(22.4*9,0)</f>
        <v>202</v>
      </c>
      <c r="I569" s="192">
        <f t="shared" si="28"/>
        <v>202</v>
      </c>
      <c r="J569" s="279">
        <f t="shared" si="26"/>
        <v>201</v>
      </c>
      <c r="N569" s="49"/>
    </row>
    <row r="570" spans="1:14" ht="28.5">
      <c r="A570" s="12" t="s">
        <v>877</v>
      </c>
      <c r="B570" s="10" t="s">
        <v>878</v>
      </c>
      <c r="C570" s="8" t="s">
        <v>13</v>
      </c>
      <c r="D570" s="44">
        <v>1</v>
      </c>
      <c r="E570" s="44">
        <f t="shared" si="25"/>
        <v>1368</v>
      </c>
      <c r="F570" s="45"/>
      <c r="G570" s="45">
        <v>1368</v>
      </c>
      <c r="H570" s="44">
        <v>1368</v>
      </c>
      <c r="I570" s="192">
        <f t="shared" si="28"/>
        <v>1368</v>
      </c>
      <c r="J570" s="279">
        <f t="shared" si="26"/>
        <v>1367</v>
      </c>
      <c r="N570" s="49"/>
    </row>
    <row r="571" spans="1:14" ht="28.5">
      <c r="A571" s="12" t="s">
        <v>880</v>
      </c>
      <c r="B571" s="10" t="s">
        <v>881</v>
      </c>
      <c r="C571" s="8" t="s">
        <v>882</v>
      </c>
      <c r="D571" s="44">
        <v>1</v>
      </c>
      <c r="E571" s="44">
        <f t="shared" si="25"/>
        <v>37440</v>
      </c>
      <c r="F571" s="45"/>
      <c r="G571" s="45" t="s">
        <v>3245</v>
      </c>
      <c r="H571" s="44">
        <f>187.2*200</f>
        <v>37440</v>
      </c>
      <c r="I571" s="192">
        <f t="shared" si="28"/>
        <v>37440</v>
      </c>
      <c r="J571" s="279">
        <f t="shared" si="26"/>
        <v>37439</v>
      </c>
      <c r="N571" s="49"/>
    </row>
    <row r="572" spans="1:14">
      <c r="A572" s="12" t="s">
        <v>884</v>
      </c>
      <c r="B572" s="7" t="s">
        <v>885</v>
      </c>
      <c r="C572" s="8" t="s">
        <v>13</v>
      </c>
      <c r="D572" s="44">
        <v>1</v>
      </c>
      <c r="E572" s="44">
        <f t="shared" si="25"/>
        <v>6680.6</v>
      </c>
      <c r="F572" s="45" t="s">
        <v>3246</v>
      </c>
      <c r="G572" s="45" t="s">
        <v>3631</v>
      </c>
      <c r="H572" s="44">
        <f>6280.6+400</f>
        <v>6680.6</v>
      </c>
      <c r="I572" s="192">
        <f t="shared" si="28"/>
        <v>6680.6</v>
      </c>
      <c r="J572" s="279">
        <f t="shared" si="26"/>
        <v>6679.6</v>
      </c>
      <c r="N572" s="49"/>
    </row>
    <row r="573" spans="1:14" ht="42.75">
      <c r="A573" s="12" t="s">
        <v>1505</v>
      </c>
      <c r="B573" s="10" t="s">
        <v>1506</v>
      </c>
      <c r="C573" s="8" t="s">
        <v>8</v>
      </c>
      <c r="D573" s="44">
        <v>1305</v>
      </c>
      <c r="E573" s="44">
        <f t="shared" ref="E573:E579" si="29">I573</f>
        <v>1308</v>
      </c>
      <c r="F573" s="45" t="s">
        <v>1502</v>
      </c>
      <c r="G573" s="45" t="s">
        <v>1510</v>
      </c>
      <c r="H573" s="44">
        <f>43.6/0.2*6</f>
        <v>1308</v>
      </c>
      <c r="I573" s="192">
        <f t="shared" ref="I573:I578" si="30">H573</f>
        <v>1308</v>
      </c>
      <c r="J573" s="279">
        <f t="shared" si="26"/>
        <v>3</v>
      </c>
      <c r="K573" s="433" t="s">
        <v>3247</v>
      </c>
      <c r="N573" s="49"/>
    </row>
    <row r="574" spans="1:14" ht="66">
      <c r="A574" s="12" t="s">
        <v>1507</v>
      </c>
      <c r="B574" s="7" t="s">
        <v>1508</v>
      </c>
      <c r="C574" s="8" t="s">
        <v>1509</v>
      </c>
      <c r="D574" s="44">
        <v>15318</v>
      </c>
      <c r="E574" s="44">
        <f t="shared" si="29"/>
        <v>13991</v>
      </c>
      <c r="F574" s="50" t="s">
        <v>3761</v>
      </c>
      <c r="G574" s="50" t="s">
        <v>3760</v>
      </c>
      <c r="H574" s="44">
        <f>(40*5.9*10)+(240*1*10)+(280*4*2)+(246*(4+18+4)+20*4)+(25*6)+(73*5)</f>
        <v>13991</v>
      </c>
      <c r="I574" s="192">
        <f t="shared" si="30"/>
        <v>13991</v>
      </c>
      <c r="J574" s="279">
        <f t="shared" si="26"/>
        <v>-1327</v>
      </c>
      <c r="K574" s="852" t="s">
        <v>3759</v>
      </c>
      <c r="N574" s="49"/>
    </row>
    <row r="575" spans="1:14" ht="42" customHeight="1">
      <c r="A575" s="12" t="s">
        <v>3222</v>
      </c>
      <c r="B575" s="227" t="str">
        <f>'5變(議價前)'!B336</f>
        <v>森氏紅淡比，250 ≦ 樹高 &lt; 300㎝，160≦樹幅＜180cm，8 ≦ 米高直徑 &lt; 10㎝</v>
      </c>
      <c r="C575" s="8" t="s">
        <v>669</v>
      </c>
      <c r="D575" s="229">
        <v>0</v>
      </c>
      <c r="E575" s="229">
        <f t="shared" si="29"/>
        <v>19</v>
      </c>
      <c r="F575" s="232"/>
      <c r="G575" s="232" t="s">
        <v>3223</v>
      </c>
      <c r="H575" s="229">
        <f>3+8+8</f>
        <v>19</v>
      </c>
      <c r="I575" s="249">
        <f t="shared" si="30"/>
        <v>19</v>
      </c>
      <c r="J575" s="285">
        <f>I575-D575</f>
        <v>19</v>
      </c>
      <c r="K575" s="433" t="s">
        <v>3248</v>
      </c>
      <c r="N575" s="49"/>
    </row>
    <row r="576" spans="1:14" ht="42" customHeight="1">
      <c r="A576" s="12" t="s">
        <v>3234</v>
      </c>
      <c r="B576" s="227" t="str">
        <f>'5變(議價前)'!B337</f>
        <v>番茉莉，50≦高度＜60cm，25≦寬度&lt;30cm</v>
      </c>
      <c r="C576" s="8" t="s">
        <v>669</v>
      </c>
      <c r="D576" s="229">
        <v>0</v>
      </c>
      <c r="E576" s="229">
        <f t="shared" si="29"/>
        <v>1520</v>
      </c>
      <c r="F576" s="232"/>
      <c r="G576" s="232" t="s">
        <v>3229</v>
      </c>
      <c r="H576" s="44">
        <f>ROUND(95*16,0)</f>
        <v>1520</v>
      </c>
      <c r="I576" s="249">
        <f t="shared" si="30"/>
        <v>1520</v>
      </c>
      <c r="J576" s="285">
        <f>I576-D576</f>
        <v>1520</v>
      </c>
      <c r="N576" s="49"/>
    </row>
    <row r="577" spans="1:14" ht="42" customHeight="1">
      <c r="A577" s="12" t="s">
        <v>3235</v>
      </c>
      <c r="B577" s="227" t="str">
        <f>'5變(議價前)'!B338</f>
        <v>白鶴芋，25≦高度＜30cm，20≦寬度&lt;25cm</v>
      </c>
      <c r="C577" s="8" t="s">
        <v>669</v>
      </c>
      <c r="D577" s="229">
        <v>0</v>
      </c>
      <c r="E577" s="229">
        <f t="shared" si="29"/>
        <v>4915</v>
      </c>
      <c r="F577" s="232"/>
      <c r="G577" s="935" t="s">
        <v>3844</v>
      </c>
      <c r="H577" s="44">
        <f>ROUND(196.6*25,0)</f>
        <v>4915</v>
      </c>
      <c r="I577" s="249">
        <f t="shared" si="30"/>
        <v>4915</v>
      </c>
      <c r="J577" s="285">
        <f>I577-D577</f>
        <v>4915</v>
      </c>
      <c r="N577" s="49"/>
    </row>
    <row r="578" spans="1:14" ht="42" customHeight="1">
      <c r="A578" s="12" t="s">
        <v>3699</v>
      </c>
      <c r="B578" s="227" t="str">
        <f>'5變(議價前)'!B339</f>
        <v>九重葛，120≦高度(枝長)＜150cm(淡粉/淡紫/橙色擇一)</v>
      </c>
      <c r="C578" s="8" t="s">
        <v>669</v>
      </c>
      <c r="D578" s="229">
        <v>0</v>
      </c>
      <c r="E578" s="229">
        <f>I578</f>
        <v>130</v>
      </c>
      <c r="F578" s="232"/>
      <c r="G578" s="935" t="s">
        <v>3853</v>
      </c>
      <c r="H578" s="44">
        <f>ROUND(65/0.5,0)</f>
        <v>130</v>
      </c>
      <c r="I578" s="249">
        <f t="shared" si="30"/>
        <v>130</v>
      </c>
      <c r="J578" s="285">
        <f>I578-D578</f>
        <v>130</v>
      </c>
      <c r="N578" s="49"/>
    </row>
    <row r="579" spans="1:14">
      <c r="A579" s="12" t="s">
        <v>3851</v>
      </c>
      <c r="B579" s="227" t="str">
        <f>'5變(議價前)'!B340</f>
        <v>褐根病防治</v>
      </c>
      <c r="C579" s="228" t="str">
        <f>'5變(議價前)'!C340</f>
        <v>式</v>
      </c>
      <c r="D579" s="229">
        <v>0</v>
      </c>
      <c r="E579" s="229">
        <f t="shared" si="29"/>
        <v>1</v>
      </c>
      <c r="F579" s="232" t="s">
        <v>3770</v>
      </c>
      <c r="G579" s="232">
        <v>1</v>
      </c>
      <c r="H579" s="229">
        <v>1</v>
      </c>
      <c r="I579" s="249">
        <v>1</v>
      </c>
      <c r="J579" s="285">
        <f>I579-D579</f>
        <v>1</v>
      </c>
      <c r="N579" s="49"/>
    </row>
    <row r="580" spans="1:14" ht="23.25" customHeight="1">
      <c r="A580" s="6" t="s">
        <v>887</v>
      </c>
      <c r="B580" s="7" t="s">
        <v>888</v>
      </c>
      <c r="C580" s="8" t="s">
        <v>4</v>
      </c>
      <c r="D580" s="44">
        <v>1</v>
      </c>
      <c r="E580" s="44"/>
      <c r="F580" s="45"/>
      <c r="G580" s="45"/>
      <c r="H580" s="44"/>
      <c r="I580" s="191" t="s">
        <v>243</v>
      </c>
      <c r="J580" s="200"/>
      <c r="M580" s="30"/>
      <c r="N580" s="49"/>
    </row>
    <row r="581" spans="1:14" ht="33">
      <c r="A581" s="12" t="s">
        <v>889</v>
      </c>
      <c r="B581" s="10" t="s">
        <v>890</v>
      </c>
      <c r="C581" s="8" t="s">
        <v>4</v>
      </c>
      <c r="D581" s="44">
        <v>1</v>
      </c>
      <c r="E581" s="44"/>
      <c r="F581" s="45"/>
      <c r="G581" s="45"/>
      <c r="H581" s="44"/>
      <c r="I581" s="191" t="s">
        <v>243</v>
      </c>
      <c r="J581" s="200"/>
      <c r="M581" s="30"/>
      <c r="N581" s="49"/>
    </row>
    <row r="582" spans="1:14" ht="33">
      <c r="A582" s="12" t="s">
        <v>892</v>
      </c>
      <c r="B582" s="10" t="s">
        <v>893</v>
      </c>
      <c r="C582" s="8" t="s">
        <v>4</v>
      </c>
      <c r="D582" s="44">
        <v>1</v>
      </c>
      <c r="E582" s="44"/>
      <c r="F582" s="45"/>
      <c r="G582" s="45"/>
      <c r="H582" s="44"/>
      <c r="I582" s="191" t="s">
        <v>243</v>
      </c>
      <c r="J582" s="200"/>
      <c r="N582" s="49"/>
    </row>
    <row r="583" spans="1:14" ht="33">
      <c r="A583" s="12" t="s">
        <v>895</v>
      </c>
      <c r="B583" s="10" t="s">
        <v>896</v>
      </c>
      <c r="C583" s="8" t="s">
        <v>4</v>
      </c>
      <c r="D583" s="44">
        <v>1</v>
      </c>
      <c r="E583" s="44"/>
      <c r="F583" s="45"/>
      <c r="G583" s="45"/>
      <c r="H583" s="44"/>
      <c r="I583" s="191" t="s">
        <v>243</v>
      </c>
      <c r="J583" s="200"/>
      <c r="N583" s="49"/>
    </row>
    <row r="584" spans="1:14" ht="33">
      <c r="A584" s="12" t="s">
        <v>898</v>
      </c>
      <c r="B584" s="10" t="s">
        <v>899</v>
      </c>
      <c r="C584" s="8" t="s">
        <v>4</v>
      </c>
      <c r="D584" s="44">
        <v>1</v>
      </c>
      <c r="E584" s="44"/>
      <c r="F584" s="45"/>
      <c r="G584" s="45"/>
      <c r="H584" s="44"/>
      <c r="I584" s="191" t="s">
        <v>243</v>
      </c>
      <c r="J584" s="200"/>
      <c r="N584" s="49"/>
    </row>
    <row r="585" spans="1:14" ht="33.75">
      <c r="A585" s="12" t="s">
        <v>901</v>
      </c>
      <c r="B585" s="53" t="s">
        <v>902</v>
      </c>
      <c r="C585" s="8" t="s">
        <v>0</v>
      </c>
      <c r="D585" s="44">
        <v>11</v>
      </c>
      <c r="E585" s="44"/>
      <c r="F585" s="45"/>
      <c r="G585" s="45"/>
      <c r="H585" s="44"/>
      <c r="I585" s="191" t="s">
        <v>243</v>
      </c>
      <c r="J585" s="200"/>
      <c r="N585" s="49"/>
    </row>
    <row r="586" spans="1:14" ht="33.75">
      <c r="A586" s="12" t="s">
        <v>904</v>
      </c>
      <c r="B586" s="53" t="s">
        <v>905</v>
      </c>
      <c r="C586" s="8" t="s">
        <v>0</v>
      </c>
      <c r="D586" s="44">
        <v>9</v>
      </c>
      <c r="E586" s="44"/>
      <c r="F586" s="45"/>
      <c r="G586" s="45"/>
      <c r="H586" s="44"/>
      <c r="I586" s="191" t="s">
        <v>243</v>
      </c>
      <c r="J586" s="200"/>
      <c r="N586" s="49"/>
    </row>
    <row r="587" spans="1:14" ht="33.75">
      <c r="A587" s="12" t="s">
        <v>907</v>
      </c>
      <c r="B587" s="53" t="s">
        <v>908</v>
      </c>
      <c r="C587" s="8" t="s">
        <v>0</v>
      </c>
      <c r="D587" s="44">
        <v>10</v>
      </c>
      <c r="E587" s="44"/>
      <c r="F587" s="45"/>
      <c r="G587" s="45"/>
      <c r="H587" s="44"/>
      <c r="I587" s="191" t="s">
        <v>243</v>
      </c>
      <c r="J587" s="200"/>
      <c r="N587" s="49"/>
    </row>
    <row r="588" spans="1:14" ht="33">
      <c r="A588" s="12" t="s">
        <v>910</v>
      </c>
      <c r="B588" s="53" t="s">
        <v>911</v>
      </c>
      <c r="C588" s="8" t="s">
        <v>0</v>
      </c>
      <c r="D588" s="44">
        <v>8</v>
      </c>
      <c r="E588" s="44"/>
      <c r="F588" s="45"/>
      <c r="G588" s="45"/>
      <c r="H588" s="44"/>
      <c r="I588" s="191" t="s">
        <v>243</v>
      </c>
      <c r="J588" s="200"/>
      <c r="N588" s="49"/>
    </row>
    <row r="589" spans="1:14" ht="21.95" customHeight="1">
      <c r="A589" s="12" t="s">
        <v>913</v>
      </c>
      <c r="B589" s="10" t="s">
        <v>914</v>
      </c>
      <c r="C589" s="8" t="s">
        <v>15</v>
      </c>
      <c r="D589" s="44">
        <v>2</v>
      </c>
      <c r="E589" s="44"/>
      <c r="F589" s="45"/>
      <c r="G589" s="45"/>
      <c r="H589" s="44"/>
      <c r="I589" s="191" t="s">
        <v>243</v>
      </c>
      <c r="J589" s="200"/>
      <c r="N589" s="49"/>
    </row>
    <row r="590" spans="1:14" ht="21.95" customHeight="1">
      <c r="A590" s="12" t="s">
        <v>916</v>
      </c>
      <c r="B590" s="10" t="s">
        <v>917</v>
      </c>
      <c r="C590" s="8" t="s">
        <v>15</v>
      </c>
      <c r="D590" s="44">
        <v>2</v>
      </c>
      <c r="E590" s="44"/>
      <c r="F590" s="45"/>
      <c r="G590" s="45"/>
      <c r="H590" s="44"/>
      <c r="I590" s="191" t="s">
        <v>243</v>
      </c>
      <c r="J590" s="200"/>
      <c r="N590" s="49"/>
    </row>
    <row r="591" spans="1:14" ht="21.95" customHeight="1">
      <c r="A591" s="12" t="s">
        <v>919</v>
      </c>
      <c r="B591" s="7" t="s">
        <v>920</v>
      </c>
      <c r="C591" s="8" t="s">
        <v>8</v>
      </c>
      <c r="D591" s="44">
        <v>44.6</v>
      </c>
      <c r="E591" s="44"/>
      <c r="F591" s="45"/>
      <c r="G591" s="45"/>
      <c r="H591" s="44"/>
      <c r="I591" s="191" t="s">
        <v>243</v>
      </c>
      <c r="J591" s="200"/>
      <c r="N591" s="49"/>
    </row>
    <row r="592" spans="1:14" ht="33">
      <c r="A592" s="12" t="s">
        <v>922</v>
      </c>
      <c r="B592" s="10" t="s">
        <v>923</v>
      </c>
      <c r="C592" s="8" t="s">
        <v>15</v>
      </c>
      <c r="D592" s="44">
        <v>10</v>
      </c>
      <c r="E592" s="44"/>
      <c r="F592" s="45"/>
      <c r="G592" s="45"/>
      <c r="H592" s="44"/>
      <c r="I592" s="191" t="s">
        <v>243</v>
      </c>
      <c r="J592" s="200"/>
      <c r="N592" s="49"/>
    </row>
    <row r="593" spans="1:14" ht="33">
      <c r="A593" s="12" t="s">
        <v>925</v>
      </c>
      <c r="B593" s="10" t="s">
        <v>926</v>
      </c>
      <c r="C593" s="8" t="s">
        <v>15</v>
      </c>
      <c r="D593" s="44">
        <v>5</v>
      </c>
      <c r="E593" s="44"/>
      <c r="F593" s="45"/>
      <c r="G593" s="45"/>
      <c r="H593" s="44"/>
      <c r="I593" s="191" t="s">
        <v>243</v>
      </c>
      <c r="J593" s="200"/>
      <c r="N593" s="49"/>
    </row>
    <row r="594" spans="1:14" ht="20.100000000000001" customHeight="1">
      <c r="A594" s="12" t="s">
        <v>928</v>
      </c>
      <c r="B594" s="7" t="s">
        <v>929</v>
      </c>
      <c r="C594" s="8" t="s">
        <v>15</v>
      </c>
      <c r="D594" s="44">
        <v>17</v>
      </c>
      <c r="E594" s="44"/>
      <c r="F594" s="45"/>
      <c r="G594" s="45"/>
      <c r="H594" s="44"/>
      <c r="I594" s="191" t="s">
        <v>243</v>
      </c>
      <c r="J594" s="200"/>
      <c r="N594" s="49"/>
    </row>
    <row r="595" spans="1:14" ht="20.100000000000001" customHeight="1">
      <c r="A595" s="12" t="s">
        <v>931</v>
      </c>
      <c r="B595" s="7" t="s">
        <v>932</v>
      </c>
      <c r="C595" s="8" t="s">
        <v>290</v>
      </c>
      <c r="D595" s="44">
        <v>1</v>
      </c>
      <c r="E595" s="44"/>
      <c r="F595" s="45"/>
      <c r="G595" s="45"/>
      <c r="H595" s="44"/>
      <c r="I595" s="191" t="s">
        <v>243</v>
      </c>
      <c r="J595" s="200"/>
      <c r="N595" s="49"/>
    </row>
    <row r="596" spans="1:14" ht="20.100000000000001" customHeight="1">
      <c r="A596" s="12" t="s">
        <v>934</v>
      </c>
      <c r="B596" s="7" t="s">
        <v>935</v>
      </c>
      <c r="C596" s="8" t="s">
        <v>4</v>
      </c>
      <c r="D596" s="44">
        <v>1</v>
      </c>
      <c r="E596" s="44"/>
      <c r="F596" s="45"/>
      <c r="G596" s="45"/>
      <c r="H596" s="44"/>
      <c r="I596" s="191" t="s">
        <v>243</v>
      </c>
      <c r="J596" s="200"/>
      <c r="N596" s="49"/>
    </row>
    <row r="597" spans="1:14" ht="31.5" customHeight="1">
      <c r="A597" s="12" t="s">
        <v>937</v>
      </c>
      <c r="B597" s="7" t="s">
        <v>938</v>
      </c>
      <c r="C597" s="8" t="s">
        <v>15</v>
      </c>
      <c r="D597" s="44">
        <v>17</v>
      </c>
      <c r="E597" s="44">
        <f>I597</f>
        <v>17</v>
      </c>
      <c r="F597" s="45" t="s">
        <v>3642</v>
      </c>
      <c r="G597" s="45" t="s">
        <v>3622</v>
      </c>
      <c r="H597" s="44">
        <f>5+11+1</f>
        <v>17</v>
      </c>
      <c r="I597" s="192">
        <f>H597</f>
        <v>17</v>
      </c>
      <c r="J597" s="279">
        <f>E597-D597</f>
        <v>0</v>
      </c>
      <c r="N597" s="49"/>
    </row>
    <row r="598" spans="1:14" ht="33">
      <c r="A598" s="12" t="s">
        <v>940</v>
      </c>
      <c r="B598" s="7" t="s">
        <v>941</v>
      </c>
      <c r="C598" s="8" t="s">
        <v>583</v>
      </c>
      <c r="D598" s="44">
        <v>2</v>
      </c>
      <c r="E598" s="44"/>
      <c r="F598" s="45"/>
      <c r="G598" s="45"/>
      <c r="H598" s="44"/>
      <c r="I598" s="191" t="s">
        <v>243</v>
      </c>
      <c r="J598" s="200"/>
      <c r="N598" s="49"/>
    </row>
    <row r="599" spans="1:14" ht="21.95" customHeight="1">
      <c r="A599" s="12" t="s">
        <v>943</v>
      </c>
      <c r="B599" s="7" t="s">
        <v>944</v>
      </c>
      <c r="C599" s="8" t="s">
        <v>15</v>
      </c>
      <c r="D599" s="44">
        <v>1</v>
      </c>
      <c r="E599" s="44"/>
      <c r="F599" s="45"/>
      <c r="G599" s="45"/>
      <c r="H599" s="44"/>
      <c r="I599" s="191" t="s">
        <v>243</v>
      </c>
      <c r="J599" s="200"/>
      <c r="N599" s="49"/>
    </row>
    <row r="600" spans="1:14" ht="33">
      <c r="A600" s="12" t="s">
        <v>946</v>
      </c>
      <c r="B600" s="53" t="s">
        <v>947</v>
      </c>
      <c r="C600" s="8" t="s">
        <v>19</v>
      </c>
      <c r="D600" s="44">
        <v>2</v>
      </c>
      <c r="E600" s="44"/>
      <c r="F600" s="45"/>
      <c r="G600" s="45"/>
      <c r="H600" s="44"/>
      <c r="I600" s="191" t="s">
        <v>243</v>
      </c>
      <c r="J600" s="200"/>
      <c r="N600" s="49"/>
    </row>
    <row r="601" spans="1:14" ht="33">
      <c r="A601" s="12" t="s">
        <v>949</v>
      </c>
      <c r="B601" s="53" t="s">
        <v>950</v>
      </c>
      <c r="C601" s="8" t="s">
        <v>19</v>
      </c>
      <c r="D601" s="44">
        <v>9</v>
      </c>
      <c r="E601" s="44"/>
      <c r="F601" s="45"/>
      <c r="G601" s="45"/>
      <c r="H601" s="44"/>
      <c r="I601" s="191" t="s">
        <v>243</v>
      </c>
      <c r="J601" s="200"/>
      <c r="N601" s="49"/>
    </row>
    <row r="602" spans="1:14" ht="33">
      <c r="A602" s="12" t="s">
        <v>952</v>
      </c>
      <c r="B602" s="53" t="s">
        <v>953</v>
      </c>
      <c r="C602" s="8" t="s">
        <v>8</v>
      </c>
      <c r="D602" s="44">
        <v>180</v>
      </c>
      <c r="E602" s="44"/>
      <c r="F602" s="45"/>
      <c r="G602" s="45"/>
      <c r="H602" s="44"/>
      <c r="I602" s="191" t="s">
        <v>243</v>
      </c>
      <c r="J602" s="200"/>
      <c r="N602" s="49"/>
    </row>
    <row r="603" spans="1:14" ht="33">
      <c r="A603" s="12" t="s">
        <v>955</v>
      </c>
      <c r="B603" s="53" t="s">
        <v>956</v>
      </c>
      <c r="C603" s="8" t="s">
        <v>8</v>
      </c>
      <c r="D603" s="44">
        <v>60</v>
      </c>
      <c r="E603" s="44"/>
      <c r="F603" s="45"/>
      <c r="G603" s="45"/>
      <c r="H603" s="44"/>
      <c r="I603" s="191" t="s">
        <v>243</v>
      </c>
      <c r="J603" s="200"/>
      <c r="N603" s="49"/>
    </row>
    <row r="604" spans="1:14" ht="33">
      <c r="A604" s="12" t="s">
        <v>958</v>
      </c>
      <c r="B604" s="53" t="s">
        <v>959</v>
      </c>
      <c r="C604" s="8" t="s">
        <v>8</v>
      </c>
      <c r="D604" s="44">
        <v>1032</v>
      </c>
      <c r="E604" s="44"/>
      <c r="F604" s="45"/>
      <c r="G604" s="45"/>
      <c r="H604" s="44"/>
      <c r="I604" s="191" t="s">
        <v>243</v>
      </c>
      <c r="J604" s="200"/>
      <c r="N604" s="49"/>
    </row>
    <row r="605" spans="1:14" ht="33">
      <c r="A605" s="12" t="s">
        <v>961</v>
      </c>
      <c r="B605" s="53" t="s">
        <v>962</v>
      </c>
      <c r="C605" s="8" t="s">
        <v>8</v>
      </c>
      <c r="D605" s="44">
        <v>1103</v>
      </c>
      <c r="E605" s="44"/>
      <c r="F605" s="45"/>
      <c r="G605" s="45"/>
      <c r="H605" s="44"/>
      <c r="I605" s="191" t="s">
        <v>243</v>
      </c>
      <c r="J605" s="200"/>
      <c r="N605" s="49"/>
    </row>
    <row r="606" spans="1:14" ht="33.75">
      <c r="A606" s="12" t="s">
        <v>964</v>
      </c>
      <c r="B606" s="53" t="s">
        <v>219</v>
      </c>
      <c r="C606" s="8" t="s">
        <v>8</v>
      </c>
      <c r="D606" s="44">
        <v>2064</v>
      </c>
      <c r="E606" s="44"/>
      <c r="F606" s="45"/>
      <c r="G606" s="45"/>
      <c r="H606" s="44"/>
      <c r="I606" s="191" t="s">
        <v>243</v>
      </c>
      <c r="J606" s="200"/>
      <c r="N606" s="49"/>
    </row>
    <row r="607" spans="1:14" ht="33">
      <c r="A607" s="12" t="s">
        <v>966</v>
      </c>
      <c r="B607" s="10" t="s">
        <v>967</v>
      </c>
      <c r="C607" s="8" t="s">
        <v>4</v>
      </c>
      <c r="D607" s="44">
        <v>1</v>
      </c>
      <c r="E607" s="44"/>
      <c r="F607" s="45"/>
      <c r="G607" s="45"/>
      <c r="H607" s="44"/>
      <c r="I607" s="191" t="s">
        <v>243</v>
      </c>
      <c r="J607" s="200"/>
      <c r="N607" s="49"/>
    </row>
    <row r="608" spans="1:14" ht="33">
      <c r="A608" s="12" t="s">
        <v>969</v>
      </c>
      <c r="B608" s="10" t="s">
        <v>970</v>
      </c>
      <c r="C608" s="8" t="s">
        <v>8</v>
      </c>
      <c r="D608" s="44">
        <v>1011</v>
      </c>
      <c r="E608" s="44"/>
      <c r="F608" s="45"/>
      <c r="G608" s="45"/>
      <c r="H608" s="44"/>
      <c r="I608" s="191" t="s">
        <v>243</v>
      </c>
      <c r="J608" s="200"/>
      <c r="N608" s="49"/>
    </row>
    <row r="609" spans="1:15" ht="33">
      <c r="A609" s="12" t="s">
        <v>972</v>
      </c>
      <c r="B609" s="10" t="s">
        <v>220</v>
      </c>
      <c r="C609" s="8" t="s">
        <v>8</v>
      </c>
      <c r="D609" s="44">
        <v>946</v>
      </c>
      <c r="E609" s="44"/>
      <c r="F609" s="45"/>
      <c r="G609" s="45"/>
      <c r="H609" s="44"/>
      <c r="I609" s="191" t="s">
        <v>243</v>
      </c>
      <c r="J609" s="200"/>
      <c r="N609" s="49"/>
    </row>
    <row r="610" spans="1:15" ht="33">
      <c r="A610" s="12" t="s">
        <v>974</v>
      </c>
      <c r="B610" s="10" t="s">
        <v>975</v>
      </c>
      <c r="C610" s="8" t="s">
        <v>8</v>
      </c>
      <c r="D610" s="44">
        <v>55</v>
      </c>
      <c r="E610" s="44"/>
      <c r="F610" s="45"/>
      <c r="G610" s="45"/>
      <c r="H610" s="44"/>
      <c r="I610" s="191" t="s">
        <v>243</v>
      </c>
      <c r="J610" s="200"/>
      <c r="N610" s="49"/>
    </row>
    <row r="611" spans="1:15" ht="33">
      <c r="A611" s="12" t="s">
        <v>977</v>
      </c>
      <c r="B611" s="10" t="s">
        <v>978</v>
      </c>
      <c r="C611" s="8" t="s">
        <v>8</v>
      </c>
      <c r="D611" s="44">
        <v>22</v>
      </c>
      <c r="E611" s="44"/>
      <c r="F611" s="45"/>
      <c r="G611" s="45"/>
      <c r="H611" s="44"/>
      <c r="I611" s="191" t="s">
        <v>243</v>
      </c>
      <c r="J611" s="200"/>
      <c r="N611" s="49"/>
    </row>
    <row r="612" spans="1:15" ht="33">
      <c r="A612" s="12" t="s">
        <v>980</v>
      </c>
      <c r="B612" s="10" t="s">
        <v>981</v>
      </c>
      <c r="C612" s="8" t="s">
        <v>4</v>
      </c>
      <c r="D612" s="44">
        <v>1</v>
      </c>
      <c r="E612" s="44"/>
      <c r="F612" s="45"/>
      <c r="G612" s="45"/>
      <c r="H612" s="44"/>
      <c r="I612" s="191" t="s">
        <v>243</v>
      </c>
      <c r="J612" s="200"/>
      <c r="N612" s="49"/>
    </row>
    <row r="613" spans="1:15" ht="20.100000000000001" customHeight="1">
      <c r="A613" s="12" t="s">
        <v>983</v>
      </c>
      <c r="B613" s="7" t="s">
        <v>984</v>
      </c>
      <c r="C613" s="8" t="s">
        <v>4</v>
      </c>
      <c r="D613" s="44">
        <v>1</v>
      </c>
      <c r="E613" s="44"/>
      <c r="F613" s="45"/>
      <c r="G613" s="45"/>
      <c r="H613" s="44"/>
      <c r="I613" s="191" t="s">
        <v>243</v>
      </c>
      <c r="J613" s="200"/>
      <c r="N613" s="49"/>
    </row>
    <row r="614" spans="1:15" ht="33">
      <c r="A614" s="6" t="s">
        <v>986</v>
      </c>
      <c r="B614" s="7" t="s">
        <v>987</v>
      </c>
      <c r="C614" s="8" t="s">
        <v>4</v>
      </c>
      <c r="D614" s="44">
        <v>1</v>
      </c>
      <c r="E614" s="44"/>
      <c r="F614" s="45"/>
      <c r="G614" s="45"/>
      <c r="H614" s="44"/>
      <c r="I614" s="191" t="s">
        <v>243</v>
      </c>
      <c r="J614" s="200"/>
      <c r="N614" s="49"/>
    </row>
    <row r="615" spans="1:15" ht="33">
      <c r="A615" s="12" t="s">
        <v>988</v>
      </c>
      <c r="B615" s="7" t="s">
        <v>1530</v>
      </c>
      <c r="C615" s="8" t="s">
        <v>8</v>
      </c>
      <c r="D615" s="44">
        <v>1132</v>
      </c>
      <c r="E615" s="44">
        <v>2576.8000000000002</v>
      </c>
      <c r="F615" s="45" t="s">
        <v>1529</v>
      </c>
      <c r="G615" s="45" t="s">
        <v>1527</v>
      </c>
      <c r="H615" s="44">
        <f>(51.5/0.5*6*2)+(16*0.5*6)+(92/0.5*6)</f>
        <v>2388</v>
      </c>
      <c r="I615" s="192">
        <f>H615</f>
        <v>2388</v>
      </c>
      <c r="J615" s="200"/>
      <c r="N615" s="49"/>
    </row>
    <row r="616" spans="1:15" ht="33">
      <c r="A616" s="12" t="s">
        <v>991</v>
      </c>
      <c r="B616" s="53" t="s">
        <v>992</v>
      </c>
      <c r="C616" s="8" t="s">
        <v>8</v>
      </c>
      <c r="D616" s="44">
        <v>1132</v>
      </c>
      <c r="E616" s="44">
        <v>2576.8000000000002</v>
      </c>
      <c r="F616" s="45" t="s">
        <v>1529</v>
      </c>
      <c r="G616" s="45"/>
      <c r="H616" s="44">
        <f>H615</f>
        <v>2388</v>
      </c>
      <c r="I616" s="192">
        <f>H616</f>
        <v>2388</v>
      </c>
      <c r="J616" s="200"/>
      <c r="N616" s="49"/>
    </row>
    <row r="617" spans="1:15" ht="33">
      <c r="A617" s="12" t="s">
        <v>994</v>
      </c>
      <c r="B617" s="7" t="s">
        <v>1528</v>
      </c>
      <c r="C617" s="8" t="s">
        <v>13</v>
      </c>
      <c r="D617" s="44">
        <v>6198</v>
      </c>
      <c r="E617" s="44">
        <v>9215</v>
      </c>
      <c r="F617" s="45" t="s">
        <v>1531</v>
      </c>
      <c r="G617" s="45" t="s">
        <v>1532</v>
      </c>
      <c r="H617" s="44">
        <f>(5*2.5*38)+(5*2.5*12)+(5*2.5*20*8)+((51.5*2+92+16)*2.5)+(5*2.5*20*24)</f>
        <v>9152.5</v>
      </c>
      <c r="I617" s="192">
        <f t="shared" ref="I617:I626" si="31">H617</f>
        <v>9152.5</v>
      </c>
      <c r="J617" s="200"/>
      <c r="N617" s="49"/>
    </row>
    <row r="618" spans="1:15" ht="33.75">
      <c r="A618" s="12" t="s">
        <v>997</v>
      </c>
      <c r="B618" s="53" t="s">
        <v>998</v>
      </c>
      <c r="C618" s="8" t="s">
        <v>4</v>
      </c>
      <c r="D618" s="44">
        <v>1</v>
      </c>
      <c r="E618" s="44"/>
      <c r="F618" s="45"/>
      <c r="G618" s="45"/>
      <c r="H618" s="44"/>
      <c r="I618" s="192"/>
      <c r="J618" s="200"/>
      <c r="N618" s="49"/>
    </row>
    <row r="619" spans="1:15" ht="49.5">
      <c r="A619" s="12" t="s">
        <v>1000</v>
      </c>
      <c r="B619" s="53" t="s">
        <v>1001</v>
      </c>
      <c r="C619" s="8" t="s">
        <v>16</v>
      </c>
      <c r="D619" s="44">
        <f>'5變(議價前)'!D380</f>
        <v>2928</v>
      </c>
      <c r="E619" s="44">
        <f>I619</f>
        <v>2928</v>
      </c>
      <c r="F619" s="45" t="s">
        <v>2639</v>
      </c>
      <c r="G619" s="45" t="s">
        <v>2874</v>
      </c>
      <c r="H619" s="44">
        <f>245*8+17*8</f>
        <v>2096</v>
      </c>
      <c r="I619" s="192">
        <f>SUM(H619:H622)</f>
        <v>2928</v>
      </c>
      <c r="J619" s="279">
        <f>I619-D619</f>
        <v>0</v>
      </c>
      <c r="N619" s="49"/>
      <c r="O619" s="30">
        <v>320</v>
      </c>
    </row>
    <row r="620" spans="1:15">
      <c r="A620" s="269"/>
      <c r="B620" s="485"/>
      <c r="C620" s="271"/>
      <c r="D620" s="272"/>
      <c r="E620" s="272"/>
      <c r="F620" s="273" t="s">
        <v>2546</v>
      </c>
      <c r="G620" s="273" t="s">
        <v>2547</v>
      </c>
      <c r="H620" s="272">
        <f>40*8</f>
        <v>320</v>
      </c>
      <c r="I620" s="287"/>
      <c r="J620" s="92"/>
      <c r="N620" s="49"/>
    </row>
    <row r="621" spans="1:15">
      <c r="A621" s="269"/>
      <c r="B621" s="485"/>
      <c r="C621" s="271"/>
      <c r="D621" s="272"/>
      <c r="E621" s="272"/>
      <c r="F621" s="273" t="s">
        <v>2548</v>
      </c>
      <c r="G621" s="273" t="s">
        <v>2549</v>
      </c>
      <c r="H621" s="272">
        <f>4*8*8</f>
        <v>256</v>
      </c>
      <c r="I621" s="287"/>
      <c r="J621" s="92"/>
      <c r="N621" s="49"/>
    </row>
    <row r="622" spans="1:15">
      <c r="A622" s="269"/>
      <c r="B622" s="485"/>
      <c r="C622" s="271"/>
      <c r="D622" s="272"/>
      <c r="E622" s="272"/>
      <c r="F622" s="273" t="s">
        <v>2550</v>
      </c>
      <c r="G622" s="273" t="s">
        <v>2549</v>
      </c>
      <c r="H622" s="272">
        <f>4*8*8</f>
        <v>256</v>
      </c>
      <c r="I622" s="287"/>
      <c r="J622" s="92"/>
      <c r="N622" s="49"/>
    </row>
    <row r="623" spans="1:15" ht="49.5">
      <c r="A623" s="12" t="s">
        <v>1003</v>
      </c>
      <c r="B623" s="7" t="s">
        <v>728</v>
      </c>
      <c r="C623" s="8" t="s">
        <v>6</v>
      </c>
      <c r="D623" s="44">
        <f>'5變(議價前)'!E381</f>
        <v>1053</v>
      </c>
      <c r="E623" s="44">
        <f>I623</f>
        <v>1053</v>
      </c>
      <c r="F623" s="45" t="s">
        <v>1526</v>
      </c>
      <c r="G623" s="45" t="s">
        <v>2873</v>
      </c>
      <c r="H623" s="44">
        <f>(10*3)+(62*3)+(25*3)+(57*3)+(6*3)+(19*3)+(5*3)+(45*3)*3+(32*3)</f>
        <v>1053</v>
      </c>
      <c r="I623" s="192">
        <f t="shared" si="31"/>
        <v>1053</v>
      </c>
      <c r="J623" s="279">
        <f>I623-E623</f>
        <v>0</v>
      </c>
      <c r="K623" s="486" t="s">
        <v>2551</v>
      </c>
      <c r="N623" s="49"/>
      <c r="O623" s="30">
        <v>256</v>
      </c>
    </row>
    <row r="624" spans="1:15" ht="33.75">
      <c r="A624" s="12" t="s">
        <v>1514</v>
      </c>
      <c r="B624" s="53" t="s">
        <v>1515</v>
      </c>
      <c r="C624" s="8" t="s">
        <v>8</v>
      </c>
      <c r="D624" s="44">
        <f>'5變(議價前)'!E382</f>
        <v>132</v>
      </c>
      <c r="E624" s="44">
        <v>132</v>
      </c>
      <c r="F624" s="45" t="s">
        <v>1525</v>
      </c>
      <c r="G624" s="45" t="s">
        <v>1524</v>
      </c>
      <c r="H624" s="44">
        <v>132</v>
      </c>
      <c r="I624" s="192">
        <f t="shared" si="31"/>
        <v>132</v>
      </c>
      <c r="J624" s="279">
        <f t="shared" ref="J624:J626" si="32">I624-E624</f>
        <v>0</v>
      </c>
      <c r="N624" s="49"/>
      <c r="O624" s="30">
        <v>256</v>
      </c>
    </row>
    <row r="625" spans="1:14" ht="33.75">
      <c r="A625" s="12" t="s">
        <v>1516</v>
      </c>
      <c r="B625" s="53" t="s">
        <v>1517</v>
      </c>
      <c r="C625" s="8" t="s">
        <v>8</v>
      </c>
      <c r="D625" s="44">
        <f>'5變(議價前)'!E383</f>
        <v>106</v>
      </c>
      <c r="E625" s="44">
        <v>106</v>
      </c>
      <c r="F625" s="45" t="s">
        <v>1520</v>
      </c>
      <c r="G625" s="45" t="s">
        <v>1523</v>
      </c>
      <c r="H625" s="44">
        <v>106</v>
      </c>
      <c r="I625" s="192">
        <f t="shared" si="31"/>
        <v>106</v>
      </c>
      <c r="J625" s="279">
        <f t="shared" si="32"/>
        <v>0</v>
      </c>
      <c r="N625" s="49"/>
    </row>
    <row r="626" spans="1:14" ht="33.75">
      <c r="A626" s="12" t="s">
        <v>1518</v>
      </c>
      <c r="B626" s="53" t="s">
        <v>1519</v>
      </c>
      <c r="C626" s="8" t="s">
        <v>8</v>
      </c>
      <c r="D626" s="44">
        <f>'5變(議價前)'!E384</f>
        <v>156</v>
      </c>
      <c r="E626" s="44">
        <v>156</v>
      </c>
      <c r="F626" s="45" t="s">
        <v>1522</v>
      </c>
      <c r="G626" s="45" t="s">
        <v>1521</v>
      </c>
      <c r="H626" s="44">
        <v>156</v>
      </c>
      <c r="I626" s="192">
        <f t="shared" si="31"/>
        <v>156</v>
      </c>
      <c r="J626" s="279">
        <f t="shared" si="32"/>
        <v>0</v>
      </c>
      <c r="N626" s="49"/>
    </row>
    <row r="627" spans="1:14" ht="23.25" customHeight="1">
      <c r="A627" s="6" t="s">
        <v>103</v>
      </c>
      <c r="B627" s="7" t="s">
        <v>11</v>
      </c>
      <c r="C627" s="8" t="s">
        <v>4</v>
      </c>
      <c r="D627" s="44">
        <v>1</v>
      </c>
      <c r="E627" s="44"/>
      <c r="F627" s="45"/>
      <c r="G627" s="45"/>
      <c r="H627" s="44"/>
      <c r="I627" s="191" t="s">
        <v>243</v>
      </c>
      <c r="J627" s="200"/>
      <c r="N627" s="49"/>
    </row>
    <row r="628" spans="1:14">
      <c r="A628" s="12" t="s">
        <v>104</v>
      </c>
      <c r="B628" s="7" t="s">
        <v>1004</v>
      </c>
      <c r="C628" s="8" t="s">
        <v>4</v>
      </c>
      <c r="D628" s="44">
        <v>1</v>
      </c>
      <c r="E628" s="44">
        <f>I628</f>
        <v>1</v>
      </c>
      <c r="F628" s="45"/>
      <c r="G628" s="45">
        <v>1</v>
      </c>
      <c r="H628" s="44">
        <v>1</v>
      </c>
      <c r="I628" s="192">
        <f>H628</f>
        <v>1</v>
      </c>
      <c r="J628" s="279">
        <f>D628-E628</f>
        <v>0</v>
      </c>
      <c r="N628" s="49"/>
    </row>
    <row r="629" spans="1:14" ht="66">
      <c r="A629" s="12" t="s">
        <v>105</v>
      </c>
      <c r="B629" s="7" t="s">
        <v>1006</v>
      </c>
      <c r="C629" s="8" t="s">
        <v>1007</v>
      </c>
      <c r="D629" s="44">
        <v>7</v>
      </c>
      <c r="E629" s="44">
        <f>I629</f>
        <v>7</v>
      </c>
      <c r="F629" s="45" t="s">
        <v>3814</v>
      </c>
      <c r="G629" s="45">
        <v>7</v>
      </c>
      <c r="H629" s="44">
        <v>7</v>
      </c>
      <c r="I629" s="192">
        <f>H629</f>
        <v>7</v>
      </c>
      <c r="J629" s="279">
        <f>D629-E629</f>
        <v>0</v>
      </c>
      <c r="N629" s="49"/>
    </row>
    <row r="630" spans="1:14" ht="49.5">
      <c r="A630" s="12" t="s">
        <v>106</v>
      </c>
      <c r="B630" s="53" t="s">
        <v>1009</v>
      </c>
      <c r="C630" s="8" t="s">
        <v>1010</v>
      </c>
      <c r="D630" s="44">
        <v>2230</v>
      </c>
      <c r="E630" s="44">
        <f>I630</f>
        <v>2689</v>
      </c>
      <c r="F630" s="45" t="s">
        <v>3565</v>
      </c>
      <c r="G630" s="45" t="s">
        <v>3566</v>
      </c>
      <c r="H630" s="44">
        <f>2*873+1*843+1*100</f>
        <v>2689</v>
      </c>
      <c r="I630" s="192">
        <f>H630</f>
        <v>2689</v>
      </c>
      <c r="J630" s="279">
        <f>E630-D630</f>
        <v>459</v>
      </c>
      <c r="N630" s="49"/>
    </row>
    <row r="631" spans="1:14" ht="31.5">
      <c r="A631" s="12" t="s">
        <v>107</v>
      </c>
      <c r="B631" s="7" t="s">
        <v>1012</v>
      </c>
      <c r="C631" s="8" t="s">
        <v>1007</v>
      </c>
      <c r="D631" s="44">
        <v>4</v>
      </c>
      <c r="E631" s="44">
        <v>4</v>
      </c>
      <c r="F631" s="45" t="s">
        <v>1818</v>
      </c>
      <c r="G631" s="45" t="s">
        <v>1819</v>
      </c>
      <c r="H631" s="44">
        <v>4</v>
      </c>
      <c r="I631" s="192">
        <f t="shared" ref="I631:I637" si="33">H631</f>
        <v>4</v>
      </c>
      <c r="J631" s="279">
        <f>E631-D631</f>
        <v>0</v>
      </c>
      <c r="N631" s="49"/>
    </row>
    <row r="632" spans="1:14" ht="28.5">
      <c r="A632" s="12" t="s">
        <v>108</v>
      </c>
      <c r="B632" s="10" t="s">
        <v>1014</v>
      </c>
      <c r="C632" s="8" t="s">
        <v>1015</v>
      </c>
      <c r="D632" s="44">
        <v>19</v>
      </c>
      <c r="E632" s="44">
        <f>I632</f>
        <v>29</v>
      </c>
      <c r="F632" s="45"/>
      <c r="G632" s="47" t="s">
        <v>3567</v>
      </c>
      <c r="H632" s="44">
        <f>ROUND(873/30,0)</f>
        <v>29</v>
      </c>
      <c r="I632" s="192">
        <f>H632</f>
        <v>29</v>
      </c>
      <c r="J632" s="279">
        <f>E632-D632</f>
        <v>10</v>
      </c>
      <c r="N632" s="49"/>
    </row>
    <row r="633" spans="1:14" ht="31.5">
      <c r="A633" s="12" t="s">
        <v>109</v>
      </c>
      <c r="B633" s="7" t="s">
        <v>1017</v>
      </c>
      <c r="C633" s="8" t="s">
        <v>4</v>
      </c>
      <c r="D633" s="44">
        <v>1</v>
      </c>
      <c r="E633" s="44">
        <f>I633</f>
        <v>1</v>
      </c>
      <c r="F633" s="45"/>
      <c r="G633" s="45">
        <v>1</v>
      </c>
      <c r="H633" s="44">
        <v>1</v>
      </c>
      <c r="I633" s="192">
        <f t="shared" si="33"/>
        <v>1</v>
      </c>
      <c r="J633" s="279">
        <f t="shared" ref="J633:J653" si="34">E633-D633</f>
        <v>0</v>
      </c>
      <c r="N633" s="49"/>
    </row>
    <row r="634" spans="1:14" ht="31.5">
      <c r="A634" s="12" t="s">
        <v>156</v>
      </c>
      <c r="B634" s="7" t="s">
        <v>1019</v>
      </c>
      <c r="C634" s="8" t="s">
        <v>4</v>
      </c>
      <c r="D634" s="44">
        <v>1</v>
      </c>
      <c r="E634" s="44">
        <f>I634</f>
        <v>1</v>
      </c>
      <c r="F634" s="45" t="s">
        <v>1217</v>
      </c>
      <c r="G634" s="45">
        <v>1</v>
      </c>
      <c r="H634" s="44">
        <v>1</v>
      </c>
      <c r="I634" s="192">
        <f t="shared" si="33"/>
        <v>1</v>
      </c>
      <c r="J634" s="279">
        <f t="shared" si="34"/>
        <v>0</v>
      </c>
      <c r="N634" s="49"/>
    </row>
    <row r="635" spans="1:14">
      <c r="A635" s="12" t="s">
        <v>155</v>
      </c>
      <c r="B635" s="7" t="s">
        <v>1021</v>
      </c>
      <c r="C635" s="8" t="s">
        <v>4</v>
      </c>
      <c r="D635" s="44">
        <v>1</v>
      </c>
      <c r="E635" s="44">
        <v>1</v>
      </c>
      <c r="F635" s="45"/>
      <c r="G635" s="45">
        <v>1</v>
      </c>
      <c r="H635" s="44">
        <v>1</v>
      </c>
      <c r="I635" s="192">
        <v>1</v>
      </c>
      <c r="J635" s="279">
        <f t="shared" si="34"/>
        <v>0</v>
      </c>
      <c r="N635" s="49"/>
    </row>
    <row r="636" spans="1:14">
      <c r="A636" s="12" t="s">
        <v>154</v>
      </c>
      <c r="B636" s="7" t="s">
        <v>1534</v>
      </c>
      <c r="C636" s="8" t="s">
        <v>13</v>
      </c>
      <c r="D636" s="44">
        <v>464</v>
      </c>
      <c r="E636" s="44">
        <v>464</v>
      </c>
      <c r="F636" s="45" t="s">
        <v>1343</v>
      </c>
      <c r="G636" s="45" t="s">
        <v>1539</v>
      </c>
      <c r="H636" s="44">
        <f>275+189</f>
        <v>464</v>
      </c>
      <c r="I636" s="192">
        <f t="shared" si="33"/>
        <v>464</v>
      </c>
      <c r="J636" s="279">
        <f t="shared" si="34"/>
        <v>0</v>
      </c>
      <c r="N636" s="49"/>
    </row>
    <row r="637" spans="1:14">
      <c r="A637" s="12" t="s">
        <v>153</v>
      </c>
      <c r="B637" s="7" t="s">
        <v>1536</v>
      </c>
      <c r="C637" s="8" t="s">
        <v>15</v>
      </c>
      <c r="D637" s="44">
        <v>2</v>
      </c>
      <c r="E637" s="44">
        <v>2</v>
      </c>
      <c r="F637" s="45" t="s">
        <v>1537</v>
      </c>
      <c r="G637" s="45">
        <v>2</v>
      </c>
      <c r="H637" s="44">
        <v>2</v>
      </c>
      <c r="I637" s="192">
        <f t="shared" si="33"/>
        <v>2</v>
      </c>
      <c r="J637" s="279">
        <f t="shared" si="34"/>
        <v>0</v>
      </c>
      <c r="N637" s="49"/>
    </row>
    <row r="638" spans="1:14" ht="31.5">
      <c r="A638" s="12" t="s">
        <v>2552</v>
      </c>
      <c r="B638" s="270" t="s">
        <v>2567</v>
      </c>
      <c r="C638" s="271" t="s">
        <v>16</v>
      </c>
      <c r="D638" s="272">
        <v>129</v>
      </c>
      <c r="E638" s="272">
        <v>129</v>
      </c>
      <c r="F638" s="273" t="s">
        <v>2587</v>
      </c>
      <c r="G638" s="273" t="s">
        <v>2588</v>
      </c>
      <c r="H638" s="272">
        <f>12+12+11+11+22+33+28</f>
        <v>129</v>
      </c>
      <c r="I638" s="192">
        <f>H638</f>
        <v>129</v>
      </c>
      <c r="J638" s="279">
        <f t="shared" si="34"/>
        <v>0</v>
      </c>
      <c r="N638" s="49"/>
    </row>
    <row r="639" spans="1:14" ht="31.5">
      <c r="A639" s="12" t="s">
        <v>2553</v>
      </c>
      <c r="B639" s="270" t="s">
        <v>2568</v>
      </c>
      <c r="C639" s="271" t="s">
        <v>16</v>
      </c>
      <c r="D639" s="272">
        <v>282</v>
      </c>
      <c r="E639" s="272">
        <v>282</v>
      </c>
      <c r="F639" s="273" t="s">
        <v>2587</v>
      </c>
      <c r="G639" s="273" t="s">
        <v>2589</v>
      </c>
      <c r="H639" s="272">
        <f>10+26+73+33+31+21+31+57</f>
        <v>282</v>
      </c>
      <c r="I639" s="192">
        <f t="shared" ref="I639:I652" si="35">H639</f>
        <v>282</v>
      </c>
      <c r="J639" s="279">
        <f t="shared" si="34"/>
        <v>0</v>
      </c>
      <c r="N639" s="49"/>
    </row>
    <row r="640" spans="1:14" ht="47.25">
      <c r="A640" s="12" t="s">
        <v>2554</v>
      </c>
      <c r="B640" s="270" t="s">
        <v>2569</v>
      </c>
      <c r="C640" s="271" t="s">
        <v>16</v>
      </c>
      <c r="D640" s="272">
        <v>214.5</v>
      </c>
      <c r="E640" s="272">
        <v>214.5</v>
      </c>
      <c r="F640" s="273" t="s">
        <v>2587</v>
      </c>
      <c r="G640" s="273" t="s">
        <v>2590</v>
      </c>
      <c r="H640" s="272">
        <f>12+52.5+20+30+32+30+38</f>
        <v>214.5</v>
      </c>
      <c r="I640" s="192">
        <f t="shared" si="35"/>
        <v>214.5</v>
      </c>
      <c r="J640" s="279">
        <f t="shared" si="34"/>
        <v>0</v>
      </c>
      <c r="N640" s="49"/>
    </row>
    <row r="641" spans="1:14" ht="31.5">
      <c r="A641" s="12" t="s">
        <v>2555</v>
      </c>
      <c r="B641" s="270" t="s">
        <v>2570</v>
      </c>
      <c r="C641" s="271" t="s">
        <v>16</v>
      </c>
      <c r="D641" s="272">
        <v>47</v>
      </c>
      <c r="E641" s="272">
        <v>47</v>
      </c>
      <c r="F641" s="273" t="s">
        <v>2587</v>
      </c>
      <c r="G641" s="273" t="s">
        <v>2591</v>
      </c>
      <c r="H641" s="272">
        <f>2*19+9</f>
        <v>47</v>
      </c>
      <c r="I641" s="192">
        <f t="shared" si="35"/>
        <v>47</v>
      </c>
      <c r="J641" s="279">
        <f t="shared" si="34"/>
        <v>0</v>
      </c>
      <c r="N641" s="49"/>
    </row>
    <row r="642" spans="1:14" ht="31.5">
      <c r="A642" s="12" t="s">
        <v>2556</v>
      </c>
      <c r="B642" s="270" t="s">
        <v>2571</v>
      </c>
      <c r="C642" s="271" t="s">
        <v>16</v>
      </c>
      <c r="D642" s="272">
        <v>73</v>
      </c>
      <c r="E642" s="272">
        <v>73</v>
      </c>
      <c r="F642" s="273" t="s">
        <v>2587</v>
      </c>
      <c r="G642" s="273" t="s">
        <v>2592</v>
      </c>
      <c r="H642" s="272">
        <f>12+11+21+11+18</f>
        <v>73</v>
      </c>
      <c r="I642" s="192">
        <f t="shared" si="35"/>
        <v>73</v>
      </c>
      <c r="J642" s="279">
        <f t="shared" si="34"/>
        <v>0</v>
      </c>
      <c r="N642" s="49"/>
    </row>
    <row r="643" spans="1:14" ht="31.5">
      <c r="A643" s="12" t="s">
        <v>2557</v>
      </c>
      <c r="B643" s="270" t="s">
        <v>2572</v>
      </c>
      <c r="C643" s="271" t="s">
        <v>16</v>
      </c>
      <c r="D643" s="272">
        <v>174</v>
      </c>
      <c r="E643" s="272">
        <v>174</v>
      </c>
      <c r="F643" s="273" t="s">
        <v>2587</v>
      </c>
      <c r="G643" s="273" t="s">
        <v>2593</v>
      </c>
      <c r="H643" s="272">
        <f>18+12+18+22+22+22+22+38</f>
        <v>174</v>
      </c>
      <c r="I643" s="192">
        <f t="shared" si="35"/>
        <v>174</v>
      </c>
      <c r="J643" s="279">
        <f t="shared" si="34"/>
        <v>0</v>
      </c>
      <c r="N643" s="49"/>
    </row>
    <row r="644" spans="1:14" ht="31.5">
      <c r="A644" s="12" t="s">
        <v>2558</v>
      </c>
      <c r="B644" s="270" t="s">
        <v>2573</v>
      </c>
      <c r="C644" s="271" t="s">
        <v>16</v>
      </c>
      <c r="D644" s="272">
        <v>1695</v>
      </c>
      <c r="E644" s="272">
        <v>1695</v>
      </c>
      <c r="F644" s="273" t="s">
        <v>2587</v>
      </c>
      <c r="G644" s="273" t="s">
        <v>2594</v>
      </c>
      <c r="H644" s="272">
        <f>290+239+280+310+326+250</f>
        <v>1695</v>
      </c>
      <c r="I644" s="192">
        <f t="shared" si="35"/>
        <v>1695</v>
      </c>
      <c r="J644" s="279">
        <f t="shared" si="34"/>
        <v>0</v>
      </c>
      <c r="N644" s="49"/>
    </row>
    <row r="645" spans="1:14">
      <c r="A645" s="12" t="s">
        <v>2559</v>
      </c>
      <c r="B645" s="270" t="s">
        <v>2574</v>
      </c>
      <c r="C645" s="271" t="s">
        <v>16</v>
      </c>
      <c r="D645" s="272">
        <v>310</v>
      </c>
      <c r="E645" s="272">
        <v>310</v>
      </c>
      <c r="F645" s="273" t="s">
        <v>2587</v>
      </c>
      <c r="G645" s="273" t="s">
        <v>2595</v>
      </c>
      <c r="H645" s="272">
        <f>50+60+60+50+70+20</f>
        <v>310</v>
      </c>
      <c r="I645" s="192">
        <f t="shared" si="35"/>
        <v>310</v>
      </c>
      <c r="J645" s="279">
        <f t="shared" si="34"/>
        <v>0</v>
      </c>
      <c r="N645" s="49"/>
    </row>
    <row r="646" spans="1:14" ht="47.25">
      <c r="A646" s="12" t="s">
        <v>2560</v>
      </c>
      <c r="B646" s="270" t="s">
        <v>2575</v>
      </c>
      <c r="C646" s="271" t="s">
        <v>16</v>
      </c>
      <c r="D646" s="272">
        <v>723.5</v>
      </c>
      <c r="E646" s="272">
        <v>723.5</v>
      </c>
      <c r="F646" s="273" t="s">
        <v>2587</v>
      </c>
      <c r="G646" s="273" t="s">
        <v>2596</v>
      </c>
      <c r="H646" s="272">
        <f>168+242+142.5+171</f>
        <v>723.5</v>
      </c>
      <c r="I646" s="192">
        <f t="shared" si="35"/>
        <v>723.5</v>
      </c>
      <c r="J646" s="279">
        <f t="shared" si="34"/>
        <v>0</v>
      </c>
      <c r="N646" s="49"/>
    </row>
    <row r="647" spans="1:14">
      <c r="A647" s="12" t="s">
        <v>2561</v>
      </c>
      <c r="B647" s="270" t="s">
        <v>2576</v>
      </c>
      <c r="C647" s="271" t="s">
        <v>16</v>
      </c>
      <c r="D647" s="272">
        <v>122</v>
      </c>
      <c r="E647" s="272">
        <v>122</v>
      </c>
      <c r="F647" s="273" t="s">
        <v>2587</v>
      </c>
      <c r="G647" s="273" t="s">
        <v>2597</v>
      </c>
      <c r="H647" s="272">
        <f>50+24+30+18</f>
        <v>122</v>
      </c>
      <c r="I647" s="192">
        <f t="shared" si="35"/>
        <v>122</v>
      </c>
      <c r="J647" s="279">
        <f t="shared" si="34"/>
        <v>0</v>
      </c>
      <c r="N647" s="49"/>
    </row>
    <row r="648" spans="1:14" ht="31.5">
      <c r="A648" s="12" t="s">
        <v>2562</v>
      </c>
      <c r="B648" s="270" t="s">
        <v>2577</v>
      </c>
      <c r="C648" s="271" t="s">
        <v>16</v>
      </c>
      <c r="D648" s="272">
        <v>421</v>
      </c>
      <c r="E648" s="272">
        <v>421</v>
      </c>
      <c r="F648" s="273" t="s">
        <v>2587</v>
      </c>
      <c r="G648" s="273" t="s">
        <v>2598</v>
      </c>
      <c r="H648" s="272">
        <f>40+48+75+32+55+62+52+57</f>
        <v>421</v>
      </c>
      <c r="I648" s="192">
        <f t="shared" si="35"/>
        <v>421</v>
      </c>
      <c r="J648" s="279">
        <f t="shared" si="34"/>
        <v>0</v>
      </c>
      <c r="N648" s="49"/>
    </row>
    <row r="649" spans="1:14" ht="31.5">
      <c r="A649" s="12" t="s">
        <v>2563</v>
      </c>
      <c r="B649" s="270" t="s">
        <v>2578</v>
      </c>
      <c r="C649" s="271" t="s">
        <v>16</v>
      </c>
      <c r="D649" s="272">
        <v>28</v>
      </c>
      <c r="E649" s="272">
        <v>28</v>
      </c>
      <c r="F649" s="273" t="s">
        <v>2587</v>
      </c>
      <c r="G649" s="273" t="s">
        <v>2599</v>
      </c>
      <c r="H649" s="272">
        <f>2*14</f>
        <v>28</v>
      </c>
      <c r="I649" s="192">
        <f t="shared" si="35"/>
        <v>28</v>
      </c>
      <c r="J649" s="279">
        <f t="shared" si="34"/>
        <v>0</v>
      </c>
      <c r="N649" s="49"/>
    </row>
    <row r="650" spans="1:14" ht="31.5">
      <c r="A650" s="12" t="s">
        <v>2564</v>
      </c>
      <c r="B650" s="270" t="s">
        <v>2579</v>
      </c>
      <c r="C650" s="271" t="s">
        <v>16</v>
      </c>
      <c r="D650" s="272">
        <v>442.5</v>
      </c>
      <c r="E650" s="272">
        <v>442.5</v>
      </c>
      <c r="F650" s="273" t="s">
        <v>2587</v>
      </c>
      <c r="G650" s="273" t="s">
        <v>2600</v>
      </c>
      <c r="H650" s="272">
        <f>57.5+57.5+32.5+50+50+50+50+95</f>
        <v>442.5</v>
      </c>
      <c r="I650" s="192">
        <f t="shared" si="35"/>
        <v>442.5</v>
      </c>
      <c r="J650" s="279">
        <f t="shared" si="34"/>
        <v>0</v>
      </c>
      <c r="N650" s="49"/>
    </row>
    <row r="651" spans="1:14" ht="63">
      <c r="A651" s="12" t="s">
        <v>2565</v>
      </c>
      <c r="B651" s="270" t="s">
        <v>2580</v>
      </c>
      <c r="C651" s="271" t="s">
        <v>14</v>
      </c>
      <c r="D651" s="272">
        <v>2</v>
      </c>
      <c r="E651" s="272">
        <v>2</v>
      </c>
      <c r="F651" s="273" t="s">
        <v>2587</v>
      </c>
      <c r="G651" s="273">
        <v>2</v>
      </c>
      <c r="H651" s="272">
        <f>2</f>
        <v>2</v>
      </c>
      <c r="I651" s="192">
        <f t="shared" si="35"/>
        <v>2</v>
      </c>
      <c r="J651" s="279">
        <f t="shared" si="34"/>
        <v>0</v>
      </c>
      <c r="N651" s="49"/>
    </row>
    <row r="652" spans="1:14" ht="63">
      <c r="A652" s="12" t="s">
        <v>2566</v>
      </c>
      <c r="B652" s="270" t="s">
        <v>2581</v>
      </c>
      <c r="C652" s="271" t="s">
        <v>14</v>
      </c>
      <c r="D652" s="272">
        <v>12</v>
      </c>
      <c r="E652" s="272">
        <v>12</v>
      </c>
      <c r="F652" s="273" t="s">
        <v>2587</v>
      </c>
      <c r="G652" s="273" t="s">
        <v>2601</v>
      </c>
      <c r="H652" s="272">
        <f>1+2+1+2+2+2+2</f>
        <v>12</v>
      </c>
      <c r="I652" s="192">
        <f t="shared" si="35"/>
        <v>12</v>
      </c>
      <c r="J652" s="279">
        <f t="shared" si="34"/>
        <v>0</v>
      </c>
      <c r="N652" s="49"/>
    </row>
    <row r="653" spans="1:14">
      <c r="A653" s="12" t="s">
        <v>3251</v>
      </c>
      <c r="B653" s="227" t="s">
        <v>3252</v>
      </c>
      <c r="C653" s="228" t="s">
        <v>3253</v>
      </c>
      <c r="D653" s="229">
        <v>192</v>
      </c>
      <c r="E653" s="229">
        <v>192</v>
      </c>
      <c r="F653" s="230"/>
      <c r="G653" s="230">
        <v>192</v>
      </c>
      <c r="H653" s="229">
        <v>192</v>
      </c>
      <c r="I653" s="249">
        <f>H653</f>
        <v>192</v>
      </c>
      <c r="J653" s="279">
        <f t="shared" si="34"/>
        <v>0</v>
      </c>
      <c r="N653" s="49"/>
    </row>
    <row r="654" spans="1:14" ht="24.75" customHeight="1">
      <c r="A654" s="6" t="s">
        <v>110</v>
      </c>
      <c r="B654" s="7" t="s">
        <v>25</v>
      </c>
      <c r="C654" s="8" t="s">
        <v>4</v>
      </c>
      <c r="D654" s="44">
        <v>1</v>
      </c>
      <c r="E654" s="44"/>
      <c r="F654" s="273"/>
      <c r="G654" s="45"/>
      <c r="H654" s="44"/>
      <c r="I654" s="191" t="s">
        <v>243</v>
      </c>
      <c r="J654" s="200"/>
      <c r="N654" s="49"/>
    </row>
    <row r="655" spans="1:14" s="75" customFormat="1" ht="96.75" customHeight="1">
      <c r="A655" s="12" t="s">
        <v>111</v>
      </c>
      <c r="B655" s="53" t="s">
        <v>1023</v>
      </c>
      <c r="C655" s="73" t="s">
        <v>7</v>
      </c>
      <c r="D655" s="44">
        <v>295</v>
      </c>
      <c r="E655" s="44">
        <f>I655</f>
        <v>490</v>
      </c>
      <c r="F655" s="68" t="s">
        <v>3733</v>
      </c>
      <c r="G655" s="45" t="s">
        <v>3734</v>
      </c>
      <c r="H655" s="44">
        <f>2*5+41*5+9*5+6*3+3*5+13*5+12*6+5*3+4*3+6*3+3*5</f>
        <v>490</v>
      </c>
      <c r="I655" s="192">
        <f>H655</f>
        <v>490</v>
      </c>
      <c r="J655" s="892">
        <f>E655-D655</f>
        <v>195</v>
      </c>
      <c r="K655" s="433"/>
      <c r="L655" s="74"/>
      <c r="M655" s="170"/>
      <c r="N655" s="49"/>
    </row>
    <row r="656" spans="1:14" s="75" customFormat="1" ht="33.75">
      <c r="A656" s="12" t="s">
        <v>112</v>
      </c>
      <c r="B656" s="53" t="s">
        <v>1025</v>
      </c>
      <c r="C656" s="73" t="s">
        <v>15</v>
      </c>
      <c r="D656" s="44">
        <v>59</v>
      </c>
      <c r="E656" s="44">
        <f>I656</f>
        <v>95</v>
      </c>
      <c r="F656" s="45"/>
      <c r="G656" s="45" t="s">
        <v>3735</v>
      </c>
      <c r="H656" s="44">
        <f>2+41+9+9+13+12+6+3</f>
        <v>95</v>
      </c>
      <c r="I656" s="192">
        <f t="shared" ref="I656:I693" si="36">H656</f>
        <v>95</v>
      </c>
      <c r="J656" s="892">
        <f t="shared" ref="J656:J693" si="37">E656-D656</f>
        <v>36</v>
      </c>
      <c r="K656" s="433"/>
      <c r="L656" s="74"/>
      <c r="M656" s="170"/>
      <c r="N656" s="49"/>
    </row>
    <row r="657" spans="1:14" s="75" customFormat="1" ht="33">
      <c r="A657" s="12" t="s">
        <v>113</v>
      </c>
      <c r="B657" s="53" t="s">
        <v>1027</v>
      </c>
      <c r="C657" s="73" t="s">
        <v>15</v>
      </c>
      <c r="D657" s="44">
        <v>59</v>
      </c>
      <c r="E657" s="44">
        <f t="shared" ref="E657:E693" si="38">I657</f>
        <v>95</v>
      </c>
      <c r="F657" s="45"/>
      <c r="G657" s="45" t="s">
        <v>3735</v>
      </c>
      <c r="H657" s="44">
        <f>2+41+9+9+13+12+6+3</f>
        <v>95</v>
      </c>
      <c r="I657" s="192">
        <f t="shared" si="36"/>
        <v>95</v>
      </c>
      <c r="J657" s="892">
        <f t="shared" si="37"/>
        <v>36</v>
      </c>
      <c r="K657" s="433"/>
      <c r="L657" s="74"/>
      <c r="M657" s="170"/>
      <c r="N657" s="49"/>
    </row>
    <row r="658" spans="1:14" s="75" customFormat="1" ht="33.75">
      <c r="A658" s="12" t="s">
        <v>114</v>
      </c>
      <c r="B658" s="53" t="s">
        <v>1029</v>
      </c>
      <c r="C658" s="73" t="s">
        <v>1030</v>
      </c>
      <c r="D658" s="44">
        <v>9</v>
      </c>
      <c r="E658" s="44">
        <f t="shared" si="38"/>
        <v>9</v>
      </c>
      <c r="F658" s="45"/>
      <c r="G658" s="45">
        <v>9</v>
      </c>
      <c r="H658" s="44">
        <v>9</v>
      </c>
      <c r="I658" s="192">
        <f t="shared" si="36"/>
        <v>9</v>
      </c>
      <c r="J658" s="892">
        <f t="shared" si="37"/>
        <v>0</v>
      </c>
      <c r="K658" s="433"/>
      <c r="L658" s="74"/>
      <c r="M658" s="170"/>
      <c r="N658" s="49"/>
    </row>
    <row r="659" spans="1:14" s="75" customFormat="1" ht="45">
      <c r="A659" s="12" t="s">
        <v>152</v>
      </c>
      <c r="B659" s="53" t="s">
        <v>1032</v>
      </c>
      <c r="C659" s="73" t="s">
        <v>15</v>
      </c>
      <c r="D659" s="44">
        <v>22</v>
      </c>
      <c r="E659" s="44">
        <f t="shared" si="38"/>
        <v>58</v>
      </c>
      <c r="F659" s="45"/>
      <c r="G659" s="45" t="s">
        <v>3949</v>
      </c>
      <c r="H659" s="44">
        <f>25+30+3</f>
        <v>58</v>
      </c>
      <c r="I659" s="192">
        <f t="shared" si="36"/>
        <v>58</v>
      </c>
      <c r="J659" s="892">
        <f t="shared" si="37"/>
        <v>36</v>
      </c>
      <c r="K659" s="433"/>
      <c r="L659" s="74"/>
      <c r="M659" s="170"/>
      <c r="N659" s="49"/>
    </row>
    <row r="660" spans="1:14" s="75" customFormat="1" ht="45">
      <c r="A660" s="12" t="s">
        <v>151</v>
      </c>
      <c r="B660" s="53" t="s">
        <v>1034</v>
      </c>
      <c r="C660" s="73" t="s">
        <v>15</v>
      </c>
      <c r="D660" s="44">
        <v>22</v>
      </c>
      <c r="E660" s="44">
        <f t="shared" si="38"/>
        <v>58</v>
      </c>
      <c r="F660" s="45"/>
      <c r="G660" s="45" t="s">
        <v>3949</v>
      </c>
      <c r="H660" s="44">
        <f>25+30+3</f>
        <v>58</v>
      </c>
      <c r="I660" s="192">
        <f t="shared" ref="I660" si="39">H660</f>
        <v>58</v>
      </c>
      <c r="J660" s="892">
        <f t="shared" si="37"/>
        <v>36</v>
      </c>
      <c r="K660" s="433"/>
      <c r="L660" s="74"/>
      <c r="M660" s="170"/>
      <c r="N660" s="49"/>
    </row>
    <row r="661" spans="1:14" s="75" customFormat="1" ht="45">
      <c r="A661" s="12" t="s">
        <v>150</v>
      </c>
      <c r="B661" s="53" t="s">
        <v>1036</v>
      </c>
      <c r="C661" s="73" t="s">
        <v>15</v>
      </c>
      <c r="D661" s="44">
        <v>5</v>
      </c>
      <c r="E661" s="44">
        <f t="shared" si="38"/>
        <v>5</v>
      </c>
      <c r="F661" s="45"/>
      <c r="G661" s="45">
        <v>5</v>
      </c>
      <c r="H661" s="44">
        <v>5</v>
      </c>
      <c r="I661" s="192">
        <f t="shared" si="36"/>
        <v>5</v>
      </c>
      <c r="J661" s="892">
        <f t="shared" si="37"/>
        <v>0</v>
      </c>
      <c r="K661" s="433"/>
      <c r="L661" s="74"/>
      <c r="M661" s="170"/>
      <c r="N661" s="49"/>
    </row>
    <row r="662" spans="1:14" s="75" customFormat="1" ht="45">
      <c r="A662" s="12" t="s">
        <v>149</v>
      </c>
      <c r="B662" s="53" t="s">
        <v>1038</v>
      </c>
      <c r="C662" s="73" t="s">
        <v>15</v>
      </c>
      <c r="D662" s="44">
        <v>5</v>
      </c>
      <c r="E662" s="44">
        <f t="shared" si="38"/>
        <v>5</v>
      </c>
      <c r="F662" s="45"/>
      <c r="G662" s="45">
        <v>5</v>
      </c>
      <c r="H662" s="44">
        <v>5</v>
      </c>
      <c r="I662" s="192">
        <f t="shared" si="36"/>
        <v>5</v>
      </c>
      <c r="J662" s="892">
        <f t="shared" si="37"/>
        <v>0</v>
      </c>
      <c r="K662" s="433"/>
      <c r="L662" s="74"/>
      <c r="M662" s="170"/>
      <c r="N662" s="49"/>
    </row>
    <row r="663" spans="1:14" s="75" customFormat="1" ht="33.75">
      <c r="A663" s="12" t="s">
        <v>148</v>
      </c>
      <c r="B663" s="53" t="s">
        <v>1040</v>
      </c>
      <c r="C663" s="73" t="s">
        <v>14</v>
      </c>
      <c r="D663" s="44">
        <v>1</v>
      </c>
      <c r="E663" s="44">
        <f t="shared" si="38"/>
        <v>1</v>
      </c>
      <c r="F663" s="45"/>
      <c r="G663" s="45">
        <v>1</v>
      </c>
      <c r="H663" s="44">
        <v>1</v>
      </c>
      <c r="I663" s="192">
        <f t="shared" si="36"/>
        <v>1</v>
      </c>
      <c r="J663" s="892">
        <f t="shared" si="37"/>
        <v>0</v>
      </c>
      <c r="K663" s="433"/>
      <c r="L663" s="74"/>
      <c r="M663" s="170"/>
      <c r="N663" s="49"/>
    </row>
    <row r="664" spans="1:14" s="75" customFormat="1" ht="33.75">
      <c r="A664" s="12" t="s">
        <v>1042</v>
      </c>
      <c r="B664" s="53" t="s">
        <v>1043</v>
      </c>
      <c r="C664" s="73" t="s">
        <v>15</v>
      </c>
      <c r="D664" s="44">
        <v>1</v>
      </c>
      <c r="E664" s="44">
        <f t="shared" si="38"/>
        <v>1</v>
      </c>
      <c r="F664" s="45"/>
      <c r="G664" s="45">
        <v>1</v>
      </c>
      <c r="H664" s="44">
        <v>1</v>
      </c>
      <c r="I664" s="192">
        <f t="shared" si="36"/>
        <v>1</v>
      </c>
      <c r="J664" s="892">
        <f t="shared" si="37"/>
        <v>0</v>
      </c>
      <c r="K664" s="433"/>
      <c r="L664" s="74"/>
      <c r="M664" s="170"/>
      <c r="N664" s="49"/>
    </row>
    <row r="665" spans="1:14" s="75" customFormat="1" ht="67.5">
      <c r="A665" s="12" t="s">
        <v>1045</v>
      </c>
      <c r="B665" s="53" t="s">
        <v>1046</v>
      </c>
      <c r="C665" s="73" t="s">
        <v>15</v>
      </c>
      <c r="D665" s="44">
        <v>1</v>
      </c>
      <c r="E665" s="44">
        <f t="shared" si="38"/>
        <v>1</v>
      </c>
      <c r="F665" s="45"/>
      <c r="G665" s="45">
        <v>1</v>
      </c>
      <c r="H665" s="44">
        <v>1</v>
      </c>
      <c r="I665" s="192">
        <f t="shared" si="36"/>
        <v>1</v>
      </c>
      <c r="J665" s="892">
        <f t="shared" si="37"/>
        <v>0</v>
      </c>
      <c r="K665" s="433"/>
      <c r="L665" s="74"/>
      <c r="M665" s="170"/>
      <c r="N665" s="49"/>
    </row>
    <row r="666" spans="1:14" s="75" customFormat="1" ht="45">
      <c r="A666" s="12" t="s">
        <v>1048</v>
      </c>
      <c r="B666" s="53" t="s">
        <v>1049</v>
      </c>
      <c r="C666" s="73" t="s">
        <v>15</v>
      </c>
      <c r="D666" s="44">
        <v>6</v>
      </c>
      <c r="E666" s="44">
        <f t="shared" si="38"/>
        <v>6</v>
      </c>
      <c r="F666" s="45"/>
      <c r="G666" s="45">
        <v>6</v>
      </c>
      <c r="H666" s="44">
        <v>6</v>
      </c>
      <c r="I666" s="192">
        <f t="shared" si="36"/>
        <v>6</v>
      </c>
      <c r="J666" s="892">
        <f t="shared" si="37"/>
        <v>0</v>
      </c>
      <c r="K666" s="433"/>
      <c r="L666" s="74"/>
      <c r="M666" s="170"/>
      <c r="N666" s="49"/>
    </row>
    <row r="667" spans="1:14" s="75" customFormat="1" ht="22.5">
      <c r="A667" s="12" t="s">
        <v>1051</v>
      </c>
      <c r="B667" s="53" t="s">
        <v>1052</v>
      </c>
      <c r="C667" s="73" t="s">
        <v>14</v>
      </c>
      <c r="D667" s="44">
        <v>75</v>
      </c>
      <c r="E667" s="44">
        <f t="shared" si="38"/>
        <v>77</v>
      </c>
      <c r="F667" s="45" t="s">
        <v>1343</v>
      </c>
      <c r="G667" s="45" t="s">
        <v>3580</v>
      </c>
      <c r="H667" s="44">
        <f>27+50</f>
        <v>77</v>
      </c>
      <c r="I667" s="192">
        <f t="shared" si="36"/>
        <v>77</v>
      </c>
      <c r="J667" s="892">
        <f t="shared" si="37"/>
        <v>2</v>
      </c>
      <c r="K667" s="433"/>
      <c r="L667" s="74"/>
      <c r="M667" s="170"/>
      <c r="N667" s="49"/>
    </row>
    <row r="668" spans="1:14" s="75" customFormat="1" ht="22.5">
      <c r="A668" s="12" t="s">
        <v>1054</v>
      </c>
      <c r="B668" s="53" t="s">
        <v>1055</v>
      </c>
      <c r="C668" s="73" t="s">
        <v>1007</v>
      </c>
      <c r="D668" s="44">
        <v>75</v>
      </c>
      <c r="E668" s="44">
        <f t="shared" si="38"/>
        <v>75</v>
      </c>
      <c r="F668" s="45" t="s">
        <v>3581</v>
      </c>
      <c r="G668" s="45" t="s">
        <v>3582</v>
      </c>
      <c r="H668" s="44">
        <f>8+67</f>
        <v>75</v>
      </c>
      <c r="I668" s="192">
        <f t="shared" si="36"/>
        <v>75</v>
      </c>
      <c r="J668" s="892">
        <f t="shared" si="37"/>
        <v>0</v>
      </c>
      <c r="K668" s="433"/>
      <c r="L668" s="74"/>
      <c r="M668" s="170"/>
      <c r="N668" s="49"/>
    </row>
    <row r="669" spans="1:14" s="75" customFormat="1" ht="45">
      <c r="A669" s="12" t="s">
        <v>1057</v>
      </c>
      <c r="B669" s="53" t="s">
        <v>1058</v>
      </c>
      <c r="C669" s="73" t="s">
        <v>15</v>
      </c>
      <c r="D669" s="44">
        <v>1</v>
      </c>
      <c r="E669" s="44">
        <f t="shared" si="38"/>
        <v>1</v>
      </c>
      <c r="F669" s="45"/>
      <c r="G669" s="45">
        <v>1</v>
      </c>
      <c r="H669" s="44">
        <v>1</v>
      </c>
      <c r="I669" s="192">
        <f t="shared" si="36"/>
        <v>1</v>
      </c>
      <c r="J669" s="892">
        <f t="shared" si="37"/>
        <v>0</v>
      </c>
      <c r="K669" s="433"/>
      <c r="L669" s="74"/>
      <c r="M669" s="170"/>
      <c r="N669" s="49"/>
    </row>
    <row r="670" spans="1:14" s="75" customFormat="1" ht="33.75">
      <c r="A670" s="12" t="s">
        <v>1060</v>
      </c>
      <c r="B670" s="53" t="s">
        <v>1061</v>
      </c>
      <c r="C670" s="73" t="s">
        <v>15</v>
      </c>
      <c r="D670" s="44">
        <v>1</v>
      </c>
      <c r="E670" s="44">
        <f t="shared" si="38"/>
        <v>1</v>
      </c>
      <c r="F670" s="45"/>
      <c r="G670" s="45">
        <v>1</v>
      </c>
      <c r="H670" s="44">
        <v>1</v>
      </c>
      <c r="I670" s="192">
        <f t="shared" si="36"/>
        <v>1</v>
      </c>
      <c r="J670" s="892">
        <f t="shared" si="37"/>
        <v>0</v>
      </c>
      <c r="K670" s="433"/>
      <c r="L670" s="74"/>
      <c r="M670" s="170"/>
      <c r="N670" s="49"/>
    </row>
    <row r="671" spans="1:14" s="75" customFormat="1" ht="45">
      <c r="A671" s="12" t="s">
        <v>1063</v>
      </c>
      <c r="B671" s="53" t="s">
        <v>1064</v>
      </c>
      <c r="C671" s="73" t="s">
        <v>15</v>
      </c>
      <c r="D671" s="44">
        <v>11</v>
      </c>
      <c r="E671" s="44">
        <f t="shared" si="38"/>
        <v>6</v>
      </c>
      <c r="F671" s="45" t="s">
        <v>3766</v>
      </c>
      <c r="G671" s="45" t="s">
        <v>3767</v>
      </c>
      <c r="H671" s="44">
        <f>1+5</f>
        <v>6</v>
      </c>
      <c r="I671" s="192">
        <f t="shared" si="36"/>
        <v>6</v>
      </c>
      <c r="J671" s="892">
        <f t="shared" si="37"/>
        <v>-5</v>
      </c>
      <c r="K671" s="433"/>
      <c r="L671" s="74"/>
      <c r="M671" s="170"/>
      <c r="N671" s="49"/>
    </row>
    <row r="672" spans="1:14" s="75" customFormat="1" ht="33.75">
      <c r="A672" s="12" t="s">
        <v>1066</v>
      </c>
      <c r="B672" s="53" t="s">
        <v>1067</v>
      </c>
      <c r="C672" s="73" t="s">
        <v>15</v>
      </c>
      <c r="D672" s="44">
        <v>3</v>
      </c>
      <c r="E672" s="44">
        <f t="shared" si="38"/>
        <v>3</v>
      </c>
      <c r="F672" s="45"/>
      <c r="G672" s="45">
        <v>3</v>
      </c>
      <c r="H672" s="44">
        <v>3</v>
      </c>
      <c r="I672" s="192">
        <f t="shared" si="36"/>
        <v>3</v>
      </c>
      <c r="J672" s="892">
        <f t="shared" si="37"/>
        <v>0</v>
      </c>
      <c r="K672" s="433"/>
      <c r="L672" s="74"/>
      <c r="M672" s="170"/>
      <c r="N672" s="49"/>
    </row>
    <row r="673" spans="1:14" s="75" customFormat="1" ht="45">
      <c r="A673" s="12" t="s">
        <v>1069</v>
      </c>
      <c r="B673" s="53" t="s">
        <v>1070</v>
      </c>
      <c r="C673" s="73" t="s">
        <v>14</v>
      </c>
      <c r="D673" s="44">
        <v>5</v>
      </c>
      <c r="E673" s="44">
        <f t="shared" si="38"/>
        <v>2</v>
      </c>
      <c r="F673" s="45" t="s">
        <v>3740</v>
      </c>
      <c r="G673" s="45" t="s">
        <v>3254</v>
      </c>
      <c r="H673" s="44">
        <f>1+1</f>
        <v>2</v>
      </c>
      <c r="I673" s="192">
        <f t="shared" si="36"/>
        <v>2</v>
      </c>
      <c r="J673" s="892">
        <f t="shared" si="37"/>
        <v>-3</v>
      </c>
      <c r="K673" s="433"/>
      <c r="L673" s="74"/>
      <c r="M673" s="170"/>
      <c r="N673" s="49"/>
    </row>
    <row r="674" spans="1:14" s="75" customFormat="1" ht="33.75">
      <c r="A674" s="12" t="s">
        <v>1072</v>
      </c>
      <c r="B674" s="53" t="s">
        <v>1073</v>
      </c>
      <c r="C674" s="73" t="s">
        <v>14</v>
      </c>
      <c r="D674" s="44">
        <v>1</v>
      </c>
      <c r="E674" s="44">
        <f t="shared" si="38"/>
        <v>1</v>
      </c>
      <c r="F674" s="45"/>
      <c r="G674" s="45">
        <v>1</v>
      </c>
      <c r="H674" s="44">
        <v>1</v>
      </c>
      <c r="I674" s="192">
        <f t="shared" si="36"/>
        <v>1</v>
      </c>
      <c r="J674" s="892">
        <f t="shared" si="37"/>
        <v>0</v>
      </c>
      <c r="K674" s="433"/>
      <c r="L674" s="74"/>
      <c r="M674" s="170"/>
      <c r="N674" s="49"/>
    </row>
    <row r="675" spans="1:14" s="75" customFormat="1" ht="33.75">
      <c r="A675" s="12" t="s">
        <v>1075</v>
      </c>
      <c r="B675" s="53" t="s">
        <v>1076</v>
      </c>
      <c r="C675" s="73" t="s">
        <v>15</v>
      </c>
      <c r="D675" s="44">
        <v>2</v>
      </c>
      <c r="E675" s="44">
        <f t="shared" si="38"/>
        <v>2</v>
      </c>
      <c r="F675" s="45"/>
      <c r="G675" s="45" t="s">
        <v>3643</v>
      </c>
      <c r="H675" s="44">
        <v>2</v>
      </c>
      <c r="I675" s="192">
        <f t="shared" si="36"/>
        <v>2</v>
      </c>
      <c r="J675" s="892">
        <f t="shared" si="37"/>
        <v>0</v>
      </c>
      <c r="K675" s="433"/>
      <c r="L675" s="74"/>
      <c r="M675" s="170"/>
      <c r="N675" s="49"/>
    </row>
    <row r="676" spans="1:14" s="75" customFormat="1" ht="33.75">
      <c r="A676" s="12" t="s">
        <v>1078</v>
      </c>
      <c r="B676" s="53" t="s">
        <v>1079</v>
      </c>
      <c r="C676" s="73" t="s">
        <v>14</v>
      </c>
      <c r="D676" s="44">
        <v>1</v>
      </c>
      <c r="E676" s="44">
        <f t="shared" si="38"/>
        <v>1</v>
      </c>
      <c r="F676" s="45"/>
      <c r="G676" s="45">
        <v>1</v>
      </c>
      <c r="H676" s="44">
        <v>1</v>
      </c>
      <c r="I676" s="192">
        <f t="shared" si="36"/>
        <v>1</v>
      </c>
      <c r="J676" s="892">
        <f t="shared" si="37"/>
        <v>0</v>
      </c>
      <c r="K676" s="433"/>
      <c r="L676" s="74"/>
      <c r="M676" s="170"/>
      <c r="N676" s="49"/>
    </row>
    <row r="677" spans="1:14" s="75" customFormat="1" ht="33.75">
      <c r="A677" s="12" t="s">
        <v>1081</v>
      </c>
      <c r="B677" s="53" t="s">
        <v>1082</v>
      </c>
      <c r="C677" s="73" t="s">
        <v>14</v>
      </c>
      <c r="D677" s="44">
        <v>1</v>
      </c>
      <c r="E677" s="44">
        <f t="shared" si="38"/>
        <v>1</v>
      </c>
      <c r="F677" s="45"/>
      <c r="G677" s="45">
        <v>1</v>
      </c>
      <c r="H677" s="44">
        <v>1</v>
      </c>
      <c r="I677" s="192">
        <f t="shared" si="36"/>
        <v>1</v>
      </c>
      <c r="J677" s="892">
        <f t="shared" si="37"/>
        <v>0</v>
      </c>
      <c r="K677" s="433"/>
      <c r="L677" s="74"/>
      <c r="M677" s="170"/>
      <c r="N677" s="49"/>
    </row>
    <row r="678" spans="1:14" s="75" customFormat="1" ht="33.75">
      <c r="A678" s="12" t="s">
        <v>1084</v>
      </c>
      <c r="B678" s="53" t="s">
        <v>1085</v>
      </c>
      <c r="C678" s="73" t="s">
        <v>15</v>
      </c>
      <c r="D678" s="44">
        <v>4</v>
      </c>
      <c r="E678" s="44">
        <f t="shared" si="38"/>
        <v>4</v>
      </c>
      <c r="F678" s="45"/>
      <c r="G678" s="45">
        <v>4</v>
      </c>
      <c r="H678" s="44">
        <v>4</v>
      </c>
      <c r="I678" s="192">
        <f t="shared" si="36"/>
        <v>4</v>
      </c>
      <c r="J678" s="892">
        <f t="shared" si="37"/>
        <v>0</v>
      </c>
      <c r="K678" s="433"/>
      <c r="L678" s="74"/>
      <c r="M678" s="170"/>
      <c r="N678" s="49"/>
    </row>
    <row r="679" spans="1:14" s="75" customFormat="1" ht="45">
      <c r="A679" s="12" t="s">
        <v>1087</v>
      </c>
      <c r="B679" s="53" t="s">
        <v>1088</v>
      </c>
      <c r="C679" s="73" t="s">
        <v>15</v>
      </c>
      <c r="D679" s="44">
        <v>2</v>
      </c>
      <c r="E679" s="44">
        <f t="shared" si="38"/>
        <v>2</v>
      </c>
      <c r="F679" s="45" t="s">
        <v>3646</v>
      </c>
      <c r="G679" s="45" t="s">
        <v>3643</v>
      </c>
      <c r="H679" s="44">
        <v>2</v>
      </c>
      <c r="I679" s="192">
        <f t="shared" si="36"/>
        <v>2</v>
      </c>
      <c r="J679" s="892">
        <f t="shared" si="37"/>
        <v>0</v>
      </c>
      <c r="K679" s="433"/>
      <c r="L679" s="74"/>
      <c r="M679" s="170"/>
      <c r="N679" s="49"/>
    </row>
    <row r="680" spans="1:14" s="75" customFormat="1" ht="33.75">
      <c r="A680" s="12" t="s">
        <v>1090</v>
      </c>
      <c r="B680" s="53" t="s">
        <v>1091</v>
      </c>
      <c r="C680" s="73" t="s">
        <v>14</v>
      </c>
      <c r="D680" s="44">
        <v>1</v>
      </c>
      <c r="E680" s="44">
        <f t="shared" si="38"/>
        <v>1</v>
      </c>
      <c r="F680" s="45"/>
      <c r="G680" s="45">
        <v>1</v>
      </c>
      <c r="H680" s="44">
        <v>1</v>
      </c>
      <c r="I680" s="192">
        <f t="shared" si="36"/>
        <v>1</v>
      </c>
      <c r="J680" s="892">
        <f t="shared" si="37"/>
        <v>0</v>
      </c>
      <c r="K680" s="433"/>
      <c r="L680" s="74"/>
      <c r="M680" s="170"/>
      <c r="N680" s="49"/>
    </row>
    <row r="681" spans="1:14" s="75" customFormat="1" ht="33.75">
      <c r="A681" s="12" t="s">
        <v>1093</v>
      </c>
      <c r="B681" s="53" t="s">
        <v>1094</v>
      </c>
      <c r="C681" s="73" t="s">
        <v>1095</v>
      </c>
      <c r="D681" s="44">
        <v>3</v>
      </c>
      <c r="E681" s="44">
        <f t="shared" si="38"/>
        <v>3</v>
      </c>
      <c r="F681" s="45" t="s">
        <v>3950</v>
      </c>
      <c r="G681" s="45">
        <v>3</v>
      </c>
      <c r="H681" s="44">
        <v>3</v>
      </c>
      <c r="I681" s="192">
        <f t="shared" si="36"/>
        <v>3</v>
      </c>
      <c r="J681" s="892">
        <f t="shared" si="37"/>
        <v>0</v>
      </c>
      <c r="K681" s="433"/>
      <c r="L681" s="74"/>
      <c r="M681" s="170"/>
      <c r="N681" s="49"/>
    </row>
    <row r="682" spans="1:14" s="75" customFormat="1" ht="22.5">
      <c r="A682" s="12" t="s">
        <v>1097</v>
      </c>
      <c r="B682" s="53" t="s">
        <v>1098</v>
      </c>
      <c r="C682" s="73" t="s">
        <v>1095</v>
      </c>
      <c r="D682" s="44">
        <v>4</v>
      </c>
      <c r="E682" s="44">
        <f t="shared" si="38"/>
        <v>15</v>
      </c>
      <c r="F682" s="45" t="s">
        <v>3742</v>
      </c>
      <c r="G682" s="45" t="s">
        <v>3583</v>
      </c>
      <c r="H682" s="44">
        <f>4+5+6</f>
        <v>15</v>
      </c>
      <c r="I682" s="192">
        <f t="shared" si="36"/>
        <v>15</v>
      </c>
      <c r="J682" s="892">
        <f t="shared" si="37"/>
        <v>11</v>
      </c>
      <c r="K682" s="433"/>
      <c r="L682" s="74"/>
      <c r="M682" s="170"/>
      <c r="N682" s="49"/>
    </row>
    <row r="683" spans="1:14" s="75" customFormat="1" ht="23.25" customHeight="1">
      <c r="A683" s="12" t="s">
        <v>1100</v>
      </c>
      <c r="B683" s="53" t="s">
        <v>1101</v>
      </c>
      <c r="C683" s="73" t="s">
        <v>15</v>
      </c>
      <c r="D683" s="44">
        <v>2</v>
      </c>
      <c r="E683" s="44">
        <f t="shared" si="38"/>
        <v>2</v>
      </c>
      <c r="F683" s="45"/>
      <c r="G683" s="45">
        <v>2</v>
      </c>
      <c r="H683" s="44">
        <v>2</v>
      </c>
      <c r="I683" s="192">
        <f t="shared" si="36"/>
        <v>2</v>
      </c>
      <c r="J683" s="892">
        <f t="shared" si="37"/>
        <v>0</v>
      </c>
      <c r="K683" s="433"/>
      <c r="L683" s="74"/>
      <c r="M683" s="170"/>
      <c r="N683" s="49"/>
    </row>
    <row r="684" spans="1:14" s="75" customFormat="1" ht="33.75">
      <c r="A684" s="12" t="s">
        <v>1103</v>
      </c>
      <c r="B684" s="53" t="s">
        <v>1104</v>
      </c>
      <c r="C684" s="73" t="s">
        <v>15</v>
      </c>
      <c r="D684" s="44">
        <v>4</v>
      </c>
      <c r="E684" s="44">
        <f t="shared" si="38"/>
        <v>0</v>
      </c>
      <c r="F684" s="45"/>
      <c r="G684" s="45">
        <v>0</v>
      </c>
      <c r="H684" s="44">
        <v>0</v>
      </c>
      <c r="I684" s="192">
        <f t="shared" si="36"/>
        <v>0</v>
      </c>
      <c r="J684" s="892">
        <f t="shared" si="37"/>
        <v>-4</v>
      </c>
      <c r="K684" s="433"/>
      <c r="L684" s="74"/>
      <c r="M684" s="170"/>
      <c r="N684" s="49"/>
    </row>
    <row r="685" spans="1:14" s="75" customFormat="1" ht="33.75">
      <c r="A685" s="12" t="s">
        <v>1106</v>
      </c>
      <c r="B685" s="53" t="s">
        <v>1107</v>
      </c>
      <c r="C685" s="73" t="s">
        <v>14</v>
      </c>
      <c r="D685" s="44">
        <v>2</v>
      </c>
      <c r="E685" s="44">
        <f t="shared" si="38"/>
        <v>18</v>
      </c>
      <c r="F685" s="45" t="s">
        <v>3649</v>
      </c>
      <c r="G685" s="45" t="s">
        <v>3746</v>
      </c>
      <c r="H685" s="44">
        <f>6*3</f>
        <v>18</v>
      </c>
      <c r="I685" s="192">
        <f t="shared" si="36"/>
        <v>18</v>
      </c>
      <c r="J685" s="892">
        <f t="shared" si="37"/>
        <v>16</v>
      </c>
      <c r="K685" s="433"/>
      <c r="L685" s="74"/>
      <c r="M685" s="170"/>
      <c r="N685" s="49"/>
    </row>
    <row r="686" spans="1:14" s="75" customFormat="1" ht="33.75">
      <c r="A686" s="12" t="s">
        <v>1109</v>
      </c>
      <c r="B686" s="53" t="s">
        <v>224</v>
      </c>
      <c r="C686" s="73" t="s">
        <v>15</v>
      </c>
      <c r="D686" s="44">
        <v>12</v>
      </c>
      <c r="E686" s="44">
        <f t="shared" si="38"/>
        <v>12</v>
      </c>
      <c r="F686" s="45" t="s">
        <v>3743</v>
      </c>
      <c r="G686" s="45">
        <v>12</v>
      </c>
      <c r="H686" s="44">
        <v>12</v>
      </c>
      <c r="I686" s="192">
        <f t="shared" si="36"/>
        <v>12</v>
      </c>
      <c r="J686" s="892">
        <f t="shared" si="37"/>
        <v>0</v>
      </c>
      <c r="K686" s="433"/>
      <c r="L686" s="74"/>
      <c r="M686" s="170"/>
      <c r="N686" s="49"/>
    </row>
    <row r="687" spans="1:14" s="75" customFormat="1" ht="22.5">
      <c r="A687" s="12" t="s">
        <v>1111</v>
      </c>
      <c r="B687" s="53" t="s">
        <v>1112</v>
      </c>
      <c r="C687" s="73" t="s">
        <v>15</v>
      </c>
      <c r="D687" s="44">
        <v>2</v>
      </c>
      <c r="E687" s="44">
        <f t="shared" si="38"/>
        <v>2</v>
      </c>
      <c r="F687" s="45" t="s">
        <v>3644</v>
      </c>
      <c r="G687" s="45" t="s">
        <v>3643</v>
      </c>
      <c r="H687" s="44">
        <v>2</v>
      </c>
      <c r="I687" s="192">
        <f t="shared" si="36"/>
        <v>2</v>
      </c>
      <c r="J687" s="892">
        <f t="shared" si="37"/>
        <v>0</v>
      </c>
      <c r="K687" s="433"/>
      <c r="L687" s="74"/>
      <c r="M687" s="170"/>
      <c r="N687" s="49"/>
    </row>
    <row r="688" spans="1:14" s="75" customFormat="1" ht="33.75">
      <c r="A688" s="12" t="s">
        <v>1114</v>
      </c>
      <c r="B688" s="53" t="s">
        <v>1115</v>
      </c>
      <c r="C688" s="73" t="s">
        <v>1116</v>
      </c>
      <c r="D688" s="44">
        <v>4</v>
      </c>
      <c r="E688" s="44">
        <f t="shared" si="38"/>
        <v>4</v>
      </c>
      <c r="F688" s="45" t="s">
        <v>3744</v>
      </c>
      <c r="G688" s="45">
        <v>4</v>
      </c>
      <c r="H688" s="44">
        <v>4</v>
      </c>
      <c r="I688" s="192">
        <f t="shared" si="36"/>
        <v>4</v>
      </c>
      <c r="J688" s="892">
        <f t="shared" si="37"/>
        <v>0</v>
      </c>
      <c r="K688" s="433"/>
      <c r="L688" s="74"/>
      <c r="M688" s="170"/>
      <c r="N688" s="49"/>
    </row>
    <row r="689" spans="1:14" s="75" customFormat="1">
      <c r="A689" s="12" t="s">
        <v>1541</v>
      </c>
      <c r="B689" s="53" t="s">
        <v>1542</v>
      </c>
      <c r="C689" s="73" t="s">
        <v>15</v>
      </c>
      <c r="D689" s="44">
        <v>1</v>
      </c>
      <c r="E689" s="44">
        <f t="shared" si="38"/>
        <v>1</v>
      </c>
      <c r="F689" s="45"/>
      <c r="G689" s="45">
        <v>1</v>
      </c>
      <c r="H689" s="44">
        <v>1</v>
      </c>
      <c r="I689" s="192">
        <f t="shared" si="36"/>
        <v>1</v>
      </c>
      <c r="J689" s="892">
        <f t="shared" si="37"/>
        <v>0</v>
      </c>
      <c r="K689" s="433"/>
      <c r="L689" s="74"/>
      <c r="M689" s="170"/>
      <c r="N689" s="49"/>
    </row>
    <row r="690" spans="1:14" s="75" customFormat="1" ht="22.5">
      <c r="A690" s="12" t="s">
        <v>1543</v>
      </c>
      <c r="B690" s="53" t="s">
        <v>1544</v>
      </c>
      <c r="C690" s="73" t="s">
        <v>15</v>
      </c>
      <c r="D690" s="44">
        <v>1</v>
      </c>
      <c r="E690" s="44">
        <f t="shared" si="38"/>
        <v>1</v>
      </c>
      <c r="F690" s="45"/>
      <c r="G690" s="45">
        <v>1</v>
      </c>
      <c r="H690" s="44">
        <v>1</v>
      </c>
      <c r="I690" s="192">
        <f t="shared" si="36"/>
        <v>1</v>
      </c>
      <c r="J690" s="892">
        <f t="shared" si="37"/>
        <v>0</v>
      </c>
      <c r="K690" s="433"/>
      <c r="L690" s="74"/>
      <c r="M690" s="170"/>
      <c r="N690" s="49"/>
    </row>
    <row r="691" spans="1:14" s="75" customFormat="1" ht="45">
      <c r="A691" s="12" t="s">
        <v>1545</v>
      </c>
      <c r="B691" s="53" t="s">
        <v>1546</v>
      </c>
      <c r="C691" s="73" t="s">
        <v>15</v>
      </c>
      <c r="D691" s="44">
        <v>2</v>
      </c>
      <c r="E691" s="44">
        <f t="shared" si="38"/>
        <v>2</v>
      </c>
      <c r="F691" s="45"/>
      <c r="G691" s="45">
        <v>2</v>
      </c>
      <c r="H691" s="44">
        <v>2</v>
      </c>
      <c r="I691" s="192">
        <f t="shared" si="36"/>
        <v>2</v>
      </c>
      <c r="J691" s="892">
        <f t="shared" si="37"/>
        <v>0</v>
      </c>
      <c r="K691" s="433"/>
      <c r="L691" s="74"/>
      <c r="M691" s="170"/>
      <c r="N691" s="49"/>
    </row>
    <row r="692" spans="1:14" s="75" customFormat="1" ht="33.75">
      <c r="A692" s="12" t="s">
        <v>1547</v>
      </c>
      <c r="B692" s="53" t="s">
        <v>1548</v>
      </c>
      <c r="C692" s="73" t="s">
        <v>15</v>
      </c>
      <c r="D692" s="44">
        <v>1</v>
      </c>
      <c r="E692" s="44">
        <f t="shared" si="38"/>
        <v>1</v>
      </c>
      <c r="F692" s="45"/>
      <c r="G692" s="45">
        <v>1</v>
      </c>
      <c r="H692" s="44">
        <v>1</v>
      </c>
      <c r="I692" s="192">
        <f t="shared" si="36"/>
        <v>1</v>
      </c>
      <c r="J692" s="892">
        <f t="shared" si="37"/>
        <v>0</v>
      </c>
      <c r="K692" s="433"/>
      <c r="L692" s="74"/>
      <c r="M692" s="170"/>
      <c r="N692" s="49"/>
    </row>
    <row r="693" spans="1:14" s="75" customFormat="1" ht="33.75">
      <c r="A693" s="12" t="s">
        <v>1549</v>
      </c>
      <c r="B693" s="53" t="s">
        <v>1550</v>
      </c>
      <c r="C693" s="73" t="s">
        <v>15</v>
      </c>
      <c r="D693" s="44">
        <v>2</v>
      </c>
      <c r="E693" s="44">
        <f t="shared" si="38"/>
        <v>2</v>
      </c>
      <c r="F693" s="45"/>
      <c r="G693" s="45">
        <v>2</v>
      </c>
      <c r="H693" s="44">
        <v>2</v>
      </c>
      <c r="I693" s="192">
        <f t="shared" si="36"/>
        <v>2</v>
      </c>
      <c r="J693" s="892">
        <f t="shared" si="37"/>
        <v>0</v>
      </c>
      <c r="K693" s="433"/>
      <c r="L693" s="74"/>
      <c r="M693" s="170"/>
      <c r="N693" s="49"/>
    </row>
    <row r="694" spans="1:14" ht="25.5" customHeight="1">
      <c r="A694" s="6" t="s">
        <v>115</v>
      </c>
      <c r="B694" s="7" t="s">
        <v>1118</v>
      </c>
      <c r="C694" s="8" t="s">
        <v>4</v>
      </c>
      <c r="D694" s="44">
        <v>1</v>
      </c>
      <c r="E694" s="229">
        <f>'5變(議價前)'!E452</f>
        <v>0</v>
      </c>
      <c r="F694" s="45"/>
      <c r="G694" s="45"/>
      <c r="H694" s="44"/>
      <c r="I694" s="191" t="s">
        <v>243</v>
      </c>
      <c r="J694" s="200"/>
      <c r="N694" s="49"/>
    </row>
    <row r="695" spans="1:14" ht="28.5">
      <c r="A695" s="12" t="s">
        <v>116</v>
      </c>
      <c r="B695" s="10" t="s">
        <v>26</v>
      </c>
      <c r="C695" s="8" t="s">
        <v>20</v>
      </c>
      <c r="D695" s="44">
        <v>48</v>
      </c>
      <c r="E695" s="44">
        <f>I695</f>
        <v>58</v>
      </c>
      <c r="F695" s="45" t="s">
        <v>3568</v>
      </c>
      <c r="G695" s="45" t="s">
        <v>3569</v>
      </c>
      <c r="H695" s="44">
        <f>29*2</f>
        <v>58</v>
      </c>
      <c r="I695" s="192">
        <f>H695</f>
        <v>58</v>
      </c>
      <c r="J695" s="279">
        <f>E695-D695</f>
        <v>10</v>
      </c>
      <c r="N695" s="49"/>
    </row>
    <row r="696" spans="1:14" ht="33">
      <c r="A696" s="12" t="s">
        <v>117</v>
      </c>
      <c r="B696" s="7" t="s">
        <v>27</v>
      </c>
      <c r="C696" s="8" t="s">
        <v>21</v>
      </c>
      <c r="D696" s="44">
        <v>28448</v>
      </c>
      <c r="E696" s="44">
        <f>I696</f>
        <v>34374</v>
      </c>
      <c r="F696" s="45" t="s">
        <v>3570</v>
      </c>
      <c r="G696" s="45" t="s">
        <v>3571</v>
      </c>
      <c r="H696" s="44">
        <f>ROUNDDOWN(1185.34*29,0)</f>
        <v>34374</v>
      </c>
      <c r="I696" s="192">
        <f>H696</f>
        <v>34374</v>
      </c>
      <c r="J696" s="279">
        <f t="shared" ref="J696:J720" si="40">E696-D696</f>
        <v>5926</v>
      </c>
      <c r="N696" s="49"/>
    </row>
    <row r="697" spans="1:14" ht="31.5">
      <c r="A697" s="12" t="s">
        <v>1552</v>
      </c>
      <c r="B697" s="7" t="s">
        <v>1553</v>
      </c>
      <c r="C697" s="8" t="s">
        <v>1554</v>
      </c>
      <c r="D697" s="44">
        <v>1570</v>
      </c>
      <c r="E697" s="44">
        <v>1570</v>
      </c>
      <c r="F697" s="45"/>
      <c r="G697" s="45" t="s">
        <v>3577</v>
      </c>
      <c r="H697" s="44">
        <f>9*30*4+(730-8*30)*1</f>
        <v>1570</v>
      </c>
      <c r="I697" s="192">
        <f>H697</f>
        <v>1570</v>
      </c>
      <c r="J697" s="279">
        <f t="shared" si="40"/>
        <v>0</v>
      </c>
      <c r="N697" s="49"/>
    </row>
    <row r="698" spans="1:14" ht="33">
      <c r="A698" s="6" t="s">
        <v>118</v>
      </c>
      <c r="B698" s="7" t="s">
        <v>1121</v>
      </c>
      <c r="C698" s="8" t="s">
        <v>4</v>
      </c>
      <c r="D698" s="44">
        <v>1</v>
      </c>
      <c r="E698" s="44"/>
      <c r="F698" s="45"/>
      <c r="G698" s="45"/>
      <c r="H698" s="44"/>
      <c r="I698" s="191" t="s">
        <v>243</v>
      </c>
      <c r="J698" s="200"/>
      <c r="N698" s="49"/>
    </row>
    <row r="699" spans="1:14" ht="65.25" customHeight="1">
      <c r="A699" s="12" t="s">
        <v>119</v>
      </c>
      <c r="B699" s="10" t="s">
        <v>1122</v>
      </c>
      <c r="C699" s="8" t="s">
        <v>8</v>
      </c>
      <c r="D699" s="44">
        <v>1294.97</v>
      </c>
      <c r="E699" s="44">
        <v>1294.97</v>
      </c>
      <c r="F699" s="45" t="s">
        <v>3572</v>
      </c>
      <c r="G699" s="45" t="s">
        <v>3677</v>
      </c>
      <c r="H699" s="44">
        <f>(26.7+162+38.2+16.7+58+10+12+85.8+30+66.5+104.5+88+175+82.8)+(85.9+69.2+36)+(31.5+29.1+37.6+28+21.5)</f>
        <v>1295</v>
      </c>
      <c r="I699" s="192">
        <f>H699</f>
        <v>1295</v>
      </c>
      <c r="J699" s="279">
        <f t="shared" si="40"/>
        <v>0</v>
      </c>
      <c r="N699" s="49"/>
    </row>
    <row r="700" spans="1:14" ht="42.75">
      <c r="A700" s="12" t="s">
        <v>120</v>
      </c>
      <c r="B700" s="10" t="s">
        <v>1124</v>
      </c>
      <c r="C700" s="8" t="s">
        <v>13</v>
      </c>
      <c r="D700" s="44">
        <v>1840.93</v>
      </c>
      <c r="E700" s="44">
        <f>I700</f>
        <v>1854.1599999999999</v>
      </c>
      <c r="F700" s="45" t="s">
        <v>1563</v>
      </c>
      <c r="G700" s="45" t="s">
        <v>1564</v>
      </c>
      <c r="H700" s="44">
        <f>((26.7+162+38.2+16.7+58+10+12+85.8+30+66.5+175)*2.4)+220</f>
        <v>1854.1599999999999</v>
      </c>
      <c r="I700" s="192">
        <f t="shared" ref="I700:I717" si="41">H700</f>
        <v>1854.1599999999999</v>
      </c>
      <c r="J700" s="279">
        <f t="shared" si="40"/>
        <v>13.229999999999791</v>
      </c>
      <c r="K700" s="433" t="s">
        <v>3549</v>
      </c>
      <c r="N700" s="49"/>
    </row>
    <row r="701" spans="1:14" ht="42.75">
      <c r="A701" s="12" t="s">
        <v>121</v>
      </c>
      <c r="B701" s="10" t="s">
        <v>32</v>
      </c>
      <c r="C701" s="8" t="s">
        <v>7</v>
      </c>
      <c r="D701" s="44">
        <v>59</v>
      </c>
      <c r="E701" s="44">
        <v>59</v>
      </c>
      <c r="F701" s="45" t="s">
        <v>1218</v>
      </c>
      <c r="G701" s="45"/>
      <c r="H701" s="44">
        <v>59</v>
      </c>
      <c r="I701" s="192">
        <f t="shared" si="41"/>
        <v>59</v>
      </c>
      <c r="J701" s="279">
        <f t="shared" si="40"/>
        <v>0</v>
      </c>
      <c r="N701" s="49"/>
    </row>
    <row r="702" spans="1:14">
      <c r="A702" s="12" t="s">
        <v>122</v>
      </c>
      <c r="B702" s="7" t="s">
        <v>33</v>
      </c>
      <c r="C702" s="8" t="s">
        <v>5</v>
      </c>
      <c r="D702" s="44">
        <v>30</v>
      </c>
      <c r="E702" s="44">
        <v>30</v>
      </c>
      <c r="F702" s="45" t="s">
        <v>1219</v>
      </c>
      <c r="G702" s="45"/>
      <c r="H702" s="44">
        <v>30</v>
      </c>
      <c r="I702" s="192">
        <f t="shared" si="41"/>
        <v>30</v>
      </c>
      <c r="J702" s="279">
        <f t="shared" si="40"/>
        <v>0</v>
      </c>
      <c r="N702" s="49"/>
    </row>
    <row r="703" spans="1:14">
      <c r="A703" s="12" t="s">
        <v>123</v>
      </c>
      <c r="B703" s="7" t="s">
        <v>1128</v>
      </c>
      <c r="C703" s="8" t="s">
        <v>0</v>
      </c>
      <c r="D703" s="44">
        <v>19</v>
      </c>
      <c r="E703" s="44">
        <f>I703</f>
        <v>36</v>
      </c>
      <c r="F703" s="45" t="s">
        <v>1220</v>
      </c>
      <c r="G703" s="45">
        <v>19</v>
      </c>
      <c r="H703" s="44">
        <v>19</v>
      </c>
      <c r="I703" s="192">
        <f>H703+H704</f>
        <v>36</v>
      </c>
      <c r="J703" s="279">
        <f t="shared" si="40"/>
        <v>17</v>
      </c>
      <c r="N703" s="49"/>
    </row>
    <row r="704" spans="1:14" ht="33">
      <c r="A704" s="226"/>
      <c r="B704" s="227"/>
      <c r="C704" s="228"/>
      <c r="D704" s="229"/>
      <c r="E704" s="229"/>
      <c r="F704" s="235" t="s">
        <v>3976</v>
      </c>
      <c r="G704" s="235" t="s">
        <v>3967</v>
      </c>
      <c r="H704" s="237">
        <f>5+3+3+3+3</f>
        <v>17</v>
      </c>
      <c r="I704" s="249"/>
      <c r="J704" s="285"/>
      <c r="N704" s="49"/>
    </row>
    <row r="705" spans="1:14">
      <c r="A705" s="12" t="s">
        <v>124</v>
      </c>
      <c r="B705" s="7" t="s">
        <v>1130</v>
      </c>
      <c r="C705" s="8" t="s">
        <v>0</v>
      </c>
      <c r="D705" s="44">
        <v>10</v>
      </c>
      <c r="E705" s="44">
        <v>10</v>
      </c>
      <c r="F705" s="45" t="s">
        <v>1221</v>
      </c>
      <c r="G705" s="45"/>
      <c r="H705" s="44">
        <v>10</v>
      </c>
      <c r="I705" s="192">
        <f t="shared" si="41"/>
        <v>10</v>
      </c>
      <c r="J705" s="279">
        <f t="shared" si="40"/>
        <v>0</v>
      </c>
      <c r="N705" s="49"/>
    </row>
    <row r="706" spans="1:14">
      <c r="A706" s="12" t="s">
        <v>125</v>
      </c>
      <c r="B706" s="7" t="s">
        <v>30</v>
      </c>
      <c r="C706" s="8" t="s">
        <v>0</v>
      </c>
      <c r="D706" s="44">
        <v>577</v>
      </c>
      <c r="E706" s="44">
        <f>I706</f>
        <v>627</v>
      </c>
      <c r="F706" s="45"/>
      <c r="G706" s="45" t="s">
        <v>3978</v>
      </c>
      <c r="H706" s="44">
        <v>577</v>
      </c>
      <c r="I706" s="192">
        <f>H706+H707</f>
        <v>627</v>
      </c>
      <c r="J706" s="279">
        <f t="shared" si="40"/>
        <v>50</v>
      </c>
      <c r="N706" s="49"/>
    </row>
    <row r="707" spans="1:14">
      <c r="A707" s="226"/>
      <c r="B707" s="227"/>
      <c r="C707" s="228"/>
      <c r="D707" s="229"/>
      <c r="E707" s="229"/>
      <c r="F707" s="235" t="s">
        <v>3980</v>
      </c>
      <c r="G707" s="806" t="s">
        <v>3981</v>
      </c>
      <c r="H707" s="229">
        <f>100/2</f>
        <v>50</v>
      </c>
      <c r="I707" s="249"/>
      <c r="J707" s="285"/>
      <c r="N707" s="49"/>
    </row>
    <row r="708" spans="1:14" ht="33.75">
      <c r="A708" s="12" t="s">
        <v>126</v>
      </c>
      <c r="B708" s="53" t="s">
        <v>1133</v>
      </c>
      <c r="C708" s="8" t="s">
        <v>0</v>
      </c>
      <c r="D708" s="44">
        <v>3</v>
      </c>
      <c r="E708" s="44">
        <v>3</v>
      </c>
      <c r="F708" s="45"/>
      <c r="G708" s="45" t="s">
        <v>3563</v>
      </c>
      <c r="H708" s="44">
        <v>3</v>
      </c>
      <c r="I708" s="192">
        <v>3</v>
      </c>
      <c r="J708" s="279">
        <f t="shared" si="40"/>
        <v>0</v>
      </c>
      <c r="N708" s="49"/>
    </row>
    <row r="709" spans="1:14" ht="33">
      <c r="A709" s="12" t="s">
        <v>127</v>
      </c>
      <c r="B709" s="10" t="s">
        <v>28</v>
      </c>
      <c r="C709" s="8" t="s">
        <v>22</v>
      </c>
      <c r="D709" s="44">
        <v>19</v>
      </c>
      <c r="E709" s="44">
        <v>19</v>
      </c>
      <c r="F709" s="45" t="s">
        <v>1222</v>
      </c>
      <c r="G709" s="45">
        <v>19</v>
      </c>
      <c r="H709" s="44">
        <v>19</v>
      </c>
      <c r="I709" s="192">
        <f t="shared" si="41"/>
        <v>19</v>
      </c>
      <c r="J709" s="279">
        <f t="shared" si="40"/>
        <v>0</v>
      </c>
      <c r="N709" s="49"/>
    </row>
    <row r="710" spans="1:14">
      <c r="A710" s="226"/>
      <c r="B710" s="231"/>
      <c r="C710" s="228"/>
      <c r="D710" s="229"/>
      <c r="E710" s="229"/>
      <c r="F710" s="230"/>
      <c r="G710" s="230"/>
      <c r="H710" s="229"/>
      <c r="I710" s="249"/>
      <c r="J710" s="285"/>
      <c r="N710" s="49"/>
    </row>
    <row r="711" spans="1:14">
      <c r="A711" s="12" t="s">
        <v>128</v>
      </c>
      <c r="B711" s="7" t="s">
        <v>1136</v>
      </c>
      <c r="C711" s="8" t="s">
        <v>7</v>
      </c>
      <c r="D711" s="44">
        <v>19</v>
      </c>
      <c r="E711" s="44">
        <v>19</v>
      </c>
      <c r="F711" s="45" t="s">
        <v>1223</v>
      </c>
      <c r="G711" s="45"/>
      <c r="H711" s="44">
        <v>19</v>
      </c>
      <c r="I711" s="192">
        <f t="shared" si="41"/>
        <v>19</v>
      </c>
      <c r="J711" s="279">
        <f t="shared" si="40"/>
        <v>0</v>
      </c>
      <c r="N711" s="49"/>
    </row>
    <row r="712" spans="1:14" ht="31.5">
      <c r="A712" s="12" t="s">
        <v>129</v>
      </c>
      <c r="B712" s="7" t="s">
        <v>1138</v>
      </c>
      <c r="C712" s="8" t="s">
        <v>1139</v>
      </c>
      <c r="D712" s="44">
        <v>2</v>
      </c>
      <c r="E712" s="44">
        <v>2</v>
      </c>
      <c r="F712" s="45" t="s">
        <v>1226</v>
      </c>
      <c r="G712" s="45"/>
      <c r="H712" s="44">
        <v>2</v>
      </c>
      <c r="I712" s="192">
        <f t="shared" si="41"/>
        <v>2</v>
      </c>
      <c r="J712" s="279">
        <f t="shared" si="40"/>
        <v>0</v>
      </c>
      <c r="N712" s="49"/>
    </row>
    <row r="713" spans="1:14" ht="49.5">
      <c r="A713" s="12" t="s">
        <v>1141</v>
      </c>
      <c r="B713" s="7" t="s">
        <v>1142</v>
      </c>
      <c r="C713" s="8" t="s">
        <v>8</v>
      </c>
      <c r="D713" s="44">
        <v>698.15</v>
      </c>
      <c r="E713" s="44">
        <f>I713</f>
        <v>774.40000000000009</v>
      </c>
      <c r="F713" s="45" t="s">
        <v>3645</v>
      </c>
      <c r="G713" s="45" t="s">
        <v>1565</v>
      </c>
      <c r="H713" s="44">
        <f>((76.3+33.2+23)+39.2+(71*2)+(246.5+21)+45+79+65+4.2)</f>
        <v>774.40000000000009</v>
      </c>
      <c r="I713" s="192">
        <f t="shared" si="41"/>
        <v>774.40000000000009</v>
      </c>
      <c r="J713" s="279">
        <f t="shared" si="40"/>
        <v>76.250000000000114</v>
      </c>
      <c r="N713" s="49"/>
    </row>
    <row r="714" spans="1:14" ht="49.5">
      <c r="A714" s="12" t="s">
        <v>1144</v>
      </c>
      <c r="B714" s="7" t="s">
        <v>1145</v>
      </c>
      <c r="C714" s="8" t="s">
        <v>8</v>
      </c>
      <c r="D714" s="44">
        <v>2498.77</v>
      </c>
      <c r="E714" s="44">
        <v>2498.77</v>
      </c>
      <c r="F714" s="76" t="s">
        <v>1570</v>
      </c>
      <c r="G714" s="45" t="s">
        <v>3647</v>
      </c>
      <c r="H714" s="44">
        <f>(22.5+31.5*2+13.6*2)+(156.2+233.5+72+31.5)+(51.7+18.9)+86.2+(95.2+45+22.5)+(62.3+38.5+22.5)+304.7+286.4+269+509+81</f>
        <v>2498.8000000000002</v>
      </c>
      <c r="I714" s="192">
        <f t="shared" si="41"/>
        <v>2498.8000000000002</v>
      </c>
      <c r="J714" s="279">
        <f t="shared" si="40"/>
        <v>0</v>
      </c>
      <c r="N714" s="49"/>
    </row>
    <row r="715" spans="1:14" ht="49.5">
      <c r="A715" s="12" t="s">
        <v>1147</v>
      </c>
      <c r="B715" s="7" t="s">
        <v>1148</v>
      </c>
      <c r="C715" s="8" t="s">
        <v>8</v>
      </c>
      <c r="D715" s="44">
        <v>1396.3</v>
      </c>
      <c r="E715" s="44">
        <v>1396.3</v>
      </c>
      <c r="F715" s="76" t="s">
        <v>3574</v>
      </c>
      <c r="G715" s="45" t="s">
        <v>3575</v>
      </c>
      <c r="H715" s="44">
        <f>(32.3*2+41.5+16+30.5*2)+(53.5+25.2)+(18.5*2+21)+(65.2*2)+(246.5+36+27.6)+58+(63.2*2)+(45.5*2)+(180.3*2)</f>
        <v>1396.3000000000002</v>
      </c>
      <c r="I715" s="192">
        <f t="shared" si="41"/>
        <v>1396.3000000000002</v>
      </c>
      <c r="J715" s="279">
        <f t="shared" si="40"/>
        <v>0</v>
      </c>
      <c r="N715" s="49"/>
    </row>
    <row r="716" spans="1:14">
      <c r="A716" s="12" t="s">
        <v>1150</v>
      </c>
      <c r="B716" s="7" t="s">
        <v>1151</v>
      </c>
      <c r="C716" s="8" t="s">
        <v>4</v>
      </c>
      <c r="D716" s="44">
        <v>1</v>
      </c>
      <c r="E716" s="44"/>
      <c r="F716" s="45"/>
      <c r="G716" s="45">
        <v>1</v>
      </c>
      <c r="H716" s="44">
        <v>1</v>
      </c>
      <c r="I716" s="192">
        <f t="shared" si="41"/>
        <v>1</v>
      </c>
      <c r="J716" s="279">
        <f t="shared" si="40"/>
        <v>-1</v>
      </c>
      <c r="N716" s="49"/>
    </row>
    <row r="717" spans="1:14" ht="28.5">
      <c r="A717" s="12" t="s">
        <v>1555</v>
      </c>
      <c r="B717" s="10" t="s">
        <v>1556</v>
      </c>
      <c r="C717" s="8" t="s">
        <v>8</v>
      </c>
      <c r="D717" s="44">
        <v>355</v>
      </c>
      <c r="E717" s="44">
        <v>355</v>
      </c>
      <c r="F717" s="45" t="s">
        <v>3791</v>
      </c>
      <c r="G717" s="45" t="s">
        <v>3573</v>
      </c>
      <c r="H717" s="44">
        <f>255+20*2+60</f>
        <v>355</v>
      </c>
      <c r="I717" s="192">
        <f t="shared" si="41"/>
        <v>355</v>
      </c>
      <c r="J717" s="279">
        <f t="shared" si="40"/>
        <v>0</v>
      </c>
      <c r="N717" s="49"/>
    </row>
    <row r="718" spans="1:14">
      <c r="A718" s="12" t="s">
        <v>1557</v>
      </c>
      <c r="B718" s="7" t="s">
        <v>29</v>
      </c>
      <c r="C718" s="8" t="s">
        <v>8</v>
      </c>
      <c r="D718" s="44">
        <v>465</v>
      </c>
      <c r="E718" s="44">
        <v>465</v>
      </c>
      <c r="F718" s="45" t="s">
        <v>1568</v>
      </c>
      <c r="G718" s="45" t="s">
        <v>3576</v>
      </c>
      <c r="H718" s="44">
        <f>385+80</f>
        <v>465</v>
      </c>
      <c r="I718" s="192">
        <v>465</v>
      </c>
      <c r="J718" s="279">
        <f t="shared" si="40"/>
        <v>0</v>
      </c>
      <c r="N718" s="49"/>
    </row>
    <row r="719" spans="1:14" ht="84">
      <c r="A719" s="12" t="s">
        <v>1558</v>
      </c>
      <c r="B719" s="7" t="s">
        <v>1559</v>
      </c>
      <c r="C719" s="8" t="s">
        <v>16</v>
      </c>
      <c r="D719" s="44">
        <f>'5變(議價前)'!D474</f>
        <v>6945</v>
      </c>
      <c r="E719" s="44">
        <f>I719</f>
        <v>6945</v>
      </c>
      <c r="F719" s="45" t="s">
        <v>2520</v>
      </c>
      <c r="G719" s="45" t="s">
        <v>3052</v>
      </c>
      <c r="H719" s="44">
        <f>415*5*3+720</f>
        <v>6945</v>
      </c>
      <c r="I719" s="192">
        <f>H719</f>
        <v>6945</v>
      </c>
      <c r="J719" s="279">
        <f t="shared" si="40"/>
        <v>0</v>
      </c>
      <c r="K719" s="773" t="s">
        <v>3053</v>
      </c>
      <c r="M719" s="170" t="s">
        <v>2119</v>
      </c>
      <c r="N719" s="49"/>
    </row>
    <row r="720" spans="1:14" ht="31.5">
      <c r="A720" s="12" t="s">
        <v>2586</v>
      </c>
      <c r="B720" s="7" t="s">
        <v>2585</v>
      </c>
      <c r="C720" s="8" t="s">
        <v>4</v>
      </c>
      <c r="D720" s="44">
        <v>1</v>
      </c>
      <c r="E720" s="44">
        <v>1</v>
      </c>
      <c r="F720" s="45"/>
      <c r="G720" s="50">
        <v>1</v>
      </c>
      <c r="H720" s="79">
        <v>1</v>
      </c>
      <c r="I720" s="192">
        <v>1</v>
      </c>
      <c r="J720" s="279">
        <f t="shared" si="40"/>
        <v>0</v>
      </c>
      <c r="M720" s="170" t="s">
        <v>2120</v>
      </c>
      <c r="N720" s="49"/>
    </row>
    <row r="721" spans="1:14" ht="24" customHeight="1">
      <c r="A721" s="6" t="s">
        <v>130</v>
      </c>
      <c r="B721" s="7" t="s">
        <v>34</v>
      </c>
      <c r="C721" s="8" t="s">
        <v>4</v>
      </c>
      <c r="D721" s="44">
        <v>1</v>
      </c>
      <c r="E721" s="44"/>
      <c r="F721" s="45"/>
      <c r="G721" s="45"/>
      <c r="H721" s="44"/>
      <c r="I721" s="191" t="s">
        <v>243</v>
      </c>
      <c r="J721" s="200"/>
      <c r="N721" s="49"/>
    </row>
    <row r="722" spans="1:14" ht="22.5">
      <c r="A722" s="12" t="s">
        <v>131</v>
      </c>
      <c r="B722" s="53" t="s">
        <v>146</v>
      </c>
      <c r="C722" s="8" t="s">
        <v>1007</v>
      </c>
      <c r="D722" s="44">
        <v>10</v>
      </c>
      <c r="E722" s="44">
        <v>10</v>
      </c>
      <c r="F722" s="45"/>
      <c r="G722" s="45">
        <v>10</v>
      </c>
      <c r="H722" s="44">
        <v>10</v>
      </c>
      <c r="I722" s="192">
        <f>H722</f>
        <v>10</v>
      </c>
      <c r="J722" s="200"/>
      <c r="N722" s="49"/>
    </row>
    <row r="723" spans="1:14" ht="22.5">
      <c r="A723" s="12" t="s">
        <v>132</v>
      </c>
      <c r="B723" s="53" t="s">
        <v>145</v>
      </c>
      <c r="C723" s="8" t="s">
        <v>1</v>
      </c>
      <c r="D723" s="44">
        <v>100</v>
      </c>
      <c r="E723" s="44">
        <v>100</v>
      </c>
      <c r="F723" s="45"/>
      <c r="G723" s="45">
        <v>100</v>
      </c>
      <c r="H723" s="44">
        <v>100</v>
      </c>
      <c r="I723" s="192">
        <f>H723</f>
        <v>100</v>
      </c>
      <c r="J723" s="200"/>
      <c r="N723" s="49"/>
    </row>
    <row r="724" spans="1:14" ht="22.5">
      <c r="A724" s="12" t="s">
        <v>133</v>
      </c>
      <c r="B724" s="53" t="s">
        <v>144</v>
      </c>
      <c r="C724" s="8" t="s">
        <v>9</v>
      </c>
      <c r="D724" s="44">
        <v>50</v>
      </c>
      <c r="E724" s="44">
        <v>50</v>
      </c>
      <c r="F724" s="45"/>
      <c r="G724" s="45">
        <v>50</v>
      </c>
      <c r="H724" s="44">
        <v>50</v>
      </c>
      <c r="I724" s="192">
        <f t="shared" ref="I724:I740" si="42">H724</f>
        <v>50</v>
      </c>
      <c r="J724" s="200"/>
      <c r="N724" s="49"/>
    </row>
    <row r="725" spans="1:14" ht="22.5">
      <c r="A725" s="12" t="s">
        <v>134</v>
      </c>
      <c r="B725" s="53" t="s">
        <v>35</v>
      </c>
      <c r="C725" s="8" t="s">
        <v>15</v>
      </c>
      <c r="D725" s="44">
        <v>75</v>
      </c>
      <c r="E725" s="44">
        <v>75</v>
      </c>
      <c r="F725" s="45"/>
      <c r="G725" s="45">
        <v>75</v>
      </c>
      <c r="H725" s="44">
        <v>75</v>
      </c>
      <c r="I725" s="192">
        <f t="shared" si="42"/>
        <v>75</v>
      </c>
      <c r="J725" s="200"/>
      <c r="N725" s="49"/>
    </row>
    <row r="726" spans="1:14" ht="22.5">
      <c r="A726" s="12" t="s">
        <v>135</v>
      </c>
      <c r="B726" s="53" t="s">
        <v>143</v>
      </c>
      <c r="C726" s="8" t="s">
        <v>3</v>
      </c>
      <c r="D726" s="44">
        <v>200</v>
      </c>
      <c r="E726" s="44">
        <v>200</v>
      </c>
      <c r="F726" s="45"/>
      <c r="G726" s="45">
        <v>200</v>
      </c>
      <c r="H726" s="44">
        <v>200</v>
      </c>
      <c r="I726" s="192">
        <f t="shared" si="42"/>
        <v>200</v>
      </c>
      <c r="J726" s="200"/>
      <c r="N726" s="49"/>
    </row>
    <row r="727" spans="1:14" ht="22.5">
      <c r="A727" s="12" t="s">
        <v>136</v>
      </c>
      <c r="B727" s="53" t="s">
        <v>36</v>
      </c>
      <c r="C727" s="8" t="s">
        <v>3</v>
      </c>
      <c r="D727" s="44">
        <v>100</v>
      </c>
      <c r="E727" s="44">
        <v>100</v>
      </c>
      <c r="F727" s="45"/>
      <c r="G727" s="45">
        <v>100</v>
      </c>
      <c r="H727" s="44">
        <v>100</v>
      </c>
      <c r="I727" s="192">
        <f t="shared" si="42"/>
        <v>100</v>
      </c>
      <c r="J727" s="200"/>
      <c r="N727" s="49"/>
    </row>
    <row r="728" spans="1:14" ht="22.5">
      <c r="A728" s="12" t="s">
        <v>137</v>
      </c>
      <c r="B728" s="53" t="s">
        <v>1159</v>
      </c>
      <c r="C728" s="8" t="s">
        <v>18</v>
      </c>
      <c r="D728" s="44">
        <v>75</v>
      </c>
      <c r="E728" s="44">
        <v>75</v>
      </c>
      <c r="F728" s="45"/>
      <c r="G728" s="45">
        <v>75</v>
      </c>
      <c r="H728" s="44">
        <v>75</v>
      </c>
      <c r="I728" s="192">
        <f t="shared" si="42"/>
        <v>75</v>
      </c>
      <c r="J728" s="200"/>
      <c r="N728" s="49"/>
    </row>
    <row r="729" spans="1:14" ht="33.75">
      <c r="A729" s="12" t="s">
        <v>138</v>
      </c>
      <c r="B729" s="53" t="s">
        <v>37</v>
      </c>
      <c r="C729" s="8" t="s">
        <v>18</v>
      </c>
      <c r="D729" s="44">
        <v>50</v>
      </c>
      <c r="E729" s="44">
        <v>50</v>
      </c>
      <c r="F729" s="45"/>
      <c r="G729" s="45">
        <v>50</v>
      </c>
      <c r="H729" s="44">
        <v>50</v>
      </c>
      <c r="I729" s="192">
        <f t="shared" si="42"/>
        <v>50</v>
      </c>
      <c r="J729" s="200"/>
      <c r="N729" s="49"/>
    </row>
    <row r="730" spans="1:14" ht="22.5">
      <c r="A730" s="12" t="s">
        <v>139</v>
      </c>
      <c r="B730" s="53" t="s">
        <v>1162</v>
      </c>
      <c r="C730" s="8" t="s">
        <v>15</v>
      </c>
      <c r="D730" s="44">
        <v>10</v>
      </c>
      <c r="E730" s="44">
        <v>10</v>
      </c>
      <c r="F730" s="45"/>
      <c r="G730" s="45">
        <v>10</v>
      </c>
      <c r="H730" s="44">
        <v>10</v>
      </c>
      <c r="I730" s="192">
        <f t="shared" si="42"/>
        <v>10</v>
      </c>
      <c r="J730" s="200"/>
      <c r="N730" s="49"/>
    </row>
    <row r="731" spans="1:14" ht="22.5">
      <c r="A731" s="12" t="s">
        <v>140</v>
      </c>
      <c r="B731" s="53" t="s">
        <v>38</v>
      </c>
      <c r="C731" s="8" t="s">
        <v>7</v>
      </c>
      <c r="D731" s="44">
        <v>4</v>
      </c>
      <c r="E731" s="44">
        <v>4</v>
      </c>
      <c r="F731" s="45" t="s">
        <v>1225</v>
      </c>
      <c r="G731" s="45">
        <v>4</v>
      </c>
      <c r="H731" s="44">
        <v>4</v>
      </c>
      <c r="I731" s="192">
        <f t="shared" si="42"/>
        <v>4</v>
      </c>
      <c r="J731" s="200"/>
      <c r="N731" s="49"/>
    </row>
    <row r="732" spans="1:14" ht="33.75">
      <c r="A732" s="12" t="s">
        <v>141</v>
      </c>
      <c r="B732" s="53" t="s">
        <v>1165</v>
      </c>
      <c r="C732" s="8" t="s">
        <v>15</v>
      </c>
      <c r="D732" s="44">
        <v>5</v>
      </c>
      <c r="E732" s="44">
        <v>5</v>
      </c>
      <c r="F732" s="45" t="s">
        <v>1228</v>
      </c>
      <c r="G732" s="45">
        <v>5</v>
      </c>
      <c r="H732" s="44">
        <v>5</v>
      </c>
      <c r="I732" s="192">
        <f t="shared" si="42"/>
        <v>5</v>
      </c>
      <c r="J732" s="200"/>
      <c r="N732" s="49"/>
    </row>
    <row r="733" spans="1:14" ht="22.5">
      <c r="A733" s="12" t="s">
        <v>1167</v>
      </c>
      <c r="B733" s="53" t="s">
        <v>1168</v>
      </c>
      <c r="C733" s="8" t="s">
        <v>15</v>
      </c>
      <c r="D733" s="44">
        <v>5</v>
      </c>
      <c r="E733" s="44">
        <v>5</v>
      </c>
      <c r="F733" s="45" t="s">
        <v>1229</v>
      </c>
      <c r="G733" s="45">
        <v>5</v>
      </c>
      <c r="H733" s="44">
        <v>5</v>
      </c>
      <c r="I733" s="192">
        <f t="shared" si="42"/>
        <v>5</v>
      </c>
      <c r="J733" s="200"/>
      <c r="N733" s="49"/>
    </row>
    <row r="734" spans="1:14" ht="33.75">
      <c r="A734" s="12" t="s">
        <v>1170</v>
      </c>
      <c r="B734" s="53" t="s">
        <v>1171</v>
      </c>
      <c r="C734" s="8" t="s">
        <v>15</v>
      </c>
      <c r="D734" s="44">
        <v>5</v>
      </c>
      <c r="E734" s="44">
        <v>5</v>
      </c>
      <c r="F734" s="45" t="s">
        <v>1227</v>
      </c>
      <c r="G734" s="45">
        <v>5</v>
      </c>
      <c r="H734" s="44">
        <v>5</v>
      </c>
      <c r="I734" s="192">
        <f t="shared" si="42"/>
        <v>5</v>
      </c>
      <c r="J734" s="200"/>
      <c r="N734" s="49"/>
    </row>
    <row r="735" spans="1:14" ht="33.75">
      <c r="A735" s="12" t="s">
        <v>1173</v>
      </c>
      <c r="B735" s="53" t="s">
        <v>1174</v>
      </c>
      <c r="C735" s="8" t="s">
        <v>15</v>
      </c>
      <c r="D735" s="44">
        <v>5</v>
      </c>
      <c r="E735" s="44">
        <v>5</v>
      </c>
      <c r="F735" s="45"/>
      <c r="G735" s="45">
        <v>5</v>
      </c>
      <c r="H735" s="44">
        <v>5</v>
      </c>
      <c r="I735" s="192">
        <f t="shared" si="42"/>
        <v>5</v>
      </c>
      <c r="J735" s="200"/>
      <c r="N735" s="49"/>
    </row>
    <row r="736" spans="1:14" ht="22.5">
      <c r="A736" s="12" t="s">
        <v>1176</v>
      </c>
      <c r="B736" s="53" t="s">
        <v>1177</v>
      </c>
      <c r="C736" s="8" t="s">
        <v>15</v>
      </c>
      <c r="D736" s="44">
        <v>80</v>
      </c>
      <c r="E736" s="44">
        <v>80</v>
      </c>
      <c r="F736" s="45"/>
      <c r="G736" s="45">
        <v>80</v>
      </c>
      <c r="H736" s="44">
        <v>80</v>
      </c>
      <c r="I736" s="192">
        <f t="shared" si="42"/>
        <v>80</v>
      </c>
      <c r="J736" s="200"/>
      <c r="N736" s="49"/>
    </row>
    <row r="737" spans="1:14" ht="28.5" customHeight="1">
      <c r="A737" s="12" t="s">
        <v>1179</v>
      </c>
      <c r="B737" s="53" t="s">
        <v>39</v>
      </c>
      <c r="C737" s="8" t="s">
        <v>4</v>
      </c>
      <c r="D737" s="44">
        <v>1</v>
      </c>
      <c r="E737" s="44">
        <v>1</v>
      </c>
      <c r="F737" s="45" t="s">
        <v>1224</v>
      </c>
      <c r="G737" s="45">
        <v>1</v>
      </c>
      <c r="H737" s="44">
        <v>1</v>
      </c>
      <c r="I737" s="192">
        <f t="shared" si="42"/>
        <v>1</v>
      </c>
      <c r="J737" s="200"/>
      <c r="N737" s="49"/>
    </row>
    <row r="738" spans="1:14">
      <c r="A738" s="12" t="s">
        <v>1181</v>
      </c>
      <c r="B738" s="53" t="s">
        <v>1182</v>
      </c>
      <c r="C738" s="8" t="s">
        <v>8</v>
      </c>
      <c r="D738" s="44">
        <v>5000</v>
      </c>
      <c r="E738" s="44">
        <v>5000</v>
      </c>
      <c r="F738" s="45"/>
      <c r="G738" s="45" t="s">
        <v>3648</v>
      </c>
      <c r="H738" s="44">
        <f>25*200</f>
        <v>5000</v>
      </c>
      <c r="I738" s="192">
        <f t="shared" si="42"/>
        <v>5000</v>
      </c>
      <c r="J738" s="200"/>
      <c r="N738" s="49"/>
    </row>
    <row r="739" spans="1:14" ht="33.75" customHeight="1">
      <c r="A739" s="12" t="s">
        <v>1184</v>
      </c>
      <c r="B739" s="53" t="s">
        <v>225</v>
      </c>
      <c r="C739" s="8" t="s">
        <v>226</v>
      </c>
      <c r="D739" s="44">
        <v>48</v>
      </c>
      <c r="E739" s="44">
        <f>I739</f>
        <v>58</v>
      </c>
      <c r="F739" s="45" t="s">
        <v>3579</v>
      </c>
      <c r="G739" s="45" t="s">
        <v>3578</v>
      </c>
      <c r="H739" s="44">
        <f>29*2</f>
        <v>58</v>
      </c>
      <c r="I739" s="192">
        <f t="shared" si="42"/>
        <v>58</v>
      </c>
      <c r="J739" s="279">
        <f>E739-D739</f>
        <v>10</v>
      </c>
      <c r="N739" s="49"/>
    </row>
    <row r="740" spans="1:14" ht="22.5">
      <c r="A740" s="12" t="s">
        <v>1186</v>
      </c>
      <c r="B740" s="53" t="s">
        <v>1187</v>
      </c>
      <c r="C740" s="8" t="s">
        <v>4</v>
      </c>
      <c r="D740" s="44">
        <v>1</v>
      </c>
      <c r="E740" s="44">
        <v>1</v>
      </c>
      <c r="F740" s="45"/>
      <c r="G740" s="45">
        <v>1</v>
      </c>
      <c r="H740" s="44">
        <v>1</v>
      </c>
      <c r="I740" s="192">
        <f t="shared" si="42"/>
        <v>1</v>
      </c>
      <c r="J740" s="200"/>
      <c r="N740" s="49"/>
    </row>
    <row r="741" spans="1:14">
      <c r="A741" s="12" t="s">
        <v>3690</v>
      </c>
      <c r="B741" s="880" t="e">
        <f>'5變(議價前)'!#REF!</f>
        <v>#REF!</v>
      </c>
      <c r="C741" s="891" t="e">
        <f>'5變(議價前)'!#REF!</f>
        <v>#REF!</v>
      </c>
      <c r="D741" s="229">
        <v>0</v>
      </c>
      <c r="E741" s="229">
        <v>1</v>
      </c>
      <c r="F741" s="230"/>
      <c r="G741" s="230"/>
      <c r="H741" s="229"/>
      <c r="I741" s="249"/>
      <c r="J741" s="92"/>
      <c r="N741" s="49"/>
    </row>
    <row r="742" spans="1:14" ht="21.95" customHeight="1">
      <c r="A742" s="6" t="s">
        <v>1189</v>
      </c>
      <c r="B742" s="7" t="s">
        <v>227</v>
      </c>
      <c r="C742" s="8" t="s">
        <v>4</v>
      </c>
      <c r="D742" s="44">
        <v>1</v>
      </c>
      <c r="E742" s="44"/>
      <c r="F742" s="45"/>
      <c r="G742" s="45"/>
      <c r="H742" s="44"/>
      <c r="I742" s="191" t="s">
        <v>243</v>
      </c>
      <c r="J742" s="200"/>
      <c r="N742" s="49"/>
    </row>
    <row r="743" spans="1:14" ht="36" customHeight="1">
      <c r="A743" s="12" t="s">
        <v>1190</v>
      </c>
      <c r="B743" s="7" t="s">
        <v>228</v>
      </c>
      <c r="C743" s="8" t="s">
        <v>226</v>
      </c>
      <c r="D743" s="44">
        <v>48</v>
      </c>
      <c r="E743" s="44">
        <f>I743</f>
        <v>58</v>
      </c>
      <c r="F743" s="45" t="s">
        <v>3579</v>
      </c>
      <c r="G743" s="45" t="s">
        <v>3578</v>
      </c>
      <c r="H743" s="44">
        <f>29*2</f>
        <v>58</v>
      </c>
      <c r="I743" s="192">
        <f>H743</f>
        <v>58</v>
      </c>
      <c r="J743" s="279">
        <f>E743-D743</f>
        <v>10</v>
      </c>
      <c r="K743" s="866">
        <v>46078</v>
      </c>
      <c r="M743" s="819">
        <v>45192</v>
      </c>
      <c r="N743" s="49">
        <f>K743-M743+1</f>
        <v>887</v>
      </c>
    </row>
    <row r="744" spans="1:14">
      <c r="A744" s="12" t="s">
        <v>1192</v>
      </c>
      <c r="B744" s="7" t="s">
        <v>1193</v>
      </c>
      <c r="C744" s="8" t="s">
        <v>4</v>
      </c>
      <c r="D744" s="44">
        <v>1</v>
      </c>
      <c r="E744" s="44"/>
      <c r="F744" s="45"/>
      <c r="G744" s="45">
        <v>1</v>
      </c>
      <c r="H744" s="44">
        <v>0.40980000000000005</v>
      </c>
      <c r="I744" s="192">
        <f>H744</f>
        <v>0.40980000000000005</v>
      </c>
      <c r="J744" s="200"/>
      <c r="N744" s="49"/>
    </row>
    <row r="745" spans="1:14" ht="27.75" customHeight="1">
      <c r="A745" s="6" t="s">
        <v>1195</v>
      </c>
      <c r="B745" s="10" t="s">
        <v>1196</v>
      </c>
      <c r="C745" s="8" t="s">
        <v>4</v>
      </c>
      <c r="D745" s="44">
        <v>1</v>
      </c>
      <c r="E745" s="44"/>
      <c r="F745" s="45"/>
      <c r="G745" s="45">
        <v>1</v>
      </c>
      <c r="H745" s="44"/>
      <c r="I745" s="191" t="s">
        <v>243</v>
      </c>
      <c r="J745" s="200"/>
      <c r="N745" s="49"/>
    </row>
    <row r="746" spans="1:14" ht="19.5" customHeight="1">
      <c r="A746" s="6" t="s">
        <v>1198</v>
      </c>
      <c r="B746" s="10" t="s">
        <v>1199</v>
      </c>
      <c r="C746" s="8" t="s">
        <v>4</v>
      </c>
      <c r="D746" s="44">
        <v>1</v>
      </c>
      <c r="E746" s="44"/>
      <c r="F746" s="45"/>
      <c r="G746" s="45"/>
      <c r="H746" s="44"/>
      <c r="I746" s="191" t="s">
        <v>243</v>
      </c>
      <c r="J746" s="200"/>
      <c r="N746" s="49"/>
    </row>
    <row r="747" spans="1:14">
      <c r="A747" s="12" t="s">
        <v>1201</v>
      </c>
      <c r="B747" s="10" t="s">
        <v>1199</v>
      </c>
      <c r="C747" s="8" t="s">
        <v>6</v>
      </c>
      <c r="D747" s="44">
        <v>18244.919999999998</v>
      </c>
      <c r="E747" s="44">
        <v>18244.919999999998</v>
      </c>
      <c r="F747" s="45" t="s">
        <v>1576</v>
      </c>
      <c r="G747" s="45">
        <v>13251</v>
      </c>
      <c r="H747" s="44">
        <f>H55</f>
        <v>13251</v>
      </c>
      <c r="I747" s="192">
        <f>ROUND(H747+H748+H749+H750,0)</f>
        <v>18245</v>
      </c>
      <c r="J747" s="279">
        <f>I747-D747</f>
        <v>8.000000000174623E-2</v>
      </c>
      <c r="N747" s="49"/>
    </row>
    <row r="748" spans="1:14">
      <c r="A748" s="269"/>
      <c r="B748" s="432"/>
      <c r="C748" s="271"/>
      <c r="D748" s="272"/>
      <c r="E748" s="272" t="s">
        <v>3020</v>
      </c>
      <c r="F748" s="273" t="s">
        <v>3001</v>
      </c>
      <c r="G748" s="273" t="s">
        <v>3003</v>
      </c>
      <c r="H748" s="272">
        <f>4813.44-212</f>
        <v>4601.4399999999996</v>
      </c>
      <c r="I748" s="287"/>
      <c r="J748" s="285"/>
      <c r="N748" s="49"/>
    </row>
    <row r="749" spans="1:14">
      <c r="A749" s="269"/>
      <c r="B749" s="432"/>
      <c r="C749" s="271"/>
      <c r="D749" s="272"/>
      <c r="E749" s="272" t="s">
        <v>2656</v>
      </c>
      <c r="F749" s="273" t="s">
        <v>3011</v>
      </c>
      <c r="G749" s="273" t="s">
        <v>2969</v>
      </c>
      <c r="H749" s="272">
        <f>ROUND(0.3*0.3*3.14*10*57.108,2)</f>
        <v>161.38999999999999</v>
      </c>
      <c r="I749" s="287"/>
      <c r="J749" s="285"/>
      <c r="N749" s="49"/>
    </row>
    <row r="750" spans="1:14" ht="28.5">
      <c r="A750" s="269"/>
      <c r="B750" s="432"/>
      <c r="C750" s="271"/>
      <c r="D750" s="272"/>
      <c r="E750" s="272" t="s">
        <v>2655</v>
      </c>
      <c r="F750" s="10" t="s">
        <v>205</v>
      </c>
      <c r="G750" s="273">
        <v>231.09</v>
      </c>
      <c r="H750" s="272">
        <v>231.09</v>
      </c>
      <c r="I750" s="287"/>
      <c r="J750" s="285"/>
      <c r="N750" s="49"/>
    </row>
    <row r="751" spans="1:14" ht="33">
      <c r="A751" s="269"/>
      <c r="B751" s="432"/>
      <c r="C751" s="271"/>
      <c r="D751" s="272"/>
      <c r="E751" s="272" t="s">
        <v>3023</v>
      </c>
      <c r="F751" s="273" t="s">
        <v>3014</v>
      </c>
      <c r="G751" s="273" t="s">
        <v>3015</v>
      </c>
      <c r="H751" s="272">
        <f>ROUND(322/30*35,2)</f>
        <v>375.67</v>
      </c>
      <c r="I751" s="287"/>
      <c r="J751" s="285"/>
      <c r="N751" s="49"/>
    </row>
    <row r="752" spans="1:14">
      <c r="A752" s="269"/>
      <c r="B752" s="432"/>
      <c r="C752" s="271"/>
      <c r="D752" s="272"/>
      <c r="E752" s="272"/>
      <c r="F752" s="273"/>
      <c r="G752" s="273"/>
      <c r="H752" s="272"/>
      <c r="I752" s="287"/>
      <c r="J752" s="285"/>
      <c r="N752" s="49"/>
    </row>
    <row r="753" spans="1:14" ht="33">
      <c r="A753" s="6" t="s">
        <v>1203</v>
      </c>
      <c r="B753" s="10" t="s">
        <v>1204</v>
      </c>
      <c r="C753" s="8" t="s">
        <v>4</v>
      </c>
      <c r="D753" s="44">
        <v>1</v>
      </c>
      <c r="E753" s="44"/>
      <c r="F753" s="45"/>
      <c r="G753" s="45"/>
      <c r="H753" s="44"/>
      <c r="I753" s="191" t="s">
        <v>243</v>
      </c>
      <c r="J753" s="200"/>
      <c r="N753" s="49"/>
    </row>
    <row r="754" spans="1:14" ht="33">
      <c r="A754" s="12" t="s">
        <v>1206</v>
      </c>
      <c r="B754" s="10" t="s">
        <v>1207</v>
      </c>
      <c r="C754" s="8" t="s">
        <v>13</v>
      </c>
      <c r="D754" s="44">
        <f>'5變(議價前)'!E503</f>
        <v>3208.78</v>
      </c>
      <c r="E754" s="44">
        <v>3208.78</v>
      </c>
      <c r="F754" s="45" t="s">
        <v>3633</v>
      </c>
      <c r="G754" s="45" t="s">
        <v>3632</v>
      </c>
      <c r="H754" s="44">
        <f>632.77*5+33.17+11.76</f>
        <v>3208.78</v>
      </c>
      <c r="I754" s="192">
        <f>H754</f>
        <v>3208.78</v>
      </c>
      <c r="J754" s="279">
        <f>E754-D754</f>
        <v>0</v>
      </c>
      <c r="N754" s="49"/>
    </row>
    <row r="755" spans="1:14" ht="24.75" customHeight="1">
      <c r="A755" s="6"/>
      <c r="B755" s="10" t="s">
        <v>1209</v>
      </c>
      <c r="C755" s="8"/>
      <c r="D755" s="44"/>
      <c r="E755" s="44"/>
      <c r="F755" s="45"/>
      <c r="G755" s="45"/>
      <c r="H755" s="46"/>
      <c r="I755" s="191" t="s">
        <v>243</v>
      </c>
      <c r="J755" s="200"/>
    </row>
    <row r="756" spans="1:14" ht="21.95" customHeight="1">
      <c r="A756" s="6"/>
      <c r="B756" s="7" t="s">
        <v>1210</v>
      </c>
      <c r="C756" s="8"/>
      <c r="D756" s="44"/>
      <c r="E756" s="44"/>
      <c r="F756" s="45"/>
      <c r="G756" s="45"/>
      <c r="H756" s="46"/>
      <c r="I756" s="191" t="s">
        <v>243</v>
      </c>
      <c r="J756" s="200"/>
    </row>
    <row r="757" spans="1:14" ht="10.5" customHeight="1">
      <c r="A757" s="1002"/>
      <c r="B757" s="1003"/>
      <c r="C757" s="1003"/>
      <c r="D757" s="1003"/>
      <c r="E757" s="1003"/>
      <c r="F757" s="1003"/>
      <c r="G757" s="1003"/>
      <c r="H757" s="1004"/>
      <c r="I757" s="199"/>
      <c r="J757" s="200"/>
    </row>
  </sheetData>
  <autoFilter ref="A5:L756" xr:uid="{E21CD539-3EB1-4D8C-9974-633841A871FF}"/>
  <mergeCells count="2">
    <mergeCell ref="A3:F3"/>
    <mergeCell ref="A757:H757"/>
  </mergeCells>
  <phoneticPr fontId="1" type="noConversion"/>
  <printOptions horizontalCentered="1"/>
  <pageMargins left="0.11811023622047245" right="0.11811023622047245" top="0.35433070866141736" bottom="0.15748031496062992" header="0.31496062992125984" footer="0.31496062992125984"/>
  <pageSetup paperSize="9" scale="71" orientation="landscape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653C-5C84-4BD5-80DE-FF36A746C207}">
  <sheetPr>
    <tabColor theme="5" tint="0.39997558519241921"/>
  </sheetPr>
  <dimension ref="A1:R951"/>
  <sheetViews>
    <sheetView tabSelected="1" view="pageBreakPreview" zoomScaleNormal="100" zoomScaleSheetLayoutView="100" workbookViewId="0">
      <pane ySplit="8" topLeftCell="A9" activePane="bottomLeft" state="frozen"/>
      <selection pane="bottomLeft" activeCell="P17" sqref="P17"/>
    </sheetView>
  </sheetViews>
  <sheetFormatPr defaultRowHeight="16.5"/>
  <cols>
    <col min="1" max="1" width="3.7109375" style="82" customWidth="1"/>
    <col min="2" max="2" width="33.28515625" style="849" customWidth="1"/>
    <col min="3" max="3" width="4.7109375" style="849" customWidth="1"/>
    <col min="4" max="5" width="9.7109375" style="82" customWidth="1"/>
    <col min="6" max="6" width="9.7109375" style="101" customWidth="1"/>
    <col min="7" max="7" width="11" style="82" customWidth="1"/>
    <col min="8" max="8" width="11" style="82" hidden="1" customWidth="1"/>
    <col min="9" max="9" width="9.7109375" style="82" customWidth="1"/>
    <col min="10" max="11" width="14.42578125" style="82" customWidth="1"/>
    <col min="12" max="13" width="11.5703125" style="82" customWidth="1"/>
    <col min="14" max="14" width="9.140625" style="849"/>
    <col min="15" max="15" width="26.42578125" style="82" customWidth="1"/>
    <col min="16" max="16" width="26.5703125" style="82" customWidth="1"/>
    <col min="17" max="17" width="4" style="82" customWidth="1"/>
    <col min="18" max="18" width="33.42578125" style="82" customWidth="1"/>
    <col min="19" max="16384" width="9.140625" style="82"/>
  </cols>
  <sheetData>
    <row r="1" spans="1:18" ht="25.5">
      <c r="A1" s="838"/>
      <c r="B1" s="838"/>
      <c r="C1" s="1019" t="s">
        <v>230</v>
      </c>
      <c r="D1" s="1019"/>
      <c r="E1" s="1019"/>
      <c r="F1" s="1019"/>
      <c r="G1" s="1019"/>
      <c r="H1" s="1019"/>
      <c r="I1" s="1019"/>
      <c r="J1" s="1019"/>
      <c r="K1" s="1019"/>
      <c r="L1" s="1019"/>
      <c r="M1" s="839"/>
      <c r="N1" s="839"/>
    </row>
    <row r="2" spans="1:18" ht="19.5">
      <c r="A2" s="1020" t="s">
        <v>242</v>
      </c>
      <c r="B2" s="1021"/>
      <c r="C2" s="1022" t="s">
        <v>3532</v>
      </c>
      <c r="D2" s="1022"/>
      <c r="E2" s="1022"/>
      <c r="F2" s="1022"/>
      <c r="G2" s="1022"/>
      <c r="H2" s="1022"/>
      <c r="I2" s="1022"/>
      <c r="J2" s="1022"/>
      <c r="K2" s="1022"/>
      <c r="L2" s="1022"/>
      <c r="M2" s="840"/>
      <c r="N2" s="841"/>
    </row>
    <row r="3" spans="1:18" s="842" customFormat="1">
      <c r="A3" s="1023" t="s">
        <v>2140</v>
      </c>
      <c r="B3" s="1024"/>
      <c r="C3" s="1024"/>
      <c r="D3" s="1024"/>
      <c r="E3" s="1024"/>
      <c r="F3" s="1024"/>
      <c r="G3" s="1024"/>
      <c r="H3" s="1024"/>
      <c r="I3" s="1024"/>
      <c r="J3" s="1024"/>
      <c r="K3" s="1024"/>
      <c r="L3" s="289" t="s">
        <v>2299</v>
      </c>
      <c r="M3" s="1025">
        <f ca="1">TODAY()</f>
        <v>45868</v>
      </c>
      <c r="N3" s="1026"/>
    </row>
    <row r="4" spans="1:18" s="842" customFormat="1">
      <c r="A4" s="1015" t="s">
        <v>3153</v>
      </c>
      <c r="B4" s="1016"/>
      <c r="C4" s="1016"/>
      <c r="D4" s="1016"/>
      <c r="E4" s="1016"/>
      <c r="F4" s="1016"/>
      <c r="G4" s="1016"/>
      <c r="H4" s="1016"/>
      <c r="I4" s="1016"/>
      <c r="J4" s="1016"/>
      <c r="K4" s="843" t="s">
        <v>2300</v>
      </c>
      <c r="L4" s="844"/>
      <c r="M4" s="1017">
        <v>257600000</v>
      </c>
      <c r="N4" s="1018"/>
    </row>
    <row r="5" spans="1:18" s="842" customFormat="1">
      <c r="A5" s="1015" t="s">
        <v>3154</v>
      </c>
      <c r="B5" s="1016"/>
      <c r="C5" s="1016"/>
      <c r="D5" s="1016"/>
      <c r="E5" s="1016"/>
      <c r="F5" s="1016"/>
      <c r="G5" s="1016"/>
      <c r="H5" s="1016"/>
      <c r="I5" s="1016"/>
      <c r="J5" s="1016"/>
      <c r="K5" s="843" t="s">
        <v>3155</v>
      </c>
      <c r="L5" s="844"/>
      <c r="M5" s="1017">
        <f>J9</f>
        <v>325212521.00000006</v>
      </c>
      <c r="N5" s="1018"/>
    </row>
    <row r="6" spans="1:18" s="842" customFormat="1">
      <c r="A6" s="1015" t="s">
        <v>3156</v>
      </c>
      <c r="B6" s="1016"/>
      <c r="C6" s="1016"/>
      <c r="D6" s="1016"/>
      <c r="E6" s="1016"/>
      <c r="F6" s="1016"/>
      <c r="G6" s="1016"/>
      <c r="H6" s="1016"/>
      <c r="I6" s="1016"/>
      <c r="J6" s="1016"/>
      <c r="K6" s="843" t="s">
        <v>2302</v>
      </c>
      <c r="L6" s="844"/>
      <c r="M6" s="1017">
        <f>K9</f>
        <v>355417322.00000012</v>
      </c>
      <c r="N6" s="1018"/>
    </row>
    <row r="7" spans="1:18" s="845" customFormat="1" ht="15" customHeight="1">
      <c r="A7" s="1027" t="s">
        <v>235</v>
      </c>
      <c r="B7" s="1029" t="s">
        <v>2303</v>
      </c>
      <c r="C7" s="1013" t="s">
        <v>237</v>
      </c>
      <c r="D7" s="1012" t="s">
        <v>2304</v>
      </c>
      <c r="E7" s="1012" t="s">
        <v>3157</v>
      </c>
      <c r="F7" s="1031" t="s">
        <v>2305</v>
      </c>
      <c r="G7" s="1012" t="s">
        <v>3778</v>
      </c>
      <c r="H7" s="1012" t="s">
        <v>2307</v>
      </c>
      <c r="I7" s="1012" t="s">
        <v>3158</v>
      </c>
      <c r="J7" s="1012" t="s">
        <v>2308</v>
      </c>
      <c r="K7" s="1012" t="s">
        <v>3159</v>
      </c>
      <c r="L7" s="1013" t="s">
        <v>2309</v>
      </c>
      <c r="M7" s="1013" t="s">
        <v>2310</v>
      </c>
      <c r="N7" s="1013" t="s">
        <v>2311</v>
      </c>
    </row>
    <row r="8" spans="1:18" s="845" customFormat="1" ht="14.25" customHeight="1">
      <c r="A8" s="1028"/>
      <c r="B8" s="1030"/>
      <c r="C8" s="1013"/>
      <c r="D8" s="1013"/>
      <c r="E8" s="1013"/>
      <c r="F8" s="1032"/>
      <c r="G8" s="1013"/>
      <c r="H8" s="1016"/>
      <c r="I8" s="1013"/>
      <c r="J8" s="1013"/>
      <c r="K8" s="1013"/>
      <c r="L8" s="1014"/>
      <c r="M8" s="1013"/>
      <c r="N8" s="1013"/>
      <c r="R8" s="864">
        <f>O9-R9</f>
        <v>1730274.4800000601</v>
      </c>
    </row>
    <row r="9" spans="1:18" ht="14.25">
      <c r="A9" s="833" t="s">
        <v>10</v>
      </c>
      <c r="B9" s="834" t="s">
        <v>12</v>
      </c>
      <c r="C9" s="835" t="s">
        <v>4</v>
      </c>
      <c r="D9" s="836">
        <v>1</v>
      </c>
      <c r="E9" s="836"/>
      <c r="F9" s="836"/>
      <c r="G9" s="836"/>
      <c r="H9" s="836"/>
      <c r="I9" s="836"/>
      <c r="J9" s="836">
        <f>J10+J385+J412+J452+J456+J476+J496+J499+J500+J502</f>
        <v>325212521.00000006</v>
      </c>
      <c r="K9" s="836">
        <f>K10+K385+K412+K452+K456+K476+K496+K499+K500+K502</f>
        <v>355417322.00000012</v>
      </c>
      <c r="L9" s="836">
        <f>L10+L385+L412+L452+L456+L476+L496+L499+L500+L502</f>
        <v>35989512.640000001</v>
      </c>
      <c r="M9" s="836">
        <f>M10+M385+M412+M452+M456+M476+M496+M499+M500+M502</f>
        <v>7514986.1200000001</v>
      </c>
      <c r="N9" s="837" t="s">
        <v>242</v>
      </c>
      <c r="O9" s="101">
        <f>K9-J9</f>
        <v>30204801.00000006</v>
      </c>
      <c r="P9" s="101"/>
      <c r="R9" s="101">
        <f>L9-M9</f>
        <v>28474526.52</v>
      </c>
    </row>
    <row r="10" spans="1:18" ht="14.25">
      <c r="A10" s="833" t="s">
        <v>2152</v>
      </c>
      <c r="B10" s="834" t="s">
        <v>2</v>
      </c>
      <c r="C10" s="835" t="s">
        <v>4</v>
      </c>
      <c r="D10" s="836">
        <v>1</v>
      </c>
      <c r="E10" s="836"/>
      <c r="F10" s="836"/>
      <c r="G10" s="836"/>
      <c r="H10" s="836"/>
      <c r="I10" s="836"/>
      <c r="J10" s="836">
        <f>J11+J38+J139+J181+J213+J235+J255+J341+J375</f>
        <v>246821728.99999997</v>
      </c>
      <c r="K10" s="836">
        <f>K11+K38+K139+K181+K213+K235+K255+K341+K375</f>
        <v>270143926.75999999</v>
      </c>
      <c r="L10" s="836">
        <f>L11+L38+L139+L181+L213+L235+L255+L341+L375</f>
        <v>29021114.059999995</v>
      </c>
      <c r="M10" s="836">
        <f>M11+M38+M139+M181+M213+M235+M255+M341+M375</f>
        <v>7429190.7800000003</v>
      </c>
      <c r="N10" s="837" t="s">
        <v>242</v>
      </c>
      <c r="O10" s="82" t="s">
        <v>243</v>
      </c>
    </row>
    <row r="11" spans="1:18" ht="14.25">
      <c r="A11" s="833" t="s">
        <v>2153</v>
      </c>
      <c r="B11" s="834" t="s">
        <v>244</v>
      </c>
      <c r="C11" s="835" t="s">
        <v>4</v>
      </c>
      <c r="D11" s="836">
        <v>1</v>
      </c>
      <c r="E11" s="836"/>
      <c r="F11" s="836"/>
      <c r="G11" s="836">
        <f>J11</f>
        <v>61418174.289999984</v>
      </c>
      <c r="H11" s="836"/>
      <c r="I11" s="836"/>
      <c r="J11" s="836">
        <f>SUM(J12:J37)</f>
        <v>61418174.289999984</v>
      </c>
      <c r="K11" s="836">
        <f t="shared" ref="K11:M11" si="0">SUM(K12:K37)</f>
        <v>61831557.599999994</v>
      </c>
      <c r="L11" s="836">
        <f t="shared" si="0"/>
        <v>2765572.4799999995</v>
      </c>
      <c r="M11" s="836">
        <f t="shared" si="0"/>
        <v>2352189.17</v>
      </c>
      <c r="N11" s="837" t="s">
        <v>242</v>
      </c>
      <c r="O11" s="82" t="s">
        <v>243</v>
      </c>
    </row>
    <row r="12" spans="1:18" ht="14.25">
      <c r="A12" s="815" t="s">
        <v>2154</v>
      </c>
      <c r="B12" s="816" t="s">
        <v>245</v>
      </c>
      <c r="C12" s="821" t="s">
        <v>6</v>
      </c>
      <c r="D12" s="817">
        <v>720.24</v>
      </c>
      <c r="E12" s="817">
        <f>'數量計算(FOR5變) '!E9</f>
        <v>720.24</v>
      </c>
      <c r="F12" s="817">
        <f>E12-D12</f>
        <v>0</v>
      </c>
      <c r="G12" s="817">
        <v>193.11</v>
      </c>
      <c r="H12" s="817"/>
      <c r="I12" s="817"/>
      <c r="J12" s="817">
        <f>ROUND(D12*G12,2)</f>
        <v>139085.54999999999</v>
      </c>
      <c r="K12" s="817">
        <f>ROUND(E12*G12,2)</f>
        <v>139085.54999999999</v>
      </c>
      <c r="L12" s="817"/>
      <c r="M12" s="817"/>
      <c r="N12" s="818" t="s">
        <v>242</v>
      </c>
      <c r="O12" s="293" t="s">
        <v>3651</v>
      </c>
      <c r="P12" s="293"/>
      <c r="R12" s="914" t="s">
        <v>3816</v>
      </c>
    </row>
    <row r="13" spans="1:18" ht="14.25">
      <c r="A13" s="833" t="s">
        <v>2155</v>
      </c>
      <c r="B13" s="834" t="s">
        <v>247</v>
      </c>
      <c r="C13" s="835" t="s">
        <v>6</v>
      </c>
      <c r="D13" s="836">
        <v>4813.4399999999996</v>
      </c>
      <c r="E13" s="836">
        <v>4813.4399999999996</v>
      </c>
      <c r="F13" s="836">
        <f t="shared" ref="F13:F76" si="1">E13-D13</f>
        <v>0</v>
      </c>
      <c r="G13" s="836">
        <v>1046.1600000000001</v>
      </c>
      <c r="H13" s="836"/>
      <c r="I13" s="836"/>
      <c r="J13" s="836">
        <f t="shared" ref="J13:J37" si="2">ROUND(D13*G13,2)</f>
        <v>5035628.3899999997</v>
      </c>
      <c r="K13" s="836">
        <f t="shared" ref="K13:K36" si="3">ROUND(E13*G13,2)</f>
        <v>5035628.3899999997</v>
      </c>
      <c r="L13" s="836"/>
      <c r="M13" s="836"/>
      <c r="N13" s="837" t="s">
        <v>242</v>
      </c>
      <c r="O13" s="82" t="s">
        <v>243</v>
      </c>
    </row>
    <row r="14" spans="1:18" ht="85.5">
      <c r="A14" s="853" t="s">
        <v>2156</v>
      </c>
      <c r="B14" s="854" t="s">
        <v>249</v>
      </c>
      <c r="C14" s="855" t="s">
        <v>8</v>
      </c>
      <c r="D14" s="856">
        <v>1743</v>
      </c>
      <c r="E14" s="856">
        <f>'數量計算(FOR5變) '!E37</f>
        <v>1810.3000000000002</v>
      </c>
      <c r="F14" s="856">
        <f t="shared" si="1"/>
        <v>67.300000000000182</v>
      </c>
      <c r="G14" s="856">
        <v>6199.66</v>
      </c>
      <c r="H14" s="856"/>
      <c r="I14" s="856"/>
      <c r="J14" s="856">
        <f t="shared" si="2"/>
        <v>10806007.380000001</v>
      </c>
      <c r="K14" s="856">
        <f t="shared" si="3"/>
        <v>11223244.5</v>
      </c>
      <c r="L14" s="856">
        <f>K14-J14</f>
        <v>417237.11999999918</v>
      </c>
      <c r="M14" s="856"/>
      <c r="N14" s="857" t="s">
        <v>2315</v>
      </c>
      <c r="O14" s="919" t="s">
        <v>3881</v>
      </c>
    </row>
    <row r="15" spans="1:18" ht="28.5">
      <c r="A15" s="815" t="s">
        <v>2157</v>
      </c>
      <c r="B15" s="816" t="s">
        <v>194</v>
      </c>
      <c r="C15" s="821" t="s">
        <v>23</v>
      </c>
      <c r="D15" s="817">
        <v>28009.56</v>
      </c>
      <c r="E15" s="817">
        <f>'數量計算(FOR5變) '!E40</f>
        <v>27495.636704000004</v>
      </c>
      <c r="F15" s="817">
        <f t="shared" si="1"/>
        <v>-513.92329599999721</v>
      </c>
      <c r="G15" s="817">
        <v>48.28</v>
      </c>
      <c r="H15" s="817"/>
      <c r="I15" s="817"/>
      <c r="J15" s="817">
        <f t="shared" si="2"/>
        <v>1352301.56</v>
      </c>
      <c r="K15" s="817">
        <f t="shared" si="3"/>
        <v>1327489.3400000001</v>
      </c>
      <c r="L15" s="817"/>
      <c r="M15" s="817">
        <f>J15-K15</f>
        <v>24812.219999999972</v>
      </c>
      <c r="N15" s="818" t="s">
        <v>242</v>
      </c>
      <c r="O15" s="586" t="s">
        <v>3481</v>
      </c>
      <c r="P15" s="586" t="s">
        <v>2961</v>
      </c>
      <c r="Q15" s="846" t="s">
        <v>3266</v>
      </c>
    </row>
    <row r="16" spans="1:18" ht="31.5" customHeight="1">
      <c r="A16" s="815" t="s">
        <v>2158</v>
      </c>
      <c r="B16" s="816" t="s">
        <v>252</v>
      </c>
      <c r="C16" s="821" t="s">
        <v>6</v>
      </c>
      <c r="D16" s="817">
        <v>4726.67</v>
      </c>
      <c r="E16" s="817">
        <f>'數量計算(FOR5變) '!E45</f>
        <v>1650.6334999999999</v>
      </c>
      <c r="F16" s="817">
        <f t="shared" si="1"/>
        <v>-3076.0365000000002</v>
      </c>
      <c r="G16" s="817">
        <v>599.71</v>
      </c>
      <c r="H16" s="817"/>
      <c r="I16" s="817"/>
      <c r="J16" s="817">
        <f t="shared" si="2"/>
        <v>2834631.27</v>
      </c>
      <c r="K16" s="817">
        <f t="shared" si="3"/>
        <v>989901.42</v>
      </c>
      <c r="L16" s="817"/>
      <c r="M16" s="817">
        <f>J16-K16</f>
        <v>1844729.85</v>
      </c>
      <c r="N16" s="818" t="s">
        <v>242</v>
      </c>
      <c r="O16" s="919" t="s">
        <v>3951</v>
      </c>
      <c r="P16" s="586"/>
      <c r="Q16" s="846" t="s">
        <v>3266</v>
      </c>
      <c r="R16" s="921" t="s">
        <v>3883</v>
      </c>
    </row>
    <row r="17" spans="1:18" ht="27">
      <c r="A17" s="853" t="s">
        <v>2159</v>
      </c>
      <c r="B17" s="854" t="s">
        <v>255</v>
      </c>
      <c r="C17" s="855" t="s">
        <v>6</v>
      </c>
      <c r="D17" s="856">
        <v>13120</v>
      </c>
      <c r="E17" s="856">
        <f>'數量計算(FOR5變) '!E48</f>
        <v>15845.924402500001</v>
      </c>
      <c r="F17" s="856">
        <f t="shared" si="1"/>
        <v>2725.9244025000007</v>
      </c>
      <c r="G17" s="856">
        <v>104.64</v>
      </c>
      <c r="H17" s="856"/>
      <c r="I17" s="856"/>
      <c r="J17" s="856">
        <f t="shared" si="2"/>
        <v>1372876.8</v>
      </c>
      <c r="K17" s="856">
        <f t="shared" si="3"/>
        <v>1658117.53</v>
      </c>
      <c r="L17" s="856">
        <f>K17-J17</f>
        <v>285240.73</v>
      </c>
      <c r="M17" s="856"/>
      <c r="N17" s="857" t="s">
        <v>242</v>
      </c>
      <c r="O17" s="1063" t="s">
        <v>3747</v>
      </c>
      <c r="P17" s="914" t="s">
        <v>3999</v>
      </c>
      <c r="Q17" s="846" t="s">
        <v>3266</v>
      </c>
    </row>
    <row r="18" spans="1:18" ht="85.5">
      <c r="A18" s="833" t="s">
        <v>2160</v>
      </c>
      <c r="B18" s="834" t="s">
        <v>258</v>
      </c>
      <c r="C18" s="835" t="s">
        <v>23</v>
      </c>
      <c r="D18" s="836">
        <v>18244.919999999998</v>
      </c>
      <c r="E18" s="836">
        <v>18244.919999999998</v>
      </c>
      <c r="F18" s="836">
        <f t="shared" si="1"/>
        <v>0</v>
      </c>
      <c r="G18" s="836">
        <v>1027.3699999999999</v>
      </c>
      <c r="H18" s="836"/>
      <c r="I18" s="836"/>
      <c r="J18" s="836">
        <f t="shared" si="2"/>
        <v>18744283.460000001</v>
      </c>
      <c r="K18" s="836">
        <f t="shared" si="3"/>
        <v>18744283.460000001</v>
      </c>
      <c r="L18" s="836"/>
      <c r="M18" s="836"/>
      <c r="N18" s="837" t="s">
        <v>2319</v>
      </c>
      <c r="O18" s="82" t="s">
        <v>243</v>
      </c>
    </row>
    <row r="19" spans="1:18" ht="28.5">
      <c r="A19" s="833" t="s">
        <v>2161</v>
      </c>
      <c r="B19" s="834" t="s">
        <v>261</v>
      </c>
      <c r="C19" s="835" t="s">
        <v>6</v>
      </c>
      <c r="D19" s="836">
        <v>0</v>
      </c>
      <c r="E19" s="836">
        <v>0</v>
      </c>
      <c r="F19" s="836">
        <f t="shared" si="1"/>
        <v>0</v>
      </c>
      <c r="G19" s="836">
        <v>1084.98</v>
      </c>
      <c r="H19" s="836"/>
      <c r="I19" s="836"/>
      <c r="J19" s="836">
        <f t="shared" si="2"/>
        <v>0</v>
      </c>
      <c r="K19" s="836">
        <f t="shared" si="3"/>
        <v>0</v>
      </c>
      <c r="L19" s="836"/>
      <c r="M19" s="836"/>
      <c r="N19" s="837" t="s">
        <v>242</v>
      </c>
      <c r="O19" s="82" t="s">
        <v>243</v>
      </c>
    </row>
    <row r="20" spans="1:18" ht="42.75">
      <c r="A20" s="815" t="s">
        <v>2162</v>
      </c>
      <c r="B20" s="816" t="s">
        <v>264</v>
      </c>
      <c r="C20" s="821" t="s">
        <v>13</v>
      </c>
      <c r="D20" s="817">
        <v>2588.5</v>
      </c>
      <c r="E20" s="817">
        <f>'數量計算(FOR5變) '!E61</f>
        <v>2373.5340000000001</v>
      </c>
      <c r="F20" s="817">
        <f t="shared" si="1"/>
        <v>-214.96599999999989</v>
      </c>
      <c r="G20" s="817">
        <v>30.45</v>
      </c>
      <c r="H20" s="817"/>
      <c r="I20" s="817"/>
      <c r="J20" s="817">
        <f t="shared" si="2"/>
        <v>78819.83</v>
      </c>
      <c r="K20" s="817">
        <f t="shared" si="3"/>
        <v>72274.11</v>
      </c>
      <c r="L20" s="817"/>
      <c r="M20" s="817">
        <f>J20-K20</f>
        <v>6545.7200000000012</v>
      </c>
      <c r="N20" s="818" t="s">
        <v>2320</v>
      </c>
      <c r="O20" s="1064" t="s">
        <v>3884</v>
      </c>
      <c r="P20" s="914" t="s">
        <v>2953</v>
      </c>
      <c r="R20" s="556" t="s">
        <v>3885</v>
      </c>
    </row>
    <row r="21" spans="1:18" ht="28.5">
      <c r="A21" s="815" t="s">
        <v>2163</v>
      </c>
      <c r="B21" s="816" t="s">
        <v>267</v>
      </c>
      <c r="C21" s="821" t="s">
        <v>13</v>
      </c>
      <c r="D21" s="817">
        <v>9177</v>
      </c>
      <c r="E21" s="817">
        <f>'數量計算(FOR5變) '!E63</f>
        <v>8121.4740000000002</v>
      </c>
      <c r="F21" s="817">
        <f t="shared" si="1"/>
        <v>-1055.5259999999998</v>
      </c>
      <c r="G21" s="817">
        <v>28.48</v>
      </c>
      <c r="H21" s="817"/>
      <c r="I21" s="817"/>
      <c r="J21" s="817">
        <f t="shared" si="2"/>
        <v>261360.96</v>
      </c>
      <c r="K21" s="817">
        <f t="shared" si="3"/>
        <v>231299.58</v>
      </c>
      <c r="L21" s="817"/>
      <c r="M21" s="817">
        <f>J21-K21</f>
        <v>30061.380000000005</v>
      </c>
      <c r="N21" s="818" t="s">
        <v>242</v>
      </c>
      <c r="O21" s="1064" t="s">
        <v>3884</v>
      </c>
      <c r="P21" s="914" t="s">
        <v>2953</v>
      </c>
    </row>
    <row r="22" spans="1:18" ht="28.5">
      <c r="A22" s="853" t="s">
        <v>2164</v>
      </c>
      <c r="B22" s="854" t="s">
        <v>270</v>
      </c>
      <c r="C22" s="855" t="s">
        <v>8</v>
      </c>
      <c r="D22" s="856">
        <v>162.5</v>
      </c>
      <c r="E22" s="856">
        <f>'數量計算(FOR5變) '!E65</f>
        <v>382.97999999999996</v>
      </c>
      <c r="F22" s="856">
        <f t="shared" si="1"/>
        <v>220.47999999999996</v>
      </c>
      <c r="G22" s="856">
        <v>65.400000000000006</v>
      </c>
      <c r="H22" s="856"/>
      <c r="I22" s="856"/>
      <c r="J22" s="856">
        <f t="shared" si="2"/>
        <v>10627.5</v>
      </c>
      <c r="K22" s="856">
        <f t="shared" si="3"/>
        <v>25046.89</v>
      </c>
      <c r="L22" s="856">
        <f>K22-J22</f>
        <v>14419.39</v>
      </c>
      <c r="M22" s="856"/>
      <c r="N22" s="857" t="s">
        <v>242</v>
      </c>
      <c r="O22" s="1065" t="s">
        <v>3490</v>
      </c>
      <c r="P22" s="914" t="s">
        <v>2953</v>
      </c>
      <c r="Q22" s="846" t="s">
        <v>3266</v>
      </c>
    </row>
    <row r="23" spans="1:18" ht="28.5">
      <c r="A23" s="833" t="s">
        <v>2165</v>
      </c>
      <c r="B23" s="834" t="s">
        <v>273</v>
      </c>
      <c r="C23" s="835" t="s">
        <v>13</v>
      </c>
      <c r="D23" s="836">
        <v>5217.7</v>
      </c>
      <c r="E23" s="836">
        <f>'數量計算(FOR5變) '!E67</f>
        <v>5217.7</v>
      </c>
      <c r="F23" s="938">
        <f t="shared" si="1"/>
        <v>0</v>
      </c>
      <c r="G23" s="836">
        <v>20.190000000000001</v>
      </c>
      <c r="H23" s="836"/>
      <c r="I23" s="836"/>
      <c r="J23" s="836">
        <f t="shared" si="2"/>
        <v>105345.36</v>
      </c>
      <c r="K23" s="836">
        <f t="shared" si="3"/>
        <v>105345.36</v>
      </c>
      <c r="L23" s="836"/>
      <c r="M23" s="836"/>
      <c r="N23" s="837" t="s">
        <v>242</v>
      </c>
      <c r="O23" s="914"/>
      <c r="P23" s="293"/>
      <c r="R23" s="914" t="s">
        <v>3811</v>
      </c>
    </row>
    <row r="24" spans="1:18" ht="14.25">
      <c r="A24" s="833" t="s">
        <v>2166</v>
      </c>
      <c r="B24" s="834" t="s">
        <v>276</v>
      </c>
      <c r="C24" s="835" t="s">
        <v>6</v>
      </c>
      <c r="D24" s="836">
        <v>782.66</v>
      </c>
      <c r="E24" s="836">
        <v>782.66</v>
      </c>
      <c r="F24" s="836">
        <f t="shared" si="1"/>
        <v>0</v>
      </c>
      <c r="G24" s="836">
        <v>2286.6799999999998</v>
      </c>
      <c r="H24" s="836"/>
      <c r="I24" s="836"/>
      <c r="J24" s="836">
        <f t="shared" si="2"/>
        <v>1789692.97</v>
      </c>
      <c r="K24" s="836">
        <f t="shared" si="3"/>
        <v>1789692.97</v>
      </c>
      <c r="L24" s="836"/>
      <c r="M24" s="836"/>
      <c r="N24" s="837" t="s">
        <v>2321</v>
      </c>
      <c r="O24" s="82" t="s">
        <v>243</v>
      </c>
    </row>
    <row r="25" spans="1:18" ht="57">
      <c r="A25" s="833" t="s">
        <v>2167</v>
      </c>
      <c r="B25" s="834" t="s">
        <v>279</v>
      </c>
      <c r="C25" s="835" t="s">
        <v>14</v>
      </c>
      <c r="D25" s="836">
        <v>425</v>
      </c>
      <c r="E25" s="836">
        <v>425</v>
      </c>
      <c r="F25" s="836">
        <f t="shared" si="1"/>
        <v>0</v>
      </c>
      <c r="G25" s="836">
        <v>521.15</v>
      </c>
      <c r="H25" s="836"/>
      <c r="I25" s="836"/>
      <c r="J25" s="836">
        <f t="shared" si="2"/>
        <v>221488.75</v>
      </c>
      <c r="K25" s="836">
        <f t="shared" si="3"/>
        <v>221488.75</v>
      </c>
      <c r="L25" s="836"/>
      <c r="M25" s="836"/>
      <c r="N25" s="837" t="s">
        <v>2322</v>
      </c>
      <c r="O25" s="82" t="s">
        <v>243</v>
      </c>
    </row>
    <row r="26" spans="1:18" ht="28.5">
      <c r="A26" s="833" t="s">
        <v>2168</v>
      </c>
      <c r="B26" s="834" t="s">
        <v>282</v>
      </c>
      <c r="C26" s="835" t="s">
        <v>8</v>
      </c>
      <c r="D26" s="836">
        <v>415.08</v>
      </c>
      <c r="E26" s="836">
        <v>415.08</v>
      </c>
      <c r="F26" s="836">
        <f t="shared" si="1"/>
        <v>0</v>
      </c>
      <c r="G26" s="836">
        <v>289.67</v>
      </c>
      <c r="H26" s="836"/>
      <c r="I26" s="836"/>
      <c r="J26" s="836">
        <f t="shared" si="2"/>
        <v>120236.22</v>
      </c>
      <c r="K26" s="836">
        <f t="shared" si="3"/>
        <v>120236.22</v>
      </c>
      <c r="L26" s="836"/>
      <c r="M26" s="836"/>
      <c r="N26" s="837" t="s">
        <v>242</v>
      </c>
      <c r="O26" s="82" t="s">
        <v>243</v>
      </c>
    </row>
    <row r="27" spans="1:18" ht="14.25">
      <c r="A27" s="833" t="s">
        <v>2169</v>
      </c>
      <c r="B27" s="834" t="s">
        <v>285</v>
      </c>
      <c r="C27" s="835" t="s">
        <v>286</v>
      </c>
      <c r="D27" s="836">
        <v>2204</v>
      </c>
      <c r="E27" s="836">
        <v>2204</v>
      </c>
      <c r="F27" s="836">
        <f t="shared" si="1"/>
        <v>0</v>
      </c>
      <c r="G27" s="836">
        <v>3082.11</v>
      </c>
      <c r="H27" s="836"/>
      <c r="I27" s="836"/>
      <c r="J27" s="836">
        <f t="shared" si="2"/>
        <v>6792970.4400000004</v>
      </c>
      <c r="K27" s="836">
        <f t="shared" si="3"/>
        <v>6792970.4400000004</v>
      </c>
      <c r="L27" s="836"/>
      <c r="M27" s="836"/>
      <c r="N27" s="837" t="s">
        <v>242</v>
      </c>
      <c r="O27" s="82" t="s">
        <v>243</v>
      </c>
    </row>
    <row r="28" spans="1:18" ht="42.75">
      <c r="A28" s="833" t="s">
        <v>2170</v>
      </c>
      <c r="B28" s="834" t="s">
        <v>289</v>
      </c>
      <c r="C28" s="835" t="s">
        <v>290</v>
      </c>
      <c r="D28" s="836">
        <v>66</v>
      </c>
      <c r="E28" s="836">
        <v>66</v>
      </c>
      <c r="F28" s="836">
        <f t="shared" si="1"/>
        <v>0</v>
      </c>
      <c r="G28" s="836">
        <v>3311.26</v>
      </c>
      <c r="H28" s="836"/>
      <c r="I28" s="836"/>
      <c r="J28" s="836">
        <f t="shared" si="2"/>
        <v>218543.16</v>
      </c>
      <c r="K28" s="836">
        <f t="shared" si="3"/>
        <v>218543.16</v>
      </c>
      <c r="L28" s="836"/>
      <c r="M28" s="836"/>
      <c r="N28" s="837" t="s">
        <v>2323</v>
      </c>
      <c r="O28" s="82" t="s">
        <v>243</v>
      </c>
    </row>
    <row r="29" spans="1:18" ht="42.75">
      <c r="A29" s="833" t="s">
        <v>2171</v>
      </c>
      <c r="B29" s="834" t="s">
        <v>293</v>
      </c>
      <c r="C29" s="835" t="s">
        <v>0</v>
      </c>
      <c r="D29" s="836">
        <v>18</v>
      </c>
      <c r="E29" s="836">
        <v>18</v>
      </c>
      <c r="F29" s="836">
        <f t="shared" si="1"/>
        <v>0</v>
      </c>
      <c r="G29" s="836">
        <v>1199.93</v>
      </c>
      <c r="H29" s="836"/>
      <c r="I29" s="836"/>
      <c r="J29" s="836">
        <f t="shared" si="2"/>
        <v>21598.74</v>
      </c>
      <c r="K29" s="836">
        <f t="shared" si="3"/>
        <v>21598.74</v>
      </c>
      <c r="L29" s="836"/>
      <c r="M29" s="836"/>
      <c r="N29" s="837" t="s">
        <v>2323</v>
      </c>
      <c r="O29" s="82" t="s">
        <v>243</v>
      </c>
    </row>
    <row r="30" spans="1:18" ht="42.75">
      <c r="A30" s="833" t="s">
        <v>2172</v>
      </c>
      <c r="B30" s="834" t="s">
        <v>296</v>
      </c>
      <c r="C30" s="835" t="s">
        <v>0</v>
      </c>
      <c r="D30" s="836">
        <v>4</v>
      </c>
      <c r="E30" s="836">
        <v>4</v>
      </c>
      <c r="F30" s="836">
        <f t="shared" si="1"/>
        <v>0</v>
      </c>
      <c r="G30" s="836">
        <v>2999.84</v>
      </c>
      <c r="H30" s="836"/>
      <c r="I30" s="836"/>
      <c r="J30" s="836">
        <f t="shared" si="2"/>
        <v>11999.36</v>
      </c>
      <c r="K30" s="836">
        <f t="shared" si="3"/>
        <v>11999.36</v>
      </c>
      <c r="L30" s="836"/>
      <c r="M30" s="836"/>
      <c r="N30" s="837" t="s">
        <v>2323</v>
      </c>
      <c r="O30" s="82" t="s">
        <v>243</v>
      </c>
    </row>
    <row r="31" spans="1:18" ht="42.75">
      <c r="A31" s="833" t="s">
        <v>2173</v>
      </c>
      <c r="B31" s="834" t="s">
        <v>299</v>
      </c>
      <c r="C31" s="835" t="s">
        <v>0</v>
      </c>
      <c r="D31" s="836">
        <v>20</v>
      </c>
      <c r="E31" s="836">
        <v>20</v>
      </c>
      <c r="F31" s="836">
        <f t="shared" si="1"/>
        <v>0</v>
      </c>
      <c r="G31" s="836">
        <v>2999.84</v>
      </c>
      <c r="H31" s="836"/>
      <c r="I31" s="836"/>
      <c r="J31" s="836">
        <f t="shared" si="2"/>
        <v>59996.800000000003</v>
      </c>
      <c r="K31" s="836">
        <f t="shared" si="3"/>
        <v>59996.800000000003</v>
      </c>
      <c r="L31" s="836"/>
      <c r="M31" s="836"/>
      <c r="N31" s="837" t="s">
        <v>2323</v>
      </c>
      <c r="O31" s="82" t="s">
        <v>243</v>
      </c>
    </row>
    <row r="32" spans="1:18" ht="57">
      <c r="A32" s="853" t="s">
        <v>2174</v>
      </c>
      <c r="B32" s="854" t="s">
        <v>302</v>
      </c>
      <c r="C32" s="855" t="s">
        <v>0</v>
      </c>
      <c r="D32" s="856">
        <v>15</v>
      </c>
      <c r="E32" s="856">
        <f>'數量計算(FOR5變) '!E79</f>
        <v>21</v>
      </c>
      <c r="F32" s="856">
        <f t="shared" si="1"/>
        <v>6</v>
      </c>
      <c r="G32" s="856">
        <v>2999.84</v>
      </c>
      <c r="H32" s="856"/>
      <c r="I32" s="856"/>
      <c r="J32" s="856">
        <f t="shared" si="2"/>
        <v>44997.599999999999</v>
      </c>
      <c r="K32" s="856">
        <f t="shared" si="3"/>
        <v>62996.639999999999</v>
      </c>
      <c r="L32" s="856">
        <f>K32-J32</f>
        <v>17999.04</v>
      </c>
      <c r="M32" s="856"/>
      <c r="N32" s="857" t="s">
        <v>2323</v>
      </c>
      <c r="O32" s="147" t="s">
        <v>3713</v>
      </c>
      <c r="P32" s="293" t="s">
        <v>3712</v>
      </c>
    </row>
    <row r="33" spans="1:18" ht="14.25">
      <c r="A33" s="833" t="s">
        <v>2175</v>
      </c>
      <c r="B33" s="834" t="s">
        <v>305</v>
      </c>
      <c r="C33" s="835" t="s">
        <v>4</v>
      </c>
      <c r="D33" s="836">
        <v>1</v>
      </c>
      <c r="E33" s="836">
        <v>1</v>
      </c>
      <c r="F33" s="836">
        <f t="shared" si="1"/>
        <v>0</v>
      </c>
      <c r="G33" s="836">
        <v>399978.19</v>
      </c>
      <c r="H33" s="836"/>
      <c r="I33" s="836"/>
      <c r="J33" s="836">
        <f t="shared" si="2"/>
        <v>399978.19</v>
      </c>
      <c r="K33" s="836">
        <f t="shared" si="3"/>
        <v>399978.19</v>
      </c>
      <c r="L33" s="836"/>
      <c r="M33" s="836"/>
      <c r="N33" s="837" t="s">
        <v>2324</v>
      </c>
      <c r="O33" s="82" t="s">
        <v>243</v>
      </c>
    </row>
    <row r="34" spans="1:18" ht="42.75">
      <c r="A34" s="815" t="s">
        <v>2177</v>
      </c>
      <c r="B34" s="816" t="s">
        <v>31</v>
      </c>
      <c r="C34" s="821" t="s">
        <v>16</v>
      </c>
      <c r="D34" s="817">
        <v>30800</v>
      </c>
      <c r="E34" s="817">
        <f>'數量計算(FOR5變) '!E82</f>
        <v>29207</v>
      </c>
      <c r="F34" s="817">
        <f t="shared" si="1"/>
        <v>-1593</v>
      </c>
      <c r="G34" s="817">
        <v>280</v>
      </c>
      <c r="H34" s="817"/>
      <c r="I34" s="817"/>
      <c r="J34" s="817">
        <f t="shared" si="2"/>
        <v>8624000</v>
      </c>
      <c r="K34" s="817">
        <f t="shared" si="3"/>
        <v>8177960</v>
      </c>
      <c r="L34" s="817"/>
      <c r="M34" s="817">
        <f>J34-K34</f>
        <v>446040</v>
      </c>
      <c r="N34" s="818" t="s">
        <v>2325</v>
      </c>
      <c r="O34" s="753" t="s">
        <v>3678</v>
      </c>
      <c r="P34" s="753"/>
      <c r="Q34" s="846" t="s">
        <v>3267</v>
      </c>
    </row>
    <row r="35" spans="1:18" ht="57">
      <c r="A35" s="853" t="s">
        <v>2178</v>
      </c>
      <c r="B35" s="854" t="s">
        <v>1312</v>
      </c>
      <c r="C35" s="855" t="s">
        <v>13</v>
      </c>
      <c r="D35" s="856">
        <v>2150</v>
      </c>
      <c r="E35" s="856">
        <f>'數量計算(FOR5變) '!E83</f>
        <v>4920</v>
      </c>
      <c r="F35" s="856">
        <f t="shared" si="1"/>
        <v>2770</v>
      </c>
      <c r="G35" s="856">
        <v>70.56</v>
      </c>
      <c r="H35" s="856"/>
      <c r="I35" s="856"/>
      <c r="J35" s="856">
        <f t="shared" si="2"/>
        <v>151704</v>
      </c>
      <c r="K35" s="856">
        <f t="shared" si="3"/>
        <v>347155.20000000001</v>
      </c>
      <c r="L35" s="856">
        <f>K35-J35</f>
        <v>195451.2</v>
      </c>
      <c r="M35" s="856"/>
      <c r="N35" s="857" t="s">
        <v>2326</v>
      </c>
      <c r="O35" s="919" t="s">
        <v>3886</v>
      </c>
      <c r="P35" s="293" t="s">
        <v>3813</v>
      </c>
    </row>
    <row r="36" spans="1:18" ht="14.25">
      <c r="A36" s="833" t="s">
        <v>2179</v>
      </c>
      <c r="B36" s="834" t="s">
        <v>1314</v>
      </c>
      <c r="C36" s="835" t="s">
        <v>1315</v>
      </c>
      <c r="D36" s="836">
        <v>111</v>
      </c>
      <c r="E36" s="836">
        <v>111</v>
      </c>
      <c r="F36" s="836">
        <f t="shared" si="1"/>
        <v>0</v>
      </c>
      <c r="G36" s="836">
        <v>20000</v>
      </c>
      <c r="H36" s="836"/>
      <c r="I36" s="836"/>
      <c r="J36" s="836">
        <f t="shared" si="2"/>
        <v>2220000</v>
      </c>
      <c r="K36" s="836">
        <f t="shared" si="3"/>
        <v>2220000</v>
      </c>
      <c r="L36" s="836"/>
      <c r="M36" s="836"/>
      <c r="N36" s="837" t="s">
        <v>242</v>
      </c>
      <c r="O36" s="82" t="s">
        <v>243</v>
      </c>
    </row>
    <row r="37" spans="1:18" ht="40.5">
      <c r="A37" s="853" t="s">
        <v>2181</v>
      </c>
      <c r="B37" s="854" t="s">
        <v>3170</v>
      </c>
      <c r="C37" s="855" t="s">
        <v>16</v>
      </c>
      <c r="D37" s="856">
        <v>0</v>
      </c>
      <c r="E37" s="856">
        <f>'數量計算(FOR5變) '!J86</f>
        <v>5243.5</v>
      </c>
      <c r="F37" s="856">
        <f t="shared" si="1"/>
        <v>5243.5</v>
      </c>
      <c r="G37" s="856">
        <v>350</v>
      </c>
      <c r="H37" s="856"/>
      <c r="I37" s="856"/>
      <c r="J37" s="856">
        <f t="shared" si="2"/>
        <v>0</v>
      </c>
      <c r="K37" s="856">
        <f>ROUND(E37*G37,2)</f>
        <v>1835225</v>
      </c>
      <c r="L37" s="856">
        <f>K37-J37</f>
        <v>1835225</v>
      </c>
      <c r="M37" s="856"/>
      <c r="N37" s="857"/>
      <c r="O37" s="753" t="s">
        <v>3678</v>
      </c>
      <c r="P37" s="753" t="s">
        <v>3952</v>
      </c>
      <c r="Q37" s="846" t="s">
        <v>3267</v>
      </c>
    </row>
    <row r="38" spans="1:18" ht="14.25">
      <c r="A38" s="833" t="s">
        <v>2180</v>
      </c>
      <c r="B38" s="834" t="s">
        <v>309</v>
      </c>
      <c r="C38" s="835" t="s">
        <v>4</v>
      </c>
      <c r="D38" s="494"/>
      <c r="E38" s="836"/>
      <c r="F38" s="836">
        <f t="shared" si="1"/>
        <v>0</v>
      </c>
      <c r="G38" s="836">
        <f>J38</f>
        <v>33192260.68</v>
      </c>
      <c r="H38" s="836"/>
      <c r="I38" s="836"/>
      <c r="J38" s="836">
        <f>SUM(J39:J138)</f>
        <v>33192260.68</v>
      </c>
      <c r="K38" s="836">
        <f>SUM(K39:K138)</f>
        <v>41065428.299999997</v>
      </c>
      <c r="L38" s="836">
        <f>SUM(L39:L138)</f>
        <v>8845751.7699999996</v>
      </c>
      <c r="M38" s="836">
        <f>SUM(M39:M138)</f>
        <v>972584.14999999991</v>
      </c>
      <c r="N38" s="837" t="s">
        <v>242</v>
      </c>
      <c r="O38" s="82" t="s">
        <v>243</v>
      </c>
    </row>
    <row r="39" spans="1:18" ht="14.25">
      <c r="A39" s="833" t="s">
        <v>2154</v>
      </c>
      <c r="B39" s="834" t="s">
        <v>310</v>
      </c>
      <c r="C39" s="835" t="s">
        <v>223</v>
      </c>
      <c r="D39" s="836">
        <v>1887.64</v>
      </c>
      <c r="E39" s="836">
        <v>1887.64</v>
      </c>
      <c r="F39" s="836">
        <f t="shared" si="1"/>
        <v>0</v>
      </c>
      <c r="G39" s="836">
        <v>320.72000000000003</v>
      </c>
      <c r="H39" s="836"/>
      <c r="I39" s="836"/>
      <c r="J39" s="836">
        <f>ROUND(D39*G39,2)</f>
        <v>605403.9</v>
      </c>
      <c r="K39" s="836">
        <f>ROUND(E39*G39,2)</f>
        <v>605403.9</v>
      </c>
      <c r="L39" s="836"/>
      <c r="M39" s="836"/>
      <c r="N39" s="837" t="s">
        <v>242</v>
      </c>
      <c r="O39" s="82" t="s">
        <v>243</v>
      </c>
    </row>
    <row r="40" spans="1:18" ht="14.25">
      <c r="A40" s="833" t="s">
        <v>2155</v>
      </c>
      <c r="B40" s="834" t="s">
        <v>312</v>
      </c>
      <c r="C40" s="835" t="s">
        <v>223</v>
      </c>
      <c r="D40" s="836">
        <v>402.21</v>
      </c>
      <c r="E40" s="836">
        <v>402.21</v>
      </c>
      <c r="F40" s="836">
        <f t="shared" si="1"/>
        <v>0</v>
      </c>
      <c r="G40" s="836">
        <v>346.06</v>
      </c>
      <c r="H40" s="836"/>
      <c r="I40" s="836"/>
      <c r="J40" s="836">
        <f t="shared" ref="J40:J103" si="4">ROUND(D40*G40,2)</f>
        <v>139188.79</v>
      </c>
      <c r="K40" s="836">
        <f t="shared" ref="K40:K103" si="5">ROUND(E40*G40,2)</f>
        <v>139188.79</v>
      </c>
      <c r="L40" s="836"/>
      <c r="M40" s="836"/>
      <c r="N40" s="837" t="s">
        <v>242</v>
      </c>
      <c r="O40" s="82" t="s">
        <v>243</v>
      </c>
    </row>
    <row r="41" spans="1:18" ht="71.25">
      <c r="A41" s="853" t="s">
        <v>2156</v>
      </c>
      <c r="B41" s="854" t="s">
        <v>192</v>
      </c>
      <c r="C41" s="855" t="s">
        <v>17</v>
      </c>
      <c r="D41" s="856">
        <v>18865.759999999998</v>
      </c>
      <c r="E41" s="856">
        <f>'數量計算(FOR5變) '!E91</f>
        <v>20249.321400000001</v>
      </c>
      <c r="F41" s="856">
        <f t="shared" si="1"/>
        <v>1383.5614000000023</v>
      </c>
      <c r="G41" s="856">
        <v>36.4</v>
      </c>
      <c r="H41" s="856"/>
      <c r="I41" s="856"/>
      <c r="J41" s="856">
        <f t="shared" si="4"/>
        <v>686713.66</v>
      </c>
      <c r="K41" s="856">
        <f t="shared" si="5"/>
        <v>737075.3</v>
      </c>
      <c r="L41" s="856">
        <f>K41-J41</f>
        <v>50361.640000000014</v>
      </c>
      <c r="M41" s="856"/>
      <c r="N41" s="857" t="s">
        <v>2334</v>
      </c>
      <c r="O41" s="293" t="s">
        <v>3887</v>
      </c>
      <c r="P41" s="293" t="s">
        <v>3810</v>
      </c>
      <c r="Q41" s="846" t="s">
        <v>3266</v>
      </c>
      <c r="R41" s="556" t="s">
        <v>3888</v>
      </c>
    </row>
    <row r="42" spans="1:18" ht="28.5">
      <c r="A42" s="815" t="s">
        <v>2157</v>
      </c>
      <c r="B42" s="816" t="s">
        <v>315</v>
      </c>
      <c r="C42" s="821" t="s">
        <v>6</v>
      </c>
      <c r="D42" s="817">
        <v>107.91</v>
      </c>
      <c r="E42" s="817">
        <f>'數量計算(FOR5變) '!E97</f>
        <v>94.566999999999993</v>
      </c>
      <c r="F42" s="817">
        <f t="shared" si="1"/>
        <v>-13.343000000000004</v>
      </c>
      <c r="G42" s="817">
        <v>3114.97</v>
      </c>
      <c r="H42" s="817"/>
      <c r="I42" s="817"/>
      <c r="J42" s="817">
        <f t="shared" si="4"/>
        <v>336136.41</v>
      </c>
      <c r="K42" s="817">
        <f t="shared" si="5"/>
        <v>294573.37</v>
      </c>
      <c r="L42" s="817"/>
      <c r="M42" s="817">
        <f>J42-K42</f>
        <v>41563.039999999979</v>
      </c>
      <c r="N42" s="818" t="s">
        <v>242</v>
      </c>
      <c r="O42" s="756" t="s">
        <v>3492</v>
      </c>
      <c r="P42" s="82" t="s">
        <v>3708</v>
      </c>
      <c r="Q42" s="846" t="s">
        <v>3266</v>
      </c>
    </row>
    <row r="43" spans="1:18" ht="14.25">
      <c r="A43" s="853" t="s">
        <v>2158</v>
      </c>
      <c r="B43" s="854" t="s">
        <v>24</v>
      </c>
      <c r="C43" s="855" t="s">
        <v>6</v>
      </c>
      <c r="D43" s="856">
        <v>564.01</v>
      </c>
      <c r="E43" s="856">
        <f>'數量計算(FOR5變) '!E101</f>
        <v>580.01675</v>
      </c>
      <c r="F43" s="856">
        <f t="shared" si="1"/>
        <v>16.006750000000011</v>
      </c>
      <c r="G43" s="856">
        <v>3320.96</v>
      </c>
      <c r="H43" s="856"/>
      <c r="I43" s="856"/>
      <c r="J43" s="856">
        <f t="shared" si="4"/>
        <v>1873054.65</v>
      </c>
      <c r="K43" s="856">
        <f t="shared" si="5"/>
        <v>1926212.43</v>
      </c>
      <c r="L43" s="856">
        <f>K43-J43</f>
        <v>53157.780000000028</v>
      </c>
      <c r="M43" s="856"/>
      <c r="N43" s="857" t="s">
        <v>242</v>
      </c>
      <c r="O43" s="756" t="s">
        <v>3889</v>
      </c>
      <c r="P43" s="756" t="s">
        <v>2516</v>
      </c>
      <c r="R43" s="556" t="s">
        <v>3888</v>
      </c>
    </row>
    <row r="44" spans="1:18" ht="114">
      <c r="A44" s="815" t="s">
        <v>2159</v>
      </c>
      <c r="B44" s="816" t="s">
        <v>193</v>
      </c>
      <c r="C44" s="821" t="s">
        <v>13</v>
      </c>
      <c r="D44" s="817">
        <v>1926.87</v>
      </c>
      <c r="E44" s="817">
        <f>'數量計算(FOR5變) '!E108</f>
        <v>1711.2399999999998</v>
      </c>
      <c r="F44" s="817">
        <f t="shared" si="1"/>
        <v>-215.63000000000011</v>
      </c>
      <c r="G44" s="817">
        <v>533.61</v>
      </c>
      <c r="H44" s="817"/>
      <c r="I44" s="817"/>
      <c r="J44" s="817">
        <f t="shared" si="4"/>
        <v>1028197.1</v>
      </c>
      <c r="K44" s="817">
        <f t="shared" si="5"/>
        <v>913134.78</v>
      </c>
      <c r="L44" s="817"/>
      <c r="M44" s="817">
        <f>J44-K44</f>
        <v>115062.31999999995</v>
      </c>
      <c r="N44" s="818" t="s">
        <v>2335</v>
      </c>
      <c r="O44" s="847" t="s">
        <v>3954</v>
      </c>
      <c r="P44" s="847"/>
      <c r="Q44" s="846" t="s">
        <v>3266</v>
      </c>
      <c r="R44" s="952" t="s">
        <v>3953</v>
      </c>
    </row>
    <row r="45" spans="1:18" ht="71.25">
      <c r="A45" s="815" t="s">
        <v>2160</v>
      </c>
      <c r="B45" s="816" t="s">
        <v>319</v>
      </c>
      <c r="C45" s="821" t="s">
        <v>13</v>
      </c>
      <c r="D45" s="817">
        <v>301.33</v>
      </c>
      <c r="E45" s="817">
        <f>'數量計算(FOR5變) '!E114</f>
        <v>277.24</v>
      </c>
      <c r="F45" s="817">
        <f t="shared" si="1"/>
        <v>-24.089999999999975</v>
      </c>
      <c r="G45" s="817">
        <v>1299.82</v>
      </c>
      <c r="H45" s="817"/>
      <c r="I45" s="817"/>
      <c r="J45" s="817">
        <f t="shared" si="4"/>
        <v>391674.76</v>
      </c>
      <c r="K45" s="817">
        <f t="shared" si="5"/>
        <v>360362.1</v>
      </c>
      <c r="L45" s="817"/>
      <c r="M45" s="817">
        <f>J45-K45</f>
        <v>31312.660000000033</v>
      </c>
      <c r="N45" s="818" t="s">
        <v>2336</v>
      </c>
      <c r="O45" s="753" t="s">
        <v>3705</v>
      </c>
    </row>
    <row r="46" spans="1:18" ht="71.25">
      <c r="A46" s="853" t="s">
        <v>2161</v>
      </c>
      <c r="B46" s="854" t="s">
        <v>321</v>
      </c>
      <c r="C46" s="855" t="s">
        <v>17</v>
      </c>
      <c r="D46" s="856">
        <v>5991.34</v>
      </c>
      <c r="E46" s="856">
        <f>'數量計算(FOR5變) '!I115</f>
        <v>33113.840000000004</v>
      </c>
      <c r="F46" s="856">
        <f t="shared" si="1"/>
        <v>27122.500000000004</v>
      </c>
      <c r="G46" s="856">
        <v>60</v>
      </c>
      <c r="H46" s="856"/>
      <c r="I46" s="856"/>
      <c r="J46" s="856">
        <f t="shared" si="4"/>
        <v>359480.4</v>
      </c>
      <c r="K46" s="856">
        <f t="shared" si="5"/>
        <v>1986830.4</v>
      </c>
      <c r="L46" s="856">
        <f>K46-J46</f>
        <v>1627350</v>
      </c>
      <c r="M46" s="856"/>
      <c r="N46" s="857" t="s">
        <v>2337</v>
      </c>
      <c r="O46" s="586" t="s">
        <v>3955</v>
      </c>
      <c r="P46" s="586" t="s">
        <v>3957</v>
      </c>
      <c r="Q46" s="846" t="s">
        <v>3267</v>
      </c>
    </row>
    <row r="47" spans="1:18" ht="54">
      <c r="A47" s="853" t="s">
        <v>2162</v>
      </c>
      <c r="B47" s="854" t="s">
        <v>323</v>
      </c>
      <c r="C47" s="855" t="s">
        <v>17</v>
      </c>
      <c r="D47" s="856">
        <v>5991.34</v>
      </c>
      <c r="E47" s="856">
        <f>'數量計算(FOR5變) '!E115</f>
        <v>33113.840000000004</v>
      </c>
      <c r="F47" s="856">
        <f t="shared" si="1"/>
        <v>27122.500000000004</v>
      </c>
      <c r="G47" s="856">
        <v>31.9</v>
      </c>
      <c r="H47" s="856"/>
      <c r="I47" s="856"/>
      <c r="J47" s="856">
        <f t="shared" si="4"/>
        <v>191123.75</v>
      </c>
      <c r="K47" s="856">
        <f t="shared" si="5"/>
        <v>1056331.5</v>
      </c>
      <c r="L47" s="856">
        <f>K47-J47</f>
        <v>865207.75</v>
      </c>
      <c r="M47" s="856"/>
      <c r="N47" s="857" t="s">
        <v>242</v>
      </c>
      <c r="O47" s="586" t="s">
        <v>3955</v>
      </c>
      <c r="P47" s="586" t="s">
        <v>3957</v>
      </c>
      <c r="Q47" s="846" t="s">
        <v>3267</v>
      </c>
    </row>
    <row r="48" spans="1:18" ht="71.25">
      <c r="A48" s="833" t="s">
        <v>2163</v>
      </c>
      <c r="B48" s="834" t="s">
        <v>325</v>
      </c>
      <c r="C48" s="835" t="s">
        <v>17</v>
      </c>
      <c r="D48" s="836">
        <v>1180.03</v>
      </c>
      <c r="E48" s="836">
        <f>'數量計算(FOR5變) '!E127</f>
        <v>1180.03</v>
      </c>
      <c r="F48" s="836">
        <f t="shared" si="1"/>
        <v>0</v>
      </c>
      <c r="G48" s="836">
        <v>107.3</v>
      </c>
      <c r="H48" s="836"/>
      <c r="I48" s="836"/>
      <c r="J48" s="836">
        <f t="shared" si="4"/>
        <v>126617.22</v>
      </c>
      <c r="K48" s="836">
        <f t="shared" si="5"/>
        <v>126617.22</v>
      </c>
      <c r="L48" s="836"/>
      <c r="M48" s="836"/>
      <c r="N48" s="837" t="s">
        <v>2337</v>
      </c>
      <c r="O48" s="82" t="s">
        <v>243</v>
      </c>
    </row>
    <row r="49" spans="1:17" ht="14.25">
      <c r="A49" s="833" t="s">
        <v>2164</v>
      </c>
      <c r="B49" s="834" t="s">
        <v>327</v>
      </c>
      <c r="C49" s="835" t="s">
        <v>13</v>
      </c>
      <c r="D49" s="836">
        <v>3879.21</v>
      </c>
      <c r="E49" s="836">
        <f>'數量計算(FOR5變) '!E129</f>
        <v>3879.21</v>
      </c>
      <c r="F49" s="836">
        <f t="shared" si="1"/>
        <v>0</v>
      </c>
      <c r="G49" s="836">
        <v>3092.69</v>
      </c>
      <c r="H49" s="836"/>
      <c r="I49" s="836"/>
      <c r="J49" s="836">
        <f t="shared" si="4"/>
        <v>11997193.970000001</v>
      </c>
      <c r="K49" s="836">
        <f t="shared" si="5"/>
        <v>11997193.970000001</v>
      </c>
      <c r="L49" s="836"/>
      <c r="M49" s="836"/>
      <c r="N49" s="837" t="s">
        <v>242</v>
      </c>
      <c r="O49" s="82" t="s">
        <v>243</v>
      </c>
    </row>
    <row r="50" spans="1:17" ht="14.25">
      <c r="A50" s="833" t="s">
        <v>2165</v>
      </c>
      <c r="B50" s="834" t="s">
        <v>329</v>
      </c>
      <c r="C50" s="835" t="s">
        <v>13</v>
      </c>
      <c r="D50" s="836">
        <v>462.9</v>
      </c>
      <c r="E50" s="836">
        <v>462.9</v>
      </c>
      <c r="F50" s="836">
        <f t="shared" si="1"/>
        <v>0</v>
      </c>
      <c r="G50" s="836">
        <v>3961.37</v>
      </c>
      <c r="H50" s="836"/>
      <c r="I50" s="836"/>
      <c r="J50" s="836">
        <f t="shared" si="4"/>
        <v>1833718.17</v>
      </c>
      <c r="K50" s="836">
        <f t="shared" si="5"/>
        <v>1833718.17</v>
      </c>
      <c r="L50" s="836"/>
      <c r="M50" s="836"/>
      <c r="N50" s="837" t="s">
        <v>242</v>
      </c>
      <c r="O50" s="82" t="s">
        <v>243</v>
      </c>
    </row>
    <row r="51" spans="1:17" ht="14.25">
      <c r="A51" s="833" t="s">
        <v>2166</v>
      </c>
      <c r="B51" s="834" t="s">
        <v>331</v>
      </c>
      <c r="C51" s="835" t="s">
        <v>13</v>
      </c>
      <c r="D51" s="836">
        <v>233.57</v>
      </c>
      <c r="E51" s="836">
        <v>233.57</v>
      </c>
      <c r="F51" s="836">
        <f t="shared" si="1"/>
        <v>0</v>
      </c>
      <c r="G51" s="836">
        <v>3965.59</v>
      </c>
      <c r="H51" s="836"/>
      <c r="I51" s="836"/>
      <c r="J51" s="836">
        <f t="shared" si="4"/>
        <v>926242.86</v>
      </c>
      <c r="K51" s="836">
        <f t="shared" si="5"/>
        <v>926242.86</v>
      </c>
      <c r="L51" s="836"/>
      <c r="M51" s="836"/>
      <c r="N51" s="837" t="s">
        <v>242</v>
      </c>
      <c r="O51" s="82" t="s">
        <v>243</v>
      </c>
    </row>
    <row r="52" spans="1:17" ht="14.25">
      <c r="A52" s="833" t="s">
        <v>2167</v>
      </c>
      <c r="B52" s="834" t="s">
        <v>333</v>
      </c>
      <c r="C52" s="835" t="s">
        <v>13</v>
      </c>
      <c r="D52" s="836">
        <v>18.760000000000002</v>
      </c>
      <c r="E52" s="836">
        <v>18.760000000000002</v>
      </c>
      <c r="F52" s="836">
        <f t="shared" si="1"/>
        <v>0</v>
      </c>
      <c r="G52" s="836">
        <v>3391.22</v>
      </c>
      <c r="H52" s="836"/>
      <c r="I52" s="836"/>
      <c r="J52" s="836">
        <f t="shared" si="4"/>
        <v>63619.29</v>
      </c>
      <c r="K52" s="836">
        <f t="shared" si="5"/>
        <v>63619.29</v>
      </c>
      <c r="L52" s="836"/>
      <c r="M52" s="836"/>
      <c r="N52" s="837" t="s">
        <v>242</v>
      </c>
      <c r="O52" s="82" t="s">
        <v>243</v>
      </c>
    </row>
    <row r="53" spans="1:17" ht="14.25">
      <c r="A53" s="833" t="s">
        <v>2168</v>
      </c>
      <c r="B53" s="834" t="s">
        <v>335</v>
      </c>
      <c r="C53" s="835" t="s">
        <v>13</v>
      </c>
      <c r="D53" s="836">
        <v>118.92</v>
      </c>
      <c r="E53" s="836">
        <v>118.92</v>
      </c>
      <c r="F53" s="836">
        <f t="shared" si="1"/>
        <v>0</v>
      </c>
      <c r="G53" s="836">
        <v>773.85</v>
      </c>
      <c r="H53" s="836"/>
      <c r="I53" s="836"/>
      <c r="J53" s="836">
        <f t="shared" si="4"/>
        <v>92026.240000000005</v>
      </c>
      <c r="K53" s="836">
        <f t="shared" si="5"/>
        <v>92026.240000000005</v>
      </c>
      <c r="L53" s="836"/>
      <c r="M53" s="836"/>
      <c r="N53" s="837" t="s">
        <v>242</v>
      </c>
      <c r="O53" s="82" t="s">
        <v>243</v>
      </c>
    </row>
    <row r="54" spans="1:17" ht="14.25">
      <c r="A54" s="833" t="s">
        <v>2169</v>
      </c>
      <c r="B54" s="834" t="s">
        <v>337</v>
      </c>
      <c r="C54" s="835" t="s">
        <v>13</v>
      </c>
      <c r="D54" s="836">
        <v>173.3</v>
      </c>
      <c r="E54" s="836">
        <v>173.3</v>
      </c>
      <c r="F54" s="836">
        <f t="shared" si="1"/>
        <v>0</v>
      </c>
      <c r="G54" s="836">
        <v>948.34</v>
      </c>
      <c r="H54" s="836"/>
      <c r="I54" s="836"/>
      <c r="J54" s="836">
        <f t="shared" si="4"/>
        <v>164347.32</v>
      </c>
      <c r="K54" s="836">
        <f t="shared" si="5"/>
        <v>164347.32</v>
      </c>
      <c r="L54" s="836"/>
      <c r="M54" s="836"/>
      <c r="N54" s="837" t="s">
        <v>242</v>
      </c>
      <c r="O54" s="82" t="s">
        <v>243</v>
      </c>
    </row>
    <row r="55" spans="1:17" ht="14.25">
      <c r="A55" s="833" t="s">
        <v>2170</v>
      </c>
      <c r="B55" s="834" t="s">
        <v>339</v>
      </c>
      <c r="C55" s="835" t="s">
        <v>0</v>
      </c>
      <c r="D55" s="836">
        <v>1</v>
      </c>
      <c r="E55" s="836">
        <v>1</v>
      </c>
      <c r="F55" s="836">
        <f t="shared" si="1"/>
        <v>0</v>
      </c>
      <c r="G55" s="836">
        <v>144378.63</v>
      </c>
      <c r="H55" s="836"/>
      <c r="I55" s="836"/>
      <c r="J55" s="836">
        <f t="shared" si="4"/>
        <v>144378.63</v>
      </c>
      <c r="K55" s="836">
        <f t="shared" si="5"/>
        <v>144378.63</v>
      </c>
      <c r="L55" s="836"/>
      <c r="M55" s="836"/>
      <c r="N55" s="837" t="s">
        <v>242</v>
      </c>
      <c r="O55" s="82" t="s">
        <v>243</v>
      </c>
    </row>
    <row r="56" spans="1:17" ht="14.25">
      <c r="A56" s="833" t="s">
        <v>2171</v>
      </c>
      <c r="B56" s="834" t="s">
        <v>341</v>
      </c>
      <c r="C56" s="835" t="s">
        <v>223</v>
      </c>
      <c r="D56" s="836">
        <v>156.68</v>
      </c>
      <c r="E56" s="836">
        <v>156.68</v>
      </c>
      <c r="F56" s="836">
        <f t="shared" si="1"/>
        <v>0</v>
      </c>
      <c r="G56" s="836">
        <v>145.21</v>
      </c>
      <c r="H56" s="836"/>
      <c r="I56" s="836"/>
      <c r="J56" s="836">
        <f t="shared" si="4"/>
        <v>22751.5</v>
      </c>
      <c r="K56" s="836">
        <f t="shared" si="5"/>
        <v>22751.5</v>
      </c>
      <c r="L56" s="836"/>
      <c r="M56" s="836"/>
      <c r="N56" s="837" t="s">
        <v>242</v>
      </c>
      <c r="O56" s="82" t="s">
        <v>243</v>
      </c>
    </row>
    <row r="57" spans="1:17" ht="14.25">
      <c r="A57" s="833" t="s">
        <v>2172</v>
      </c>
      <c r="B57" s="834" t="s">
        <v>343</v>
      </c>
      <c r="C57" s="835" t="s">
        <v>8</v>
      </c>
      <c r="D57" s="836">
        <v>689.86</v>
      </c>
      <c r="E57" s="836">
        <v>689.86</v>
      </c>
      <c r="F57" s="836">
        <f t="shared" si="1"/>
        <v>0</v>
      </c>
      <c r="G57" s="836">
        <v>2755.78</v>
      </c>
      <c r="H57" s="836"/>
      <c r="I57" s="836"/>
      <c r="J57" s="836">
        <f t="shared" si="4"/>
        <v>1901102.39</v>
      </c>
      <c r="K57" s="836">
        <f t="shared" si="5"/>
        <v>1901102.39</v>
      </c>
      <c r="L57" s="836"/>
      <c r="M57" s="836"/>
      <c r="N57" s="837" t="s">
        <v>2321</v>
      </c>
      <c r="O57" s="850" t="s">
        <v>3541</v>
      </c>
      <c r="P57" s="850"/>
    </row>
    <row r="58" spans="1:17" ht="14.25">
      <c r="A58" s="833" t="s">
        <v>2173</v>
      </c>
      <c r="B58" s="834" t="s">
        <v>345</v>
      </c>
      <c r="C58" s="835" t="s">
        <v>8</v>
      </c>
      <c r="D58" s="836">
        <v>12.91</v>
      </c>
      <c r="E58" s="836">
        <v>12.91</v>
      </c>
      <c r="F58" s="836">
        <f t="shared" si="1"/>
        <v>0</v>
      </c>
      <c r="G58" s="836">
        <v>576.77</v>
      </c>
      <c r="H58" s="836"/>
      <c r="I58" s="836"/>
      <c r="J58" s="836">
        <f t="shared" si="4"/>
        <v>7446.1</v>
      </c>
      <c r="K58" s="836">
        <f t="shared" si="5"/>
        <v>7446.1</v>
      </c>
      <c r="L58" s="836"/>
      <c r="M58" s="836"/>
      <c r="N58" s="837" t="s">
        <v>2321</v>
      </c>
      <c r="O58" s="82" t="s">
        <v>243</v>
      </c>
    </row>
    <row r="59" spans="1:17" ht="18">
      <c r="A59" s="815" t="s">
        <v>2174</v>
      </c>
      <c r="B59" s="816" t="s">
        <v>347</v>
      </c>
      <c r="C59" s="821" t="s">
        <v>8</v>
      </c>
      <c r="D59" s="817">
        <v>56.09</v>
      </c>
      <c r="E59" s="817">
        <f>'數量計算(FOR5變) '!E142</f>
        <v>0</v>
      </c>
      <c r="F59" s="817">
        <f t="shared" si="1"/>
        <v>-56.09</v>
      </c>
      <c r="G59" s="817">
        <v>615.30999999999995</v>
      </c>
      <c r="H59" s="817"/>
      <c r="I59" s="817"/>
      <c r="J59" s="817">
        <f t="shared" si="4"/>
        <v>34512.74</v>
      </c>
      <c r="K59" s="817">
        <f t="shared" si="5"/>
        <v>0</v>
      </c>
      <c r="L59" s="817"/>
      <c r="M59" s="817">
        <f>J59-K59</f>
        <v>34512.74</v>
      </c>
      <c r="N59" s="818" t="s">
        <v>242</v>
      </c>
      <c r="O59" s="82" t="s">
        <v>3958</v>
      </c>
      <c r="P59" s="147"/>
      <c r="Q59" s="846" t="s">
        <v>3266</v>
      </c>
    </row>
    <row r="60" spans="1:17" ht="14.25">
      <c r="A60" s="833" t="s">
        <v>2175</v>
      </c>
      <c r="B60" s="834" t="s">
        <v>349</v>
      </c>
      <c r="C60" s="835" t="s">
        <v>8</v>
      </c>
      <c r="D60" s="836">
        <v>656.91</v>
      </c>
      <c r="E60" s="836">
        <v>656.91</v>
      </c>
      <c r="F60" s="836">
        <f t="shared" si="1"/>
        <v>0</v>
      </c>
      <c r="G60" s="836">
        <v>685.27</v>
      </c>
      <c r="H60" s="836"/>
      <c r="I60" s="836"/>
      <c r="J60" s="836">
        <f t="shared" si="4"/>
        <v>450160.72</v>
      </c>
      <c r="K60" s="836">
        <f t="shared" si="5"/>
        <v>450160.72</v>
      </c>
      <c r="L60" s="836"/>
      <c r="M60" s="836"/>
      <c r="N60" s="837" t="s">
        <v>2321</v>
      </c>
      <c r="O60" s="556" t="s">
        <v>3542</v>
      </c>
      <c r="P60" s="556"/>
    </row>
    <row r="61" spans="1:17" ht="14.25">
      <c r="A61" s="833" t="s">
        <v>2177</v>
      </c>
      <c r="B61" s="834" t="s">
        <v>351</v>
      </c>
      <c r="C61" s="835" t="s">
        <v>8</v>
      </c>
      <c r="D61" s="836">
        <v>1254.1300000000001</v>
      </c>
      <c r="E61" s="836">
        <v>1254.1300000000001</v>
      </c>
      <c r="F61" s="836">
        <f t="shared" si="1"/>
        <v>0</v>
      </c>
      <c r="G61" s="836">
        <v>699.69</v>
      </c>
      <c r="H61" s="836"/>
      <c r="I61" s="836"/>
      <c r="J61" s="836">
        <f t="shared" si="4"/>
        <v>877502.22</v>
      </c>
      <c r="K61" s="836">
        <f t="shared" si="5"/>
        <v>877502.22</v>
      </c>
      <c r="L61" s="836"/>
      <c r="M61" s="836"/>
      <c r="N61" s="837" t="s">
        <v>2321</v>
      </c>
      <c r="O61" s="82" t="s">
        <v>243</v>
      </c>
    </row>
    <row r="62" spans="1:17" ht="14.25">
      <c r="A62" s="833" t="s">
        <v>2178</v>
      </c>
      <c r="B62" s="834" t="s">
        <v>353</v>
      </c>
      <c r="C62" s="835" t="s">
        <v>8</v>
      </c>
      <c r="D62" s="836">
        <v>44.64</v>
      </c>
      <c r="E62" s="836">
        <v>44.64</v>
      </c>
      <c r="F62" s="836">
        <f t="shared" si="1"/>
        <v>0</v>
      </c>
      <c r="G62" s="836">
        <v>1199.27</v>
      </c>
      <c r="H62" s="836"/>
      <c r="I62" s="836"/>
      <c r="J62" s="836">
        <f t="shared" si="4"/>
        <v>53535.41</v>
      </c>
      <c r="K62" s="836">
        <f t="shared" si="5"/>
        <v>53535.41</v>
      </c>
      <c r="L62" s="836"/>
      <c r="M62" s="836"/>
      <c r="N62" s="837" t="s">
        <v>2321</v>
      </c>
      <c r="O62" s="82" t="s">
        <v>243</v>
      </c>
    </row>
    <row r="63" spans="1:17" ht="14.25">
      <c r="A63" s="833" t="s">
        <v>2179</v>
      </c>
      <c r="B63" s="834" t="s">
        <v>355</v>
      </c>
      <c r="C63" s="835" t="s">
        <v>8</v>
      </c>
      <c r="D63" s="836">
        <v>142.26</v>
      </c>
      <c r="E63" s="836">
        <v>142.26</v>
      </c>
      <c r="F63" s="836">
        <f t="shared" si="1"/>
        <v>0</v>
      </c>
      <c r="G63" s="836">
        <v>57.68</v>
      </c>
      <c r="H63" s="836"/>
      <c r="I63" s="836"/>
      <c r="J63" s="836">
        <f t="shared" si="4"/>
        <v>8205.56</v>
      </c>
      <c r="K63" s="836">
        <f t="shared" si="5"/>
        <v>8205.56</v>
      </c>
      <c r="L63" s="836"/>
      <c r="M63" s="836"/>
      <c r="N63" s="837" t="s">
        <v>2321</v>
      </c>
      <c r="O63" s="82" t="s">
        <v>243</v>
      </c>
    </row>
    <row r="64" spans="1:17" ht="14.25">
      <c r="A64" s="815" t="s">
        <v>2181</v>
      </c>
      <c r="B64" s="816" t="s">
        <v>357</v>
      </c>
      <c r="C64" s="821" t="s">
        <v>8</v>
      </c>
      <c r="D64" s="817">
        <v>8.5</v>
      </c>
      <c r="E64" s="817">
        <f>'數量計算(FOR5變) '!E148</f>
        <v>4</v>
      </c>
      <c r="F64" s="817">
        <f t="shared" si="1"/>
        <v>-4.5</v>
      </c>
      <c r="G64" s="817">
        <v>138.84</v>
      </c>
      <c r="H64" s="817"/>
      <c r="I64" s="817"/>
      <c r="J64" s="817">
        <f t="shared" si="4"/>
        <v>1180.1400000000001</v>
      </c>
      <c r="K64" s="817">
        <f t="shared" si="5"/>
        <v>555.36</v>
      </c>
      <c r="L64" s="817"/>
      <c r="M64" s="817">
        <f>J64-K64</f>
        <v>624.78000000000009</v>
      </c>
      <c r="N64" s="818" t="s">
        <v>242</v>
      </c>
      <c r="O64" s="82" t="s">
        <v>3958</v>
      </c>
    </row>
    <row r="65" spans="1:18" ht="18">
      <c r="A65" s="853" t="s">
        <v>2182</v>
      </c>
      <c r="B65" s="854" t="s">
        <v>359</v>
      </c>
      <c r="C65" s="855" t="s">
        <v>13</v>
      </c>
      <c r="D65" s="856">
        <v>20.48</v>
      </c>
      <c r="E65" s="856">
        <f>'數量計算(FOR5變) '!E149</f>
        <v>29.120000000000005</v>
      </c>
      <c r="F65" s="856">
        <f t="shared" si="1"/>
        <v>8.6400000000000041</v>
      </c>
      <c r="G65" s="856">
        <v>2145.31</v>
      </c>
      <c r="H65" s="856"/>
      <c r="I65" s="856"/>
      <c r="J65" s="856">
        <f t="shared" si="4"/>
        <v>43935.95</v>
      </c>
      <c r="K65" s="856">
        <f t="shared" si="5"/>
        <v>62471.43</v>
      </c>
      <c r="L65" s="856">
        <f>K65-J65</f>
        <v>18535.480000000003</v>
      </c>
      <c r="M65" s="856"/>
      <c r="N65" s="857" t="s">
        <v>2321</v>
      </c>
      <c r="O65" s="147" t="s">
        <v>3928</v>
      </c>
      <c r="P65" s="147"/>
      <c r="Q65" s="846" t="s">
        <v>3266</v>
      </c>
      <c r="R65" s="848" t="s">
        <v>3890</v>
      </c>
    </row>
    <row r="66" spans="1:18" ht="14.25">
      <c r="A66" s="833" t="s">
        <v>2183</v>
      </c>
      <c r="B66" s="834" t="s">
        <v>361</v>
      </c>
      <c r="C66" s="835" t="s">
        <v>8</v>
      </c>
      <c r="D66" s="836">
        <v>56.1</v>
      </c>
      <c r="E66" s="836">
        <v>56.1</v>
      </c>
      <c r="F66" s="836">
        <f t="shared" si="1"/>
        <v>0</v>
      </c>
      <c r="G66" s="836">
        <v>511.36</v>
      </c>
      <c r="H66" s="836"/>
      <c r="I66" s="836"/>
      <c r="J66" s="836">
        <f t="shared" si="4"/>
        <v>28687.3</v>
      </c>
      <c r="K66" s="836">
        <f t="shared" si="5"/>
        <v>28687.3</v>
      </c>
      <c r="L66" s="836"/>
      <c r="M66" s="836"/>
      <c r="N66" s="837" t="s">
        <v>242</v>
      </c>
      <c r="O66" s="851"/>
      <c r="P66" s="851"/>
    </row>
    <row r="67" spans="1:18" ht="14.25">
      <c r="A67" s="833" t="s">
        <v>2184</v>
      </c>
      <c r="B67" s="834" t="s">
        <v>363</v>
      </c>
      <c r="C67" s="835" t="s">
        <v>8</v>
      </c>
      <c r="D67" s="836">
        <v>16.600000000000001</v>
      </c>
      <c r="E67" s="836">
        <v>16.600000000000001</v>
      </c>
      <c r="F67" s="836">
        <f t="shared" si="1"/>
        <v>0</v>
      </c>
      <c r="G67" s="836">
        <v>829.1</v>
      </c>
      <c r="H67" s="836"/>
      <c r="I67" s="836"/>
      <c r="J67" s="836">
        <f t="shared" si="4"/>
        <v>13763.06</v>
      </c>
      <c r="K67" s="836">
        <f t="shared" si="5"/>
        <v>13763.06</v>
      </c>
      <c r="L67" s="836"/>
      <c r="M67" s="836"/>
      <c r="N67" s="837" t="s">
        <v>242</v>
      </c>
      <c r="O67" s="82" t="s">
        <v>243</v>
      </c>
    </row>
    <row r="68" spans="1:18" ht="14.25">
      <c r="A68" s="833" t="s">
        <v>2185</v>
      </c>
      <c r="B68" s="834" t="s">
        <v>365</v>
      </c>
      <c r="C68" s="835" t="s">
        <v>8</v>
      </c>
      <c r="D68" s="836">
        <v>2</v>
      </c>
      <c r="E68" s="836">
        <v>2</v>
      </c>
      <c r="F68" s="836">
        <f t="shared" si="1"/>
        <v>0</v>
      </c>
      <c r="G68" s="836">
        <v>443.91</v>
      </c>
      <c r="H68" s="836"/>
      <c r="I68" s="836"/>
      <c r="J68" s="836">
        <f t="shared" si="4"/>
        <v>887.82</v>
      </c>
      <c r="K68" s="836">
        <f t="shared" si="5"/>
        <v>887.82</v>
      </c>
      <c r="L68" s="836"/>
      <c r="M68" s="836"/>
      <c r="N68" s="837" t="s">
        <v>242</v>
      </c>
      <c r="O68" s="82" t="s">
        <v>243</v>
      </c>
    </row>
    <row r="69" spans="1:18" ht="14.25">
      <c r="A69" s="833" t="s">
        <v>2186</v>
      </c>
      <c r="B69" s="834" t="s">
        <v>367</v>
      </c>
      <c r="C69" s="835" t="s">
        <v>0</v>
      </c>
      <c r="D69" s="836">
        <v>7</v>
      </c>
      <c r="E69" s="836">
        <v>7</v>
      </c>
      <c r="F69" s="836">
        <f t="shared" si="1"/>
        <v>0</v>
      </c>
      <c r="G69" s="836">
        <v>26450.3</v>
      </c>
      <c r="H69" s="836"/>
      <c r="I69" s="836"/>
      <c r="J69" s="836">
        <f t="shared" si="4"/>
        <v>185152.1</v>
      </c>
      <c r="K69" s="836">
        <f t="shared" si="5"/>
        <v>185152.1</v>
      </c>
      <c r="L69" s="836"/>
      <c r="M69" s="836"/>
      <c r="N69" s="837" t="s">
        <v>242</v>
      </c>
      <c r="O69" s="82" t="s">
        <v>243</v>
      </c>
    </row>
    <row r="70" spans="1:18" ht="14.25">
      <c r="A70" s="833" t="s">
        <v>2187</v>
      </c>
      <c r="B70" s="834" t="s">
        <v>369</v>
      </c>
      <c r="C70" s="835" t="s">
        <v>8</v>
      </c>
      <c r="D70" s="836">
        <v>19.2</v>
      </c>
      <c r="E70" s="836">
        <v>19.2</v>
      </c>
      <c r="F70" s="836">
        <f t="shared" si="1"/>
        <v>0</v>
      </c>
      <c r="G70" s="836">
        <v>443.91</v>
      </c>
      <c r="H70" s="836"/>
      <c r="I70" s="836"/>
      <c r="J70" s="836">
        <f t="shared" si="4"/>
        <v>8523.07</v>
      </c>
      <c r="K70" s="836">
        <f t="shared" si="5"/>
        <v>8523.07</v>
      </c>
      <c r="L70" s="836"/>
      <c r="M70" s="836"/>
      <c r="N70" s="837" t="s">
        <v>2321</v>
      </c>
      <c r="O70" s="82" t="s">
        <v>243</v>
      </c>
    </row>
    <row r="71" spans="1:18" ht="14.25">
      <c r="A71" s="833" t="s">
        <v>2188</v>
      </c>
      <c r="B71" s="834" t="s">
        <v>372</v>
      </c>
      <c r="C71" s="835" t="s">
        <v>0</v>
      </c>
      <c r="D71" s="836">
        <v>2</v>
      </c>
      <c r="E71" s="836">
        <v>2</v>
      </c>
      <c r="F71" s="836">
        <f t="shared" si="1"/>
        <v>0</v>
      </c>
      <c r="G71" s="836">
        <v>23899.56</v>
      </c>
      <c r="H71" s="836"/>
      <c r="I71" s="836"/>
      <c r="J71" s="836">
        <f t="shared" si="4"/>
        <v>47799.12</v>
      </c>
      <c r="K71" s="836">
        <f t="shared" si="5"/>
        <v>47799.12</v>
      </c>
      <c r="L71" s="836"/>
      <c r="M71" s="836"/>
      <c r="N71" s="837" t="s">
        <v>242</v>
      </c>
      <c r="O71" s="82" t="s">
        <v>243</v>
      </c>
    </row>
    <row r="72" spans="1:18" ht="14.25">
      <c r="A72" s="833" t="s">
        <v>2189</v>
      </c>
      <c r="B72" s="834" t="s">
        <v>374</v>
      </c>
      <c r="C72" s="835" t="s">
        <v>0</v>
      </c>
      <c r="D72" s="836">
        <v>8</v>
      </c>
      <c r="E72" s="836">
        <v>8</v>
      </c>
      <c r="F72" s="836">
        <f t="shared" si="1"/>
        <v>0</v>
      </c>
      <c r="G72" s="836">
        <v>25125.57</v>
      </c>
      <c r="H72" s="836"/>
      <c r="I72" s="836"/>
      <c r="J72" s="836">
        <f t="shared" si="4"/>
        <v>201004.56</v>
      </c>
      <c r="K72" s="836">
        <f t="shared" si="5"/>
        <v>201004.56</v>
      </c>
      <c r="L72" s="836"/>
      <c r="M72" s="836"/>
      <c r="N72" s="837" t="s">
        <v>2321</v>
      </c>
      <c r="O72" s="82" t="s">
        <v>243</v>
      </c>
    </row>
    <row r="73" spans="1:18" ht="14.25">
      <c r="A73" s="833" t="s">
        <v>2190</v>
      </c>
      <c r="B73" s="834" t="s">
        <v>376</v>
      </c>
      <c r="C73" s="835" t="s">
        <v>0</v>
      </c>
      <c r="D73" s="836">
        <v>3</v>
      </c>
      <c r="E73" s="836">
        <v>3</v>
      </c>
      <c r="F73" s="836">
        <f t="shared" si="1"/>
        <v>0</v>
      </c>
      <c r="G73" s="836">
        <v>24022.04</v>
      </c>
      <c r="H73" s="836"/>
      <c r="I73" s="836"/>
      <c r="J73" s="836">
        <f t="shared" si="4"/>
        <v>72066.12</v>
      </c>
      <c r="K73" s="836">
        <f t="shared" si="5"/>
        <v>72066.12</v>
      </c>
      <c r="L73" s="836"/>
      <c r="M73" s="836"/>
      <c r="N73" s="837" t="s">
        <v>242</v>
      </c>
      <c r="O73" s="82" t="s">
        <v>243</v>
      </c>
    </row>
    <row r="74" spans="1:18" ht="14.25">
      <c r="A74" s="833" t="s">
        <v>2191</v>
      </c>
      <c r="B74" s="834" t="s">
        <v>378</v>
      </c>
      <c r="C74" s="835" t="s">
        <v>8</v>
      </c>
      <c r="D74" s="836">
        <v>30.1</v>
      </c>
      <c r="E74" s="836">
        <v>30.1</v>
      </c>
      <c r="F74" s="836">
        <f t="shared" si="1"/>
        <v>0</v>
      </c>
      <c r="G74" s="836">
        <v>545.1</v>
      </c>
      <c r="H74" s="836"/>
      <c r="I74" s="836"/>
      <c r="J74" s="836">
        <f t="shared" si="4"/>
        <v>16407.509999999998</v>
      </c>
      <c r="K74" s="836">
        <f t="shared" si="5"/>
        <v>16407.509999999998</v>
      </c>
      <c r="L74" s="836"/>
      <c r="M74" s="836"/>
      <c r="N74" s="837" t="s">
        <v>2321</v>
      </c>
      <c r="O74" s="82" t="s">
        <v>243</v>
      </c>
    </row>
    <row r="75" spans="1:18" ht="14.25">
      <c r="A75" s="833" t="s">
        <v>2192</v>
      </c>
      <c r="B75" s="834" t="s">
        <v>380</v>
      </c>
      <c r="C75" s="835" t="s">
        <v>8</v>
      </c>
      <c r="D75" s="836">
        <v>35.200000000000003</v>
      </c>
      <c r="E75" s="836">
        <v>35.200000000000003</v>
      </c>
      <c r="F75" s="836">
        <f t="shared" si="1"/>
        <v>0</v>
      </c>
      <c r="G75" s="836">
        <v>8355.11</v>
      </c>
      <c r="H75" s="836"/>
      <c r="I75" s="836"/>
      <c r="J75" s="836">
        <f t="shared" si="4"/>
        <v>294099.87</v>
      </c>
      <c r="K75" s="836">
        <f t="shared" si="5"/>
        <v>294099.87</v>
      </c>
      <c r="L75" s="836"/>
      <c r="M75" s="836"/>
      <c r="N75" s="837" t="s">
        <v>242</v>
      </c>
      <c r="O75" s="82" t="s">
        <v>243</v>
      </c>
    </row>
    <row r="76" spans="1:18" ht="14.25">
      <c r="A76" s="833" t="s">
        <v>2193</v>
      </c>
      <c r="B76" s="834" t="s">
        <v>383</v>
      </c>
      <c r="C76" s="835" t="s">
        <v>8</v>
      </c>
      <c r="D76" s="836">
        <v>24.3</v>
      </c>
      <c r="E76" s="836">
        <v>24.3</v>
      </c>
      <c r="F76" s="836">
        <f t="shared" si="1"/>
        <v>0</v>
      </c>
      <c r="G76" s="836">
        <v>5394.64</v>
      </c>
      <c r="H76" s="836"/>
      <c r="I76" s="836"/>
      <c r="J76" s="836">
        <f t="shared" si="4"/>
        <v>131089.75</v>
      </c>
      <c r="K76" s="836">
        <f t="shared" si="5"/>
        <v>131089.75</v>
      </c>
      <c r="L76" s="836"/>
      <c r="M76" s="836"/>
      <c r="N76" s="837" t="s">
        <v>242</v>
      </c>
      <c r="O76" s="82" t="s">
        <v>243</v>
      </c>
    </row>
    <row r="77" spans="1:18" ht="14.25">
      <c r="A77" s="833" t="s">
        <v>2194</v>
      </c>
      <c r="B77" s="834" t="s">
        <v>386</v>
      </c>
      <c r="C77" s="835" t="s">
        <v>8</v>
      </c>
      <c r="D77" s="836">
        <v>19.600000000000001</v>
      </c>
      <c r="E77" s="836">
        <v>19.600000000000001</v>
      </c>
      <c r="F77" s="836">
        <f t="shared" ref="F77:F149" si="6">E77-D77</f>
        <v>0</v>
      </c>
      <c r="G77" s="836">
        <v>432.57</v>
      </c>
      <c r="H77" s="836"/>
      <c r="I77" s="836"/>
      <c r="J77" s="836">
        <f t="shared" si="4"/>
        <v>8478.3700000000008</v>
      </c>
      <c r="K77" s="836">
        <f t="shared" si="5"/>
        <v>8478.3700000000008</v>
      </c>
      <c r="L77" s="836"/>
      <c r="M77" s="836"/>
      <c r="N77" s="837" t="s">
        <v>242</v>
      </c>
      <c r="O77" s="82" t="s">
        <v>243</v>
      </c>
    </row>
    <row r="78" spans="1:18" ht="14.25">
      <c r="A78" s="833" t="s">
        <v>2195</v>
      </c>
      <c r="B78" s="834" t="s">
        <v>389</v>
      </c>
      <c r="C78" s="835" t="s">
        <v>8</v>
      </c>
      <c r="D78" s="836">
        <v>24.9</v>
      </c>
      <c r="E78" s="836">
        <v>24.9</v>
      </c>
      <c r="F78" s="836">
        <f t="shared" si="6"/>
        <v>0</v>
      </c>
      <c r="G78" s="836">
        <v>1224.22</v>
      </c>
      <c r="H78" s="836"/>
      <c r="I78" s="836"/>
      <c r="J78" s="836">
        <f t="shared" si="4"/>
        <v>30483.08</v>
      </c>
      <c r="K78" s="836">
        <f t="shared" si="5"/>
        <v>30483.08</v>
      </c>
      <c r="L78" s="836"/>
      <c r="M78" s="836"/>
      <c r="N78" s="837" t="s">
        <v>242</v>
      </c>
      <c r="O78" s="82" t="s">
        <v>243</v>
      </c>
    </row>
    <row r="79" spans="1:18" ht="14.25">
      <c r="A79" s="833" t="s">
        <v>2196</v>
      </c>
      <c r="B79" s="834" t="s">
        <v>392</v>
      </c>
      <c r="C79" s="835" t="s">
        <v>8</v>
      </c>
      <c r="D79" s="836">
        <v>3.5</v>
      </c>
      <c r="E79" s="836">
        <v>3.5</v>
      </c>
      <c r="F79" s="836">
        <f t="shared" si="6"/>
        <v>0</v>
      </c>
      <c r="G79" s="836">
        <v>1148.6300000000001</v>
      </c>
      <c r="H79" s="836"/>
      <c r="I79" s="836"/>
      <c r="J79" s="836">
        <f t="shared" si="4"/>
        <v>4020.21</v>
      </c>
      <c r="K79" s="836">
        <f t="shared" si="5"/>
        <v>4020.21</v>
      </c>
      <c r="L79" s="836"/>
      <c r="M79" s="836"/>
      <c r="N79" s="837" t="s">
        <v>242</v>
      </c>
      <c r="O79" s="82" t="s">
        <v>243</v>
      </c>
    </row>
    <row r="80" spans="1:18" ht="14.25">
      <c r="A80" s="833" t="s">
        <v>2197</v>
      </c>
      <c r="B80" s="834" t="s">
        <v>395</v>
      </c>
      <c r="C80" s="835" t="s">
        <v>0</v>
      </c>
      <c r="D80" s="836">
        <v>1</v>
      </c>
      <c r="E80" s="836">
        <v>1</v>
      </c>
      <c r="F80" s="836">
        <f t="shared" si="6"/>
        <v>0</v>
      </c>
      <c r="G80" s="836">
        <v>5698.63</v>
      </c>
      <c r="H80" s="836"/>
      <c r="I80" s="836"/>
      <c r="J80" s="836">
        <f t="shared" si="4"/>
        <v>5698.63</v>
      </c>
      <c r="K80" s="836">
        <f t="shared" si="5"/>
        <v>5698.63</v>
      </c>
      <c r="L80" s="836"/>
      <c r="M80" s="836"/>
      <c r="N80" s="837" t="s">
        <v>242</v>
      </c>
      <c r="O80" s="82" t="s">
        <v>243</v>
      </c>
    </row>
    <row r="81" spans="1:17" ht="14.25">
      <c r="A81" s="833" t="s">
        <v>2198</v>
      </c>
      <c r="B81" s="834" t="s">
        <v>398</v>
      </c>
      <c r="C81" s="835" t="s">
        <v>0</v>
      </c>
      <c r="D81" s="836">
        <v>1</v>
      </c>
      <c r="E81" s="836">
        <v>1</v>
      </c>
      <c r="F81" s="836">
        <f t="shared" si="6"/>
        <v>0</v>
      </c>
      <c r="G81" s="836">
        <v>5963.22</v>
      </c>
      <c r="H81" s="836"/>
      <c r="I81" s="836"/>
      <c r="J81" s="836">
        <f t="shared" si="4"/>
        <v>5963.22</v>
      </c>
      <c r="K81" s="836">
        <f t="shared" si="5"/>
        <v>5963.22</v>
      </c>
      <c r="L81" s="836"/>
      <c r="M81" s="836"/>
      <c r="N81" s="837" t="s">
        <v>242</v>
      </c>
      <c r="O81" s="82" t="s">
        <v>243</v>
      </c>
    </row>
    <row r="82" spans="1:17" ht="14.25">
      <c r="A82" s="833" t="s">
        <v>2199</v>
      </c>
      <c r="B82" s="834" t="s">
        <v>401</v>
      </c>
      <c r="C82" s="835" t="s">
        <v>0</v>
      </c>
      <c r="D82" s="836">
        <v>1</v>
      </c>
      <c r="E82" s="836">
        <v>1</v>
      </c>
      <c r="F82" s="836">
        <f t="shared" si="6"/>
        <v>0</v>
      </c>
      <c r="G82" s="836">
        <v>1421.11</v>
      </c>
      <c r="H82" s="836"/>
      <c r="I82" s="836"/>
      <c r="J82" s="836">
        <f t="shared" si="4"/>
        <v>1421.11</v>
      </c>
      <c r="K82" s="836">
        <f t="shared" si="5"/>
        <v>1421.11</v>
      </c>
      <c r="L82" s="836"/>
      <c r="M82" s="836"/>
      <c r="N82" s="837" t="s">
        <v>242</v>
      </c>
      <c r="O82" s="82" t="s">
        <v>243</v>
      </c>
    </row>
    <row r="83" spans="1:17" ht="14.25">
      <c r="A83" s="833" t="s">
        <v>2200</v>
      </c>
      <c r="B83" s="834" t="s">
        <v>404</v>
      </c>
      <c r="C83" s="835" t="s">
        <v>0</v>
      </c>
      <c r="D83" s="836">
        <v>1</v>
      </c>
      <c r="E83" s="836">
        <v>1</v>
      </c>
      <c r="F83" s="836">
        <f t="shared" si="6"/>
        <v>0</v>
      </c>
      <c r="G83" s="836">
        <v>4031.83</v>
      </c>
      <c r="H83" s="836"/>
      <c r="I83" s="836"/>
      <c r="J83" s="836">
        <f t="shared" si="4"/>
        <v>4031.83</v>
      </c>
      <c r="K83" s="836">
        <f t="shared" si="5"/>
        <v>4031.83</v>
      </c>
      <c r="L83" s="836"/>
      <c r="M83" s="836"/>
      <c r="N83" s="837" t="s">
        <v>242</v>
      </c>
      <c r="O83" s="82" t="s">
        <v>243</v>
      </c>
    </row>
    <row r="84" spans="1:17" ht="14.25">
      <c r="A84" s="833" t="s">
        <v>2201</v>
      </c>
      <c r="B84" s="834" t="s">
        <v>407</v>
      </c>
      <c r="C84" s="835" t="s">
        <v>0</v>
      </c>
      <c r="D84" s="836">
        <v>1</v>
      </c>
      <c r="E84" s="836">
        <v>1</v>
      </c>
      <c r="F84" s="836">
        <f t="shared" si="6"/>
        <v>0</v>
      </c>
      <c r="G84" s="836">
        <v>3313.67</v>
      </c>
      <c r="H84" s="836"/>
      <c r="I84" s="836"/>
      <c r="J84" s="836">
        <f t="shared" si="4"/>
        <v>3313.67</v>
      </c>
      <c r="K84" s="836">
        <f t="shared" si="5"/>
        <v>3313.67</v>
      </c>
      <c r="L84" s="836"/>
      <c r="M84" s="836"/>
      <c r="N84" s="837" t="s">
        <v>242</v>
      </c>
      <c r="O84" s="82" t="s">
        <v>243</v>
      </c>
    </row>
    <row r="85" spans="1:17" ht="40.5">
      <c r="A85" s="853" t="s">
        <v>2202</v>
      </c>
      <c r="B85" s="854" t="s">
        <v>410</v>
      </c>
      <c r="C85" s="855" t="s">
        <v>8</v>
      </c>
      <c r="D85" s="856">
        <v>149.5</v>
      </c>
      <c r="E85" s="856">
        <f>'數量計算(FOR5變) '!E169</f>
        <v>454.32000000000005</v>
      </c>
      <c r="F85" s="856">
        <f t="shared" si="6"/>
        <v>304.82000000000005</v>
      </c>
      <c r="G85" s="856">
        <v>1975.94</v>
      </c>
      <c r="H85" s="856"/>
      <c r="I85" s="856"/>
      <c r="J85" s="856">
        <f t="shared" si="4"/>
        <v>295403.03000000003</v>
      </c>
      <c r="K85" s="856">
        <f t="shared" si="5"/>
        <v>897709.06</v>
      </c>
      <c r="L85" s="856">
        <f>K85-J85</f>
        <v>602306.03</v>
      </c>
      <c r="M85" s="856"/>
      <c r="N85" s="857" t="s">
        <v>242</v>
      </c>
      <c r="O85" s="586" t="s">
        <v>3959</v>
      </c>
      <c r="P85" s="586" t="s">
        <v>3706</v>
      </c>
      <c r="Q85" s="846" t="s">
        <v>3266</v>
      </c>
    </row>
    <row r="86" spans="1:17" ht="14.25">
      <c r="A86" s="833" t="s">
        <v>2203</v>
      </c>
      <c r="B86" s="834" t="s">
        <v>413</v>
      </c>
      <c r="C86" s="835" t="s">
        <v>8</v>
      </c>
      <c r="D86" s="836">
        <v>39.299999999999997</v>
      </c>
      <c r="E86" s="836">
        <v>39.299999999999997</v>
      </c>
      <c r="F86" s="836">
        <f t="shared" si="6"/>
        <v>0</v>
      </c>
      <c r="G86" s="836">
        <v>4874.2299999999996</v>
      </c>
      <c r="H86" s="836"/>
      <c r="I86" s="836"/>
      <c r="J86" s="836">
        <f t="shared" si="4"/>
        <v>191557.24</v>
      </c>
      <c r="K86" s="836">
        <f t="shared" si="5"/>
        <v>191557.24</v>
      </c>
      <c r="L86" s="836"/>
      <c r="M86" s="836"/>
      <c r="N86" s="837" t="s">
        <v>242</v>
      </c>
      <c r="O86" s="82" t="s">
        <v>243</v>
      </c>
    </row>
    <row r="87" spans="1:17" ht="18">
      <c r="A87" s="815" t="s">
        <v>2204</v>
      </c>
      <c r="B87" s="816" t="s">
        <v>416</v>
      </c>
      <c r="C87" s="821" t="s">
        <v>8</v>
      </c>
      <c r="D87" s="817">
        <v>51.3</v>
      </c>
      <c r="E87" s="817">
        <f>'數量計算(FOR5變) '!E171</f>
        <v>37.450000000000003</v>
      </c>
      <c r="F87" s="817">
        <f t="shared" si="6"/>
        <v>-13.849999999999994</v>
      </c>
      <c r="G87" s="817">
        <v>2938.96</v>
      </c>
      <c r="H87" s="817"/>
      <c r="I87" s="817"/>
      <c r="J87" s="817">
        <f t="shared" si="4"/>
        <v>150768.65</v>
      </c>
      <c r="K87" s="817">
        <f t="shared" si="5"/>
        <v>110064.05</v>
      </c>
      <c r="L87" s="817"/>
      <c r="M87" s="817">
        <f>J87-K87</f>
        <v>40704.599999999991</v>
      </c>
      <c r="N87" s="818" t="s">
        <v>242</v>
      </c>
      <c r="O87" s="245" t="s">
        <v>3717</v>
      </c>
      <c r="P87" s="245"/>
      <c r="Q87" s="846" t="s">
        <v>3266</v>
      </c>
    </row>
    <row r="88" spans="1:17" ht="14.25">
      <c r="A88" s="833" t="s">
        <v>2205</v>
      </c>
      <c r="B88" s="834" t="s">
        <v>419</v>
      </c>
      <c r="C88" s="835" t="s">
        <v>0</v>
      </c>
      <c r="D88" s="836">
        <v>1</v>
      </c>
      <c r="E88" s="836">
        <v>1</v>
      </c>
      <c r="F88" s="836">
        <f t="shared" si="6"/>
        <v>0</v>
      </c>
      <c r="G88" s="836">
        <v>23029.53</v>
      </c>
      <c r="H88" s="836"/>
      <c r="I88" s="836"/>
      <c r="J88" s="836">
        <f t="shared" si="4"/>
        <v>23029.53</v>
      </c>
      <c r="K88" s="836">
        <f t="shared" si="5"/>
        <v>23029.53</v>
      </c>
      <c r="L88" s="836"/>
      <c r="M88" s="836"/>
      <c r="N88" s="837" t="s">
        <v>2321</v>
      </c>
      <c r="O88" s="82" t="s">
        <v>243</v>
      </c>
    </row>
    <row r="89" spans="1:17" ht="14.25">
      <c r="A89" s="833" t="s">
        <v>2206</v>
      </c>
      <c r="B89" s="834" t="s">
        <v>422</v>
      </c>
      <c r="C89" s="835" t="s">
        <v>0</v>
      </c>
      <c r="D89" s="836">
        <v>2</v>
      </c>
      <c r="E89" s="836">
        <v>2</v>
      </c>
      <c r="F89" s="836">
        <f t="shared" si="6"/>
        <v>0</v>
      </c>
      <c r="G89" s="836">
        <v>18604.87</v>
      </c>
      <c r="H89" s="836"/>
      <c r="I89" s="836"/>
      <c r="J89" s="836">
        <f t="shared" si="4"/>
        <v>37209.74</v>
      </c>
      <c r="K89" s="836">
        <f t="shared" si="5"/>
        <v>37209.74</v>
      </c>
      <c r="L89" s="836"/>
      <c r="M89" s="836"/>
      <c r="N89" s="837" t="s">
        <v>2321</v>
      </c>
      <c r="O89" s="82" t="s">
        <v>243</v>
      </c>
    </row>
    <row r="90" spans="1:17" ht="14.25">
      <c r="A90" s="833" t="s">
        <v>2207</v>
      </c>
      <c r="B90" s="834" t="s">
        <v>425</v>
      </c>
      <c r="C90" s="835" t="s">
        <v>0</v>
      </c>
      <c r="D90" s="836">
        <v>1</v>
      </c>
      <c r="E90" s="836">
        <v>1</v>
      </c>
      <c r="F90" s="836">
        <f t="shared" si="6"/>
        <v>0</v>
      </c>
      <c r="G90" s="836">
        <v>18604.87</v>
      </c>
      <c r="H90" s="836"/>
      <c r="I90" s="836"/>
      <c r="J90" s="836">
        <f t="shared" si="4"/>
        <v>18604.87</v>
      </c>
      <c r="K90" s="836">
        <f t="shared" si="5"/>
        <v>18604.87</v>
      </c>
      <c r="L90" s="836"/>
      <c r="M90" s="836"/>
      <c r="N90" s="837" t="s">
        <v>242</v>
      </c>
      <c r="O90" s="82" t="s">
        <v>243</v>
      </c>
    </row>
    <row r="91" spans="1:17" ht="14.25">
      <c r="A91" s="833" t="s">
        <v>2208</v>
      </c>
      <c r="B91" s="834" t="s">
        <v>428</v>
      </c>
      <c r="C91" s="835" t="s">
        <v>0</v>
      </c>
      <c r="D91" s="836">
        <v>2</v>
      </c>
      <c r="E91" s="836">
        <v>2</v>
      </c>
      <c r="F91" s="836">
        <f t="shared" si="6"/>
        <v>0</v>
      </c>
      <c r="G91" s="836">
        <v>11654.82</v>
      </c>
      <c r="H91" s="836"/>
      <c r="I91" s="836"/>
      <c r="J91" s="836">
        <f t="shared" si="4"/>
        <v>23309.64</v>
      </c>
      <c r="K91" s="836">
        <f t="shared" si="5"/>
        <v>23309.64</v>
      </c>
      <c r="L91" s="836"/>
      <c r="M91" s="836"/>
      <c r="N91" s="837" t="s">
        <v>242</v>
      </c>
      <c r="O91" s="82" t="s">
        <v>243</v>
      </c>
    </row>
    <row r="92" spans="1:17" ht="14.25">
      <c r="A92" s="833" t="s">
        <v>2209</v>
      </c>
      <c r="B92" s="834" t="s">
        <v>431</v>
      </c>
      <c r="C92" s="835" t="s">
        <v>0</v>
      </c>
      <c r="D92" s="836">
        <v>2</v>
      </c>
      <c r="E92" s="836">
        <v>2</v>
      </c>
      <c r="F92" s="836">
        <f t="shared" si="6"/>
        <v>0</v>
      </c>
      <c r="G92" s="836">
        <v>25107.48</v>
      </c>
      <c r="H92" s="836"/>
      <c r="I92" s="836"/>
      <c r="J92" s="836">
        <f t="shared" si="4"/>
        <v>50214.96</v>
      </c>
      <c r="K92" s="836">
        <f t="shared" si="5"/>
        <v>50214.96</v>
      </c>
      <c r="L92" s="836"/>
      <c r="M92" s="836"/>
      <c r="N92" s="837" t="s">
        <v>242</v>
      </c>
      <c r="O92" s="147"/>
    </row>
    <row r="93" spans="1:17" ht="14.25">
      <c r="A93" s="833" t="s">
        <v>2210</v>
      </c>
      <c r="B93" s="834" t="s">
        <v>434</v>
      </c>
      <c r="C93" s="835" t="s">
        <v>0</v>
      </c>
      <c r="D93" s="836">
        <v>1</v>
      </c>
      <c r="E93" s="836">
        <v>1</v>
      </c>
      <c r="F93" s="836">
        <f t="shared" si="6"/>
        <v>0</v>
      </c>
      <c r="G93" s="836">
        <v>22415.66</v>
      </c>
      <c r="H93" s="836"/>
      <c r="I93" s="836"/>
      <c r="J93" s="836">
        <f t="shared" si="4"/>
        <v>22415.66</v>
      </c>
      <c r="K93" s="836">
        <f t="shared" si="5"/>
        <v>22415.66</v>
      </c>
      <c r="L93" s="836"/>
      <c r="M93" s="836"/>
      <c r="N93" s="837" t="s">
        <v>242</v>
      </c>
      <c r="O93" s="82" t="s">
        <v>243</v>
      </c>
    </row>
    <row r="94" spans="1:17" ht="14.25">
      <c r="A94" s="833" t="s">
        <v>2211</v>
      </c>
      <c r="B94" s="834" t="s">
        <v>437</v>
      </c>
      <c r="C94" s="835" t="s">
        <v>0</v>
      </c>
      <c r="D94" s="836">
        <v>1</v>
      </c>
      <c r="E94" s="836">
        <v>1</v>
      </c>
      <c r="F94" s="836">
        <f t="shared" si="6"/>
        <v>0</v>
      </c>
      <c r="G94" s="836">
        <v>21723.54</v>
      </c>
      <c r="H94" s="836"/>
      <c r="I94" s="836"/>
      <c r="J94" s="836">
        <f t="shared" si="4"/>
        <v>21723.54</v>
      </c>
      <c r="K94" s="836">
        <f t="shared" si="5"/>
        <v>21723.54</v>
      </c>
      <c r="L94" s="836"/>
      <c r="M94" s="836"/>
      <c r="N94" s="837" t="s">
        <v>242</v>
      </c>
      <c r="O94" s="82" t="s">
        <v>243</v>
      </c>
    </row>
    <row r="95" spans="1:17" ht="14.25">
      <c r="A95" s="833" t="s">
        <v>2212</v>
      </c>
      <c r="B95" s="834" t="s">
        <v>440</v>
      </c>
      <c r="C95" s="835" t="s">
        <v>0</v>
      </c>
      <c r="D95" s="836">
        <v>1</v>
      </c>
      <c r="E95" s="836">
        <v>1</v>
      </c>
      <c r="F95" s="836">
        <f t="shared" si="6"/>
        <v>0</v>
      </c>
      <c r="G95" s="836">
        <v>22646.36</v>
      </c>
      <c r="H95" s="836"/>
      <c r="I95" s="836"/>
      <c r="J95" s="836">
        <f t="shared" si="4"/>
        <v>22646.36</v>
      </c>
      <c r="K95" s="836">
        <f t="shared" si="5"/>
        <v>22646.36</v>
      </c>
      <c r="L95" s="836"/>
      <c r="M95" s="836"/>
      <c r="N95" s="837" t="s">
        <v>242</v>
      </c>
      <c r="O95" s="82" t="s">
        <v>243</v>
      </c>
    </row>
    <row r="96" spans="1:17" ht="14.25">
      <c r="A96" s="833" t="s">
        <v>2213</v>
      </c>
      <c r="B96" s="834" t="s">
        <v>443</v>
      </c>
      <c r="C96" s="835" t="s">
        <v>0</v>
      </c>
      <c r="D96" s="836">
        <v>4</v>
      </c>
      <c r="E96" s="836">
        <v>4</v>
      </c>
      <c r="F96" s="836">
        <f t="shared" si="6"/>
        <v>0</v>
      </c>
      <c r="G96" s="836">
        <v>17340.05</v>
      </c>
      <c r="H96" s="836"/>
      <c r="I96" s="836"/>
      <c r="J96" s="836">
        <f t="shared" si="4"/>
        <v>69360.2</v>
      </c>
      <c r="K96" s="836">
        <f t="shared" si="5"/>
        <v>69360.2</v>
      </c>
      <c r="L96" s="836"/>
      <c r="M96" s="836"/>
      <c r="N96" s="837" t="s">
        <v>242</v>
      </c>
      <c r="O96" s="82" t="s">
        <v>243</v>
      </c>
    </row>
    <row r="97" spans="1:17" ht="14.25">
      <c r="A97" s="833" t="s">
        <v>2214</v>
      </c>
      <c r="B97" s="834" t="s">
        <v>446</v>
      </c>
      <c r="C97" s="835" t="s">
        <v>0</v>
      </c>
      <c r="D97" s="836">
        <v>6</v>
      </c>
      <c r="E97" s="836">
        <v>6</v>
      </c>
      <c r="F97" s="836">
        <f t="shared" si="6"/>
        <v>0</v>
      </c>
      <c r="G97" s="836">
        <v>17340.05</v>
      </c>
      <c r="H97" s="836"/>
      <c r="I97" s="836"/>
      <c r="J97" s="836">
        <f t="shared" si="4"/>
        <v>104040.3</v>
      </c>
      <c r="K97" s="836">
        <f t="shared" si="5"/>
        <v>104040.3</v>
      </c>
      <c r="L97" s="836"/>
      <c r="M97" s="836"/>
      <c r="N97" s="837" t="s">
        <v>242</v>
      </c>
      <c r="O97" s="82" t="s">
        <v>243</v>
      </c>
    </row>
    <row r="98" spans="1:17" ht="14.25">
      <c r="A98" s="833" t="s">
        <v>2215</v>
      </c>
      <c r="B98" s="834" t="s">
        <v>449</v>
      </c>
      <c r="C98" s="835" t="s">
        <v>0</v>
      </c>
      <c r="D98" s="836">
        <v>1</v>
      </c>
      <c r="E98" s="836">
        <v>1</v>
      </c>
      <c r="F98" s="836">
        <f t="shared" si="6"/>
        <v>0</v>
      </c>
      <c r="G98" s="836">
        <v>17496.650000000001</v>
      </c>
      <c r="H98" s="836"/>
      <c r="I98" s="836"/>
      <c r="J98" s="836">
        <f t="shared" si="4"/>
        <v>17496.650000000001</v>
      </c>
      <c r="K98" s="836">
        <f t="shared" si="5"/>
        <v>17496.650000000001</v>
      </c>
      <c r="L98" s="836"/>
      <c r="M98" s="836"/>
      <c r="N98" s="837" t="s">
        <v>242</v>
      </c>
      <c r="O98" s="82" t="s">
        <v>243</v>
      </c>
    </row>
    <row r="99" spans="1:17" ht="14.25">
      <c r="A99" s="833" t="s">
        <v>2216</v>
      </c>
      <c r="B99" s="834" t="s">
        <v>452</v>
      </c>
      <c r="C99" s="835" t="s">
        <v>0</v>
      </c>
      <c r="D99" s="836">
        <v>1</v>
      </c>
      <c r="E99" s="836">
        <v>1</v>
      </c>
      <c r="F99" s="836">
        <f t="shared" si="6"/>
        <v>0</v>
      </c>
      <c r="G99" s="836">
        <v>1501.66</v>
      </c>
      <c r="H99" s="836"/>
      <c r="I99" s="836"/>
      <c r="J99" s="836">
        <f t="shared" si="4"/>
        <v>1501.66</v>
      </c>
      <c r="K99" s="836">
        <f t="shared" si="5"/>
        <v>1501.66</v>
      </c>
      <c r="L99" s="836"/>
      <c r="M99" s="836"/>
      <c r="N99" s="837" t="s">
        <v>242</v>
      </c>
      <c r="O99" s="82" t="s">
        <v>243</v>
      </c>
    </row>
    <row r="100" spans="1:17" ht="14.25">
      <c r="A100" s="833" t="s">
        <v>2217</v>
      </c>
      <c r="B100" s="834" t="s">
        <v>455</v>
      </c>
      <c r="C100" s="835" t="s">
        <v>0</v>
      </c>
      <c r="D100" s="836">
        <v>1</v>
      </c>
      <c r="E100" s="836">
        <v>1</v>
      </c>
      <c r="F100" s="836">
        <f t="shared" si="6"/>
        <v>0</v>
      </c>
      <c r="G100" s="836">
        <v>1240.05</v>
      </c>
      <c r="H100" s="836"/>
      <c r="I100" s="836"/>
      <c r="J100" s="836">
        <f t="shared" si="4"/>
        <v>1240.05</v>
      </c>
      <c r="K100" s="836">
        <f t="shared" si="5"/>
        <v>1240.05</v>
      </c>
      <c r="L100" s="836"/>
      <c r="M100" s="836"/>
      <c r="N100" s="837" t="s">
        <v>242</v>
      </c>
      <c r="O100" s="82" t="s">
        <v>243</v>
      </c>
    </row>
    <row r="101" spans="1:17" ht="14.25">
      <c r="A101" s="833" t="s">
        <v>2218</v>
      </c>
      <c r="B101" s="834" t="s">
        <v>458</v>
      </c>
      <c r="C101" s="835" t="s">
        <v>0</v>
      </c>
      <c r="D101" s="836">
        <v>1</v>
      </c>
      <c r="E101" s="836">
        <v>1</v>
      </c>
      <c r="F101" s="836">
        <f t="shared" si="6"/>
        <v>0</v>
      </c>
      <c r="G101" s="836">
        <v>1470.75</v>
      </c>
      <c r="H101" s="836"/>
      <c r="I101" s="836"/>
      <c r="J101" s="836">
        <f t="shared" si="4"/>
        <v>1470.75</v>
      </c>
      <c r="K101" s="836">
        <f t="shared" si="5"/>
        <v>1470.75</v>
      </c>
      <c r="L101" s="836"/>
      <c r="M101" s="836"/>
      <c r="N101" s="837" t="s">
        <v>242</v>
      </c>
      <c r="O101" s="82" t="s">
        <v>243</v>
      </c>
    </row>
    <row r="102" spans="1:17" ht="14.25">
      <c r="A102" s="833" t="s">
        <v>2219</v>
      </c>
      <c r="B102" s="834" t="s">
        <v>461</v>
      </c>
      <c r="C102" s="835" t="s">
        <v>0</v>
      </c>
      <c r="D102" s="836">
        <v>1</v>
      </c>
      <c r="E102" s="836">
        <v>1</v>
      </c>
      <c r="F102" s="836">
        <f t="shared" si="6"/>
        <v>0</v>
      </c>
      <c r="G102" s="836">
        <v>1326.56</v>
      </c>
      <c r="H102" s="836"/>
      <c r="I102" s="836"/>
      <c r="J102" s="836">
        <f t="shared" si="4"/>
        <v>1326.56</v>
      </c>
      <c r="K102" s="836">
        <f t="shared" si="5"/>
        <v>1326.56</v>
      </c>
      <c r="L102" s="836"/>
      <c r="M102" s="836"/>
      <c r="N102" s="837" t="s">
        <v>242</v>
      </c>
      <c r="O102" s="82" t="s">
        <v>243</v>
      </c>
    </row>
    <row r="103" spans="1:17" ht="14.25">
      <c r="A103" s="833" t="s">
        <v>2220</v>
      </c>
      <c r="B103" s="834" t="s">
        <v>464</v>
      </c>
      <c r="C103" s="835" t="s">
        <v>0</v>
      </c>
      <c r="D103" s="836">
        <v>3</v>
      </c>
      <c r="E103" s="836">
        <v>3</v>
      </c>
      <c r="F103" s="836">
        <f t="shared" si="6"/>
        <v>0</v>
      </c>
      <c r="G103" s="836">
        <v>331.64</v>
      </c>
      <c r="H103" s="836"/>
      <c r="I103" s="836"/>
      <c r="J103" s="836">
        <f t="shared" si="4"/>
        <v>994.92</v>
      </c>
      <c r="K103" s="836">
        <f t="shared" si="5"/>
        <v>994.92</v>
      </c>
      <c r="L103" s="836"/>
      <c r="M103" s="836"/>
      <c r="N103" s="837" t="s">
        <v>242</v>
      </c>
      <c r="O103" s="82" t="s">
        <v>243</v>
      </c>
    </row>
    <row r="104" spans="1:17" ht="14.25">
      <c r="A104" s="853" t="s">
        <v>2221</v>
      </c>
      <c r="B104" s="854" t="s">
        <v>467</v>
      </c>
      <c r="C104" s="855" t="s">
        <v>0</v>
      </c>
      <c r="D104" s="856">
        <v>7</v>
      </c>
      <c r="E104" s="856">
        <f>'數量計算(FOR5變) '!E188</f>
        <v>11</v>
      </c>
      <c r="F104" s="856">
        <f t="shared" si="6"/>
        <v>4</v>
      </c>
      <c r="G104" s="856">
        <v>952.18</v>
      </c>
      <c r="H104" s="856"/>
      <c r="I104" s="856"/>
      <c r="J104" s="856">
        <f t="shared" ref="J104:J138" si="7">ROUND(D104*G104,2)</f>
        <v>6665.26</v>
      </c>
      <c r="K104" s="856">
        <f t="shared" ref="K104:K138" si="8">ROUND(E104*G104,2)</f>
        <v>10473.98</v>
      </c>
      <c r="L104" s="856">
        <f>K104-J104</f>
        <v>3808.7199999999993</v>
      </c>
      <c r="M104" s="856"/>
      <c r="N104" s="857" t="s">
        <v>242</v>
      </c>
      <c r="O104" s="245" t="s">
        <v>3894</v>
      </c>
    </row>
    <row r="105" spans="1:17" ht="14.25">
      <c r="A105" s="833" t="s">
        <v>2222</v>
      </c>
      <c r="B105" s="834" t="s">
        <v>470</v>
      </c>
      <c r="C105" s="835" t="s">
        <v>0</v>
      </c>
      <c r="D105" s="836">
        <v>1</v>
      </c>
      <c r="E105" s="836">
        <v>1</v>
      </c>
      <c r="F105" s="836">
        <f t="shared" si="6"/>
        <v>0</v>
      </c>
      <c r="G105" s="836">
        <v>272825.21000000002</v>
      </c>
      <c r="H105" s="836"/>
      <c r="I105" s="836"/>
      <c r="J105" s="836">
        <f t="shared" si="7"/>
        <v>272825.21000000002</v>
      </c>
      <c r="K105" s="836">
        <f t="shared" si="8"/>
        <v>272825.21000000002</v>
      </c>
      <c r="L105" s="836"/>
      <c r="M105" s="836"/>
      <c r="N105" s="837" t="s">
        <v>242</v>
      </c>
      <c r="O105" s="82" t="s">
        <v>243</v>
      </c>
    </row>
    <row r="106" spans="1:17" ht="69">
      <c r="A106" s="853" t="s">
        <v>2223</v>
      </c>
      <c r="B106" s="854" t="s">
        <v>473</v>
      </c>
      <c r="C106" s="855" t="s">
        <v>13</v>
      </c>
      <c r="D106" s="856">
        <v>759.43</v>
      </c>
      <c r="E106" s="856">
        <f>'數量計算(FOR5變) '!E190</f>
        <v>1076.097</v>
      </c>
      <c r="F106" s="856">
        <f t="shared" si="6"/>
        <v>316.66700000000003</v>
      </c>
      <c r="G106" s="856">
        <v>647.65</v>
      </c>
      <c r="H106" s="856"/>
      <c r="I106" s="856"/>
      <c r="J106" s="856">
        <f t="shared" si="7"/>
        <v>491844.84</v>
      </c>
      <c r="K106" s="856">
        <f t="shared" si="8"/>
        <v>696934.22</v>
      </c>
      <c r="L106" s="856">
        <f>K106-J106</f>
        <v>205089.37999999995</v>
      </c>
      <c r="M106" s="856"/>
      <c r="N106" s="857" t="s">
        <v>242</v>
      </c>
      <c r="O106" s="293" t="s">
        <v>3962</v>
      </c>
      <c r="P106" s="293" t="s">
        <v>3963</v>
      </c>
      <c r="Q106" s="846" t="s">
        <v>3266</v>
      </c>
    </row>
    <row r="107" spans="1:17" ht="14.25">
      <c r="A107" s="833" t="s">
        <v>2224</v>
      </c>
      <c r="B107" s="834" t="s">
        <v>476</v>
      </c>
      <c r="C107" s="835" t="s">
        <v>15</v>
      </c>
      <c r="D107" s="836">
        <v>1</v>
      </c>
      <c r="E107" s="836">
        <v>1</v>
      </c>
      <c r="F107" s="836">
        <f t="shared" si="6"/>
        <v>0</v>
      </c>
      <c r="G107" s="836">
        <v>10412.73</v>
      </c>
      <c r="H107" s="836"/>
      <c r="I107" s="836"/>
      <c r="J107" s="836">
        <f t="shared" si="7"/>
        <v>10412.73</v>
      </c>
      <c r="K107" s="836">
        <f t="shared" si="8"/>
        <v>10412.73</v>
      </c>
      <c r="L107" s="836"/>
      <c r="M107" s="836"/>
      <c r="N107" s="837" t="s">
        <v>2321</v>
      </c>
      <c r="O107" s="82" t="s">
        <v>243</v>
      </c>
    </row>
    <row r="108" spans="1:17" ht="14.25">
      <c r="A108" s="833" t="s">
        <v>2225</v>
      </c>
      <c r="B108" s="834" t="s">
        <v>479</v>
      </c>
      <c r="C108" s="835" t="s">
        <v>15</v>
      </c>
      <c r="D108" s="836">
        <v>3</v>
      </c>
      <c r="E108" s="836">
        <v>3</v>
      </c>
      <c r="F108" s="836">
        <f t="shared" si="6"/>
        <v>0</v>
      </c>
      <c r="G108" s="836">
        <v>4575.03</v>
      </c>
      <c r="H108" s="836"/>
      <c r="I108" s="836"/>
      <c r="J108" s="836">
        <f t="shared" si="7"/>
        <v>13725.09</v>
      </c>
      <c r="K108" s="836">
        <f t="shared" si="8"/>
        <v>13725.09</v>
      </c>
      <c r="L108" s="836"/>
      <c r="M108" s="836"/>
      <c r="N108" s="837" t="s">
        <v>2338</v>
      </c>
      <c r="O108" s="82" t="s">
        <v>243</v>
      </c>
    </row>
    <row r="109" spans="1:17" ht="42">
      <c r="A109" s="815" t="s">
        <v>2226</v>
      </c>
      <c r="B109" s="816" t="s">
        <v>482</v>
      </c>
      <c r="C109" s="821" t="s">
        <v>483</v>
      </c>
      <c r="D109" s="817">
        <v>88.17</v>
      </c>
      <c r="E109" s="817">
        <f>'數量計算(FOR5變) '!E196</f>
        <v>83.093400000000003</v>
      </c>
      <c r="F109" s="817">
        <f t="shared" si="6"/>
        <v>-5.0765999999999991</v>
      </c>
      <c r="G109" s="817">
        <v>15299.17</v>
      </c>
      <c r="H109" s="817"/>
      <c r="I109" s="817"/>
      <c r="J109" s="817">
        <f t="shared" si="7"/>
        <v>1348927.82</v>
      </c>
      <c r="K109" s="817">
        <f t="shared" si="8"/>
        <v>1271260.05</v>
      </c>
      <c r="L109" s="817"/>
      <c r="M109" s="817">
        <f>J109-K109</f>
        <v>77667.770000000019</v>
      </c>
      <c r="N109" s="818" t="s">
        <v>2339</v>
      </c>
      <c r="O109" s="586" t="s">
        <v>3514</v>
      </c>
      <c r="P109" s="293" t="s">
        <v>3710</v>
      </c>
      <c r="Q109" s="846" t="s">
        <v>3266</v>
      </c>
    </row>
    <row r="110" spans="1:17" ht="14.25">
      <c r="A110" s="833" t="s">
        <v>2227</v>
      </c>
      <c r="B110" s="834" t="s">
        <v>486</v>
      </c>
      <c r="C110" s="835" t="s">
        <v>0</v>
      </c>
      <c r="D110" s="836">
        <v>25</v>
      </c>
      <c r="E110" s="836">
        <v>25</v>
      </c>
      <c r="F110" s="836">
        <f t="shared" si="6"/>
        <v>0</v>
      </c>
      <c r="G110" s="836">
        <v>4498.3100000000004</v>
      </c>
      <c r="H110" s="836"/>
      <c r="I110" s="836"/>
      <c r="J110" s="836">
        <f t="shared" si="7"/>
        <v>112457.75</v>
      </c>
      <c r="K110" s="836">
        <f t="shared" si="8"/>
        <v>112457.75</v>
      </c>
      <c r="L110" s="836"/>
      <c r="M110" s="836"/>
      <c r="N110" s="837" t="s">
        <v>242</v>
      </c>
      <c r="O110" s="82" t="s">
        <v>243</v>
      </c>
    </row>
    <row r="111" spans="1:17" ht="18">
      <c r="A111" s="815" t="s">
        <v>2228</v>
      </c>
      <c r="B111" s="816" t="s">
        <v>489</v>
      </c>
      <c r="C111" s="821" t="s">
        <v>0</v>
      </c>
      <c r="D111" s="817">
        <v>13</v>
      </c>
      <c r="E111" s="817">
        <f>'數量計算(FOR5變) '!E198</f>
        <v>12</v>
      </c>
      <c r="F111" s="817">
        <f t="shared" si="6"/>
        <v>-1</v>
      </c>
      <c r="G111" s="817">
        <v>3353.5</v>
      </c>
      <c r="H111" s="817"/>
      <c r="I111" s="817"/>
      <c r="J111" s="817">
        <f t="shared" si="7"/>
        <v>43595.5</v>
      </c>
      <c r="K111" s="817">
        <f t="shared" si="8"/>
        <v>40242</v>
      </c>
      <c r="L111" s="817"/>
      <c r="M111" s="817">
        <f>J111-K111</f>
        <v>3353.5</v>
      </c>
      <c r="N111" s="818" t="s">
        <v>242</v>
      </c>
      <c r="O111" s="82" t="s">
        <v>3711</v>
      </c>
      <c r="Q111" s="846" t="s">
        <v>3266</v>
      </c>
    </row>
    <row r="112" spans="1:17" ht="27">
      <c r="A112" s="853" t="s">
        <v>2229</v>
      </c>
      <c r="B112" s="854" t="s">
        <v>492</v>
      </c>
      <c r="C112" s="855" t="s">
        <v>8</v>
      </c>
      <c r="D112" s="856">
        <v>9.8000000000000007</v>
      </c>
      <c r="E112" s="856">
        <f>'數量計算(FOR5變) '!E199</f>
        <v>33.549999999999997</v>
      </c>
      <c r="F112" s="856">
        <f t="shared" si="6"/>
        <v>23.749999999999996</v>
      </c>
      <c r="G112" s="856">
        <v>9873.85</v>
      </c>
      <c r="H112" s="856"/>
      <c r="I112" s="856"/>
      <c r="J112" s="856">
        <f t="shared" si="7"/>
        <v>96763.73</v>
      </c>
      <c r="K112" s="856">
        <f t="shared" si="8"/>
        <v>331267.67</v>
      </c>
      <c r="L112" s="856">
        <f>K112-J112</f>
        <v>234503.94</v>
      </c>
      <c r="M112" s="856"/>
      <c r="N112" s="857" t="s">
        <v>242</v>
      </c>
      <c r="O112" s="147" t="s">
        <v>3409</v>
      </c>
      <c r="P112" s="586" t="s">
        <v>3707</v>
      </c>
      <c r="Q112" s="846" t="s">
        <v>3266</v>
      </c>
    </row>
    <row r="113" spans="1:18" ht="14.25">
      <c r="A113" s="833" t="s">
        <v>2230</v>
      </c>
      <c r="B113" s="834" t="s">
        <v>495</v>
      </c>
      <c r="C113" s="835" t="s">
        <v>8</v>
      </c>
      <c r="D113" s="836">
        <v>6.2</v>
      </c>
      <c r="E113" s="836">
        <v>6.2</v>
      </c>
      <c r="F113" s="836">
        <f t="shared" si="6"/>
        <v>0</v>
      </c>
      <c r="G113" s="836">
        <v>6554</v>
      </c>
      <c r="H113" s="836"/>
      <c r="I113" s="836"/>
      <c r="J113" s="836">
        <f t="shared" si="7"/>
        <v>40634.800000000003</v>
      </c>
      <c r="K113" s="836">
        <f t="shared" si="8"/>
        <v>40634.800000000003</v>
      </c>
      <c r="L113" s="836"/>
      <c r="M113" s="836"/>
      <c r="N113" s="837" t="s">
        <v>242</v>
      </c>
      <c r="O113" s="82" t="s">
        <v>243</v>
      </c>
    </row>
    <row r="114" spans="1:18" ht="14.25">
      <c r="A114" s="833" t="s">
        <v>2231</v>
      </c>
      <c r="B114" s="834" t="s">
        <v>498</v>
      </c>
      <c r="C114" s="835" t="s">
        <v>8</v>
      </c>
      <c r="D114" s="836">
        <v>3.3</v>
      </c>
      <c r="E114" s="836">
        <v>3.3</v>
      </c>
      <c r="F114" s="836">
        <f t="shared" si="6"/>
        <v>0</v>
      </c>
      <c r="G114" s="836">
        <v>8390.27</v>
      </c>
      <c r="H114" s="836"/>
      <c r="I114" s="836"/>
      <c r="J114" s="836">
        <f t="shared" si="7"/>
        <v>27687.89</v>
      </c>
      <c r="K114" s="836">
        <f t="shared" si="8"/>
        <v>27687.89</v>
      </c>
      <c r="L114" s="836"/>
      <c r="M114" s="836"/>
      <c r="N114" s="837" t="s">
        <v>242</v>
      </c>
      <c r="O114" s="82" t="s">
        <v>243</v>
      </c>
    </row>
    <row r="115" spans="1:18" ht="33" customHeight="1">
      <c r="A115" s="853" t="s">
        <v>2232</v>
      </c>
      <c r="B115" s="854" t="s">
        <v>501</v>
      </c>
      <c r="C115" s="855" t="s">
        <v>8</v>
      </c>
      <c r="D115" s="856">
        <v>40.6</v>
      </c>
      <c r="E115" s="856">
        <f>'數量計算(FOR5變) '!E202</f>
        <v>44.760000000000005</v>
      </c>
      <c r="F115" s="856">
        <f t="shared" si="6"/>
        <v>4.1600000000000037</v>
      </c>
      <c r="G115" s="856">
        <v>671.95</v>
      </c>
      <c r="H115" s="856"/>
      <c r="I115" s="856"/>
      <c r="J115" s="856">
        <f t="shared" si="7"/>
        <v>27281.17</v>
      </c>
      <c r="K115" s="856">
        <f t="shared" si="8"/>
        <v>30076.48</v>
      </c>
      <c r="L115" s="856">
        <f>K115-J115</f>
        <v>2795.3100000000013</v>
      </c>
      <c r="M115" s="856"/>
      <c r="N115" s="857" t="s">
        <v>2321</v>
      </c>
      <c r="O115" s="293" t="s">
        <v>3525</v>
      </c>
      <c r="P115" s="82" t="s">
        <v>3708</v>
      </c>
      <c r="Q115" s="846" t="s">
        <v>3266</v>
      </c>
    </row>
    <row r="116" spans="1:18" ht="14.25">
      <c r="A116" s="833" t="s">
        <v>2233</v>
      </c>
      <c r="B116" s="834" t="s">
        <v>504</v>
      </c>
      <c r="C116" s="835" t="s">
        <v>8</v>
      </c>
      <c r="D116" s="836">
        <v>176.7</v>
      </c>
      <c r="E116" s="836">
        <v>176.7</v>
      </c>
      <c r="F116" s="836">
        <f t="shared" si="6"/>
        <v>0</v>
      </c>
      <c r="G116" s="836">
        <v>658.27</v>
      </c>
      <c r="H116" s="836"/>
      <c r="I116" s="836"/>
      <c r="J116" s="836">
        <f t="shared" si="7"/>
        <v>116316.31</v>
      </c>
      <c r="K116" s="836">
        <f t="shared" si="8"/>
        <v>116316.31</v>
      </c>
      <c r="L116" s="836"/>
      <c r="M116" s="836"/>
      <c r="N116" s="837" t="s">
        <v>242</v>
      </c>
      <c r="O116" s="82" t="s">
        <v>243</v>
      </c>
    </row>
    <row r="117" spans="1:18" ht="14.25">
      <c r="A117" s="833" t="s">
        <v>2234</v>
      </c>
      <c r="B117" s="834" t="s">
        <v>507</v>
      </c>
      <c r="C117" s="835" t="s">
        <v>8</v>
      </c>
      <c r="D117" s="836">
        <v>251.7</v>
      </c>
      <c r="E117" s="836">
        <v>251.7</v>
      </c>
      <c r="F117" s="836">
        <f t="shared" si="6"/>
        <v>0</v>
      </c>
      <c r="G117" s="836">
        <v>730.37</v>
      </c>
      <c r="H117" s="836"/>
      <c r="I117" s="836"/>
      <c r="J117" s="836">
        <f t="shared" si="7"/>
        <v>183834.13</v>
      </c>
      <c r="K117" s="836">
        <f t="shared" si="8"/>
        <v>183834.13</v>
      </c>
      <c r="L117" s="836"/>
      <c r="M117" s="836"/>
      <c r="N117" s="837" t="s">
        <v>242</v>
      </c>
      <c r="O117" s="82" t="s">
        <v>243</v>
      </c>
    </row>
    <row r="118" spans="1:18" ht="14.25">
      <c r="A118" s="833" t="s">
        <v>2235</v>
      </c>
      <c r="B118" s="834" t="s">
        <v>510</v>
      </c>
      <c r="C118" s="835" t="s">
        <v>8</v>
      </c>
      <c r="D118" s="836">
        <v>6.8</v>
      </c>
      <c r="E118" s="836">
        <v>6.8</v>
      </c>
      <c r="F118" s="836">
        <f t="shared" si="6"/>
        <v>0</v>
      </c>
      <c r="G118" s="836">
        <v>406.38</v>
      </c>
      <c r="H118" s="836"/>
      <c r="I118" s="836"/>
      <c r="J118" s="836">
        <f t="shared" si="7"/>
        <v>2763.38</v>
      </c>
      <c r="K118" s="836">
        <f t="shared" si="8"/>
        <v>2763.38</v>
      </c>
      <c r="L118" s="836"/>
      <c r="M118" s="836"/>
      <c r="N118" s="837" t="s">
        <v>242</v>
      </c>
      <c r="O118" s="82" t="s">
        <v>243</v>
      </c>
    </row>
    <row r="119" spans="1:18" ht="18">
      <c r="A119" s="853" t="s">
        <v>2236</v>
      </c>
      <c r="B119" s="854" t="s">
        <v>513</v>
      </c>
      <c r="C119" s="855" t="s">
        <v>8</v>
      </c>
      <c r="D119" s="856">
        <v>44.2</v>
      </c>
      <c r="E119" s="856">
        <f>'數量計算(FOR5變) '!E207</f>
        <v>60.629999999999995</v>
      </c>
      <c r="F119" s="856">
        <f t="shared" si="6"/>
        <v>16.429999999999993</v>
      </c>
      <c r="G119" s="856">
        <v>457.88</v>
      </c>
      <c r="H119" s="856"/>
      <c r="I119" s="856"/>
      <c r="J119" s="856">
        <f t="shared" si="7"/>
        <v>20238.3</v>
      </c>
      <c r="K119" s="856">
        <f t="shared" si="8"/>
        <v>27761.26</v>
      </c>
      <c r="L119" s="856">
        <f>K119-J119</f>
        <v>7522.9599999999991</v>
      </c>
      <c r="M119" s="856"/>
      <c r="N119" s="857" t="s">
        <v>2321</v>
      </c>
      <c r="O119" s="848" t="s">
        <v>3526</v>
      </c>
      <c r="P119" s="82" t="s">
        <v>3708</v>
      </c>
      <c r="Q119" s="846" t="s">
        <v>3266</v>
      </c>
    </row>
    <row r="120" spans="1:18" ht="27">
      <c r="A120" s="853" t="s">
        <v>2237</v>
      </c>
      <c r="B120" s="854" t="s">
        <v>516</v>
      </c>
      <c r="C120" s="855" t="s">
        <v>8</v>
      </c>
      <c r="D120" s="856">
        <v>10.7</v>
      </c>
      <c r="E120" s="856">
        <f>'數量計算(FOR5變) '!E209</f>
        <v>17.3</v>
      </c>
      <c r="F120" s="856">
        <f t="shared" si="6"/>
        <v>6.6000000000000014</v>
      </c>
      <c r="G120" s="856">
        <v>499.08</v>
      </c>
      <c r="H120" s="856"/>
      <c r="I120" s="856"/>
      <c r="J120" s="856">
        <f t="shared" si="7"/>
        <v>5340.16</v>
      </c>
      <c r="K120" s="856">
        <f t="shared" si="8"/>
        <v>8634.08</v>
      </c>
      <c r="L120" s="856">
        <f>K120-J120</f>
        <v>3293.92</v>
      </c>
      <c r="M120" s="856"/>
      <c r="N120" s="857" t="s">
        <v>2321</v>
      </c>
      <c r="O120" s="919" t="s">
        <v>3914</v>
      </c>
      <c r="P120" s="82" t="s">
        <v>3708</v>
      </c>
      <c r="R120" s="858" t="s">
        <v>3584</v>
      </c>
    </row>
    <row r="121" spans="1:18" ht="18">
      <c r="A121" s="815" t="s">
        <v>2238</v>
      </c>
      <c r="B121" s="816" t="s">
        <v>519</v>
      </c>
      <c r="C121" s="821" t="s">
        <v>8</v>
      </c>
      <c r="D121" s="817">
        <v>62.5</v>
      </c>
      <c r="E121" s="817">
        <f>'數量計算(FOR5變) '!E211</f>
        <v>52.699999999999996</v>
      </c>
      <c r="F121" s="817">
        <f t="shared" si="6"/>
        <v>-9.8000000000000043</v>
      </c>
      <c r="G121" s="817">
        <v>545.82000000000005</v>
      </c>
      <c r="H121" s="817"/>
      <c r="I121" s="817"/>
      <c r="J121" s="817">
        <f t="shared" si="7"/>
        <v>34113.75</v>
      </c>
      <c r="K121" s="817">
        <f t="shared" si="8"/>
        <v>28764.71</v>
      </c>
      <c r="L121" s="817"/>
      <c r="M121" s="817">
        <f>J121-K121</f>
        <v>5349.0400000000009</v>
      </c>
      <c r="N121" s="818" t="s">
        <v>2321</v>
      </c>
      <c r="O121" s="82" t="s">
        <v>3524</v>
      </c>
      <c r="Q121" s="846" t="s">
        <v>3266</v>
      </c>
    </row>
    <row r="122" spans="1:18" ht="71.25">
      <c r="A122" s="815" t="s">
        <v>2239</v>
      </c>
      <c r="B122" s="816" t="s">
        <v>522</v>
      </c>
      <c r="C122" s="821" t="s">
        <v>8</v>
      </c>
      <c r="D122" s="817">
        <v>84.8</v>
      </c>
      <c r="E122" s="817">
        <f>'數量計算(FOR5變) '!E212</f>
        <v>0</v>
      </c>
      <c r="F122" s="817">
        <f t="shared" si="6"/>
        <v>-84.8</v>
      </c>
      <c r="G122" s="817">
        <v>7340.02</v>
      </c>
      <c r="H122" s="817"/>
      <c r="I122" s="817"/>
      <c r="J122" s="817">
        <f t="shared" si="7"/>
        <v>622433.69999999995</v>
      </c>
      <c r="K122" s="817">
        <f t="shared" si="8"/>
        <v>0</v>
      </c>
      <c r="L122" s="817"/>
      <c r="M122" s="817">
        <f>J122-K122</f>
        <v>622433.69999999995</v>
      </c>
      <c r="N122" s="818" t="s">
        <v>2336</v>
      </c>
      <c r="O122" s="245" t="s">
        <v>3709</v>
      </c>
      <c r="P122" s="245"/>
      <c r="Q122" s="846" t="s">
        <v>3266</v>
      </c>
    </row>
    <row r="123" spans="1:18" ht="14.25">
      <c r="A123" s="833" t="s">
        <v>2240</v>
      </c>
      <c r="B123" s="834" t="s">
        <v>525</v>
      </c>
      <c r="C123" s="835" t="s">
        <v>0</v>
      </c>
      <c r="D123" s="836">
        <v>0</v>
      </c>
      <c r="E123" s="836">
        <v>0</v>
      </c>
      <c r="F123" s="836">
        <f t="shared" si="6"/>
        <v>0</v>
      </c>
      <c r="G123" s="836">
        <v>913306.18</v>
      </c>
      <c r="H123" s="836"/>
      <c r="I123" s="836"/>
      <c r="J123" s="836">
        <f t="shared" si="7"/>
        <v>0</v>
      </c>
      <c r="K123" s="836">
        <f t="shared" si="8"/>
        <v>0</v>
      </c>
      <c r="L123" s="836"/>
      <c r="M123" s="836"/>
      <c r="N123" s="837" t="s">
        <v>2321</v>
      </c>
      <c r="O123" s="82" t="s">
        <v>243</v>
      </c>
    </row>
    <row r="124" spans="1:18" ht="57">
      <c r="A124" s="833" t="s">
        <v>2606</v>
      </c>
      <c r="B124" s="834" t="s">
        <v>3160</v>
      </c>
      <c r="C124" s="835" t="s">
        <v>0</v>
      </c>
      <c r="D124" s="836">
        <v>1</v>
      </c>
      <c r="E124" s="836">
        <v>1</v>
      </c>
      <c r="F124" s="836">
        <f t="shared" si="6"/>
        <v>0</v>
      </c>
      <c r="G124" s="836">
        <v>704273.82</v>
      </c>
      <c r="H124" s="836"/>
      <c r="I124" s="836"/>
      <c r="J124" s="836">
        <f t="shared" si="7"/>
        <v>704273.82</v>
      </c>
      <c r="K124" s="836">
        <f t="shared" si="8"/>
        <v>704273.82</v>
      </c>
      <c r="L124" s="836"/>
      <c r="M124" s="836"/>
      <c r="N124" s="837" t="s">
        <v>3161</v>
      </c>
      <c r="O124" s="82" t="s">
        <v>243</v>
      </c>
    </row>
    <row r="125" spans="1:18" ht="57">
      <c r="A125" s="833" t="s">
        <v>2607</v>
      </c>
      <c r="B125" s="834" t="s">
        <v>2610</v>
      </c>
      <c r="C125" s="835" t="s">
        <v>0</v>
      </c>
      <c r="D125" s="836">
        <v>1</v>
      </c>
      <c r="E125" s="836">
        <v>1</v>
      </c>
      <c r="F125" s="836">
        <f t="shared" si="6"/>
        <v>0</v>
      </c>
      <c r="G125" s="836">
        <v>1255553.18</v>
      </c>
      <c r="H125" s="836"/>
      <c r="I125" s="836"/>
      <c r="J125" s="836">
        <f t="shared" si="7"/>
        <v>1255553.18</v>
      </c>
      <c r="K125" s="836">
        <f t="shared" si="8"/>
        <v>1255553.18</v>
      </c>
      <c r="L125" s="836"/>
      <c r="M125" s="836"/>
      <c r="N125" s="837" t="s">
        <v>3162</v>
      </c>
      <c r="O125" s="82" t="s">
        <v>243</v>
      </c>
    </row>
    <row r="126" spans="1:18" ht="57">
      <c r="A126" s="833" t="s">
        <v>2608</v>
      </c>
      <c r="B126" s="834" t="s">
        <v>2611</v>
      </c>
      <c r="C126" s="835" t="s">
        <v>0</v>
      </c>
      <c r="D126" s="836">
        <v>1</v>
      </c>
      <c r="E126" s="836">
        <v>1</v>
      </c>
      <c r="F126" s="836">
        <f t="shared" si="6"/>
        <v>0</v>
      </c>
      <c r="G126" s="836">
        <v>1277917.6000000001</v>
      </c>
      <c r="H126" s="836"/>
      <c r="I126" s="836"/>
      <c r="J126" s="836">
        <f t="shared" si="7"/>
        <v>1277917.6000000001</v>
      </c>
      <c r="K126" s="836">
        <f t="shared" si="8"/>
        <v>1277917.6000000001</v>
      </c>
      <c r="L126" s="836"/>
      <c r="M126" s="836"/>
      <c r="N126" s="837" t="s">
        <v>3163</v>
      </c>
      <c r="O126" s="82" t="s">
        <v>243</v>
      </c>
    </row>
    <row r="127" spans="1:18" ht="48" customHeight="1">
      <c r="A127" s="859">
        <v>89</v>
      </c>
      <c r="B127" s="860" t="s">
        <v>3188</v>
      </c>
      <c r="C127" s="861" t="s">
        <v>3176</v>
      </c>
      <c r="D127" s="862">
        <v>0</v>
      </c>
      <c r="E127" s="862">
        <f>'數量計算(FOR5變) '!E217</f>
        <v>49.026399999999988</v>
      </c>
      <c r="F127" s="856">
        <f t="shared" si="6"/>
        <v>49.026399999999988</v>
      </c>
      <c r="G127" s="862">
        <v>5260</v>
      </c>
      <c r="H127" s="862"/>
      <c r="I127" s="862"/>
      <c r="J127" s="856">
        <f t="shared" si="7"/>
        <v>0</v>
      </c>
      <c r="K127" s="856">
        <f t="shared" si="8"/>
        <v>257878.86</v>
      </c>
      <c r="L127" s="862">
        <f>K127-J127</f>
        <v>257878.86</v>
      </c>
      <c r="M127" s="862"/>
      <c r="N127" s="863" t="s">
        <v>3769</v>
      </c>
      <c r="O127" s="147" t="s">
        <v>3178</v>
      </c>
      <c r="P127" s="586" t="s">
        <v>3691</v>
      </c>
      <c r="Q127" s="846" t="s">
        <v>3266</v>
      </c>
    </row>
    <row r="128" spans="1:18" ht="23.25" customHeight="1">
      <c r="A128" s="859">
        <v>90</v>
      </c>
      <c r="B128" s="860" t="str">
        <f>'數量計算(FOR5變) '!B218</f>
        <v>∮12"排水鋼管</v>
      </c>
      <c r="C128" s="861" t="s">
        <v>3198</v>
      </c>
      <c r="D128" s="862">
        <v>0</v>
      </c>
      <c r="E128" s="862">
        <f>'數量計算(FOR5變) '!E218</f>
        <v>38</v>
      </c>
      <c r="F128" s="856">
        <f t="shared" si="6"/>
        <v>38</v>
      </c>
      <c r="G128" s="862">
        <v>3850</v>
      </c>
      <c r="H128" s="862"/>
      <c r="I128" s="862"/>
      <c r="J128" s="856">
        <f t="shared" si="7"/>
        <v>0</v>
      </c>
      <c r="K128" s="856">
        <f t="shared" si="8"/>
        <v>146300</v>
      </c>
      <c r="L128" s="862">
        <f t="shared" ref="L128:L136" si="9">K128-J128</f>
        <v>146300</v>
      </c>
      <c r="M128" s="862"/>
      <c r="N128" s="863"/>
      <c r="O128" s="147" t="s">
        <v>3855</v>
      </c>
      <c r="P128" s="147"/>
      <c r="Q128" s="846" t="s">
        <v>3266</v>
      </c>
    </row>
    <row r="129" spans="1:18" ht="32.25" customHeight="1">
      <c r="A129" s="859">
        <v>91</v>
      </c>
      <c r="B129" s="854" t="s">
        <v>3206</v>
      </c>
      <c r="C129" s="855" t="s">
        <v>3180</v>
      </c>
      <c r="D129" s="862">
        <v>0</v>
      </c>
      <c r="E129" s="856">
        <f>'數量計算(FOR5變) '!E219</f>
        <v>1</v>
      </c>
      <c r="F129" s="856">
        <f t="shared" si="6"/>
        <v>1</v>
      </c>
      <c r="G129" s="856">
        <f>728000+80000+500000</f>
        <v>1308000</v>
      </c>
      <c r="H129" s="856"/>
      <c r="I129" s="856"/>
      <c r="J129" s="856">
        <f t="shared" si="7"/>
        <v>0</v>
      </c>
      <c r="K129" s="856">
        <f t="shared" si="8"/>
        <v>1308000</v>
      </c>
      <c r="L129" s="862">
        <f t="shared" si="9"/>
        <v>1308000</v>
      </c>
      <c r="M129" s="856"/>
      <c r="N129" s="857"/>
      <c r="O129" s="586" t="s">
        <v>3891</v>
      </c>
      <c r="P129" s="586" t="s">
        <v>3703</v>
      </c>
      <c r="Q129" s="846" t="s">
        <v>3266</v>
      </c>
    </row>
    <row r="130" spans="1:18" ht="31.5" customHeight="1">
      <c r="A130" s="859">
        <v>92</v>
      </c>
      <c r="B130" s="854" t="s">
        <v>3207</v>
      </c>
      <c r="C130" s="855" t="s">
        <v>3180</v>
      </c>
      <c r="D130" s="862">
        <v>0</v>
      </c>
      <c r="E130" s="856">
        <f>'數量計算(FOR5變) '!E220</f>
        <v>1</v>
      </c>
      <c r="F130" s="856">
        <f t="shared" si="6"/>
        <v>1</v>
      </c>
      <c r="G130" s="856">
        <f>1208000+80000+500000</f>
        <v>1788000</v>
      </c>
      <c r="H130" s="856"/>
      <c r="I130" s="856"/>
      <c r="J130" s="856">
        <f t="shared" si="7"/>
        <v>0</v>
      </c>
      <c r="K130" s="856">
        <f t="shared" si="8"/>
        <v>1788000</v>
      </c>
      <c r="L130" s="862">
        <f t="shared" si="9"/>
        <v>1788000</v>
      </c>
      <c r="M130" s="856"/>
      <c r="N130" s="857"/>
      <c r="O130" s="586" t="s">
        <v>3891</v>
      </c>
      <c r="P130" s="586" t="s">
        <v>3703</v>
      </c>
      <c r="Q130" s="846" t="s">
        <v>3266</v>
      </c>
    </row>
    <row r="131" spans="1:18" ht="34.5" customHeight="1">
      <c r="A131" s="859">
        <v>93</v>
      </c>
      <c r="B131" s="860" t="s">
        <v>3869</v>
      </c>
      <c r="C131" s="855" t="s">
        <v>1007</v>
      </c>
      <c r="D131" s="862">
        <v>0</v>
      </c>
      <c r="E131" s="862">
        <v>5</v>
      </c>
      <c r="F131" s="856">
        <f t="shared" si="6"/>
        <v>5</v>
      </c>
      <c r="G131" s="862">
        <v>16249.999999999998</v>
      </c>
      <c r="H131" s="862"/>
      <c r="I131" s="862"/>
      <c r="J131" s="856">
        <f t="shared" si="7"/>
        <v>0</v>
      </c>
      <c r="K131" s="856">
        <f t="shared" si="8"/>
        <v>81250</v>
      </c>
      <c r="L131" s="862">
        <f t="shared" si="9"/>
        <v>81250</v>
      </c>
      <c r="M131" s="862"/>
      <c r="N131" s="863"/>
      <c r="O131" s="756" t="s">
        <v>3910</v>
      </c>
      <c r="P131" s="586" t="s">
        <v>3917</v>
      </c>
      <c r="Q131" s="846" t="s">
        <v>3266</v>
      </c>
    </row>
    <row r="132" spans="1:18" ht="34.5" customHeight="1">
      <c r="A132" s="859">
        <v>94</v>
      </c>
      <c r="B132" s="860" t="s">
        <v>3871</v>
      </c>
      <c r="C132" s="861" t="s">
        <v>1007</v>
      </c>
      <c r="D132" s="862">
        <v>0</v>
      </c>
      <c r="E132" s="862">
        <v>10</v>
      </c>
      <c r="F132" s="856">
        <f t="shared" si="6"/>
        <v>10</v>
      </c>
      <c r="G132" s="862">
        <v>6065</v>
      </c>
      <c r="H132" s="862"/>
      <c r="I132" s="862"/>
      <c r="J132" s="856">
        <f t="shared" si="7"/>
        <v>0</v>
      </c>
      <c r="K132" s="856">
        <f t="shared" ref="K132:K135" si="10">ROUND(E132*G132,2)</f>
        <v>60650</v>
      </c>
      <c r="L132" s="862">
        <f t="shared" ref="L132:L135" si="11">K132-J132</f>
        <v>60650</v>
      </c>
      <c r="M132" s="862"/>
      <c r="N132" s="863"/>
      <c r="O132" s="756" t="s">
        <v>3911</v>
      </c>
      <c r="P132" s="586" t="s">
        <v>3917</v>
      </c>
      <c r="Q132" s="846"/>
    </row>
    <row r="133" spans="1:18" ht="34.5" customHeight="1">
      <c r="A133" s="859">
        <v>95</v>
      </c>
      <c r="B133" s="860" t="s">
        <v>3873</v>
      </c>
      <c r="C133" s="861" t="s">
        <v>0</v>
      </c>
      <c r="D133" s="862">
        <v>0</v>
      </c>
      <c r="E133" s="862">
        <v>1</v>
      </c>
      <c r="F133" s="856">
        <f t="shared" si="6"/>
        <v>1</v>
      </c>
      <c r="G133" s="862">
        <v>536599.99999999988</v>
      </c>
      <c r="H133" s="862"/>
      <c r="I133" s="862"/>
      <c r="J133" s="856">
        <f t="shared" si="7"/>
        <v>0</v>
      </c>
      <c r="K133" s="856">
        <f t="shared" si="10"/>
        <v>536600</v>
      </c>
      <c r="L133" s="862">
        <f t="shared" si="11"/>
        <v>536600</v>
      </c>
      <c r="M133" s="862"/>
      <c r="N133" s="863"/>
      <c r="O133" s="586" t="s">
        <v>3909</v>
      </c>
      <c r="P133" s="586" t="s">
        <v>3917</v>
      </c>
      <c r="Q133" s="846"/>
    </row>
    <row r="134" spans="1:18" ht="34.5" customHeight="1">
      <c r="A134" s="859">
        <v>96</v>
      </c>
      <c r="B134" s="860" t="s">
        <v>3875</v>
      </c>
      <c r="C134" s="861" t="s">
        <v>13</v>
      </c>
      <c r="D134" s="862">
        <v>0</v>
      </c>
      <c r="E134" s="862">
        <v>200</v>
      </c>
      <c r="F134" s="856">
        <f t="shared" si="6"/>
        <v>200</v>
      </c>
      <c r="G134" s="862">
        <v>500</v>
      </c>
      <c r="H134" s="862"/>
      <c r="I134" s="862"/>
      <c r="J134" s="856">
        <f t="shared" si="7"/>
        <v>0</v>
      </c>
      <c r="K134" s="856">
        <f t="shared" si="10"/>
        <v>100000</v>
      </c>
      <c r="L134" s="862">
        <f t="shared" si="11"/>
        <v>100000</v>
      </c>
      <c r="M134" s="862"/>
      <c r="N134" s="863"/>
      <c r="O134" s="756" t="s">
        <v>3912</v>
      </c>
      <c r="P134" s="586" t="s">
        <v>3917</v>
      </c>
      <c r="Q134" s="846"/>
    </row>
    <row r="135" spans="1:18" ht="34.5" customHeight="1">
      <c r="A135" s="859">
        <v>97</v>
      </c>
      <c r="B135" s="860" t="s">
        <v>3877</v>
      </c>
      <c r="C135" s="861" t="s">
        <v>13</v>
      </c>
      <c r="D135" s="862">
        <v>0</v>
      </c>
      <c r="E135" s="862">
        <v>39.200000000000003</v>
      </c>
      <c r="F135" s="856">
        <f t="shared" si="6"/>
        <v>39.200000000000003</v>
      </c>
      <c r="G135" s="862">
        <v>18075</v>
      </c>
      <c r="H135" s="862"/>
      <c r="I135" s="862"/>
      <c r="J135" s="856">
        <f t="shared" si="7"/>
        <v>0</v>
      </c>
      <c r="K135" s="856">
        <f t="shared" si="10"/>
        <v>708540</v>
      </c>
      <c r="L135" s="862">
        <f t="shared" si="11"/>
        <v>708540</v>
      </c>
      <c r="M135" s="862"/>
      <c r="N135" s="863"/>
      <c r="O135" s="756" t="s">
        <v>3913</v>
      </c>
      <c r="P135" s="586" t="s">
        <v>3917</v>
      </c>
      <c r="Q135" s="846"/>
    </row>
    <row r="136" spans="1:18" ht="23.25" customHeight="1">
      <c r="A136" s="859">
        <v>98</v>
      </c>
      <c r="B136" s="949" t="s">
        <v>3662</v>
      </c>
      <c r="C136" s="855" t="s">
        <v>3180</v>
      </c>
      <c r="D136" s="856">
        <v>0</v>
      </c>
      <c r="E136" s="856">
        <v>2</v>
      </c>
      <c r="F136" s="856">
        <f t="shared" si="6"/>
        <v>2</v>
      </c>
      <c r="G136" s="856">
        <v>6800</v>
      </c>
      <c r="H136" s="856"/>
      <c r="I136" s="856"/>
      <c r="J136" s="856">
        <f t="shared" si="7"/>
        <v>0</v>
      </c>
      <c r="K136" s="856">
        <f t="shared" si="8"/>
        <v>13600</v>
      </c>
      <c r="L136" s="862">
        <f t="shared" si="9"/>
        <v>13600</v>
      </c>
      <c r="M136" s="856"/>
      <c r="N136" s="857"/>
      <c r="O136" s="914" t="s">
        <v>3663</v>
      </c>
      <c r="P136" s="919" t="s">
        <v>3684</v>
      </c>
      <c r="Q136" s="846" t="s">
        <v>3266</v>
      </c>
    </row>
    <row r="137" spans="1:18" ht="23.25" customHeight="1">
      <c r="A137" s="859">
        <v>99</v>
      </c>
      <c r="B137" s="950" t="s">
        <v>3693</v>
      </c>
      <c r="C137" s="861" t="s">
        <v>3250</v>
      </c>
      <c r="D137" s="862">
        <v>0</v>
      </c>
      <c r="E137" s="862">
        <f>'數量計算(FOR5變) '!E227</f>
        <v>1</v>
      </c>
      <c r="F137" s="856">
        <f t="shared" si="6"/>
        <v>1</v>
      </c>
      <c r="G137" s="862">
        <v>121000</v>
      </c>
      <c r="H137" s="862"/>
      <c r="I137" s="862"/>
      <c r="J137" s="862">
        <f t="shared" si="7"/>
        <v>0</v>
      </c>
      <c r="K137" s="856">
        <f t="shared" si="8"/>
        <v>121000</v>
      </c>
      <c r="L137" s="862">
        <f>K137-J137</f>
        <v>121000</v>
      </c>
      <c r="M137" s="862"/>
      <c r="N137" s="863"/>
      <c r="O137" s="914"/>
      <c r="P137" s="919" t="s">
        <v>3697</v>
      </c>
      <c r="Q137" s="846"/>
    </row>
    <row r="138" spans="1:18" ht="23.25" customHeight="1">
      <c r="A138" s="859">
        <v>100</v>
      </c>
      <c r="B138" s="950" t="s">
        <v>3692</v>
      </c>
      <c r="C138" s="861" t="s">
        <v>3250</v>
      </c>
      <c r="D138" s="862">
        <v>0</v>
      </c>
      <c r="E138" s="862">
        <f>'數量計算(FOR5變) '!E228</f>
        <v>1</v>
      </c>
      <c r="F138" s="856">
        <f t="shared" si="6"/>
        <v>1</v>
      </c>
      <c r="G138" s="862">
        <v>50000</v>
      </c>
      <c r="H138" s="862"/>
      <c r="I138" s="862"/>
      <c r="J138" s="862">
        <f t="shared" si="7"/>
        <v>0</v>
      </c>
      <c r="K138" s="856">
        <f t="shared" si="8"/>
        <v>50000</v>
      </c>
      <c r="L138" s="862">
        <f t="shared" ref="L138" si="12">K138-J138</f>
        <v>50000</v>
      </c>
      <c r="M138" s="862"/>
      <c r="N138" s="863"/>
      <c r="O138" s="914" t="s">
        <v>3796</v>
      </c>
      <c r="P138" s="919" t="s">
        <v>3697</v>
      </c>
      <c r="Q138" s="846"/>
    </row>
    <row r="139" spans="1:18" ht="14.25">
      <c r="A139" s="833" t="s">
        <v>2241</v>
      </c>
      <c r="B139" s="834" t="s">
        <v>527</v>
      </c>
      <c r="C139" s="835" t="s">
        <v>4</v>
      </c>
      <c r="D139" s="836"/>
      <c r="E139" s="836"/>
      <c r="F139" s="836"/>
      <c r="G139" s="836">
        <f>J139</f>
        <v>45323394.490000017</v>
      </c>
      <c r="H139" s="836"/>
      <c r="I139" s="836"/>
      <c r="J139" s="836">
        <f>SUM(J140:J180)</f>
        <v>45323394.490000017</v>
      </c>
      <c r="K139" s="836">
        <f t="shared" ref="K139:M139" si="13">SUM(K140:K180)</f>
        <v>43866166.250000015</v>
      </c>
      <c r="L139" s="836">
        <f t="shared" si="13"/>
        <v>1452176.67</v>
      </c>
      <c r="M139" s="836">
        <f t="shared" si="13"/>
        <v>2909404.91</v>
      </c>
      <c r="N139" s="837" t="s">
        <v>242</v>
      </c>
      <c r="O139" s="82" t="s">
        <v>243</v>
      </c>
    </row>
    <row r="140" spans="1:18" ht="14.25">
      <c r="A140" s="833" t="s">
        <v>2154</v>
      </c>
      <c r="B140" s="834" t="s">
        <v>310</v>
      </c>
      <c r="C140" s="835" t="s">
        <v>223</v>
      </c>
      <c r="D140" s="494">
        <v>928.51</v>
      </c>
      <c r="E140" s="836">
        <v>928.51</v>
      </c>
      <c r="F140" s="836">
        <f t="shared" si="6"/>
        <v>0</v>
      </c>
      <c r="G140" s="836">
        <v>320.72000000000003</v>
      </c>
      <c r="H140" s="836"/>
      <c r="I140" s="836"/>
      <c r="J140" s="836">
        <f t="shared" ref="J140:J145" si="14">ROUND(D140*G140,2)</f>
        <v>297791.73</v>
      </c>
      <c r="K140" s="836">
        <f t="shared" ref="K140:K145" si="15">ROUND(E140*G140,2)</f>
        <v>297791.73</v>
      </c>
      <c r="L140" s="836"/>
      <c r="M140" s="836"/>
      <c r="N140" s="837" t="s">
        <v>242</v>
      </c>
      <c r="O140" s="82" t="s">
        <v>243</v>
      </c>
    </row>
    <row r="141" spans="1:18" ht="28.5">
      <c r="A141" s="815" t="s">
        <v>2155</v>
      </c>
      <c r="B141" s="816" t="s">
        <v>315</v>
      </c>
      <c r="C141" s="821" t="s">
        <v>6</v>
      </c>
      <c r="D141" s="820">
        <v>26.33</v>
      </c>
      <c r="E141" s="817">
        <f>'數量計算(FOR5變) '!E233</f>
        <v>17.143059999999998</v>
      </c>
      <c r="F141" s="817">
        <f t="shared" si="6"/>
        <v>-9.1869399999999999</v>
      </c>
      <c r="G141" s="817">
        <v>3114.97</v>
      </c>
      <c r="H141" s="817"/>
      <c r="I141" s="817"/>
      <c r="J141" s="817">
        <f t="shared" si="14"/>
        <v>82017.16</v>
      </c>
      <c r="K141" s="817">
        <f t="shared" si="15"/>
        <v>53400.12</v>
      </c>
      <c r="L141" s="817"/>
      <c r="M141" s="817">
        <f>J141-K141</f>
        <v>28617.040000000001</v>
      </c>
      <c r="N141" s="818" t="s">
        <v>242</v>
      </c>
      <c r="O141" s="293" t="s">
        <v>3971</v>
      </c>
      <c r="P141" s="293" t="s">
        <v>3970</v>
      </c>
    </row>
    <row r="142" spans="1:18" ht="28.5">
      <c r="A142" s="853" t="s">
        <v>2156</v>
      </c>
      <c r="B142" s="854" t="s">
        <v>24</v>
      </c>
      <c r="C142" s="855" t="s">
        <v>6</v>
      </c>
      <c r="D142" s="856">
        <v>36.86</v>
      </c>
      <c r="E142" s="856">
        <f>'數量計算(FOR5變) '!E238</f>
        <v>46.777946950000008</v>
      </c>
      <c r="F142" s="856">
        <f t="shared" si="6"/>
        <v>9.9179469500000081</v>
      </c>
      <c r="G142" s="856">
        <v>3320.96</v>
      </c>
      <c r="H142" s="856"/>
      <c r="I142" s="856"/>
      <c r="J142" s="856">
        <f t="shared" si="14"/>
        <v>122410.59</v>
      </c>
      <c r="K142" s="856">
        <f t="shared" si="15"/>
        <v>155347.69</v>
      </c>
      <c r="L142" s="856">
        <f>K142-J142</f>
        <v>32937.100000000006</v>
      </c>
      <c r="M142" s="856"/>
      <c r="N142" s="857" t="s">
        <v>242</v>
      </c>
      <c r="O142" s="245" t="s">
        <v>3972</v>
      </c>
      <c r="P142" s="746"/>
      <c r="R142" s="746" t="s">
        <v>3540</v>
      </c>
    </row>
    <row r="143" spans="1:18" ht="14.25">
      <c r="A143" s="815" t="s">
        <v>2157</v>
      </c>
      <c r="B143" s="816" t="s">
        <v>528</v>
      </c>
      <c r="C143" s="821" t="s">
        <v>6</v>
      </c>
      <c r="D143" s="817">
        <v>654.83000000000004</v>
      </c>
      <c r="E143" s="817">
        <f>'數量計算(FOR5變) '!E243</f>
        <v>333.63886500000001</v>
      </c>
      <c r="F143" s="817">
        <f t="shared" si="6"/>
        <v>-321.19113500000003</v>
      </c>
      <c r="G143" s="817">
        <v>3643.53</v>
      </c>
      <c r="H143" s="817"/>
      <c r="I143" s="817"/>
      <c r="J143" s="817">
        <f t="shared" si="14"/>
        <v>2385892.75</v>
      </c>
      <c r="K143" s="817">
        <f t="shared" si="15"/>
        <v>1215623.21</v>
      </c>
      <c r="L143" s="817"/>
      <c r="M143" s="817">
        <f t="shared" ref="M143" si="16">J143-K143</f>
        <v>1170269.54</v>
      </c>
      <c r="N143" s="818" t="s">
        <v>242</v>
      </c>
      <c r="P143" s="147"/>
      <c r="R143" s="147" t="s">
        <v>3539</v>
      </c>
    </row>
    <row r="144" spans="1:18" ht="57">
      <c r="A144" s="853" t="s">
        <v>2158</v>
      </c>
      <c r="B144" s="854" t="s">
        <v>192</v>
      </c>
      <c r="C144" s="855" t="s">
        <v>17</v>
      </c>
      <c r="D144" s="862">
        <v>6240.88</v>
      </c>
      <c r="E144" s="856">
        <f>'數量計算(FOR5變) '!E254</f>
        <v>8009.66</v>
      </c>
      <c r="F144" s="856">
        <f t="shared" si="6"/>
        <v>1768.7799999999997</v>
      </c>
      <c r="G144" s="856">
        <v>36.4</v>
      </c>
      <c r="H144" s="856"/>
      <c r="I144" s="856"/>
      <c r="J144" s="856">
        <f t="shared" si="14"/>
        <v>227168.03</v>
      </c>
      <c r="K144" s="856">
        <f t="shared" si="15"/>
        <v>291551.62</v>
      </c>
      <c r="L144" s="856">
        <f>K144-J144</f>
        <v>64383.59</v>
      </c>
      <c r="M144" s="856"/>
      <c r="N144" s="857" t="s">
        <v>2334</v>
      </c>
      <c r="O144" s="245" t="s">
        <v>3972</v>
      </c>
      <c r="P144" s="746"/>
      <c r="R144" s="746" t="s">
        <v>3540</v>
      </c>
    </row>
    <row r="145" spans="1:18" ht="57">
      <c r="A145" s="815" t="s">
        <v>2159</v>
      </c>
      <c r="B145" s="816" t="s">
        <v>530</v>
      </c>
      <c r="C145" s="821" t="s">
        <v>17</v>
      </c>
      <c r="D145" s="820">
        <v>102796.95</v>
      </c>
      <c r="E145" s="817">
        <f>'數量計算(FOR5變) '!E258</f>
        <v>58743.740267999994</v>
      </c>
      <c r="F145" s="817">
        <f t="shared" si="6"/>
        <v>-44053.209732000003</v>
      </c>
      <c r="G145" s="817">
        <v>38.71</v>
      </c>
      <c r="H145" s="817"/>
      <c r="I145" s="817"/>
      <c r="J145" s="817">
        <f t="shared" si="14"/>
        <v>3979269.93</v>
      </c>
      <c r="K145" s="817">
        <f t="shared" si="15"/>
        <v>2273970.19</v>
      </c>
      <c r="L145" s="817"/>
      <c r="M145" s="817">
        <f>J145-K145</f>
        <v>1705299.7400000002</v>
      </c>
      <c r="N145" s="818" t="s">
        <v>2334</v>
      </c>
      <c r="O145" s="245" t="s">
        <v>3972</v>
      </c>
      <c r="P145" s="586" t="s">
        <v>3973</v>
      </c>
      <c r="R145" s="147" t="s">
        <v>3539</v>
      </c>
    </row>
    <row r="146" spans="1:18" ht="71.25">
      <c r="A146" s="853" t="s">
        <v>2160</v>
      </c>
      <c r="B146" s="854" t="s">
        <v>532</v>
      </c>
      <c r="C146" s="855" t="s">
        <v>13</v>
      </c>
      <c r="D146" s="856">
        <v>223.3</v>
      </c>
      <c r="E146" s="856">
        <f>'數量計算(FOR5變) '!E266</f>
        <v>256.92928000000006</v>
      </c>
      <c r="F146" s="856">
        <f t="shared" si="6"/>
        <v>33.629280000000051</v>
      </c>
      <c r="G146" s="856">
        <v>1154.9100000000001</v>
      </c>
      <c r="H146" s="856"/>
      <c r="I146" s="856"/>
      <c r="J146" s="856">
        <f t="shared" ref="J146:J147" si="17">ROUND(D146*G146,2)</f>
        <v>257891.4</v>
      </c>
      <c r="K146" s="856">
        <f t="shared" ref="K146:K147" si="18">ROUND(E146*G146,2)</f>
        <v>296730.19</v>
      </c>
      <c r="L146" s="856">
        <f>K146-J146</f>
        <v>38838.790000000008</v>
      </c>
      <c r="M146" s="856"/>
      <c r="N146" s="857" t="s">
        <v>2342</v>
      </c>
      <c r="O146" s="245" t="s">
        <v>3972</v>
      </c>
      <c r="P146" s="746"/>
      <c r="R146" s="746" t="s">
        <v>3540</v>
      </c>
    </row>
    <row r="147" spans="1:18" ht="171">
      <c r="A147" s="833" t="s">
        <v>2161</v>
      </c>
      <c r="B147" s="834" t="s">
        <v>534</v>
      </c>
      <c r="C147" s="835" t="s">
        <v>13</v>
      </c>
      <c r="D147" s="836">
        <v>484.32</v>
      </c>
      <c r="E147" s="836">
        <f>'數量計算(FOR5變) '!E270</f>
        <v>484.32</v>
      </c>
      <c r="F147" s="836">
        <f t="shared" si="6"/>
        <v>0</v>
      </c>
      <c r="G147" s="836">
        <v>982.93</v>
      </c>
      <c r="H147" s="836"/>
      <c r="I147" s="836"/>
      <c r="J147" s="836">
        <f t="shared" si="17"/>
        <v>476052.66</v>
      </c>
      <c r="K147" s="836">
        <f t="shared" si="18"/>
        <v>476052.66</v>
      </c>
      <c r="L147" s="836">
        <f>K147-J147</f>
        <v>0</v>
      </c>
      <c r="M147" s="836"/>
      <c r="N147" s="837" t="s">
        <v>2343</v>
      </c>
      <c r="O147" s="245"/>
      <c r="P147" s="245"/>
    </row>
    <row r="148" spans="1:18" ht="114">
      <c r="A148" s="833" t="s">
        <v>2162</v>
      </c>
      <c r="B148" s="834" t="s">
        <v>536</v>
      </c>
      <c r="C148" s="835" t="s">
        <v>13</v>
      </c>
      <c r="D148" s="836">
        <v>42.54</v>
      </c>
      <c r="E148" s="836">
        <v>42.54</v>
      </c>
      <c r="F148" s="836">
        <f t="shared" si="6"/>
        <v>0</v>
      </c>
      <c r="G148" s="836">
        <v>804.75</v>
      </c>
      <c r="H148" s="836"/>
      <c r="I148" s="836"/>
      <c r="J148" s="836">
        <f t="shared" ref="J148:J172" si="19">ROUND(D148*G148,2)</f>
        <v>34234.07</v>
      </c>
      <c r="K148" s="836">
        <f t="shared" ref="K148:K172" si="20">ROUND(E148*G148,2)</f>
        <v>34234.07</v>
      </c>
      <c r="L148" s="836"/>
      <c r="M148" s="836"/>
      <c r="N148" s="837" t="s">
        <v>2344</v>
      </c>
      <c r="O148" s="82" t="s">
        <v>243</v>
      </c>
    </row>
    <row r="149" spans="1:18" ht="14.25">
      <c r="A149" s="833" t="s">
        <v>2163</v>
      </c>
      <c r="B149" s="834" t="s">
        <v>538</v>
      </c>
      <c r="C149" s="835" t="s">
        <v>539</v>
      </c>
      <c r="D149" s="836">
        <v>25655</v>
      </c>
      <c r="E149" s="836">
        <v>25655</v>
      </c>
      <c r="F149" s="836">
        <f t="shared" si="6"/>
        <v>0</v>
      </c>
      <c r="G149" s="836">
        <v>75</v>
      </c>
      <c r="H149" s="836"/>
      <c r="I149" s="836"/>
      <c r="J149" s="836">
        <f t="shared" si="19"/>
        <v>1924125</v>
      </c>
      <c r="K149" s="836">
        <f t="shared" si="20"/>
        <v>1924125</v>
      </c>
      <c r="L149" s="836"/>
      <c r="M149" s="836"/>
      <c r="N149" s="837" t="s">
        <v>242</v>
      </c>
      <c r="O149" s="82" t="s">
        <v>243</v>
      </c>
    </row>
    <row r="150" spans="1:18" ht="71.25">
      <c r="A150" s="833" t="s">
        <v>2164</v>
      </c>
      <c r="B150" s="834" t="s">
        <v>321</v>
      </c>
      <c r="C150" s="835" t="s">
        <v>17</v>
      </c>
      <c r="D150" s="836">
        <v>3691</v>
      </c>
      <c r="E150" s="836">
        <v>3691</v>
      </c>
      <c r="F150" s="836">
        <f t="shared" ref="F150:F212" si="21">E150-D150</f>
        <v>0</v>
      </c>
      <c r="G150" s="836">
        <v>60</v>
      </c>
      <c r="H150" s="836"/>
      <c r="I150" s="836"/>
      <c r="J150" s="836">
        <f t="shared" si="19"/>
        <v>221460</v>
      </c>
      <c r="K150" s="836">
        <f t="shared" si="20"/>
        <v>221460</v>
      </c>
      <c r="L150" s="836"/>
      <c r="M150" s="836"/>
      <c r="N150" s="837" t="s">
        <v>2337</v>
      </c>
      <c r="O150" s="82" t="s">
        <v>243</v>
      </c>
    </row>
    <row r="151" spans="1:18" ht="28.5">
      <c r="A151" s="833" t="s">
        <v>2165</v>
      </c>
      <c r="B151" s="834" t="s">
        <v>323</v>
      </c>
      <c r="C151" s="835" t="s">
        <v>17</v>
      </c>
      <c r="D151" s="836">
        <v>3691</v>
      </c>
      <c r="E151" s="836">
        <v>3691</v>
      </c>
      <c r="F151" s="836">
        <f t="shared" si="21"/>
        <v>0</v>
      </c>
      <c r="G151" s="836">
        <v>31.9</v>
      </c>
      <c r="H151" s="836"/>
      <c r="I151" s="836"/>
      <c r="J151" s="836">
        <f t="shared" si="19"/>
        <v>117742.9</v>
      </c>
      <c r="K151" s="836">
        <f t="shared" si="20"/>
        <v>117742.9</v>
      </c>
      <c r="L151" s="836"/>
      <c r="M151" s="836"/>
      <c r="N151" s="837" t="s">
        <v>242</v>
      </c>
      <c r="O151" s="82" t="s">
        <v>243</v>
      </c>
    </row>
    <row r="152" spans="1:18" ht="40.5" customHeight="1">
      <c r="A152" s="853" t="s">
        <v>2166</v>
      </c>
      <c r="B152" s="854" t="s">
        <v>542</v>
      </c>
      <c r="C152" s="855" t="s">
        <v>17</v>
      </c>
      <c r="D152" s="856">
        <v>2162</v>
      </c>
      <c r="E152" s="856">
        <f>'數量計算(FOR5變) '!E282</f>
        <v>2232</v>
      </c>
      <c r="F152" s="856">
        <f t="shared" si="21"/>
        <v>70</v>
      </c>
      <c r="G152" s="856">
        <v>278.08</v>
      </c>
      <c r="H152" s="856"/>
      <c r="I152" s="856"/>
      <c r="J152" s="856">
        <f t="shared" si="19"/>
        <v>601208.96</v>
      </c>
      <c r="K152" s="856">
        <f t="shared" si="20"/>
        <v>620674.56000000006</v>
      </c>
      <c r="L152" s="856">
        <f>K152-J152</f>
        <v>19465.600000000093</v>
      </c>
      <c r="M152" s="856"/>
      <c r="N152" s="857" t="s">
        <v>242</v>
      </c>
      <c r="O152" s="293" t="s">
        <v>3808</v>
      </c>
      <c r="P152" s="293" t="s">
        <v>3809</v>
      </c>
    </row>
    <row r="153" spans="1:18" ht="28.5">
      <c r="A153" s="833" t="s">
        <v>2167</v>
      </c>
      <c r="B153" s="834" t="s">
        <v>544</v>
      </c>
      <c r="C153" s="835" t="s">
        <v>13</v>
      </c>
      <c r="D153" s="836">
        <v>99.7</v>
      </c>
      <c r="E153" s="836">
        <v>99.7</v>
      </c>
      <c r="F153" s="836">
        <f t="shared" si="21"/>
        <v>0</v>
      </c>
      <c r="G153" s="836">
        <v>1399.92</v>
      </c>
      <c r="H153" s="836"/>
      <c r="I153" s="836"/>
      <c r="J153" s="836">
        <f t="shared" si="19"/>
        <v>139572.01999999999</v>
      </c>
      <c r="K153" s="836">
        <f t="shared" si="20"/>
        <v>139572.01999999999</v>
      </c>
      <c r="L153" s="836"/>
      <c r="M153" s="836"/>
      <c r="N153" s="837" t="s">
        <v>2321</v>
      </c>
      <c r="O153" s="82" t="s">
        <v>243</v>
      </c>
    </row>
    <row r="154" spans="1:18" ht="71.25">
      <c r="A154" s="833" t="s">
        <v>2168</v>
      </c>
      <c r="B154" s="834" t="s">
        <v>325</v>
      </c>
      <c r="C154" s="835" t="s">
        <v>17</v>
      </c>
      <c r="D154" s="836">
        <v>96604.35</v>
      </c>
      <c r="E154" s="836">
        <v>96604.35</v>
      </c>
      <c r="F154" s="836">
        <f t="shared" si="21"/>
        <v>0</v>
      </c>
      <c r="G154" s="836">
        <v>107.3</v>
      </c>
      <c r="H154" s="836"/>
      <c r="I154" s="836"/>
      <c r="J154" s="836">
        <f t="shared" si="19"/>
        <v>10365646.76</v>
      </c>
      <c r="K154" s="836">
        <f t="shared" si="20"/>
        <v>10365646.76</v>
      </c>
      <c r="L154" s="836"/>
      <c r="M154" s="836"/>
      <c r="N154" s="837" t="s">
        <v>2337</v>
      </c>
      <c r="O154" s="82" t="s">
        <v>243</v>
      </c>
    </row>
    <row r="155" spans="1:18" ht="57">
      <c r="A155" s="853" t="s">
        <v>2169</v>
      </c>
      <c r="B155" s="854" t="s">
        <v>222</v>
      </c>
      <c r="C155" s="855" t="s">
        <v>13</v>
      </c>
      <c r="D155" s="856">
        <v>438.86</v>
      </c>
      <c r="E155" s="856">
        <f>'數量計算(FOR5變) '!E287</f>
        <v>611.66</v>
      </c>
      <c r="F155" s="856">
        <f t="shared" si="21"/>
        <v>172.79999999999995</v>
      </c>
      <c r="G155" s="856">
        <v>692.12</v>
      </c>
      <c r="H155" s="856"/>
      <c r="I155" s="856"/>
      <c r="J155" s="856">
        <f t="shared" si="19"/>
        <v>303743.78000000003</v>
      </c>
      <c r="K155" s="856">
        <f t="shared" si="20"/>
        <v>423342.12</v>
      </c>
      <c r="L155" s="856">
        <f>K155-J155</f>
        <v>119598.33999999997</v>
      </c>
      <c r="M155" s="856"/>
      <c r="N155" s="857" t="s">
        <v>2345</v>
      </c>
      <c r="O155" s="586" t="s">
        <v>3727</v>
      </c>
      <c r="P155" s="147"/>
    </row>
    <row r="156" spans="1:18" ht="28.5">
      <c r="A156" s="833" t="s">
        <v>2170</v>
      </c>
      <c r="B156" s="834" t="s">
        <v>194</v>
      </c>
      <c r="C156" s="835" t="s">
        <v>23</v>
      </c>
      <c r="D156" s="836">
        <v>342.71</v>
      </c>
      <c r="E156" s="836">
        <v>342.71</v>
      </c>
      <c r="F156" s="836">
        <f t="shared" si="21"/>
        <v>0</v>
      </c>
      <c r="G156" s="836">
        <v>48.28</v>
      </c>
      <c r="H156" s="836"/>
      <c r="I156" s="836"/>
      <c r="J156" s="836">
        <f t="shared" si="19"/>
        <v>16546.04</v>
      </c>
      <c r="K156" s="836">
        <f t="shared" si="20"/>
        <v>16546.04</v>
      </c>
      <c r="L156" s="836"/>
      <c r="M156" s="836"/>
      <c r="N156" s="837" t="s">
        <v>242</v>
      </c>
      <c r="O156" s="82" t="s">
        <v>243</v>
      </c>
    </row>
    <row r="157" spans="1:18" ht="28.5">
      <c r="A157" s="833" t="s">
        <v>2171</v>
      </c>
      <c r="B157" s="834" t="s">
        <v>205</v>
      </c>
      <c r="C157" s="835" t="s">
        <v>23</v>
      </c>
      <c r="D157" s="836">
        <v>0</v>
      </c>
      <c r="E157" s="836">
        <v>0</v>
      </c>
      <c r="F157" s="836">
        <f t="shared" si="21"/>
        <v>0</v>
      </c>
      <c r="G157" s="836">
        <v>721.02</v>
      </c>
      <c r="H157" s="836"/>
      <c r="I157" s="836"/>
      <c r="J157" s="836">
        <f t="shared" si="19"/>
        <v>0</v>
      </c>
      <c r="K157" s="836">
        <f t="shared" si="20"/>
        <v>0</v>
      </c>
      <c r="L157" s="836"/>
      <c r="M157" s="836"/>
      <c r="N157" s="837" t="s">
        <v>242</v>
      </c>
      <c r="O157" s="82" t="s">
        <v>243</v>
      </c>
    </row>
    <row r="158" spans="1:18" ht="55.5">
      <c r="A158" s="853" t="s">
        <v>2172</v>
      </c>
      <c r="B158" s="854" t="s">
        <v>548</v>
      </c>
      <c r="C158" s="855" t="s">
        <v>13</v>
      </c>
      <c r="D158" s="856">
        <v>27956</v>
      </c>
      <c r="E158" s="856">
        <f>'數量計算(FOR5變) '!E292</f>
        <v>32876</v>
      </c>
      <c r="F158" s="856">
        <f t="shared" si="21"/>
        <v>4920</v>
      </c>
      <c r="G158" s="856">
        <v>28</v>
      </c>
      <c r="H158" s="856"/>
      <c r="I158" s="856"/>
      <c r="J158" s="856">
        <f t="shared" si="19"/>
        <v>782768</v>
      </c>
      <c r="K158" s="856">
        <f t="shared" si="20"/>
        <v>920528</v>
      </c>
      <c r="L158" s="856">
        <f>K158-J158</f>
        <v>137760</v>
      </c>
      <c r="M158" s="856"/>
      <c r="N158" s="857" t="s">
        <v>2321</v>
      </c>
      <c r="O158" s="147" t="s">
        <v>3908</v>
      </c>
      <c r="P158" s="293" t="s">
        <v>3969</v>
      </c>
    </row>
    <row r="159" spans="1:18" ht="57">
      <c r="A159" s="833" t="s">
        <v>2173</v>
      </c>
      <c r="B159" s="834" t="s">
        <v>2242</v>
      </c>
      <c r="C159" s="835" t="s">
        <v>8</v>
      </c>
      <c r="D159" s="836">
        <v>322</v>
      </c>
      <c r="E159" s="836">
        <v>322</v>
      </c>
      <c r="F159" s="836">
        <f t="shared" si="21"/>
        <v>0</v>
      </c>
      <c r="G159" s="836">
        <v>19011.37</v>
      </c>
      <c r="H159" s="836"/>
      <c r="I159" s="836"/>
      <c r="J159" s="836">
        <f t="shared" si="19"/>
        <v>6121661.1399999997</v>
      </c>
      <c r="K159" s="836">
        <f t="shared" si="20"/>
        <v>6121661.1399999997</v>
      </c>
      <c r="L159" s="836"/>
      <c r="M159" s="836"/>
      <c r="N159" s="837" t="s">
        <v>2334</v>
      </c>
      <c r="O159" s="82" t="s">
        <v>243</v>
      </c>
    </row>
    <row r="160" spans="1:18" ht="14.25">
      <c r="A160" s="833" t="s">
        <v>2174</v>
      </c>
      <c r="B160" s="834" t="s">
        <v>552</v>
      </c>
      <c r="C160" s="835" t="s">
        <v>13</v>
      </c>
      <c r="D160" s="836">
        <v>100</v>
      </c>
      <c r="E160" s="836">
        <v>100</v>
      </c>
      <c r="F160" s="836">
        <f t="shared" si="21"/>
        <v>0</v>
      </c>
      <c r="G160" s="836">
        <v>373.08</v>
      </c>
      <c r="H160" s="836"/>
      <c r="I160" s="836"/>
      <c r="J160" s="836">
        <f t="shared" si="19"/>
        <v>37308</v>
      </c>
      <c r="K160" s="836">
        <f t="shared" si="20"/>
        <v>37308</v>
      </c>
      <c r="L160" s="836"/>
      <c r="M160" s="836"/>
      <c r="N160" s="837" t="s">
        <v>242</v>
      </c>
      <c r="O160" s="82" t="s">
        <v>243</v>
      </c>
    </row>
    <row r="161" spans="1:18" ht="28.5">
      <c r="A161" s="815" t="s">
        <v>2175</v>
      </c>
      <c r="B161" s="816" t="s">
        <v>554</v>
      </c>
      <c r="C161" s="821" t="s">
        <v>13</v>
      </c>
      <c r="D161" s="817">
        <v>83</v>
      </c>
      <c r="E161" s="817">
        <f>'數量計算(FOR5變) '!E296</f>
        <v>74.535000000000011</v>
      </c>
      <c r="F161" s="817">
        <f t="shared" si="21"/>
        <v>-8.4649999999999892</v>
      </c>
      <c r="G161" s="817">
        <v>616.49</v>
      </c>
      <c r="H161" s="817"/>
      <c r="I161" s="817"/>
      <c r="J161" s="817">
        <f t="shared" si="19"/>
        <v>51168.67</v>
      </c>
      <c r="K161" s="817">
        <f t="shared" si="20"/>
        <v>45950.080000000002</v>
      </c>
      <c r="L161" s="817"/>
      <c r="M161" s="817">
        <f>J161-K161</f>
        <v>5218.5899999999965</v>
      </c>
      <c r="N161" s="818" t="s">
        <v>242</v>
      </c>
      <c r="O161" s="753" t="s">
        <v>3884</v>
      </c>
      <c r="P161" s="746"/>
      <c r="R161" s="848" t="s">
        <v>3907</v>
      </c>
    </row>
    <row r="162" spans="1:18" ht="14.25">
      <c r="A162" s="833" t="s">
        <v>2177</v>
      </c>
      <c r="B162" s="834" t="s">
        <v>556</v>
      </c>
      <c r="C162" s="835" t="s">
        <v>13</v>
      </c>
      <c r="D162" s="836">
        <v>2.1</v>
      </c>
      <c r="E162" s="836">
        <v>2.1</v>
      </c>
      <c r="F162" s="836">
        <f t="shared" si="21"/>
        <v>0</v>
      </c>
      <c r="G162" s="836">
        <v>1874.26</v>
      </c>
      <c r="H162" s="836"/>
      <c r="I162" s="836"/>
      <c r="J162" s="836">
        <f t="shared" si="19"/>
        <v>3935.95</v>
      </c>
      <c r="K162" s="836">
        <f t="shared" si="20"/>
        <v>3935.95</v>
      </c>
      <c r="L162" s="836"/>
      <c r="M162" s="836"/>
      <c r="N162" s="837" t="s">
        <v>242</v>
      </c>
      <c r="O162" s="82" t="s">
        <v>243</v>
      </c>
    </row>
    <row r="163" spans="1:18" ht="14.25">
      <c r="A163" s="833" t="s">
        <v>2178</v>
      </c>
      <c r="B163" s="834" t="s">
        <v>558</v>
      </c>
      <c r="C163" s="835" t="s">
        <v>8</v>
      </c>
      <c r="D163" s="836">
        <v>62</v>
      </c>
      <c r="E163" s="836">
        <v>62</v>
      </c>
      <c r="F163" s="836">
        <f t="shared" si="21"/>
        <v>0</v>
      </c>
      <c r="G163" s="836">
        <v>2388.4299999999998</v>
      </c>
      <c r="H163" s="836"/>
      <c r="I163" s="836"/>
      <c r="J163" s="836">
        <f t="shared" si="19"/>
        <v>148082.66</v>
      </c>
      <c r="K163" s="836">
        <f t="shared" si="20"/>
        <v>148082.66</v>
      </c>
      <c r="L163" s="836"/>
      <c r="M163" s="836"/>
      <c r="N163" s="837" t="s">
        <v>2321</v>
      </c>
      <c r="O163" s="82" t="s">
        <v>243</v>
      </c>
    </row>
    <row r="164" spans="1:18" ht="14.25">
      <c r="A164" s="833" t="s">
        <v>2179</v>
      </c>
      <c r="B164" s="834" t="s">
        <v>560</v>
      </c>
      <c r="C164" s="835" t="s">
        <v>8</v>
      </c>
      <c r="D164" s="836">
        <v>33</v>
      </c>
      <c r="E164" s="836">
        <v>33</v>
      </c>
      <c r="F164" s="836">
        <f t="shared" si="21"/>
        <v>0</v>
      </c>
      <c r="G164" s="836">
        <v>12777.68</v>
      </c>
      <c r="H164" s="836"/>
      <c r="I164" s="836"/>
      <c r="J164" s="836">
        <f t="shared" si="19"/>
        <v>421663.44</v>
      </c>
      <c r="K164" s="836">
        <f t="shared" si="20"/>
        <v>421663.44</v>
      </c>
      <c r="L164" s="836"/>
      <c r="M164" s="836"/>
      <c r="N164" s="837" t="s">
        <v>2321</v>
      </c>
      <c r="O164" s="82" t="s">
        <v>243</v>
      </c>
    </row>
    <row r="165" spans="1:18" ht="28.5">
      <c r="A165" s="833" t="s">
        <v>2181</v>
      </c>
      <c r="B165" s="834" t="s">
        <v>562</v>
      </c>
      <c r="C165" s="835" t="s">
        <v>8</v>
      </c>
      <c r="D165" s="836">
        <v>32.6</v>
      </c>
      <c r="E165" s="836">
        <v>32.6</v>
      </c>
      <c r="F165" s="836">
        <f t="shared" si="21"/>
        <v>0</v>
      </c>
      <c r="G165" s="836">
        <v>71914.34</v>
      </c>
      <c r="H165" s="836"/>
      <c r="I165" s="836"/>
      <c r="J165" s="836">
        <f t="shared" si="19"/>
        <v>2344407.48</v>
      </c>
      <c r="K165" s="836">
        <f t="shared" si="20"/>
        <v>2344407.48</v>
      </c>
      <c r="L165" s="836"/>
      <c r="M165" s="836"/>
      <c r="N165" s="837" t="s">
        <v>2321</v>
      </c>
      <c r="O165" s="82" t="s">
        <v>243</v>
      </c>
    </row>
    <row r="166" spans="1:18" ht="28.5">
      <c r="A166" s="833" t="s">
        <v>2182</v>
      </c>
      <c r="B166" s="834" t="s">
        <v>564</v>
      </c>
      <c r="C166" s="835" t="s">
        <v>8</v>
      </c>
      <c r="D166" s="836">
        <v>32.6</v>
      </c>
      <c r="E166" s="836">
        <v>32.6</v>
      </c>
      <c r="F166" s="836">
        <f t="shared" si="21"/>
        <v>0</v>
      </c>
      <c r="G166" s="836">
        <v>189793.78</v>
      </c>
      <c r="H166" s="836"/>
      <c r="I166" s="836"/>
      <c r="J166" s="836">
        <f t="shared" si="19"/>
        <v>6187277.2300000004</v>
      </c>
      <c r="K166" s="836">
        <f t="shared" si="20"/>
        <v>6187277.2300000004</v>
      </c>
      <c r="L166" s="836"/>
      <c r="M166" s="836"/>
      <c r="N166" s="837" t="s">
        <v>2321</v>
      </c>
      <c r="O166" s="82" t="s">
        <v>243</v>
      </c>
    </row>
    <row r="167" spans="1:18" ht="14.25">
      <c r="A167" s="833" t="s">
        <v>2183</v>
      </c>
      <c r="B167" s="834" t="s">
        <v>567</v>
      </c>
      <c r="C167" s="835" t="s">
        <v>0</v>
      </c>
      <c r="D167" s="836">
        <v>1</v>
      </c>
      <c r="E167" s="836">
        <v>1</v>
      </c>
      <c r="F167" s="836">
        <f t="shared" si="21"/>
        <v>0</v>
      </c>
      <c r="G167" s="836">
        <v>78208.240000000005</v>
      </c>
      <c r="H167" s="836"/>
      <c r="I167" s="836"/>
      <c r="J167" s="836">
        <f t="shared" si="19"/>
        <v>78208.240000000005</v>
      </c>
      <c r="K167" s="836">
        <f t="shared" si="20"/>
        <v>78208.240000000005</v>
      </c>
      <c r="L167" s="836"/>
      <c r="M167" s="836"/>
      <c r="N167" s="837" t="s">
        <v>2321</v>
      </c>
      <c r="O167" s="82" t="s">
        <v>243</v>
      </c>
    </row>
    <row r="168" spans="1:18" ht="14.25">
      <c r="A168" s="833" t="s">
        <v>2184</v>
      </c>
      <c r="B168" s="834" t="s">
        <v>570</v>
      </c>
      <c r="C168" s="835" t="s">
        <v>8</v>
      </c>
      <c r="D168" s="836">
        <v>9.6</v>
      </c>
      <c r="E168" s="836">
        <v>9.6</v>
      </c>
      <c r="F168" s="836">
        <f t="shared" si="21"/>
        <v>0</v>
      </c>
      <c r="G168" s="836">
        <v>4213.4799999999996</v>
      </c>
      <c r="H168" s="836"/>
      <c r="I168" s="836"/>
      <c r="J168" s="836">
        <f t="shared" si="19"/>
        <v>40449.410000000003</v>
      </c>
      <c r="K168" s="836">
        <f t="shared" si="20"/>
        <v>40449.410000000003</v>
      </c>
      <c r="L168" s="836"/>
      <c r="M168" s="836"/>
      <c r="N168" s="837" t="s">
        <v>2321</v>
      </c>
      <c r="O168" s="82" t="s">
        <v>243</v>
      </c>
    </row>
    <row r="169" spans="1:18" ht="14.25">
      <c r="A169" s="853" t="s">
        <v>2185</v>
      </c>
      <c r="B169" s="854" t="s">
        <v>573</v>
      </c>
      <c r="C169" s="855" t="s">
        <v>0</v>
      </c>
      <c r="D169" s="856">
        <v>1</v>
      </c>
      <c r="E169" s="856">
        <f>'數量計算(FOR5變) '!E304</f>
        <v>2</v>
      </c>
      <c r="F169" s="856">
        <f t="shared" si="21"/>
        <v>1</v>
      </c>
      <c r="G169" s="856">
        <v>2005.23</v>
      </c>
      <c r="H169" s="856"/>
      <c r="I169" s="856"/>
      <c r="J169" s="856">
        <f t="shared" si="19"/>
        <v>2005.23</v>
      </c>
      <c r="K169" s="856">
        <f t="shared" si="20"/>
        <v>4010.46</v>
      </c>
      <c r="L169" s="856">
        <f>K169-J169</f>
        <v>2005.23</v>
      </c>
      <c r="M169" s="856"/>
      <c r="N169" s="857" t="s">
        <v>242</v>
      </c>
      <c r="O169" s="82" t="s">
        <v>3628</v>
      </c>
      <c r="P169" s="147"/>
    </row>
    <row r="170" spans="1:18" ht="14.25">
      <c r="A170" s="833" t="s">
        <v>2186</v>
      </c>
      <c r="B170" s="834" t="s">
        <v>576</v>
      </c>
      <c r="C170" s="835" t="s">
        <v>8</v>
      </c>
      <c r="D170" s="836">
        <v>32.6</v>
      </c>
      <c r="E170" s="836">
        <v>32.6</v>
      </c>
      <c r="F170" s="836">
        <f t="shared" si="21"/>
        <v>0</v>
      </c>
      <c r="G170" s="836">
        <v>21727.78</v>
      </c>
      <c r="H170" s="836"/>
      <c r="I170" s="836"/>
      <c r="J170" s="836">
        <f t="shared" si="19"/>
        <v>708325.63</v>
      </c>
      <c r="K170" s="836">
        <f t="shared" si="20"/>
        <v>708325.63</v>
      </c>
      <c r="L170" s="836"/>
      <c r="M170" s="836"/>
      <c r="N170" s="837" t="s">
        <v>2321</v>
      </c>
      <c r="O170" s="82" t="s">
        <v>243</v>
      </c>
    </row>
    <row r="171" spans="1:18" ht="28.5">
      <c r="A171" s="833" t="s">
        <v>2187</v>
      </c>
      <c r="B171" s="834" t="s">
        <v>579</v>
      </c>
      <c r="C171" s="835" t="s">
        <v>8</v>
      </c>
      <c r="D171" s="836">
        <v>32.6</v>
      </c>
      <c r="E171" s="836">
        <v>32.6</v>
      </c>
      <c r="F171" s="836">
        <f t="shared" si="21"/>
        <v>0</v>
      </c>
      <c r="G171" s="836">
        <v>15955.67</v>
      </c>
      <c r="H171" s="836"/>
      <c r="I171" s="836"/>
      <c r="J171" s="836">
        <f t="shared" si="19"/>
        <v>520154.84</v>
      </c>
      <c r="K171" s="836">
        <f t="shared" si="20"/>
        <v>520154.84</v>
      </c>
      <c r="L171" s="836"/>
      <c r="M171" s="836"/>
      <c r="N171" s="837" t="s">
        <v>2321</v>
      </c>
      <c r="O171" s="82" t="s">
        <v>243</v>
      </c>
    </row>
    <row r="172" spans="1:18" ht="28.5">
      <c r="A172" s="833" t="s">
        <v>2188</v>
      </c>
      <c r="B172" s="834" t="s">
        <v>582</v>
      </c>
      <c r="C172" s="835" t="s">
        <v>583</v>
      </c>
      <c r="D172" s="836">
        <v>4</v>
      </c>
      <c r="E172" s="836">
        <v>4</v>
      </c>
      <c r="F172" s="836">
        <f t="shared" si="21"/>
        <v>0</v>
      </c>
      <c r="G172" s="836">
        <v>299.98</v>
      </c>
      <c r="H172" s="836"/>
      <c r="I172" s="836"/>
      <c r="J172" s="836">
        <f t="shared" si="19"/>
        <v>1199.92</v>
      </c>
      <c r="K172" s="836">
        <f t="shared" si="20"/>
        <v>1199.92</v>
      </c>
      <c r="L172" s="836"/>
      <c r="M172" s="836"/>
      <c r="N172" s="837" t="s">
        <v>242</v>
      </c>
      <c r="O172" s="82" t="s">
        <v>243</v>
      </c>
    </row>
    <row r="173" spans="1:18" ht="14.25">
      <c r="A173" s="833" t="s">
        <v>2189</v>
      </c>
      <c r="B173" s="834" t="s">
        <v>586</v>
      </c>
      <c r="C173" s="835" t="s">
        <v>8</v>
      </c>
      <c r="D173" s="836">
        <v>4.8</v>
      </c>
      <c r="E173" s="836">
        <v>4.8</v>
      </c>
      <c r="F173" s="836">
        <f t="shared" si="21"/>
        <v>0</v>
      </c>
      <c r="G173" s="836">
        <v>119.99</v>
      </c>
      <c r="H173" s="836"/>
      <c r="I173" s="836"/>
      <c r="J173" s="836">
        <f t="shared" ref="J173:J180" si="22">ROUND(D173*G173,2)</f>
        <v>575.95000000000005</v>
      </c>
      <c r="K173" s="836">
        <f t="shared" ref="K173:K180" si="23">ROUND(E173*G173,2)</f>
        <v>575.95000000000005</v>
      </c>
      <c r="L173" s="836"/>
      <c r="M173" s="836"/>
      <c r="N173" s="837" t="s">
        <v>2321</v>
      </c>
      <c r="O173" s="82" t="s">
        <v>243</v>
      </c>
    </row>
    <row r="174" spans="1:18" ht="14.25">
      <c r="A174" s="833" t="s">
        <v>2190</v>
      </c>
      <c r="B174" s="834" t="s">
        <v>589</v>
      </c>
      <c r="C174" s="835" t="s">
        <v>0</v>
      </c>
      <c r="D174" s="836">
        <v>1</v>
      </c>
      <c r="E174" s="836">
        <v>1</v>
      </c>
      <c r="F174" s="836">
        <f t="shared" si="21"/>
        <v>0</v>
      </c>
      <c r="G174" s="836">
        <v>849172.02</v>
      </c>
      <c r="H174" s="836"/>
      <c r="I174" s="836"/>
      <c r="J174" s="836">
        <f t="shared" si="22"/>
        <v>849172.02</v>
      </c>
      <c r="K174" s="836">
        <f t="shared" si="23"/>
        <v>849172.02</v>
      </c>
      <c r="L174" s="836"/>
      <c r="M174" s="836"/>
      <c r="N174" s="837" t="s">
        <v>242</v>
      </c>
      <c r="O174" s="82" t="s">
        <v>243</v>
      </c>
    </row>
    <row r="175" spans="1:18" ht="14.25">
      <c r="A175" s="833" t="s">
        <v>2191</v>
      </c>
      <c r="B175" s="834" t="s">
        <v>592</v>
      </c>
      <c r="C175" s="835" t="s">
        <v>0</v>
      </c>
      <c r="D175" s="836">
        <v>1</v>
      </c>
      <c r="E175" s="836">
        <v>1</v>
      </c>
      <c r="F175" s="836">
        <f t="shared" si="21"/>
        <v>0</v>
      </c>
      <c r="G175" s="836">
        <v>2066157.04</v>
      </c>
      <c r="H175" s="836"/>
      <c r="I175" s="836"/>
      <c r="J175" s="836">
        <f t="shared" si="22"/>
        <v>2066157.04</v>
      </c>
      <c r="K175" s="836">
        <f t="shared" si="23"/>
        <v>2066157.04</v>
      </c>
      <c r="L175" s="836"/>
      <c r="M175" s="836"/>
      <c r="N175" s="837" t="s">
        <v>242</v>
      </c>
      <c r="O175" s="82" t="s">
        <v>243</v>
      </c>
    </row>
    <row r="176" spans="1:18" ht="14.25">
      <c r="A176" s="833" t="s">
        <v>2192</v>
      </c>
      <c r="B176" s="834" t="s">
        <v>1360</v>
      </c>
      <c r="C176" s="835" t="s">
        <v>606</v>
      </c>
      <c r="D176" s="836">
        <v>2</v>
      </c>
      <c r="E176" s="836">
        <v>2</v>
      </c>
      <c r="F176" s="836">
        <f t="shared" si="21"/>
        <v>0</v>
      </c>
      <c r="G176" s="836">
        <v>201796.15</v>
      </c>
      <c r="H176" s="836"/>
      <c r="I176" s="836"/>
      <c r="J176" s="836">
        <f t="shared" si="22"/>
        <v>403592.3</v>
      </c>
      <c r="K176" s="836">
        <f t="shared" si="23"/>
        <v>403592.3</v>
      </c>
      <c r="L176" s="836"/>
      <c r="M176" s="836"/>
      <c r="N176" s="837" t="s">
        <v>242</v>
      </c>
      <c r="O176" s="82" t="s">
        <v>243</v>
      </c>
    </row>
    <row r="177" spans="1:17" ht="14.25">
      <c r="A177" s="853" t="s">
        <v>2193</v>
      </c>
      <c r="B177" s="854" t="s">
        <v>1362</v>
      </c>
      <c r="C177" s="855" t="s">
        <v>539</v>
      </c>
      <c r="D177" s="856">
        <v>96850</v>
      </c>
      <c r="E177" s="856">
        <f>'數量計算(FOR5變) '!E312</f>
        <v>133434.85</v>
      </c>
      <c r="F177" s="856">
        <f t="shared" si="21"/>
        <v>36584.850000000006</v>
      </c>
      <c r="G177" s="856">
        <v>16.21</v>
      </c>
      <c r="H177" s="856"/>
      <c r="I177" s="856"/>
      <c r="J177" s="856">
        <f t="shared" si="22"/>
        <v>1569938.5</v>
      </c>
      <c r="K177" s="856">
        <f t="shared" si="23"/>
        <v>2162978.92</v>
      </c>
      <c r="L177" s="856">
        <f>K177-J177</f>
        <v>593040.41999999993</v>
      </c>
      <c r="M177" s="856"/>
      <c r="N177" s="857" t="s">
        <v>242</v>
      </c>
      <c r="O177" s="914" t="s">
        <v>3882</v>
      </c>
      <c r="P177" s="919"/>
    </row>
    <row r="178" spans="1:17" ht="14.25">
      <c r="A178" s="833" t="s">
        <v>2194</v>
      </c>
      <c r="B178" s="834" t="s">
        <v>1364</v>
      </c>
      <c r="C178" s="835" t="s">
        <v>15</v>
      </c>
      <c r="D178" s="836">
        <v>18</v>
      </c>
      <c r="E178" s="836">
        <v>18</v>
      </c>
      <c r="F178" s="836">
        <f t="shared" si="21"/>
        <v>0</v>
      </c>
      <c r="G178" s="836">
        <v>79587.17</v>
      </c>
      <c r="H178" s="836"/>
      <c r="I178" s="836"/>
      <c r="J178" s="836">
        <f t="shared" si="22"/>
        <v>1432569.06</v>
      </c>
      <c r="K178" s="836">
        <f t="shared" si="23"/>
        <v>1432569.06</v>
      </c>
      <c r="L178" s="836"/>
      <c r="M178" s="836"/>
      <c r="N178" s="837" t="s">
        <v>242</v>
      </c>
      <c r="O178" s="82" t="s">
        <v>243</v>
      </c>
    </row>
    <row r="179" spans="1:17" ht="54">
      <c r="A179" s="859">
        <v>40</v>
      </c>
      <c r="B179" s="860" t="s">
        <v>3797</v>
      </c>
      <c r="C179" s="861" t="s">
        <v>3180</v>
      </c>
      <c r="D179" s="862">
        <v>0</v>
      </c>
      <c r="E179" s="862">
        <v>1</v>
      </c>
      <c r="F179" s="856">
        <f t="shared" si="21"/>
        <v>1</v>
      </c>
      <c r="G179" s="862">
        <v>355300</v>
      </c>
      <c r="H179" s="862"/>
      <c r="I179" s="862"/>
      <c r="J179" s="856">
        <f t="shared" si="22"/>
        <v>0</v>
      </c>
      <c r="K179" s="856">
        <f t="shared" si="23"/>
        <v>355300</v>
      </c>
      <c r="L179" s="856">
        <f>K179-J179</f>
        <v>355300</v>
      </c>
      <c r="M179" s="862"/>
      <c r="N179" s="863" t="s">
        <v>3755</v>
      </c>
      <c r="O179" s="147" t="s">
        <v>3199</v>
      </c>
      <c r="P179" s="586" t="s">
        <v>3715</v>
      </c>
      <c r="Q179" s="846" t="s">
        <v>3266</v>
      </c>
    </row>
    <row r="180" spans="1:17" ht="18">
      <c r="A180" s="853">
        <v>41</v>
      </c>
      <c r="B180" s="854" t="s">
        <v>3538</v>
      </c>
      <c r="C180" s="855" t="s">
        <v>3176</v>
      </c>
      <c r="D180" s="862">
        <v>0</v>
      </c>
      <c r="E180" s="856">
        <f>'數量計算(FOR5變) '!E316</f>
        <v>44.4238</v>
      </c>
      <c r="F180" s="856">
        <f t="shared" si="21"/>
        <v>44.4238</v>
      </c>
      <c r="G180" s="856">
        <v>2000</v>
      </c>
      <c r="H180" s="856"/>
      <c r="I180" s="856"/>
      <c r="J180" s="856">
        <f t="shared" si="22"/>
        <v>0</v>
      </c>
      <c r="K180" s="856">
        <f t="shared" si="23"/>
        <v>88847.6</v>
      </c>
      <c r="L180" s="856">
        <f>K180-J180</f>
        <v>88847.6</v>
      </c>
      <c r="M180" s="856"/>
      <c r="N180" s="857"/>
      <c r="O180" s="948" t="s">
        <v>3932</v>
      </c>
      <c r="P180" s="586" t="s">
        <v>3730</v>
      </c>
      <c r="Q180" s="846"/>
    </row>
    <row r="181" spans="1:17" ht="14.25">
      <c r="A181" s="833" t="s">
        <v>2243</v>
      </c>
      <c r="B181" s="834" t="s">
        <v>594</v>
      </c>
      <c r="C181" s="835" t="s">
        <v>4</v>
      </c>
      <c r="D181" s="836"/>
      <c r="E181" s="836"/>
      <c r="F181" s="836"/>
      <c r="G181" s="836">
        <f>J181</f>
        <v>35591426.739999995</v>
      </c>
      <c r="H181" s="836"/>
      <c r="I181" s="836"/>
      <c r="J181" s="836">
        <f>SUM(J182:J212)</f>
        <v>35591426.739999995</v>
      </c>
      <c r="K181" s="836">
        <f t="shared" ref="K181:M181" si="24">SUM(K182:K212)</f>
        <v>37650702.589999996</v>
      </c>
      <c r="L181" s="836">
        <f t="shared" si="24"/>
        <v>2191745.69</v>
      </c>
      <c r="M181" s="836">
        <f t="shared" si="24"/>
        <v>132469.84000000008</v>
      </c>
      <c r="N181" s="837" t="s">
        <v>242</v>
      </c>
      <c r="O181" s="82" t="s">
        <v>243</v>
      </c>
    </row>
    <row r="182" spans="1:17" ht="14.25">
      <c r="A182" s="833" t="s">
        <v>2154</v>
      </c>
      <c r="B182" s="834" t="s">
        <v>315</v>
      </c>
      <c r="C182" s="835" t="s">
        <v>6</v>
      </c>
      <c r="D182" s="836">
        <v>22</v>
      </c>
      <c r="E182" s="836">
        <v>22</v>
      </c>
      <c r="F182" s="836">
        <f t="shared" si="21"/>
        <v>0</v>
      </c>
      <c r="G182" s="836">
        <v>3114.97</v>
      </c>
      <c r="H182" s="836"/>
      <c r="I182" s="836"/>
      <c r="J182" s="836">
        <f t="shared" ref="J182" si="25">ROUND(D182*G182,2)</f>
        <v>68529.34</v>
      </c>
      <c r="K182" s="836">
        <f t="shared" ref="K182" si="26">ROUND(E182*G182,2)</f>
        <v>68529.34</v>
      </c>
      <c r="L182" s="836"/>
      <c r="M182" s="836"/>
      <c r="N182" s="837" t="s">
        <v>242</v>
      </c>
      <c r="O182" s="82" t="s">
        <v>243</v>
      </c>
    </row>
    <row r="183" spans="1:17" ht="14.25">
      <c r="A183" s="833" t="s">
        <v>2155</v>
      </c>
      <c r="B183" s="834" t="s">
        <v>24</v>
      </c>
      <c r="C183" s="835" t="s">
        <v>6</v>
      </c>
      <c r="D183" s="836">
        <v>302</v>
      </c>
      <c r="E183" s="836">
        <v>302</v>
      </c>
      <c r="F183" s="836">
        <f t="shared" si="21"/>
        <v>0</v>
      </c>
      <c r="G183" s="836">
        <v>3320.96</v>
      </c>
      <c r="H183" s="836"/>
      <c r="I183" s="836"/>
      <c r="J183" s="836">
        <f t="shared" ref="J183:J209" si="27">ROUND(D183*G183,2)</f>
        <v>1002929.92</v>
      </c>
      <c r="K183" s="836">
        <f t="shared" ref="K183:K209" si="28">ROUND(E183*G183,2)</f>
        <v>1002929.92</v>
      </c>
      <c r="L183" s="836"/>
      <c r="M183" s="836"/>
      <c r="N183" s="837" t="s">
        <v>242</v>
      </c>
      <c r="O183" s="82" t="s">
        <v>243</v>
      </c>
    </row>
    <row r="184" spans="1:17" ht="14.25">
      <c r="A184" s="833" t="s">
        <v>2156</v>
      </c>
      <c r="B184" s="834" t="s">
        <v>528</v>
      </c>
      <c r="C184" s="835" t="s">
        <v>6</v>
      </c>
      <c r="D184" s="836">
        <v>0</v>
      </c>
      <c r="E184" s="836">
        <v>0</v>
      </c>
      <c r="F184" s="836">
        <f t="shared" si="21"/>
        <v>0</v>
      </c>
      <c r="G184" s="836">
        <v>3643.53</v>
      </c>
      <c r="H184" s="836"/>
      <c r="I184" s="836"/>
      <c r="J184" s="836">
        <f t="shared" si="27"/>
        <v>0</v>
      </c>
      <c r="K184" s="836">
        <f t="shared" si="28"/>
        <v>0</v>
      </c>
      <c r="L184" s="836"/>
      <c r="M184" s="836"/>
      <c r="N184" s="837" t="s">
        <v>242</v>
      </c>
      <c r="O184" s="82" t="s">
        <v>243</v>
      </c>
    </row>
    <row r="185" spans="1:17" ht="14.25">
      <c r="A185" s="833" t="s">
        <v>2157</v>
      </c>
      <c r="B185" s="834" t="s">
        <v>595</v>
      </c>
      <c r="C185" s="835" t="s">
        <v>6</v>
      </c>
      <c r="D185" s="836">
        <v>1501.9</v>
      </c>
      <c r="E185" s="836">
        <v>1501.9</v>
      </c>
      <c r="F185" s="836">
        <f t="shared" si="21"/>
        <v>0</v>
      </c>
      <c r="G185" s="836">
        <v>199.99</v>
      </c>
      <c r="H185" s="836"/>
      <c r="I185" s="836"/>
      <c r="J185" s="836">
        <f t="shared" si="27"/>
        <v>300364.98</v>
      </c>
      <c r="K185" s="836">
        <f t="shared" si="28"/>
        <v>300364.98</v>
      </c>
      <c r="L185" s="836"/>
      <c r="M185" s="836"/>
      <c r="N185" s="837" t="s">
        <v>242</v>
      </c>
      <c r="O185" s="82" t="s">
        <v>243</v>
      </c>
    </row>
    <row r="186" spans="1:17" ht="171">
      <c r="A186" s="833" t="s">
        <v>2158</v>
      </c>
      <c r="B186" s="834" t="s">
        <v>534</v>
      </c>
      <c r="C186" s="835" t="s">
        <v>13</v>
      </c>
      <c r="D186" s="836">
        <v>1274.99</v>
      </c>
      <c r="E186" s="836">
        <v>1274.99</v>
      </c>
      <c r="F186" s="836">
        <f t="shared" si="21"/>
        <v>0</v>
      </c>
      <c r="G186" s="836">
        <v>982.93</v>
      </c>
      <c r="H186" s="836"/>
      <c r="I186" s="836"/>
      <c r="J186" s="836">
        <f t="shared" si="27"/>
        <v>1253225.92</v>
      </c>
      <c r="K186" s="836">
        <f t="shared" si="28"/>
        <v>1253225.92</v>
      </c>
      <c r="L186" s="836"/>
      <c r="M186" s="836"/>
      <c r="N186" s="837" t="s">
        <v>2343</v>
      </c>
      <c r="O186" s="82" t="s">
        <v>243</v>
      </c>
    </row>
    <row r="187" spans="1:17" ht="114">
      <c r="A187" s="833" t="s">
        <v>2159</v>
      </c>
      <c r="B187" s="834" t="s">
        <v>536</v>
      </c>
      <c r="C187" s="835" t="s">
        <v>13</v>
      </c>
      <c r="D187" s="836">
        <v>821.93</v>
      </c>
      <c r="E187" s="836">
        <v>821.93</v>
      </c>
      <c r="F187" s="836">
        <f t="shared" si="21"/>
        <v>0</v>
      </c>
      <c r="G187" s="836">
        <v>804.75</v>
      </c>
      <c r="H187" s="836"/>
      <c r="I187" s="836"/>
      <c r="J187" s="836">
        <f t="shared" si="27"/>
        <v>661448.17000000004</v>
      </c>
      <c r="K187" s="836">
        <f t="shared" si="28"/>
        <v>661448.17000000004</v>
      </c>
      <c r="L187" s="836"/>
      <c r="M187" s="836"/>
      <c r="N187" s="837" t="s">
        <v>2344</v>
      </c>
      <c r="O187" s="82" t="s">
        <v>243</v>
      </c>
    </row>
    <row r="188" spans="1:17" ht="57">
      <c r="A188" s="833" t="s">
        <v>2160</v>
      </c>
      <c r="B188" s="834" t="s">
        <v>192</v>
      </c>
      <c r="C188" s="835" t="s">
        <v>17</v>
      </c>
      <c r="D188" s="494">
        <v>35217.519999999997</v>
      </c>
      <c r="E188" s="836">
        <v>35217.519999999997</v>
      </c>
      <c r="F188" s="836">
        <f t="shared" si="21"/>
        <v>0</v>
      </c>
      <c r="G188" s="836">
        <v>36.4</v>
      </c>
      <c r="H188" s="836"/>
      <c r="I188" s="836"/>
      <c r="J188" s="836">
        <f t="shared" si="27"/>
        <v>1281917.73</v>
      </c>
      <c r="K188" s="836">
        <f t="shared" si="28"/>
        <v>1281917.73</v>
      </c>
      <c r="L188" s="836"/>
      <c r="M188" s="836"/>
      <c r="N188" s="837" t="s">
        <v>2334</v>
      </c>
      <c r="O188" s="82" t="s">
        <v>243</v>
      </c>
    </row>
    <row r="189" spans="1:17" ht="57">
      <c r="A189" s="833" t="s">
        <v>2161</v>
      </c>
      <c r="B189" s="834" t="s">
        <v>530</v>
      </c>
      <c r="C189" s="835" t="s">
        <v>17</v>
      </c>
      <c r="D189" s="836">
        <v>25125.17</v>
      </c>
      <c r="E189" s="836">
        <v>25125.17</v>
      </c>
      <c r="F189" s="836">
        <f t="shared" si="21"/>
        <v>0</v>
      </c>
      <c r="G189" s="836">
        <v>38.71</v>
      </c>
      <c r="H189" s="836"/>
      <c r="I189" s="836"/>
      <c r="J189" s="836">
        <f t="shared" si="27"/>
        <v>972595.33</v>
      </c>
      <c r="K189" s="836">
        <f t="shared" si="28"/>
        <v>972595.33</v>
      </c>
      <c r="L189" s="836"/>
      <c r="M189" s="836"/>
      <c r="N189" s="837" t="s">
        <v>2334</v>
      </c>
      <c r="O189" s="82" t="s">
        <v>243</v>
      </c>
    </row>
    <row r="190" spans="1:17" ht="42.75">
      <c r="A190" s="833" t="s">
        <v>2162</v>
      </c>
      <c r="B190" s="834" t="s">
        <v>597</v>
      </c>
      <c r="C190" s="835" t="s">
        <v>13</v>
      </c>
      <c r="D190" s="836">
        <v>776</v>
      </c>
      <c r="E190" s="836">
        <v>776</v>
      </c>
      <c r="F190" s="836">
        <f t="shared" si="21"/>
        <v>0</v>
      </c>
      <c r="G190" s="836">
        <v>2510.64</v>
      </c>
      <c r="H190" s="836"/>
      <c r="I190" s="836"/>
      <c r="J190" s="836">
        <f t="shared" si="27"/>
        <v>1948256.64</v>
      </c>
      <c r="K190" s="836">
        <f t="shared" si="28"/>
        <v>1948256.64</v>
      </c>
      <c r="L190" s="836"/>
      <c r="M190" s="836"/>
      <c r="N190" s="837" t="s">
        <v>2359</v>
      </c>
      <c r="O190" s="82" t="s">
        <v>243</v>
      </c>
    </row>
    <row r="191" spans="1:17" ht="14.25">
      <c r="A191" s="833" t="s">
        <v>2163</v>
      </c>
      <c r="B191" s="834" t="s">
        <v>599</v>
      </c>
      <c r="C191" s="835" t="s">
        <v>223</v>
      </c>
      <c r="D191" s="836">
        <v>251.85</v>
      </c>
      <c r="E191" s="836">
        <v>251.85</v>
      </c>
      <c r="F191" s="836">
        <f t="shared" si="21"/>
        <v>0</v>
      </c>
      <c r="G191" s="836">
        <v>3297.86</v>
      </c>
      <c r="H191" s="836"/>
      <c r="I191" s="836"/>
      <c r="J191" s="836">
        <f t="shared" si="27"/>
        <v>830566.04</v>
      </c>
      <c r="K191" s="836">
        <f t="shared" si="28"/>
        <v>830566.04</v>
      </c>
      <c r="L191" s="836"/>
      <c r="M191" s="836"/>
      <c r="N191" s="837" t="s">
        <v>2321</v>
      </c>
      <c r="O191" s="82" t="s">
        <v>243</v>
      </c>
    </row>
    <row r="192" spans="1:17" ht="14.25">
      <c r="A192" s="833" t="s">
        <v>2164</v>
      </c>
      <c r="B192" s="834" t="s">
        <v>601</v>
      </c>
      <c r="C192" s="835" t="s">
        <v>13</v>
      </c>
      <c r="D192" s="836">
        <v>173.82</v>
      </c>
      <c r="E192" s="836">
        <v>173.82</v>
      </c>
      <c r="F192" s="836">
        <f t="shared" si="21"/>
        <v>0</v>
      </c>
      <c r="G192" s="836">
        <v>2952.01</v>
      </c>
      <c r="H192" s="836"/>
      <c r="I192" s="836"/>
      <c r="J192" s="836">
        <f t="shared" si="27"/>
        <v>513118.38</v>
      </c>
      <c r="K192" s="836">
        <f t="shared" si="28"/>
        <v>513118.38</v>
      </c>
      <c r="L192" s="836"/>
      <c r="M192" s="836"/>
      <c r="N192" s="837" t="s">
        <v>2321</v>
      </c>
      <c r="O192" s="82" t="s">
        <v>243</v>
      </c>
    </row>
    <row r="193" spans="1:17" ht="81">
      <c r="A193" s="853" t="s">
        <v>2165</v>
      </c>
      <c r="B193" s="854" t="s">
        <v>603</v>
      </c>
      <c r="C193" s="855" t="s">
        <v>13</v>
      </c>
      <c r="D193" s="856">
        <v>841.37</v>
      </c>
      <c r="E193" s="856">
        <f>'數量計算(FOR5變) '!E361</f>
        <v>1317.6909999999998</v>
      </c>
      <c r="F193" s="856">
        <f t="shared" si="21"/>
        <v>476.3209999999998</v>
      </c>
      <c r="G193" s="856">
        <v>1454.49</v>
      </c>
      <c r="H193" s="856"/>
      <c r="I193" s="856"/>
      <c r="J193" s="856">
        <f t="shared" si="27"/>
        <v>1223764.25</v>
      </c>
      <c r="K193" s="856">
        <f t="shared" si="28"/>
        <v>1916568.38</v>
      </c>
      <c r="L193" s="856">
        <f>K193-J193</f>
        <v>692804.12999999989</v>
      </c>
      <c r="M193" s="856"/>
      <c r="N193" s="857" t="s">
        <v>242</v>
      </c>
      <c r="O193" s="586" t="s">
        <v>3906</v>
      </c>
      <c r="P193" s="586" t="s">
        <v>3968</v>
      </c>
      <c r="Q193" s="846" t="s">
        <v>3266</v>
      </c>
    </row>
    <row r="194" spans="1:17" ht="28.5">
      <c r="A194" s="943" t="s">
        <v>2166</v>
      </c>
      <c r="B194" s="944" t="s">
        <v>605</v>
      </c>
      <c r="C194" s="945" t="s">
        <v>606</v>
      </c>
      <c r="D194" s="946">
        <v>333</v>
      </c>
      <c r="E194" s="946">
        <v>333</v>
      </c>
      <c r="F194" s="946">
        <f t="shared" si="21"/>
        <v>0</v>
      </c>
      <c r="G194" s="946">
        <v>434.98</v>
      </c>
      <c r="H194" s="946"/>
      <c r="I194" s="946"/>
      <c r="J194" s="946">
        <f t="shared" si="27"/>
        <v>144848.34</v>
      </c>
      <c r="K194" s="946">
        <f t="shared" si="28"/>
        <v>144848.34</v>
      </c>
      <c r="L194" s="946"/>
      <c r="M194" s="946"/>
      <c r="N194" s="947" t="s">
        <v>242</v>
      </c>
      <c r="O194" s="82" t="s">
        <v>243</v>
      </c>
    </row>
    <row r="195" spans="1:17" ht="28.5">
      <c r="A195" s="815" t="s">
        <v>2167</v>
      </c>
      <c r="B195" s="816" t="s">
        <v>608</v>
      </c>
      <c r="C195" s="821" t="s">
        <v>13</v>
      </c>
      <c r="D195" s="817">
        <v>1702</v>
      </c>
      <c r="E195" s="817">
        <f>'數量計算(FOR5變) '!E379</f>
        <v>1552.4450000000002</v>
      </c>
      <c r="F195" s="817">
        <f t="shared" si="21"/>
        <v>-149.55499999999984</v>
      </c>
      <c r="G195" s="817">
        <v>885.76</v>
      </c>
      <c r="H195" s="817"/>
      <c r="I195" s="817"/>
      <c r="J195" s="817">
        <f t="shared" si="27"/>
        <v>1507563.52</v>
      </c>
      <c r="K195" s="817">
        <f t="shared" si="28"/>
        <v>1375093.68</v>
      </c>
      <c r="L195" s="817"/>
      <c r="M195" s="817">
        <f>J195-K195</f>
        <v>132469.84000000008</v>
      </c>
      <c r="N195" s="818" t="s">
        <v>2321</v>
      </c>
      <c r="O195" s="82" t="s">
        <v>3731</v>
      </c>
      <c r="P195" s="293" t="s">
        <v>3732</v>
      </c>
      <c r="Q195" s="846" t="s">
        <v>3266</v>
      </c>
    </row>
    <row r="196" spans="1:17" ht="14.25">
      <c r="A196" s="833" t="s">
        <v>2168</v>
      </c>
      <c r="B196" s="834" t="s">
        <v>357</v>
      </c>
      <c r="C196" s="835" t="s">
        <v>8</v>
      </c>
      <c r="D196" s="836">
        <v>49</v>
      </c>
      <c r="E196" s="836">
        <v>49</v>
      </c>
      <c r="F196" s="836">
        <f t="shared" si="21"/>
        <v>0</v>
      </c>
      <c r="G196" s="836">
        <v>138.84</v>
      </c>
      <c r="H196" s="836"/>
      <c r="I196" s="836"/>
      <c r="J196" s="836">
        <f t="shared" si="27"/>
        <v>6803.16</v>
      </c>
      <c r="K196" s="836">
        <f t="shared" si="28"/>
        <v>6803.16</v>
      </c>
      <c r="L196" s="836"/>
      <c r="M196" s="836"/>
      <c r="N196" s="837" t="s">
        <v>242</v>
      </c>
      <c r="O196" s="82" t="s">
        <v>243</v>
      </c>
    </row>
    <row r="197" spans="1:17" ht="14.25">
      <c r="A197" s="833" t="s">
        <v>2169</v>
      </c>
      <c r="B197" s="834" t="s">
        <v>611</v>
      </c>
      <c r="C197" s="835" t="s">
        <v>8</v>
      </c>
      <c r="D197" s="836">
        <v>85</v>
      </c>
      <c r="E197" s="836">
        <v>85</v>
      </c>
      <c r="F197" s="836">
        <f t="shared" si="21"/>
        <v>0</v>
      </c>
      <c r="G197" s="836">
        <v>326.27999999999997</v>
      </c>
      <c r="H197" s="836"/>
      <c r="I197" s="836"/>
      <c r="J197" s="836">
        <f t="shared" si="27"/>
        <v>27733.8</v>
      </c>
      <c r="K197" s="836">
        <f t="shared" si="28"/>
        <v>27733.8</v>
      </c>
      <c r="L197" s="836"/>
      <c r="M197" s="836"/>
      <c r="N197" s="837" t="s">
        <v>242</v>
      </c>
      <c r="O197" s="82" t="s">
        <v>243</v>
      </c>
    </row>
    <row r="198" spans="1:17" ht="57">
      <c r="A198" s="833" t="s">
        <v>2170</v>
      </c>
      <c r="B198" s="834" t="s">
        <v>222</v>
      </c>
      <c r="C198" s="835" t="s">
        <v>13</v>
      </c>
      <c r="D198" s="836">
        <v>1847.54</v>
      </c>
      <c r="E198" s="836">
        <v>1847.54</v>
      </c>
      <c r="F198" s="836">
        <f t="shared" si="21"/>
        <v>0</v>
      </c>
      <c r="G198" s="836">
        <v>692.12</v>
      </c>
      <c r="H198" s="836"/>
      <c r="I198" s="836"/>
      <c r="J198" s="836">
        <f t="shared" si="27"/>
        <v>1278719.3799999999</v>
      </c>
      <c r="K198" s="836">
        <f t="shared" si="28"/>
        <v>1278719.3799999999</v>
      </c>
      <c r="L198" s="836"/>
      <c r="M198" s="836"/>
      <c r="N198" s="837" t="s">
        <v>2345</v>
      </c>
      <c r="O198" s="82" t="s">
        <v>243</v>
      </c>
    </row>
    <row r="199" spans="1:17" ht="114">
      <c r="A199" s="833" t="s">
        <v>2171</v>
      </c>
      <c r="B199" s="834" t="s">
        <v>615</v>
      </c>
      <c r="C199" s="835" t="s">
        <v>8</v>
      </c>
      <c r="D199" s="836">
        <v>0</v>
      </c>
      <c r="E199" s="836">
        <v>0</v>
      </c>
      <c r="F199" s="836">
        <f t="shared" si="21"/>
        <v>0</v>
      </c>
      <c r="G199" s="836">
        <v>1706.44</v>
      </c>
      <c r="H199" s="836"/>
      <c r="I199" s="836"/>
      <c r="J199" s="836">
        <f t="shared" si="27"/>
        <v>0</v>
      </c>
      <c r="K199" s="836">
        <f t="shared" si="28"/>
        <v>0</v>
      </c>
      <c r="L199" s="836"/>
      <c r="M199" s="836"/>
      <c r="N199" s="837" t="s">
        <v>2360</v>
      </c>
      <c r="O199" s="82" t="s">
        <v>243</v>
      </c>
    </row>
    <row r="200" spans="1:17" ht="14.25">
      <c r="A200" s="833" t="s">
        <v>2172</v>
      </c>
      <c r="B200" s="834" t="s">
        <v>618</v>
      </c>
      <c r="C200" s="835" t="s">
        <v>23</v>
      </c>
      <c r="D200" s="836">
        <v>1070.5</v>
      </c>
      <c r="E200" s="836">
        <v>1070.5</v>
      </c>
      <c r="F200" s="836">
        <f t="shared" si="21"/>
        <v>0</v>
      </c>
      <c r="G200" s="836">
        <v>49</v>
      </c>
      <c r="H200" s="836"/>
      <c r="I200" s="836"/>
      <c r="J200" s="836">
        <f t="shared" si="27"/>
        <v>52454.5</v>
      </c>
      <c r="K200" s="836">
        <f t="shared" si="28"/>
        <v>52454.5</v>
      </c>
      <c r="L200" s="836"/>
      <c r="M200" s="836"/>
      <c r="N200" s="837" t="s">
        <v>242</v>
      </c>
      <c r="O200" s="82" t="s">
        <v>243</v>
      </c>
    </row>
    <row r="201" spans="1:17" ht="28.5">
      <c r="A201" s="833" t="s">
        <v>2173</v>
      </c>
      <c r="B201" s="834" t="s">
        <v>621</v>
      </c>
      <c r="C201" s="835" t="s">
        <v>19</v>
      </c>
      <c r="D201" s="836">
        <v>2</v>
      </c>
      <c r="E201" s="836">
        <v>2</v>
      </c>
      <c r="F201" s="836">
        <f t="shared" si="21"/>
        <v>0</v>
      </c>
      <c r="G201" s="836">
        <v>5349708.26</v>
      </c>
      <c r="H201" s="836"/>
      <c r="I201" s="836"/>
      <c r="J201" s="836">
        <f t="shared" si="27"/>
        <v>10699416.52</v>
      </c>
      <c r="K201" s="836">
        <f t="shared" si="28"/>
        <v>10699416.52</v>
      </c>
      <c r="L201" s="836"/>
      <c r="M201" s="836"/>
      <c r="N201" s="837" t="s">
        <v>242</v>
      </c>
      <c r="O201" s="82" t="s">
        <v>243</v>
      </c>
    </row>
    <row r="202" spans="1:17" ht="42.75">
      <c r="A202" s="833" t="s">
        <v>2174</v>
      </c>
      <c r="B202" s="834" t="s">
        <v>1368</v>
      </c>
      <c r="C202" s="835" t="s">
        <v>8</v>
      </c>
      <c r="D202" s="836">
        <v>571.08000000000004</v>
      </c>
      <c r="E202" s="836">
        <v>571.08000000000004</v>
      </c>
      <c r="F202" s="836">
        <f t="shared" si="21"/>
        <v>0</v>
      </c>
      <c r="G202" s="836">
        <v>5456.33</v>
      </c>
      <c r="H202" s="836"/>
      <c r="I202" s="836"/>
      <c r="J202" s="836">
        <f t="shared" si="27"/>
        <v>3116000.94</v>
      </c>
      <c r="K202" s="836">
        <f t="shared" si="28"/>
        <v>3116000.94</v>
      </c>
      <c r="L202" s="836"/>
      <c r="M202" s="836"/>
      <c r="N202" s="837" t="s">
        <v>242</v>
      </c>
      <c r="O202" s="82" t="s">
        <v>243</v>
      </c>
    </row>
    <row r="203" spans="1:17" ht="14.25">
      <c r="A203" s="833" t="s">
        <v>2175</v>
      </c>
      <c r="B203" s="834" t="s">
        <v>1370</v>
      </c>
      <c r="C203" s="835" t="s">
        <v>6</v>
      </c>
      <c r="D203" s="836">
        <v>0</v>
      </c>
      <c r="E203" s="836">
        <v>0</v>
      </c>
      <c r="F203" s="836">
        <f t="shared" si="21"/>
        <v>0</v>
      </c>
      <c r="G203" s="836">
        <v>1481.84</v>
      </c>
      <c r="H203" s="836"/>
      <c r="I203" s="836"/>
      <c r="J203" s="836">
        <f t="shared" si="27"/>
        <v>0</v>
      </c>
      <c r="K203" s="836">
        <f t="shared" si="28"/>
        <v>0</v>
      </c>
      <c r="L203" s="836"/>
      <c r="M203" s="836"/>
      <c r="N203" s="837" t="s">
        <v>242</v>
      </c>
      <c r="O203" s="82" t="s">
        <v>243</v>
      </c>
    </row>
    <row r="204" spans="1:17" ht="28.5">
      <c r="A204" s="833" t="s">
        <v>2177</v>
      </c>
      <c r="B204" s="834" t="s">
        <v>1372</v>
      </c>
      <c r="C204" s="835" t="s">
        <v>13</v>
      </c>
      <c r="D204" s="836">
        <v>776.79</v>
      </c>
      <c r="E204" s="836">
        <v>776.79</v>
      </c>
      <c r="F204" s="836">
        <f t="shared" si="21"/>
        <v>0</v>
      </c>
      <c r="G204" s="836">
        <v>3120.65</v>
      </c>
      <c r="H204" s="836"/>
      <c r="I204" s="836"/>
      <c r="J204" s="836">
        <f t="shared" si="27"/>
        <v>2424089.71</v>
      </c>
      <c r="K204" s="836">
        <f t="shared" si="28"/>
        <v>2424089.71</v>
      </c>
      <c r="L204" s="836"/>
      <c r="M204" s="836"/>
      <c r="N204" s="837" t="s">
        <v>242</v>
      </c>
      <c r="O204" s="82" t="s">
        <v>243</v>
      </c>
    </row>
    <row r="205" spans="1:17" ht="27">
      <c r="A205" s="833" t="s">
        <v>2178</v>
      </c>
      <c r="B205" s="834" t="s">
        <v>586</v>
      </c>
      <c r="C205" s="835" t="s">
        <v>8</v>
      </c>
      <c r="D205" s="836">
        <v>343.5</v>
      </c>
      <c r="E205" s="836">
        <v>343.5</v>
      </c>
      <c r="F205" s="836">
        <f t="shared" si="21"/>
        <v>0</v>
      </c>
      <c r="G205" s="836">
        <v>119.99</v>
      </c>
      <c r="H205" s="836"/>
      <c r="I205" s="836"/>
      <c r="J205" s="836">
        <f t="shared" si="27"/>
        <v>41216.57</v>
      </c>
      <c r="K205" s="836">
        <f t="shared" si="28"/>
        <v>41216.57</v>
      </c>
      <c r="L205" s="836"/>
      <c r="M205" s="836"/>
      <c r="N205" s="837" t="s">
        <v>2321</v>
      </c>
      <c r="O205" s="851" t="s">
        <v>3543</v>
      </c>
      <c r="P205" s="850" t="s">
        <v>3756</v>
      </c>
    </row>
    <row r="206" spans="1:17" ht="27">
      <c r="A206" s="833" t="s">
        <v>2179</v>
      </c>
      <c r="B206" s="834" t="s">
        <v>1375</v>
      </c>
      <c r="C206" s="835" t="s">
        <v>7</v>
      </c>
      <c r="D206" s="836">
        <v>451</v>
      </c>
      <c r="E206" s="836">
        <v>451</v>
      </c>
      <c r="F206" s="836">
        <f t="shared" si="21"/>
        <v>0</v>
      </c>
      <c r="G206" s="836">
        <v>324.97000000000003</v>
      </c>
      <c r="H206" s="836"/>
      <c r="I206" s="836"/>
      <c r="J206" s="836">
        <f t="shared" si="27"/>
        <v>146561.47</v>
      </c>
      <c r="K206" s="836">
        <f t="shared" si="28"/>
        <v>146561.47</v>
      </c>
      <c r="L206" s="836"/>
      <c r="M206" s="836"/>
      <c r="N206" s="837" t="s">
        <v>242</v>
      </c>
      <c r="O206" s="851" t="s">
        <v>3544</v>
      </c>
      <c r="P206" s="850" t="s">
        <v>3756</v>
      </c>
    </row>
    <row r="207" spans="1:17" ht="14.25">
      <c r="A207" s="853" t="s">
        <v>2181</v>
      </c>
      <c r="B207" s="854" t="s">
        <v>1377</v>
      </c>
      <c r="C207" s="855" t="s">
        <v>6</v>
      </c>
      <c r="D207" s="856">
        <v>1513</v>
      </c>
      <c r="E207" s="856">
        <f>'數量計算(FOR5變) '!E392</f>
        <v>1526.8799999999999</v>
      </c>
      <c r="F207" s="856">
        <f t="shared" si="21"/>
        <v>13.879999999999882</v>
      </c>
      <c r="G207" s="856">
        <v>926.62</v>
      </c>
      <c r="H207" s="856"/>
      <c r="I207" s="856"/>
      <c r="J207" s="856">
        <f t="shared" si="27"/>
        <v>1401976.06</v>
      </c>
      <c r="K207" s="856">
        <f t="shared" si="28"/>
        <v>1414837.55</v>
      </c>
      <c r="L207" s="856">
        <f>K207-J207</f>
        <v>12861.489999999991</v>
      </c>
      <c r="M207" s="856"/>
      <c r="N207" s="857" t="s">
        <v>242</v>
      </c>
      <c r="O207" s="851" t="s">
        <v>3758</v>
      </c>
      <c r="P207" s="851"/>
    </row>
    <row r="208" spans="1:17" ht="28.5">
      <c r="A208" s="833" t="s">
        <v>2182</v>
      </c>
      <c r="B208" s="834" t="s">
        <v>1365</v>
      </c>
      <c r="C208" s="835" t="s">
        <v>6</v>
      </c>
      <c r="D208" s="836">
        <v>1177.9000000000001</v>
      </c>
      <c r="E208" s="836">
        <v>1177.9000000000001</v>
      </c>
      <c r="F208" s="836">
        <f t="shared" si="21"/>
        <v>0</v>
      </c>
      <c r="G208" s="836">
        <v>3832.9</v>
      </c>
      <c r="H208" s="836"/>
      <c r="I208" s="836"/>
      <c r="J208" s="836">
        <f t="shared" si="27"/>
        <v>4514772.91</v>
      </c>
      <c r="K208" s="836">
        <f t="shared" si="28"/>
        <v>4514772.91</v>
      </c>
      <c r="L208" s="836"/>
      <c r="M208" s="836"/>
      <c r="N208" s="837" t="s">
        <v>242</v>
      </c>
      <c r="O208" s="82" t="s">
        <v>243</v>
      </c>
    </row>
    <row r="209" spans="1:18" ht="42.75">
      <c r="A209" s="853" t="s">
        <v>2183</v>
      </c>
      <c r="B209" s="854" t="s">
        <v>1380</v>
      </c>
      <c r="C209" s="855" t="s">
        <v>13</v>
      </c>
      <c r="D209" s="856">
        <v>734.3</v>
      </c>
      <c r="E209" s="856">
        <f>'數量計算(FOR5變) '!E400</f>
        <v>758.04600000000005</v>
      </c>
      <c r="F209" s="856">
        <f t="shared" si="21"/>
        <v>23.746000000000095</v>
      </c>
      <c r="G209" s="856">
        <v>234.99</v>
      </c>
      <c r="H209" s="856"/>
      <c r="I209" s="856"/>
      <c r="J209" s="856">
        <f t="shared" si="27"/>
        <v>172553.16</v>
      </c>
      <c r="K209" s="856">
        <f t="shared" si="28"/>
        <v>178133.23</v>
      </c>
      <c r="L209" s="856">
        <f>K209-J209</f>
        <v>5580.070000000007</v>
      </c>
      <c r="M209" s="856"/>
      <c r="N209" s="857" t="s">
        <v>3164</v>
      </c>
      <c r="O209" s="850" t="s">
        <v>3919</v>
      </c>
      <c r="P209" s="850" t="s">
        <v>3721</v>
      </c>
    </row>
    <row r="210" spans="1:18" ht="55.5">
      <c r="A210" s="853" t="s">
        <v>2184</v>
      </c>
      <c r="B210" s="854" t="s">
        <v>3184</v>
      </c>
      <c r="C210" s="855" t="s">
        <v>606</v>
      </c>
      <c r="D210" s="862">
        <v>0</v>
      </c>
      <c r="E210" s="862">
        <f>'數量計算(FOR5變) '!J402-55</f>
        <v>1100</v>
      </c>
      <c r="F210" s="856">
        <f t="shared" si="21"/>
        <v>1100</v>
      </c>
      <c r="G210" s="862">
        <v>375</v>
      </c>
      <c r="H210" s="862"/>
      <c r="I210" s="862"/>
      <c r="J210" s="856">
        <f t="shared" ref="J210:J211" si="29">ROUND(D210*G210,2)</f>
        <v>0</v>
      </c>
      <c r="K210" s="856">
        <f t="shared" ref="K210:K211" si="30">ROUND(E210*G210,2)</f>
        <v>412500</v>
      </c>
      <c r="L210" s="856">
        <f t="shared" ref="L210:L212" si="31">K210-J210</f>
        <v>412500</v>
      </c>
      <c r="M210" s="862"/>
      <c r="N210" s="863"/>
      <c r="O210" s="586" t="s">
        <v>3975</v>
      </c>
      <c r="P210" s="921" t="s">
        <v>3974</v>
      </c>
      <c r="Q210" s="846" t="s">
        <v>3266</v>
      </c>
    </row>
    <row r="211" spans="1:18" ht="28.5">
      <c r="A211" s="853" t="s">
        <v>2185</v>
      </c>
      <c r="B211" s="854" t="s">
        <v>3185</v>
      </c>
      <c r="C211" s="855" t="s">
        <v>606</v>
      </c>
      <c r="D211" s="862">
        <v>0</v>
      </c>
      <c r="E211" s="862">
        <f>'數量計算(FOR5變) '!H406</f>
        <v>18</v>
      </c>
      <c r="F211" s="856">
        <f t="shared" si="21"/>
        <v>18</v>
      </c>
      <c r="G211" s="862">
        <v>400</v>
      </c>
      <c r="H211" s="862"/>
      <c r="I211" s="862"/>
      <c r="J211" s="856">
        <f t="shared" si="29"/>
        <v>0</v>
      </c>
      <c r="K211" s="856">
        <f t="shared" si="30"/>
        <v>7200</v>
      </c>
      <c r="L211" s="856">
        <f t="shared" si="31"/>
        <v>7200</v>
      </c>
      <c r="M211" s="862"/>
      <c r="N211" s="863"/>
      <c r="O211" s="293" t="s">
        <v>3926</v>
      </c>
      <c r="P211" s="921" t="s">
        <v>3925</v>
      </c>
      <c r="Q211" s="846" t="s">
        <v>3266</v>
      </c>
      <c r="R211" s="848" t="s">
        <v>3927</v>
      </c>
    </row>
    <row r="212" spans="1:18" ht="31.5" customHeight="1">
      <c r="A212" s="853" t="s">
        <v>2186</v>
      </c>
      <c r="B212" s="860" t="s">
        <v>3193</v>
      </c>
      <c r="C212" s="861" t="s">
        <v>3176</v>
      </c>
      <c r="D212" s="862">
        <v>0</v>
      </c>
      <c r="E212" s="862">
        <f>'數量計算(FOR5變) '!J407</f>
        <v>1768</v>
      </c>
      <c r="F212" s="856">
        <f t="shared" si="21"/>
        <v>1768</v>
      </c>
      <c r="G212" s="862">
        <v>600</v>
      </c>
      <c r="H212" s="862"/>
      <c r="I212" s="862"/>
      <c r="J212" s="856">
        <f t="shared" ref="J212" si="32">ROUND(D212*G212,2)</f>
        <v>0</v>
      </c>
      <c r="K212" s="856">
        <f t="shared" ref="K212" si="33">ROUND(E212*G212,2)</f>
        <v>1060800</v>
      </c>
      <c r="L212" s="856">
        <f t="shared" si="31"/>
        <v>1060800</v>
      </c>
      <c r="M212" s="862"/>
      <c r="N212" s="863"/>
      <c r="O212" s="147" t="s">
        <v>3585</v>
      </c>
      <c r="P212" s="586" t="s">
        <v>3720</v>
      </c>
      <c r="Q212" s="846" t="s">
        <v>3266</v>
      </c>
    </row>
    <row r="213" spans="1:18" ht="14.25">
      <c r="A213" s="833" t="s">
        <v>2244</v>
      </c>
      <c r="B213" s="834" t="s">
        <v>623</v>
      </c>
      <c r="C213" s="835" t="s">
        <v>4</v>
      </c>
      <c r="D213" s="836"/>
      <c r="E213" s="836"/>
      <c r="F213" s="836"/>
      <c r="G213" s="836">
        <f>J213</f>
        <v>33547106.98</v>
      </c>
      <c r="H213" s="836"/>
      <c r="I213" s="836"/>
      <c r="J213" s="836">
        <f>SUM(J214:J234)</f>
        <v>33547106.98</v>
      </c>
      <c r="K213" s="836">
        <f t="shared" ref="K213:M213" si="34">SUM(K214:K234)</f>
        <v>33227944.040000003</v>
      </c>
      <c r="L213" s="836">
        <f t="shared" si="34"/>
        <v>256157.04000000004</v>
      </c>
      <c r="M213" s="836">
        <f t="shared" si="34"/>
        <v>571519.45999999973</v>
      </c>
      <c r="N213" s="837" t="s">
        <v>242</v>
      </c>
      <c r="O213" s="82" t="s">
        <v>243</v>
      </c>
    </row>
    <row r="214" spans="1:18" ht="14.25">
      <c r="A214" s="833" t="s">
        <v>2154</v>
      </c>
      <c r="B214" s="834" t="s">
        <v>315</v>
      </c>
      <c r="C214" s="835" t="s">
        <v>6</v>
      </c>
      <c r="D214" s="836">
        <v>109.33</v>
      </c>
      <c r="E214" s="836">
        <v>109.33</v>
      </c>
      <c r="F214" s="836">
        <f t="shared" ref="F214:F282" si="35">E214-D214</f>
        <v>0</v>
      </c>
      <c r="G214" s="836">
        <v>3114.97</v>
      </c>
      <c r="H214" s="836"/>
      <c r="I214" s="836"/>
      <c r="J214" s="836">
        <f t="shared" ref="J214:J281" si="36">ROUND(D214*G214,2)</f>
        <v>340559.67</v>
      </c>
      <c r="K214" s="836">
        <f t="shared" ref="K214:K281" si="37">ROUND(E214*G214,2)</f>
        <v>340559.67</v>
      </c>
      <c r="L214" s="836"/>
      <c r="M214" s="836"/>
      <c r="N214" s="837" t="s">
        <v>242</v>
      </c>
      <c r="O214" s="82" t="s">
        <v>243</v>
      </c>
    </row>
    <row r="215" spans="1:18" ht="14.25">
      <c r="A215" s="853" t="s">
        <v>2155</v>
      </c>
      <c r="B215" s="854" t="s">
        <v>24</v>
      </c>
      <c r="C215" s="855" t="s">
        <v>6</v>
      </c>
      <c r="D215" s="856">
        <v>2490</v>
      </c>
      <c r="E215" s="856">
        <f>'數量計算(FOR5變) '!E410</f>
        <v>2512.33</v>
      </c>
      <c r="F215" s="856">
        <f t="shared" si="35"/>
        <v>22.329999999999927</v>
      </c>
      <c r="G215" s="856">
        <v>3320.96</v>
      </c>
      <c r="H215" s="856"/>
      <c r="I215" s="856"/>
      <c r="J215" s="856">
        <f t="shared" si="36"/>
        <v>8269190.4000000004</v>
      </c>
      <c r="K215" s="856">
        <f t="shared" si="37"/>
        <v>8343347.4400000004</v>
      </c>
      <c r="L215" s="856">
        <f>K215-J215</f>
        <v>74157.040000000037</v>
      </c>
      <c r="M215" s="856"/>
      <c r="N215" s="857" t="s">
        <v>242</v>
      </c>
      <c r="O215" s="850" t="s">
        <v>3935</v>
      </c>
      <c r="P215" s="850"/>
    </row>
    <row r="216" spans="1:18" ht="27">
      <c r="A216" s="815" t="s">
        <v>2156</v>
      </c>
      <c r="B216" s="816" t="s">
        <v>624</v>
      </c>
      <c r="C216" s="821" t="s">
        <v>6</v>
      </c>
      <c r="D216" s="817">
        <v>998</v>
      </c>
      <c r="E216" s="817">
        <f>'數量計算(FOR5變) '!E415</f>
        <v>869.48054000000002</v>
      </c>
      <c r="F216" s="817">
        <f t="shared" si="35"/>
        <v>-128.51945999999998</v>
      </c>
      <c r="G216" s="817">
        <v>1749.16</v>
      </c>
      <c r="H216" s="817"/>
      <c r="I216" s="817"/>
      <c r="J216" s="817">
        <f t="shared" si="36"/>
        <v>1745661.68</v>
      </c>
      <c r="K216" s="817">
        <f t="shared" si="37"/>
        <v>1520860.58</v>
      </c>
      <c r="L216" s="817"/>
      <c r="M216" s="817">
        <f>J216-K216</f>
        <v>224801.09999999986</v>
      </c>
      <c r="N216" s="818" t="s">
        <v>242</v>
      </c>
      <c r="O216" s="586" t="s">
        <v>3762</v>
      </c>
      <c r="P216" s="147"/>
      <c r="R216" s="556" t="s">
        <v>3763</v>
      </c>
    </row>
    <row r="217" spans="1:18" ht="27">
      <c r="A217" s="815" t="s">
        <v>2157</v>
      </c>
      <c r="B217" s="816" t="s">
        <v>595</v>
      </c>
      <c r="C217" s="821" t="s">
        <v>6</v>
      </c>
      <c r="D217" s="817">
        <v>3740</v>
      </c>
      <c r="E217" s="817">
        <f>'數量計算(FOR5變) '!E420</f>
        <v>3491.1405399999999</v>
      </c>
      <c r="F217" s="817">
        <f t="shared" si="35"/>
        <v>-248.85946000000013</v>
      </c>
      <c r="G217" s="817">
        <v>199.99</v>
      </c>
      <c r="H217" s="817"/>
      <c r="I217" s="817"/>
      <c r="J217" s="817">
        <f t="shared" si="36"/>
        <v>747962.6</v>
      </c>
      <c r="K217" s="817">
        <f t="shared" si="37"/>
        <v>698193.2</v>
      </c>
      <c r="L217" s="817"/>
      <c r="M217" s="817">
        <f>J217-K217</f>
        <v>49769.400000000023</v>
      </c>
      <c r="N217" s="818" t="s">
        <v>242</v>
      </c>
      <c r="O217" s="753" t="s">
        <v>3546</v>
      </c>
      <c r="P217" s="753" t="s">
        <v>3716</v>
      </c>
    </row>
    <row r="218" spans="1:18" ht="171">
      <c r="A218" s="833" t="s">
        <v>2158</v>
      </c>
      <c r="B218" s="834" t="s">
        <v>534</v>
      </c>
      <c r="C218" s="835" t="s">
        <v>13</v>
      </c>
      <c r="D218" s="836">
        <v>4949.6099999999997</v>
      </c>
      <c r="E218" s="836">
        <v>4949.6099999999997</v>
      </c>
      <c r="F218" s="836">
        <f t="shared" si="35"/>
        <v>0</v>
      </c>
      <c r="G218" s="836">
        <v>982.93</v>
      </c>
      <c r="H218" s="836"/>
      <c r="I218" s="836"/>
      <c r="J218" s="836">
        <f t="shared" si="36"/>
        <v>4865120.16</v>
      </c>
      <c r="K218" s="836">
        <f t="shared" si="37"/>
        <v>4865120.16</v>
      </c>
      <c r="L218" s="836"/>
      <c r="M218" s="836"/>
      <c r="N218" s="837" t="s">
        <v>2343</v>
      </c>
      <c r="O218" s="82" t="s">
        <v>243</v>
      </c>
    </row>
    <row r="219" spans="1:18" ht="57">
      <c r="A219" s="833" t="s">
        <v>2159</v>
      </c>
      <c r="B219" s="834" t="s">
        <v>626</v>
      </c>
      <c r="C219" s="835" t="s">
        <v>13</v>
      </c>
      <c r="D219" s="836">
        <v>49.36</v>
      </c>
      <c r="E219" s="836">
        <v>49.36</v>
      </c>
      <c r="F219" s="836">
        <f t="shared" si="35"/>
        <v>0</v>
      </c>
      <c r="G219" s="836">
        <v>698.28</v>
      </c>
      <c r="H219" s="836"/>
      <c r="I219" s="836"/>
      <c r="J219" s="836">
        <f t="shared" si="36"/>
        <v>34467.1</v>
      </c>
      <c r="K219" s="836">
        <f t="shared" si="37"/>
        <v>34467.1</v>
      </c>
      <c r="L219" s="836"/>
      <c r="M219" s="836"/>
      <c r="N219" s="837" t="s">
        <v>2385</v>
      </c>
      <c r="O219" s="82" t="s">
        <v>243</v>
      </c>
    </row>
    <row r="220" spans="1:18" ht="114">
      <c r="A220" s="833" t="s">
        <v>2160</v>
      </c>
      <c r="B220" s="834" t="s">
        <v>536</v>
      </c>
      <c r="C220" s="835" t="s">
        <v>13</v>
      </c>
      <c r="D220" s="836">
        <v>1409.35</v>
      </c>
      <c r="E220" s="836">
        <v>1409.35</v>
      </c>
      <c r="F220" s="836">
        <f t="shared" si="35"/>
        <v>0</v>
      </c>
      <c r="G220" s="836">
        <v>804.75</v>
      </c>
      <c r="H220" s="836"/>
      <c r="I220" s="836"/>
      <c r="J220" s="836">
        <f t="shared" si="36"/>
        <v>1134174.4099999999</v>
      </c>
      <c r="K220" s="836">
        <f t="shared" si="37"/>
        <v>1134174.4099999999</v>
      </c>
      <c r="L220" s="836"/>
      <c r="M220" s="836"/>
      <c r="N220" s="837" t="s">
        <v>2344</v>
      </c>
      <c r="O220" s="82" t="s">
        <v>243</v>
      </c>
    </row>
    <row r="221" spans="1:18" ht="114">
      <c r="A221" s="833" t="s">
        <v>2161</v>
      </c>
      <c r="B221" s="834" t="s">
        <v>193</v>
      </c>
      <c r="C221" s="835" t="s">
        <v>13</v>
      </c>
      <c r="D221" s="836">
        <v>761.34</v>
      </c>
      <c r="E221" s="836">
        <v>761.34</v>
      </c>
      <c r="F221" s="836">
        <f t="shared" si="35"/>
        <v>0</v>
      </c>
      <c r="G221" s="836">
        <v>533.61</v>
      </c>
      <c r="H221" s="836"/>
      <c r="I221" s="836"/>
      <c r="J221" s="836">
        <f t="shared" si="36"/>
        <v>406258.64</v>
      </c>
      <c r="K221" s="836">
        <f t="shared" si="37"/>
        <v>406258.64</v>
      </c>
      <c r="L221" s="836"/>
      <c r="M221" s="836"/>
      <c r="N221" s="837" t="s">
        <v>2335</v>
      </c>
      <c r="O221" s="82" t="s">
        <v>243</v>
      </c>
    </row>
    <row r="222" spans="1:18" ht="57">
      <c r="A222" s="833" t="s">
        <v>2162</v>
      </c>
      <c r="B222" s="834" t="s">
        <v>192</v>
      </c>
      <c r="C222" s="835" t="s">
        <v>17</v>
      </c>
      <c r="D222" s="494">
        <v>207085.18</v>
      </c>
      <c r="E222" s="836">
        <v>207085.18</v>
      </c>
      <c r="F222" s="836">
        <f t="shared" si="35"/>
        <v>0</v>
      </c>
      <c r="G222" s="836">
        <v>36.4</v>
      </c>
      <c r="H222" s="836"/>
      <c r="I222" s="836"/>
      <c r="J222" s="836">
        <f t="shared" si="36"/>
        <v>7537900.5499999998</v>
      </c>
      <c r="K222" s="836">
        <f t="shared" si="37"/>
        <v>7537900.5499999998</v>
      </c>
      <c r="L222" s="836"/>
      <c r="M222" s="836"/>
      <c r="N222" s="837" t="s">
        <v>2334</v>
      </c>
      <c r="O222" s="82" t="s">
        <v>243</v>
      </c>
    </row>
    <row r="223" spans="1:18" ht="57">
      <c r="A223" s="833" t="s">
        <v>2163</v>
      </c>
      <c r="B223" s="834" t="s">
        <v>530</v>
      </c>
      <c r="C223" s="835" t="s">
        <v>17</v>
      </c>
      <c r="D223" s="494">
        <v>168230.73</v>
      </c>
      <c r="E223" s="836">
        <v>168230.73</v>
      </c>
      <c r="F223" s="836">
        <f t="shared" si="35"/>
        <v>0</v>
      </c>
      <c r="G223" s="836">
        <v>38.71</v>
      </c>
      <c r="H223" s="836"/>
      <c r="I223" s="836"/>
      <c r="J223" s="836">
        <f t="shared" si="36"/>
        <v>6512211.5599999996</v>
      </c>
      <c r="K223" s="836">
        <f t="shared" si="37"/>
        <v>6512211.5599999996</v>
      </c>
      <c r="L223" s="836"/>
      <c r="M223" s="836"/>
      <c r="N223" s="837" t="s">
        <v>2334</v>
      </c>
      <c r="O223" s="82" t="s">
        <v>243</v>
      </c>
    </row>
    <row r="224" spans="1:18" ht="28.5">
      <c r="A224" s="815" t="s">
        <v>2164</v>
      </c>
      <c r="B224" s="816" t="s">
        <v>628</v>
      </c>
      <c r="C224" s="821" t="s">
        <v>8</v>
      </c>
      <c r="D224" s="820">
        <v>112</v>
      </c>
      <c r="E224" s="817">
        <f>'數量計算(FOR5變) '!E439</f>
        <v>95</v>
      </c>
      <c r="F224" s="817">
        <f t="shared" si="35"/>
        <v>-17</v>
      </c>
      <c r="G224" s="817">
        <v>2865.8</v>
      </c>
      <c r="H224" s="817"/>
      <c r="I224" s="817"/>
      <c r="J224" s="817">
        <f t="shared" si="36"/>
        <v>320969.59999999998</v>
      </c>
      <c r="K224" s="817">
        <f t="shared" si="37"/>
        <v>272251</v>
      </c>
      <c r="L224" s="817"/>
      <c r="M224" s="817">
        <f>J224-K224</f>
        <v>48718.599999999977</v>
      </c>
      <c r="N224" s="818" t="s">
        <v>242</v>
      </c>
      <c r="O224" s="293" t="s">
        <v>3556</v>
      </c>
      <c r="P224" s="293"/>
      <c r="Q224" s="846" t="s">
        <v>3266</v>
      </c>
    </row>
    <row r="225" spans="1:18" ht="28.5">
      <c r="A225" s="815" t="s">
        <v>2165</v>
      </c>
      <c r="B225" s="816" t="s">
        <v>630</v>
      </c>
      <c r="C225" s="821" t="s">
        <v>0</v>
      </c>
      <c r="D225" s="817">
        <v>47</v>
      </c>
      <c r="E225" s="817">
        <f>'數量計算(FOR5變) '!E440</f>
        <v>40</v>
      </c>
      <c r="F225" s="817">
        <f t="shared" si="35"/>
        <v>-7</v>
      </c>
      <c r="G225" s="817">
        <v>1477.97</v>
      </c>
      <c r="H225" s="817"/>
      <c r="I225" s="817"/>
      <c r="J225" s="817">
        <f t="shared" si="36"/>
        <v>69464.59</v>
      </c>
      <c r="K225" s="817">
        <f t="shared" si="37"/>
        <v>59118.8</v>
      </c>
      <c r="L225" s="817"/>
      <c r="M225" s="817">
        <f t="shared" ref="M225:M226" si="38">J225-K225</f>
        <v>10345.789999999994</v>
      </c>
      <c r="N225" s="818" t="s">
        <v>242</v>
      </c>
      <c r="O225" s="293" t="s">
        <v>3556</v>
      </c>
      <c r="P225" s="293"/>
      <c r="Q225" s="846" t="s">
        <v>3266</v>
      </c>
    </row>
    <row r="226" spans="1:18" ht="42.75">
      <c r="A226" s="815" t="s">
        <v>2166</v>
      </c>
      <c r="B226" s="816" t="s">
        <v>632</v>
      </c>
      <c r="C226" s="821" t="s">
        <v>8</v>
      </c>
      <c r="D226" s="817">
        <v>148</v>
      </c>
      <c r="E226" s="817">
        <f>'數量計算(FOR5變) '!E441</f>
        <v>75.36</v>
      </c>
      <c r="F226" s="817">
        <f t="shared" si="35"/>
        <v>-72.64</v>
      </c>
      <c r="G226" s="817">
        <v>151.71</v>
      </c>
      <c r="H226" s="817"/>
      <c r="I226" s="817"/>
      <c r="J226" s="817">
        <f t="shared" si="36"/>
        <v>22453.08</v>
      </c>
      <c r="K226" s="817">
        <f t="shared" si="37"/>
        <v>11432.87</v>
      </c>
      <c r="L226" s="817"/>
      <c r="M226" s="817">
        <f t="shared" si="38"/>
        <v>11020.210000000001</v>
      </c>
      <c r="N226" s="818" t="s">
        <v>242</v>
      </c>
      <c r="O226" s="293" t="s">
        <v>3556</v>
      </c>
      <c r="P226" s="293"/>
      <c r="Q226" s="846" t="s">
        <v>3266</v>
      </c>
    </row>
    <row r="227" spans="1:18" ht="28.5">
      <c r="A227" s="815" t="s">
        <v>2167</v>
      </c>
      <c r="B227" s="816" t="s">
        <v>634</v>
      </c>
      <c r="C227" s="821" t="s">
        <v>15</v>
      </c>
      <c r="D227" s="817">
        <v>6</v>
      </c>
      <c r="E227" s="817">
        <f>'數量計算(FOR5變) '!E442</f>
        <v>5</v>
      </c>
      <c r="F227" s="817">
        <f t="shared" si="35"/>
        <v>-1</v>
      </c>
      <c r="G227" s="817">
        <v>15778.75</v>
      </c>
      <c r="H227" s="817"/>
      <c r="I227" s="817"/>
      <c r="J227" s="817">
        <f t="shared" si="36"/>
        <v>94672.5</v>
      </c>
      <c r="K227" s="817">
        <f t="shared" si="37"/>
        <v>78893.75</v>
      </c>
      <c r="L227" s="817"/>
      <c r="M227" s="817">
        <f>J227-K227</f>
        <v>15778.75</v>
      </c>
      <c r="N227" s="818" t="s">
        <v>242</v>
      </c>
      <c r="O227" s="848" t="s">
        <v>3983</v>
      </c>
      <c r="P227" s="245"/>
      <c r="Q227" s="846" t="s">
        <v>3266</v>
      </c>
      <c r="R227" s="245" t="s">
        <v>3586</v>
      </c>
    </row>
    <row r="228" spans="1:18" ht="18">
      <c r="A228" s="815" t="s">
        <v>2168</v>
      </c>
      <c r="B228" s="816" t="s">
        <v>357</v>
      </c>
      <c r="C228" s="821" t="s">
        <v>8</v>
      </c>
      <c r="D228" s="817">
        <v>746</v>
      </c>
      <c r="E228" s="817">
        <f>'數量計算(FOR5變) '!E443</f>
        <v>400.19999999999993</v>
      </c>
      <c r="F228" s="817">
        <f t="shared" si="35"/>
        <v>-345.80000000000007</v>
      </c>
      <c r="G228" s="817">
        <v>138.84</v>
      </c>
      <c r="H228" s="817"/>
      <c r="I228" s="817"/>
      <c r="J228" s="817">
        <f t="shared" si="36"/>
        <v>103574.64</v>
      </c>
      <c r="K228" s="817">
        <f t="shared" si="37"/>
        <v>55563.77</v>
      </c>
      <c r="L228" s="817"/>
      <c r="M228" s="817">
        <f>J228-K228</f>
        <v>48010.87</v>
      </c>
      <c r="N228" s="818" t="s">
        <v>242</v>
      </c>
      <c r="O228" s="245" t="s">
        <v>3557</v>
      </c>
      <c r="P228" s="245"/>
      <c r="Q228" s="846" t="s">
        <v>3266</v>
      </c>
    </row>
    <row r="229" spans="1:18" ht="18">
      <c r="A229" s="815" t="s">
        <v>2169</v>
      </c>
      <c r="B229" s="816" t="s">
        <v>611</v>
      </c>
      <c r="C229" s="821" t="s">
        <v>8</v>
      </c>
      <c r="D229" s="817">
        <v>1740</v>
      </c>
      <c r="E229" s="817">
        <f>'數量計算(FOR5變) '!E444</f>
        <v>1240.1999999999998</v>
      </c>
      <c r="F229" s="817">
        <f t="shared" si="35"/>
        <v>-499.80000000000018</v>
      </c>
      <c r="G229" s="817">
        <v>326.27999999999997</v>
      </c>
      <c r="H229" s="817"/>
      <c r="I229" s="817"/>
      <c r="J229" s="817">
        <f t="shared" si="36"/>
        <v>567727.19999999995</v>
      </c>
      <c r="K229" s="817">
        <f t="shared" si="37"/>
        <v>404652.46</v>
      </c>
      <c r="L229" s="817"/>
      <c r="M229" s="817">
        <f>J229-K229</f>
        <v>163074.73999999993</v>
      </c>
      <c r="N229" s="818" t="s">
        <v>242</v>
      </c>
      <c r="O229" s="245" t="s">
        <v>3557</v>
      </c>
      <c r="P229" s="245"/>
      <c r="Q229" s="846" t="s">
        <v>3266</v>
      </c>
    </row>
    <row r="230" spans="1:18" ht="57">
      <c r="A230" s="833" t="s">
        <v>2170</v>
      </c>
      <c r="B230" s="834" t="s">
        <v>222</v>
      </c>
      <c r="C230" s="835" t="s">
        <v>13</v>
      </c>
      <c r="D230" s="836">
        <v>783</v>
      </c>
      <c r="E230" s="836">
        <v>783</v>
      </c>
      <c r="F230" s="836">
        <f t="shared" si="35"/>
        <v>0</v>
      </c>
      <c r="G230" s="836">
        <v>692.12</v>
      </c>
      <c r="H230" s="836"/>
      <c r="I230" s="836"/>
      <c r="J230" s="836">
        <f t="shared" si="36"/>
        <v>541929.96</v>
      </c>
      <c r="K230" s="836">
        <f t="shared" si="37"/>
        <v>541929.96</v>
      </c>
      <c r="L230" s="836"/>
      <c r="M230" s="836"/>
      <c r="N230" s="837" t="s">
        <v>2345</v>
      </c>
      <c r="O230" s="82" t="s">
        <v>243</v>
      </c>
    </row>
    <row r="231" spans="1:18" ht="28.5">
      <c r="A231" s="833" t="s">
        <v>2171</v>
      </c>
      <c r="B231" s="834" t="s">
        <v>640</v>
      </c>
      <c r="C231" s="835" t="s">
        <v>15</v>
      </c>
      <c r="D231" s="836">
        <v>1</v>
      </c>
      <c r="E231" s="836">
        <v>1</v>
      </c>
      <c r="F231" s="836">
        <f t="shared" si="35"/>
        <v>0</v>
      </c>
      <c r="G231" s="836">
        <v>214228.32</v>
      </c>
      <c r="H231" s="836"/>
      <c r="I231" s="836"/>
      <c r="J231" s="836">
        <f t="shared" si="36"/>
        <v>214228.32</v>
      </c>
      <c r="K231" s="836">
        <f t="shared" si="37"/>
        <v>214228.32</v>
      </c>
      <c r="L231" s="836"/>
      <c r="M231" s="836"/>
      <c r="N231" s="837" t="s">
        <v>242</v>
      </c>
      <c r="O231" s="82" t="s">
        <v>243</v>
      </c>
    </row>
    <row r="232" spans="1:18" ht="14.25">
      <c r="A232" s="815" t="s">
        <v>2172</v>
      </c>
      <c r="B232" s="816" t="s">
        <v>643</v>
      </c>
      <c r="C232" s="821" t="s">
        <v>5</v>
      </c>
      <c r="D232" s="817">
        <v>44</v>
      </c>
      <c r="E232" s="817">
        <f>'數量計算(FOR5變) '!E447</f>
        <v>35</v>
      </c>
      <c r="F232" s="817">
        <f t="shared" si="35"/>
        <v>-9</v>
      </c>
      <c r="G232" s="817">
        <v>422.28</v>
      </c>
      <c r="H232" s="817"/>
      <c r="I232" s="817"/>
      <c r="J232" s="817">
        <f t="shared" si="36"/>
        <v>18580.32</v>
      </c>
      <c r="K232" s="817">
        <f t="shared" si="37"/>
        <v>14779.8</v>
      </c>
      <c r="L232" s="817"/>
      <c r="M232" s="817"/>
      <c r="N232" s="818" t="s">
        <v>242</v>
      </c>
      <c r="O232" s="848" t="s">
        <v>3983</v>
      </c>
      <c r="R232" s="245" t="s">
        <v>3586</v>
      </c>
    </row>
    <row r="233" spans="1:18" ht="27">
      <c r="A233" s="859">
        <v>20</v>
      </c>
      <c r="B233" s="860" t="s">
        <v>3668</v>
      </c>
      <c r="C233" s="861" t="s">
        <v>3667</v>
      </c>
      <c r="D233" s="862">
        <v>0</v>
      </c>
      <c r="E233" s="862">
        <v>1</v>
      </c>
      <c r="F233" s="862">
        <f t="shared" si="35"/>
        <v>1</v>
      </c>
      <c r="G233" s="862">
        <v>27000</v>
      </c>
      <c r="H233" s="862"/>
      <c r="I233" s="862"/>
      <c r="J233" s="856">
        <f t="shared" ref="J233" si="39">ROUND(D233*G233,2)</f>
        <v>0</v>
      </c>
      <c r="K233" s="856">
        <f t="shared" ref="K233" si="40">ROUND(E233*G233,2)</f>
        <v>27000</v>
      </c>
      <c r="L233" s="856">
        <f>K233-J233</f>
        <v>27000</v>
      </c>
      <c r="M233" s="862"/>
      <c r="N233" s="863"/>
      <c r="O233" s="586" t="s">
        <v>3956</v>
      </c>
      <c r="P233" s="586" t="s">
        <v>3688</v>
      </c>
      <c r="Q233" s="846" t="s">
        <v>3266</v>
      </c>
      <c r="R233" s="82" t="s">
        <v>3687</v>
      </c>
    </row>
    <row r="234" spans="1:18" ht="54">
      <c r="A234" s="853">
        <v>21</v>
      </c>
      <c r="B234" s="854" t="s">
        <v>3714</v>
      </c>
      <c r="C234" s="855" t="s">
        <v>3180</v>
      </c>
      <c r="D234" s="856">
        <v>0</v>
      </c>
      <c r="E234" s="856">
        <v>1</v>
      </c>
      <c r="F234" s="862">
        <f t="shared" si="35"/>
        <v>1</v>
      </c>
      <c r="G234" s="856">
        <v>155000</v>
      </c>
      <c r="H234" s="856"/>
      <c r="I234" s="856"/>
      <c r="J234" s="856">
        <f t="shared" ref="J234" si="41">ROUND(D234*G234,2)</f>
        <v>0</v>
      </c>
      <c r="K234" s="856">
        <f t="shared" ref="K234" si="42">ROUND(E234*G234,2)</f>
        <v>155000</v>
      </c>
      <c r="L234" s="856">
        <f>K234-J234</f>
        <v>155000</v>
      </c>
      <c r="M234" s="856"/>
      <c r="N234" s="857" t="s">
        <v>3772</v>
      </c>
      <c r="O234" s="147"/>
      <c r="P234" s="586" t="s">
        <v>3982</v>
      </c>
      <c r="Q234" s="846"/>
    </row>
    <row r="235" spans="1:18" ht="14.25">
      <c r="A235" s="833" t="s">
        <v>2245</v>
      </c>
      <c r="B235" s="834" t="s">
        <v>645</v>
      </c>
      <c r="C235" s="835" t="s">
        <v>4</v>
      </c>
      <c r="D235" s="836"/>
      <c r="E235" s="836"/>
      <c r="F235" s="836"/>
      <c r="G235" s="836">
        <f>J235</f>
        <v>13631722.120000003</v>
      </c>
      <c r="H235" s="836"/>
      <c r="I235" s="836"/>
      <c r="J235" s="836">
        <f>SUM(J236:J254)</f>
        <v>13631722.120000003</v>
      </c>
      <c r="K235" s="836">
        <f>SUM(K236:K254)</f>
        <v>15594655.41</v>
      </c>
      <c r="L235" s="836">
        <f>SUM(L236:L254)</f>
        <v>2429203.34</v>
      </c>
      <c r="M235" s="836">
        <f>SUM(M236:M254)</f>
        <v>466270.05000000005</v>
      </c>
      <c r="N235" s="837" t="s">
        <v>242</v>
      </c>
      <c r="O235" s="82" t="s">
        <v>243</v>
      </c>
    </row>
    <row r="236" spans="1:18" ht="81">
      <c r="A236" s="853" t="s">
        <v>2154</v>
      </c>
      <c r="B236" s="854" t="s">
        <v>646</v>
      </c>
      <c r="C236" s="855" t="s">
        <v>6</v>
      </c>
      <c r="D236" s="856">
        <v>230</v>
      </c>
      <c r="E236" s="856">
        <f>'數量計算(FOR5變) '!E449</f>
        <v>279.9425</v>
      </c>
      <c r="F236" s="856">
        <f t="shared" si="35"/>
        <v>49.942499999999995</v>
      </c>
      <c r="G236" s="856">
        <v>7517.15</v>
      </c>
      <c r="H236" s="856"/>
      <c r="I236" s="856"/>
      <c r="J236" s="856">
        <f t="shared" si="36"/>
        <v>1728944.5</v>
      </c>
      <c r="K236" s="856">
        <f t="shared" si="37"/>
        <v>2104369.7599999998</v>
      </c>
      <c r="L236" s="856">
        <f>K236-J236</f>
        <v>375425.25999999978</v>
      </c>
      <c r="M236" s="856"/>
      <c r="N236" s="857" t="s">
        <v>242</v>
      </c>
      <c r="O236" s="951" t="s">
        <v>3945</v>
      </c>
      <c r="P236" s="586" t="s">
        <v>3944</v>
      </c>
    </row>
    <row r="237" spans="1:18" ht="81">
      <c r="A237" s="815" t="s">
        <v>2155</v>
      </c>
      <c r="B237" s="816" t="s">
        <v>648</v>
      </c>
      <c r="C237" s="821" t="s">
        <v>6</v>
      </c>
      <c r="D237" s="817">
        <v>689</v>
      </c>
      <c r="E237" s="817">
        <f>'數量計算(FOR5變) '!E451</f>
        <v>632.62249999999995</v>
      </c>
      <c r="F237" s="817">
        <f t="shared" si="35"/>
        <v>-56.377500000000055</v>
      </c>
      <c r="G237" s="817">
        <v>7496.55</v>
      </c>
      <c r="H237" s="817"/>
      <c r="I237" s="817"/>
      <c r="J237" s="817">
        <f t="shared" si="36"/>
        <v>5165122.95</v>
      </c>
      <c r="K237" s="817">
        <f t="shared" si="37"/>
        <v>4742486.2</v>
      </c>
      <c r="L237" s="817"/>
      <c r="M237" s="817">
        <f>J237-K237</f>
        <v>422636.75</v>
      </c>
      <c r="N237" s="818" t="s">
        <v>242</v>
      </c>
      <c r="O237" s="951" t="s">
        <v>3945</v>
      </c>
      <c r="P237" s="586" t="s">
        <v>3944</v>
      </c>
    </row>
    <row r="238" spans="1:18" ht="14.25">
      <c r="A238" s="815" t="s">
        <v>2156</v>
      </c>
      <c r="B238" s="816" t="s">
        <v>650</v>
      </c>
      <c r="C238" s="821" t="s">
        <v>13</v>
      </c>
      <c r="D238" s="817">
        <v>4589</v>
      </c>
      <c r="E238" s="817">
        <f>'數量計算(FOR5變) '!E453</f>
        <v>4183.74</v>
      </c>
      <c r="F238" s="817">
        <f t="shared" si="35"/>
        <v>-405.26000000000022</v>
      </c>
      <c r="G238" s="817">
        <v>11.6</v>
      </c>
      <c r="H238" s="817"/>
      <c r="I238" s="817"/>
      <c r="J238" s="817">
        <f t="shared" si="36"/>
        <v>53232.4</v>
      </c>
      <c r="K238" s="817">
        <f t="shared" si="37"/>
        <v>48531.38</v>
      </c>
      <c r="L238" s="817"/>
      <c r="M238" s="817">
        <f>J238-K238</f>
        <v>4701.0200000000041</v>
      </c>
      <c r="N238" s="818" t="s">
        <v>242</v>
      </c>
      <c r="O238" s="245" t="s">
        <v>3928</v>
      </c>
    </row>
    <row r="239" spans="1:18" ht="81">
      <c r="A239" s="815" t="s">
        <v>2157</v>
      </c>
      <c r="B239" s="816" t="s">
        <v>652</v>
      </c>
      <c r="C239" s="821" t="s">
        <v>13</v>
      </c>
      <c r="D239" s="817">
        <v>4589</v>
      </c>
      <c r="E239" s="817">
        <f>'數量計算(FOR5變) '!E454</f>
        <v>4284.99</v>
      </c>
      <c r="F239" s="817">
        <f t="shared" si="35"/>
        <v>-304.01000000000022</v>
      </c>
      <c r="G239" s="817">
        <v>42.46</v>
      </c>
      <c r="H239" s="817"/>
      <c r="I239" s="817"/>
      <c r="J239" s="817">
        <f t="shared" si="36"/>
        <v>194848.94</v>
      </c>
      <c r="K239" s="817">
        <f t="shared" si="37"/>
        <v>181940.68</v>
      </c>
      <c r="L239" s="817"/>
      <c r="M239" s="817">
        <f>J239-K239</f>
        <v>12908.260000000009</v>
      </c>
      <c r="N239" s="818" t="s">
        <v>242</v>
      </c>
      <c r="O239" s="951" t="s">
        <v>3945</v>
      </c>
      <c r="P239" s="586" t="s">
        <v>3944</v>
      </c>
    </row>
    <row r="240" spans="1:18" ht="81">
      <c r="A240" s="853" t="s">
        <v>2158</v>
      </c>
      <c r="B240" s="854" t="s">
        <v>204</v>
      </c>
      <c r="C240" s="855" t="s">
        <v>13</v>
      </c>
      <c r="D240" s="856">
        <v>13765</v>
      </c>
      <c r="E240" s="856">
        <f>'數量計算(FOR5變) '!E456</f>
        <v>13993.27</v>
      </c>
      <c r="F240" s="856">
        <f t="shared" si="35"/>
        <v>228.27000000000044</v>
      </c>
      <c r="G240" s="856">
        <v>15.96</v>
      </c>
      <c r="H240" s="856"/>
      <c r="I240" s="856"/>
      <c r="J240" s="856">
        <f t="shared" si="36"/>
        <v>219689.4</v>
      </c>
      <c r="K240" s="856">
        <f t="shared" si="37"/>
        <v>223332.59</v>
      </c>
      <c r="L240" s="856">
        <f t="shared" ref="L240" si="43">K240-J240</f>
        <v>3643.1900000000023</v>
      </c>
      <c r="M240" s="856"/>
      <c r="N240" s="857" t="s">
        <v>242</v>
      </c>
      <c r="O240" s="951" t="s">
        <v>3945</v>
      </c>
      <c r="P240" s="586" t="s">
        <v>3944</v>
      </c>
    </row>
    <row r="241" spans="1:18" ht="14.25">
      <c r="A241" s="815" t="s">
        <v>2159</v>
      </c>
      <c r="B241" s="816" t="s">
        <v>315</v>
      </c>
      <c r="C241" s="821" t="s">
        <v>6</v>
      </c>
      <c r="D241" s="817">
        <v>49</v>
      </c>
      <c r="E241" s="817">
        <f>'數量計算(FOR5變) '!E458</f>
        <v>40.645499999999998</v>
      </c>
      <c r="F241" s="817">
        <f t="shared" si="35"/>
        <v>-8.3545000000000016</v>
      </c>
      <c r="G241" s="817">
        <v>3114.97</v>
      </c>
      <c r="H241" s="817"/>
      <c r="I241" s="817"/>
      <c r="J241" s="817">
        <f t="shared" si="36"/>
        <v>152633.53</v>
      </c>
      <c r="K241" s="817">
        <f t="shared" si="37"/>
        <v>126609.51</v>
      </c>
      <c r="L241" s="817"/>
      <c r="M241" s="817">
        <f>J241-K241</f>
        <v>26024.020000000004</v>
      </c>
      <c r="N241" s="818" t="s">
        <v>242</v>
      </c>
      <c r="O241" s="245" t="s">
        <v>3928</v>
      </c>
      <c r="P241" s="147"/>
      <c r="R241" s="147" t="s">
        <v>3764</v>
      </c>
    </row>
    <row r="242" spans="1:18" ht="81">
      <c r="A242" s="853" t="s">
        <v>2160</v>
      </c>
      <c r="B242" s="854" t="s">
        <v>24</v>
      </c>
      <c r="C242" s="855" t="s">
        <v>6</v>
      </c>
      <c r="D242" s="856">
        <v>328</v>
      </c>
      <c r="E242" s="856">
        <f>'數量計算(FOR5變) '!E459</f>
        <v>398.61779999999993</v>
      </c>
      <c r="F242" s="856">
        <f t="shared" si="35"/>
        <v>70.617799999999932</v>
      </c>
      <c r="G242" s="856">
        <v>3320.96</v>
      </c>
      <c r="H242" s="856"/>
      <c r="I242" s="856"/>
      <c r="J242" s="856">
        <f t="shared" si="36"/>
        <v>1089274.8799999999</v>
      </c>
      <c r="K242" s="856">
        <f t="shared" si="37"/>
        <v>1323793.77</v>
      </c>
      <c r="L242" s="856">
        <f>K242-J242</f>
        <v>234518.89000000013</v>
      </c>
      <c r="M242" s="856"/>
      <c r="N242" s="857" t="s">
        <v>242</v>
      </c>
      <c r="O242" s="293" t="s">
        <v>3946</v>
      </c>
      <c r="P242" s="586" t="s">
        <v>3722</v>
      </c>
      <c r="Q242" s="846" t="s">
        <v>3266</v>
      </c>
      <c r="R242" s="147" t="s">
        <v>3629</v>
      </c>
    </row>
    <row r="243" spans="1:18" ht="81">
      <c r="A243" s="853" t="s">
        <v>2161</v>
      </c>
      <c r="B243" s="854" t="s">
        <v>595</v>
      </c>
      <c r="C243" s="855" t="s">
        <v>6</v>
      </c>
      <c r="D243" s="856">
        <v>377</v>
      </c>
      <c r="E243" s="856">
        <f>'數量計算(FOR5變) '!E466</f>
        <v>439.26329999999996</v>
      </c>
      <c r="F243" s="856">
        <f t="shared" si="35"/>
        <v>62.263299999999958</v>
      </c>
      <c r="G243" s="856">
        <v>199.99</v>
      </c>
      <c r="H243" s="856"/>
      <c r="I243" s="856"/>
      <c r="J243" s="856">
        <f t="shared" si="36"/>
        <v>75396.23</v>
      </c>
      <c r="K243" s="856">
        <f t="shared" si="37"/>
        <v>87848.27</v>
      </c>
      <c r="L243" s="856">
        <f>K243-J243</f>
        <v>12452.040000000008</v>
      </c>
      <c r="M243" s="856"/>
      <c r="N243" s="857" t="s">
        <v>242</v>
      </c>
      <c r="O243" s="753" t="s">
        <v>3545</v>
      </c>
      <c r="P243" s="586" t="s">
        <v>3722</v>
      </c>
      <c r="Q243" s="846" t="s">
        <v>3266</v>
      </c>
    </row>
    <row r="244" spans="1:18" ht="81">
      <c r="A244" s="853" t="s">
        <v>2162</v>
      </c>
      <c r="B244" s="854" t="s">
        <v>626</v>
      </c>
      <c r="C244" s="855" t="s">
        <v>13</v>
      </c>
      <c r="D244" s="856">
        <v>867</v>
      </c>
      <c r="E244" s="856">
        <f>'數量計算(FOR5變) '!E467</f>
        <v>969.93000000000006</v>
      </c>
      <c r="F244" s="856">
        <f t="shared" si="35"/>
        <v>102.93000000000006</v>
      </c>
      <c r="G244" s="856">
        <v>698.28</v>
      </c>
      <c r="H244" s="856"/>
      <c r="I244" s="856"/>
      <c r="J244" s="856">
        <f t="shared" si="36"/>
        <v>605408.76</v>
      </c>
      <c r="K244" s="856">
        <f t="shared" si="37"/>
        <v>677282.72</v>
      </c>
      <c r="L244" s="856">
        <f>K244-J244</f>
        <v>71873.959999999963</v>
      </c>
      <c r="M244" s="856"/>
      <c r="N244" s="857" t="s">
        <v>2385</v>
      </c>
      <c r="O244" s="293" t="s">
        <v>3946</v>
      </c>
      <c r="P244" s="586" t="s">
        <v>3722</v>
      </c>
      <c r="Q244" s="846" t="s">
        <v>3266</v>
      </c>
    </row>
    <row r="245" spans="1:18" ht="114">
      <c r="A245" s="853" t="s">
        <v>2163</v>
      </c>
      <c r="B245" s="854" t="s">
        <v>193</v>
      </c>
      <c r="C245" s="855" t="s">
        <v>13</v>
      </c>
      <c r="D245" s="856">
        <v>1257</v>
      </c>
      <c r="E245" s="856">
        <f>'數量計算(FOR5變) '!E471</f>
        <v>1509.9923999999996</v>
      </c>
      <c r="F245" s="856">
        <f t="shared" si="35"/>
        <v>252.99239999999963</v>
      </c>
      <c r="G245" s="856">
        <v>533.61</v>
      </c>
      <c r="H245" s="856"/>
      <c r="I245" s="856"/>
      <c r="J245" s="856">
        <f t="shared" si="36"/>
        <v>670747.77</v>
      </c>
      <c r="K245" s="856">
        <f t="shared" si="37"/>
        <v>805747.04</v>
      </c>
      <c r="L245" s="856">
        <f>K245-J245</f>
        <v>134999.27000000002</v>
      </c>
      <c r="M245" s="856"/>
      <c r="N245" s="857" t="s">
        <v>2335</v>
      </c>
      <c r="O245" s="293" t="s">
        <v>3946</v>
      </c>
      <c r="P245" s="586" t="s">
        <v>3722</v>
      </c>
      <c r="R245" s="147" t="s">
        <v>3629</v>
      </c>
    </row>
    <row r="246" spans="1:18" ht="67.5">
      <c r="A246" s="853" t="s">
        <v>2164</v>
      </c>
      <c r="B246" s="854" t="s">
        <v>192</v>
      </c>
      <c r="C246" s="855" t="s">
        <v>17</v>
      </c>
      <c r="D246" s="856">
        <v>12810</v>
      </c>
      <c r="E246" s="856">
        <f>'數量計算(FOR5變) '!E476</f>
        <v>48726.898139999998</v>
      </c>
      <c r="F246" s="856">
        <f t="shared" si="35"/>
        <v>35916.898139999998</v>
      </c>
      <c r="G246" s="856">
        <v>36.4</v>
      </c>
      <c r="H246" s="856"/>
      <c r="I246" s="856"/>
      <c r="J246" s="856">
        <f t="shared" si="36"/>
        <v>466284</v>
      </c>
      <c r="K246" s="856">
        <f t="shared" si="37"/>
        <v>1773659.09</v>
      </c>
      <c r="L246" s="856">
        <f>K246-J246</f>
        <v>1307375.0900000001</v>
      </c>
      <c r="M246" s="856"/>
      <c r="N246" s="857" t="s">
        <v>2334</v>
      </c>
      <c r="O246" s="586" t="s">
        <v>3947</v>
      </c>
      <c r="P246" s="586" t="s">
        <v>3723</v>
      </c>
      <c r="Q246" s="846" t="s">
        <v>3266</v>
      </c>
    </row>
    <row r="247" spans="1:18" ht="71.25">
      <c r="A247" s="833" t="s">
        <v>2165</v>
      </c>
      <c r="B247" s="834" t="s">
        <v>655</v>
      </c>
      <c r="C247" s="835" t="s">
        <v>15</v>
      </c>
      <c r="D247" s="836">
        <v>158</v>
      </c>
      <c r="E247" s="836">
        <v>158</v>
      </c>
      <c r="F247" s="836">
        <f t="shared" si="35"/>
        <v>0</v>
      </c>
      <c r="G247" s="836">
        <v>3615.1</v>
      </c>
      <c r="H247" s="836"/>
      <c r="I247" s="836"/>
      <c r="J247" s="836">
        <f t="shared" si="36"/>
        <v>571185.80000000005</v>
      </c>
      <c r="K247" s="836">
        <f t="shared" si="37"/>
        <v>571185.80000000005</v>
      </c>
      <c r="L247" s="836"/>
      <c r="M247" s="836"/>
      <c r="N247" s="837" t="s">
        <v>2337</v>
      </c>
      <c r="O247" s="82" t="s">
        <v>243</v>
      </c>
    </row>
    <row r="248" spans="1:18" ht="71.25">
      <c r="A248" s="833" t="s">
        <v>2166</v>
      </c>
      <c r="B248" s="834" t="s">
        <v>657</v>
      </c>
      <c r="C248" s="835" t="s">
        <v>17</v>
      </c>
      <c r="D248" s="836">
        <v>3713</v>
      </c>
      <c r="E248" s="836">
        <v>3713</v>
      </c>
      <c r="F248" s="836">
        <f t="shared" si="35"/>
        <v>0</v>
      </c>
      <c r="G248" s="836">
        <v>107.44</v>
      </c>
      <c r="H248" s="836"/>
      <c r="I248" s="836"/>
      <c r="J248" s="836">
        <f t="shared" si="36"/>
        <v>398924.72</v>
      </c>
      <c r="K248" s="836">
        <f t="shared" si="37"/>
        <v>398924.72</v>
      </c>
      <c r="L248" s="836"/>
      <c r="M248" s="836"/>
      <c r="N248" s="837" t="s">
        <v>2337</v>
      </c>
      <c r="O248" s="82" t="s">
        <v>243</v>
      </c>
    </row>
    <row r="249" spans="1:18" ht="14.25">
      <c r="A249" s="833" t="s">
        <v>2167</v>
      </c>
      <c r="B249" s="834" t="s">
        <v>357</v>
      </c>
      <c r="C249" s="835" t="s">
        <v>8</v>
      </c>
      <c r="D249" s="836">
        <v>155</v>
      </c>
      <c r="E249" s="836">
        <v>155</v>
      </c>
      <c r="F249" s="836">
        <f t="shared" si="35"/>
        <v>0</v>
      </c>
      <c r="G249" s="836">
        <v>138.84</v>
      </c>
      <c r="H249" s="836"/>
      <c r="I249" s="836"/>
      <c r="J249" s="836">
        <f t="shared" si="36"/>
        <v>21520.2</v>
      </c>
      <c r="K249" s="836">
        <f t="shared" si="37"/>
        <v>21520.2</v>
      </c>
      <c r="L249" s="836"/>
      <c r="M249" s="836"/>
      <c r="N249" s="837" t="s">
        <v>242</v>
      </c>
      <c r="O249" s="82" t="s">
        <v>243</v>
      </c>
    </row>
    <row r="250" spans="1:18" ht="14.25">
      <c r="A250" s="833" t="s">
        <v>2168</v>
      </c>
      <c r="B250" s="834" t="s">
        <v>1497</v>
      </c>
      <c r="C250" s="835" t="s">
        <v>223</v>
      </c>
      <c r="D250" s="836">
        <v>1376.7</v>
      </c>
      <c r="E250" s="836">
        <v>1376.7</v>
      </c>
      <c r="F250" s="836">
        <f t="shared" si="35"/>
        <v>0</v>
      </c>
      <c r="G250" s="836">
        <v>1288.28</v>
      </c>
      <c r="H250" s="836"/>
      <c r="I250" s="836"/>
      <c r="J250" s="836">
        <f t="shared" si="36"/>
        <v>1773575.08</v>
      </c>
      <c r="K250" s="836">
        <f t="shared" si="37"/>
        <v>1773575.08</v>
      </c>
      <c r="L250" s="836"/>
      <c r="M250" s="836"/>
      <c r="N250" s="837" t="s">
        <v>242</v>
      </c>
      <c r="O250" s="82" t="s">
        <v>243</v>
      </c>
    </row>
    <row r="251" spans="1:18" ht="14.25">
      <c r="A251" s="833" t="s">
        <v>2169</v>
      </c>
      <c r="B251" s="834" t="s">
        <v>1498</v>
      </c>
      <c r="C251" s="835" t="s">
        <v>13</v>
      </c>
      <c r="D251" s="836">
        <v>512.1</v>
      </c>
      <c r="E251" s="836">
        <v>512.1</v>
      </c>
      <c r="F251" s="836">
        <f t="shared" si="35"/>
        <v>0</v>
      </c>
      <c r="G251" s="836">
        <v>868.84</v>
      </c>
      <c r="H251" s="836"/>
      <c r="I251" s="836"/>
      <c r="J251" s="836">
        <f t="shared" si="36"/>
        <v>444932.96</v>
      </c>
      <c r="K251" s="836">
        <f t="shared" si="37"/>
        <v>444932.96</v>
      </c>
      <c r="L251" s="836"/>
      <c r="M251" s="836"/>
      <c r="N251" s="837" t="s">
        <v>242</v>
      </c>
      <c r="O251" s="293"/>
      <c r="P251" s="293"/>
      <c r="R251" s="82" t="s">
        <v>3933</v>
      </c>
    </row>
    <row r="252" spans="1:18" ht="23.25" customHeight="1">
      <c r="A252" s="853" t="s">
        <v>2170</v>
      </c>
      <c r="B252" s="860" t="s">
        <v>3638</v>
      </c>
      <c r="C252" s="861" t="s">
        <v>3176</v>
      </c>
      <c r="D252" s="856">
        <v>0</v>
      </c>
      <c r="E252" s="862">
        <f>'數量計算(FOR5變) '!E488</f>
        <v>16.166000000000004</v>
      </c>
      <c r="F252" s="856">
        <f t="shared" ref="F252:F254" si="44">E252-D252</f>
        <v>16.166000000000004</v>
      </c>
      <c r="G252" s="862">
        <v>458.71</v>
      </c>
      <c r="H252" s="862">
        <v>458.71</v>
      </c>
      <c r="I252" s="862"/>
      <c r="J252" s="856">
        <f t="shared" ref="J252" si="45">ROUND(D252*G252,2)</f>
        <v>0</v>
      </c>
      <c r="K252" s="856">
        <f t="shared" ref="K252" si="46">ROUND(E252*G252,2)</f>
        <v>7415.51</v>
      </c>
      <c r="L252" s="856">
        <f>K252-J252</f>
        <v>7415.51</v>
      </c>
      <c r="M252" s="862"/>
      <c r="N252" s="863" t="s">
        <v>2625</v>
      </c>
      <c r="O252" s="147" t="s">
        <v>3528</v>
      </c>
      <c r="P252" s="586" t="s">
        <v>3707</v>
      </c>
      <c r="Q252" s="846"/>
    </row>
    <row r="253" spans="1:18" ht="23.25" customHeight="1">
      <c r="A253" s="853" t="s">
        <v>2171</v>
      </c>
      <c r="B253" s="854" t="s">
        <v>3805</v>
      </c>
      <c r="C253" s="855" t="s">
        <v>3176</v>
      </c>
      <c r="D253" s="856">
        <v>0</v>
      </c>
      <c r="E253" s="856">
        <f>'數量計算(FOR5變) '!E489</f>
        <v>498.33375000000007</v>
      </c>
      <c r="F253" s="856">
        <f t="shared" si="44"/>
        <v>498.33375000000007</v>
      </c>
      <c r="G253" s="856">
        <v>300</v>
      </c>
      <c r="H253" s="856"/>
      <c r="I253" s="856"/>
      <c r="J253" s="856">
        <f t="shared" ref="J253:J254" si="47">ROUND(D253*G253,2)</f>
        <v>0</v>
      </c>
      <c r="K253" s="856">
        <f t="shared" ref="K253:K254" si="48">ROUND(E253*G253,2)</f>
        <v>149500.13</v>
      </c>
      <c r="L253" s="856">
        <f>K253-J253</f>
        <v>149500.13</v>
      </c>
      <c r="M253" s="856"/>
      <c r="N253" s="857"/>
      <c r="O253" s="147" t="s">
        <v>3806</v>
      </c>
      <c r="P253" s="586" t="s">
        <v>3807</v>
      </c>
      <c r="Q253" s="846"/>
    </row>
    <row r="254" spans="1:18" ht="42.75" customHeight="1">
      <c r="A254" s="853" t="s">
        <v>2172</v>
      </c>
      <c r="B254" s="860" t="s">
        <v>3858</v>
      </c>
      <c r="C254" s="861" t="s">
        <v>3865</v>
      </c>
      <c r="D254" s="856">
        <v>0</v>
      </c>
      <c r="E254" s="862">
        <f>'數量計算(FOR5變) '!E490</f>
        <v>12</v>
      </c>
      <c r="F254" s="862">
        <f t="shared" si="44"/>
        <v>12</v>
      </c>
      <c r="G254" s="862">
        <v>11000</v>
      </c>
      <c r="H254" s="862"/>
      <c r="I254" s="862"/>
      <c r="J254" s="856">
        <f t="shared" si="47"/>
        <v>0</v>
      </c>
      <c r="K254" s="862">
        <f t="shared" si="48"/>
        <v>132000</v>
      </c>
      <c r="L254" s="856">
        <f>K254-J254</f>
        <v>132000</v>
      </c>
      <c r="M254" s="862"/>
      <c r="N254" s="863"/>
      <c r="O254" s="586" t="s">
        <v>3866</v>
      </c>
      <c r="P254" s="586" t="s">
        <v>3964</v>
      </c>
      <c r="Q254" s="846"/>
    </row>
    <row r="255" spans="1:18" ht="55.5">
      <c r="A255" s="833" t="s">
        <v>2246</v>
      </c>
      <c r="B255" s="834" t="s">
        <v>660</v>
      </c>
      <c r="C255" s="835" t="s">
        <v>4</v>
      </c>
      <c r="D255" s="836"/>
      <c r="E255" s="836"/>
      <c r="F255" s="836"/>
      <c r="G255" s="836">
        <f>J255</f>
        <v>5873857.4800000004</v>
      </c>
      <c r="H255" s="836"/>
      <c r="I255" s="836"/>
      <c r="J255" s="836">
        <f>SUM(J256:J340)</f>
        <v>5873857.4800000004</v>
      </c>
      <c r="K255" s="836">
        <f t="shared" ref="K255:M255" si="49">SUM(K256:K340)</f>
        <v>18663686.350000001</v>
      </c>
      <c r="L255" s="836">
        <f t="shared" si="49"/>
        <v>11080507.069999998</v>
      </c>
      <c r="M255" s="836">
        <f t="shared" si="49"/>
        <v>24753.200000000001</v>
      </c>
      <c r="N255" s="837" t="s">
        <v>242</v>
      </c>
      <c r="O255" s="920" t="s">
        <v>3948</v>
      </c>
      <c r="P255" s="914"/>
    </row>
    <row r="256" spans="1:18" ht="42.75">
      <c r="A256" s="853" t="s">
        <v>2154</v>
      </c>
      <c r="B256" s="854" t="s">
        <v>662</v>
      </c>
      <c r="C256" s="855" t="s">
        <v>223</v>
      </c>
      <c r="D256" s="856">
        <v>1</v>
      </c>
      <c r="E256" s="856">
        <f>'數量計算(FOR5變) '!E492</f>
        <v>2626.49</v>
      </c>
      <c r="F256" s="856">
        <f t="shared" si="35"/>
        <v>2625.49</v>
      </c>
      <c r="G256" s="856">
        <v>704.48</v>
      </c>
      <c r="H256" s="856"/>
      <c r="I256" s="856"/>
      <c r="J256" s="856">
        <f t="shared" si="36"/>
        <v>704.48</v>
      </c>
      <c r="K256" s="856">
        <f t="shared" si="37"/>
        <v>1850309.68</v>
      </c>
      <c r="L256" s="856">
        <f>K256-J256</f>
        <v>1849605.2</v>
      </c>
      <c r="M256" s="856"/>
      <c r="N256" s="857" t="s">
        <v>2396</v>
      </c>
      <c r="O256" s="82" t="s">
        <v>243</v>
      </c>
    </row>
    <row r="257" spans="1:16" ht="42.75">
      <c r="A257" s="853" t="s">
        <v>2155</v>
      </c>
      <c r="B257" s="854" t="s">
        <v>665</v>
      </c>
      <c r="C257" s="855" t="s">
        <v>5</v>
      </c>
      <c r="D257" s="856">
        <v>1</v>
      </c>
      <c r="E257" s="856">
        <f>'數量計算(FOR5變) '!E496</f>
        <v>200</v>
      </c>
      <c r="F257" s="856">
        <f t="shared" si="35"/>
        <v>199</v>
      </c>
      <c r="G257" s="856">
        <v>399.98</v>
      </c>
      <c r="H257" s="856"/>
      <c r="I257" s="856"/>
      <c r="J257" s="856">
        <f t="shared" si="36"/>
        <v>399.98</v>
      </c>
      <c r="K257" s="856">
        <f t="shared" si="37"/>
        <v>79996</v>
      </c>
      <c r="L257" s="856">
        <f>K257-J257</f>
        <v>79596.02</v>
      </c>
      <c r="M257" s="856"/>
      <c r="N257" s="857" t="s">
        <v>2397</v>
      </c>
      <c r="O257" s="586" t="s">
        <v>3594</v>
      </c>
      <c r="P257" s="586"/>
    </row>
    <row r="258" spans="1:16" ht="28.5">
      <c r="A258" s="833" t="s">
        <v>2156</v>
      </c>
      <c r="B258" s="834" t="s">
        <v>668</v>
      </c>
      <c r="C258" s="835" t="s">
        <v>669</v>
      </c>
      <c r="D258" s="836">
        <v>15</v>
      </c>
      <c r="E258" s="836">
        <v>15</v>
      </c>
      <c r="F258" s="836">
        <f t="shared" si="35"/>
        <v>0</v>
      </c>
      <c r="G258" s="836">
        <v>3569.75</v>
      </c>
      <c r="H258" s="836"/>
      <c r="I258" s="836"/>
      <c r="J258" s="836">
        <f t="shared" si="36"/>
        <v>53546.25</v>
      </c>
      <c r="K258" s="836">
        <f t="shared" si="37"/>
        <v>53546.25</v>
      </c>
      <c r="L258" s="836"/>
      <c r="M258" s="836"/>
      <c r="N258" s="837" t="s">
        <v>2398</v>
      </c>
      <c r="O258" s="82" t="s">
        <v>243</v>
      </c>
    </row>
    <row r="259" spans="1:16" ht="28.5">
      <c r="A259" s="833" t="s">
        <v>2157</v>
      </c>
      <c r="B259" s="834" t="s">
        <v>672</v>
      </c>
      <c r="C259" s="835" t="s">
        <v>669</v>
      </c>
      <c r="D259" s="836">
        <v>2</v>
      </c>
      <c r="E259" s="836">
        <v>2</v>
      </c>
      <c r="F259" s="836">
        <f t="shared" si="35"/>
        <v>0</v>
      </c>
      <c r="G259" s="836">
        <v>4082.87</v>
      </c>
      <c r="H259" s="836"/>
      <c r="I259" s="836"/>
      <c r="J259" s="836">
        <f t="shared" si="36"/>
        <v>8165.74</v>
      </c>
      <c r="K259" s="836">
        <f t="shared" si="37"/>
        <v>8165.74</v>
      </c>
      <c r="L259" s="836"/>
      <c r="M259" s="836"/>
      <c r="N259" s="837" t="s">
        <v>2401</v>
      </c>
      <c r="O259" s="82" t="s">
        <v>243</v>
      </c>
    </row>
    <row r="260" spans="1:16" ht="28.5">
      <c r="A260" s="833" t="s">
        <v>2158</v>
      </c>
      <c r="B260" s="834" t="s">
        <v>675</v>
      </c>
      <c r="C260" s="835" t="s">
        <v>669</v>
      </c>
      <c r="D260" s="836">
        <v>9</v>
      </c>
      <c r="E260" s="836">
        <v>9</v>
      </c>
      <c r="F260" s="836">
        <f t="shared" si="35"/>
        <v>0</v>
      </c>
      <c r="G260" s="836">
        <v>7408.14</v>
      </c>
      <c r="H260" s="836"/>
      <c r="I260" s="836"/>
      <c r="J260" s="836">
        <f t="shared" si="36"/>
        <v>66673.259999999995</v>
      </c>
      <c r="K260" s="836">
        <f t="shared" si="37"/>
        <v>66673.259999999995</v>
      </c>
      <c r="L260" s="836"/>
      <c r="M260" s="836"/>
      <c r="N260" s="837" t="s">
        <v>2401</v>
      </c>
      <c r="O260" s="82" t="s">
        <v>243</v>
      </c>
    </row>
    <row r="261" spans="1:16" ht="28.5">
      <c r="A261" s="833" t="s">
        <v>2159</v>
      </c>
      <c r="B261" s="834" t="s">
        <v>678</v>
      </c>
      <c r="C261" s="835" t="s">
        <v>669</v>
      </c>
      <c r="D261" s="836">
        <v>8</v>
      </c>
      <c r="E261" s="836">
        <v>8</v>
      </c>
      <c r="F261" s="836">
        <f t="shared" si="35"/>
        <v>0</v>
      </c>
      <c r="G261" s="836">
        <v>10318.74</v>
      </c>
      <c r="H261" s="836"/>
      <c r="I261" s="836"/>
      <c r="J261" s="836">
        <f t="shared" si="36"/>
        <v>82549.919999999998</v>
      </c>
      <c r="K261" s="836">
        <f t="shared" si="37"/>
        <v>82549.919999999998</v>
      </c>
      <c r="L261" s="836"/>
      <c r="M261" s="836"/>
      <c r="N261" s="837" t="s">
        <v>2401</v>
      </c>
      <c r="O261" s="82" t="s">
        <v>243</v>
      </c>
    </row>
    <row r="262" spans="1:16" ht="28.5">
      <c r="A262" s="833" t="s">
        <v>2160</v>
      </c>
      <c r="B262" s="834" t="s">
        <v>681</v>
      </c>
      <c r="C262" s="835" t="s">
        <v>669</v>
      </c>
      <c r="D262" s="836">
        <v>5</v>
      </c>
      <c r="E262" s="836">
        <v>5</v>
      </c>
      <c r="F262" s="836">
        <f t="shared" si="35"/>
        <v>0</v>
      </c>
      <c r="G262" s="836">
        <v>15163.34</v>
      </c>
      <c r="H262" s="836"/>
      <c r="I262" s="836"/>
      <c r="J262" s="836">
        <f t="shared" si="36"/>
        <v>75816.7</v>
      </c>
      <c r="K262" s="836">
        <f t="shared" si="37"/>
        <v>75816.7</v>
      </c>
      <c r="L262" s="836"/>
      <c r="M262" s="836"/>
      <c r="N262" s="837" t="s">
        <v>2398</v>
      </c>
      <c r="O262" s="82" t="s">
        <v>243</v>
      </c>
    </row>
    <row r="263" spans="1:16" ht="28.5">
      <c r="A263" s="833" t="s">
        <v>2161</v>
      </c>
      <c r="B263" s="834" t="s">
        <v>684</v>
      </c>
      <c r="C263" s="835" t="s">
        <v>669</v>
      </c>
      <c r="D263" s="836">
        <v>3</v>
      </c>
      <c r="E263" s="836">
        <v>3</v>
      </c>
      <c r="F263" s="836">
        <f t="shared" si="35"/>
        <v>0</v>
      </c>
      <c r="G263" s="836">
        <v>21801.91</v>
      </c>
      <c r="H263" s="836"/>
      <c r="I263" s="836"/>
      <c r="J263" s="836">
        <f t="shared" si="36"/>
        <v>65405.73</v>
      </c>
      <c r="K263" s="836">
        <f t="shared" si="37"/>
        <v>65405.73</v>
      </c>
      <c r="L263" s="836"/>
      <c r="M263" s="836"/>
      <c r="N263" s="837" t="s">
        <v>2401</v>
      </c>
      <c r="O263" s="82" t="s">
        <v>243</v>
      </c>
    </row>
    <row r="264" spans="1:16" ht="28.5">
      <c r="A264" s="833" t="s">
        <v>2162</v>
      </c>
      <c r="B264" s="834" t="s">
        <v>687</v>
      </c>
      <c r="C264" s="835" t="s">
        <v>669</v>
      </c>
      <c r="D264" s="836">
        <v>2</v>
      </c>
      <c r="E264" s="836">
        <v>2</v>
      </c>
      <c r="F264" s="836">
        <f t="shared" si="35"/>
        <v>0</v>
      </c>
      <c r="G264" s="836">
        <v>29983.23</v>
      </c>
      <c r="H264" s="836"/>
      <c r="I264" s="836"/>
      <c r="J264" s="836">
        <f t="shared" si="36"/>
        <v>59966.46</v>
      </c>
      <c r="K264" s="836">
        <f t="shared" si="37"/>
        <v>59966.46</v>
      </c>
      <c r="L264" s="836"/>
      <c r="M264" s="836"/>
      <c r="N264" s="837" t="s">
        <v>242</v>
      </c>
      <c r="O264" s="82" t="s">
        <v>243</v>
      </c>
    </row>
    <row r="265" spans="1:16" ht="28.5">
      <c r="A265" s="833" t="s">
        <v>2163</v>
      </c>
      <c r="B265" s="834" t="s">
        <v>690</v>
      </c>
      <c r="C265" s="835" t="s">
        <v>669</v>
      </c>
      <c r="D265" s="836">
        <v>1</v>
      </c>
      <c r="E265" s="836">
        <v>1</v>
      </c>
      <c r="F265" s="836">
        <f t="shared" si="35"/>
        <v>0</v>
      </c>
      <c r="G265" s="836">
        <v>28372.400000000001</v>
      </c>
      <c r="H265" s="836"/>
      <c r="I265" s="836"/>
      <c r="J265" s="836">
        <f t="shared" si="36"/>
        <v>28372.400000000001</v>
      </c>
      <c r="K265" s="836">
        <f t="shared" si="37"/>
        <v>28372.400000000001</v>
      </c>
      <c r="L265" s="836"/>
      <c r="M265" s="836"/>
      <c r="N265" s="837" t="s">
        <v>242</v>
      </c>
      <c r="O265" s="82" t="s">
        <v>243</v>
      </c>
    </row>
    <row r="266" spans="1:16" ht="28.5">
      <c r="A266" s="833" t="s">
        <v>2164</v>
      </c>
      <c r="B266" s="834" t="s">
        <v>693</v>
      </c>
      <c r="C266" s="835" t="s">
        <v>669</v>
      </c>
      <c r="D266" s="836">
        <v>1</v>
      </c>
      <c r="E266" s="836">
        <v>1</v>
      </c>
      <c r="F266" s="836">
        <f t="shared" si="35"/>
        <v>0</v>
      </c>
      <c r="G266" s="836">
        <v>73084.87</v>
      </c>
      <c r="H266" s="836"/>
      <c r="I266" s="836"/>
      <c r="J266" s="836">
        <f t="shared" si="36"/>
        <v>73084.87</v>
      </c>
      <c r="K266" s="836">
        <f t="shared" si="37"/>
        <v>73084.87</v>
      </c>
      <c r="L266" s="836"/>
      <c r="M266" s="836"/>
      <c r="N266" s="837" t="s">
        <v>242</v>
      </c>
      <c r="O266" s="82" t="s">
        <v>243</v>
      </c>
    </row>
    <row r="267" spans="1:16" ht="85.5">
      <c r="A267" s="833" t="s">
        <v>2165</v>
      </c>
      <c r="B267" s="834" t="s">
        <v>696</v>
      </c>
      <c r="C267" s="835" t="s">
        <v>669</v>
      </c>
      <c r="D267" s="836">
        <v>4</v>
      </c>
      <c r="E267" s="836">
        <v>4</v>
      </c>
      <c r="F267" s="836">
        <f t="shared" si="35"/>
        <v>0</v>
      </c>
      <c r="G267" s="836">
        <v>22813.26</v>
      </c>
      <c r="H267" s="836"/>
      <c r="I267" s="836"/>
      <c r="J267" s="836">
        <f t="shared" si="36"/>
        <v>91253.04</v>
      </c>
      <c r="K267" s="836">
        <f t="shared" si="37"/>
        <v>91253.04</v>
      </c>
      <c r="L267" s="836"/>
      <c r="M267" s="836"/>
      <c r="N267" s="837" t="s">
        <v>2402</v>
      </c>
      <c r="O267" s="82" t="s">
        <v>243</v>
      </c>
    </row>
    <row r="268" spans="1:16" ht="28.5">
      <c r="A268" s="833" t="s">
        <v>2166</v>
      </c>
      <c r="B268" s="834" t="s">
        <v>699</v>
      </c>
      <c r="C268" s="835" t="s">
        <v>669</v>
      </c>
      <c r="D268" s="836">
        <v>2</v>
      </c>
      <c r="E268" s="836">
        <v>2</v>
      </c>
      <c r="F268" s="836">
        <f t="shared" si="35"/>
        <v>0</v>
      </c>
      <c r="G268" s="836">
        <v>1079.8499999999999</v>
      </c>
      <c r="H268" s="836"/>
      <c r="I268" s="836"/>
      <c r="J268" s="836">
        <f t="shared" si="36"/>
        <v>2159.6999999999998</v>
      </c>
      <c r="K268" s="836">
        <f t="shared" si="37"/>
        <v>2159.6999999999998</v>
      </c>
      <c r="L268" s="836"/>
      <c r="M268" s="836"/>
      <c r="N268" s="837" t="s">
        <v>2403</v>
      </c>
      <c r="O268" s="82" t="s">
        <v>243</v>
      </c>
    </row>
    <row r="269" spans="1:16" ht="28.5">
      <c r="A269" s="833" t="s">
        <v>2167</v>
      </c>
      <c r="B269" s="834" t="s">
        <v>702</v>
      </c>
      <c r="C269" s="835" t="s">
        <v>669</v>
      </c>
      <c r="D269" s="836">
        <v>7</v>
      </c>
      <c r="E269" s="836">
        <v>7</v>
      </c>
      <c r="F269" s="836">
        <f t="shared" si="35"/>
        <v>0</v>
      </c>
      <c r="G269" s="836">
        <v>1963.19</v>
      </c>
      <c r="H269" s="836"/>
      <c r="I269" s="836"/>
      <c r="J269" s="836">
        <f t="shared" si="36"/>
        <v>13742.33</v>
      </c>
      <c r="K269" s="836">
        <f t="shared" si="37"/>
        <v>13742.33</v>
      </c>
      <c r="L269" s="836"/>
      <c r="M269" s="836"/>
      <c r="N269" s="837" t="s">
        <v>242</v>
      </c>
      <c r="O269" s="82" t="s">
        <v>243</v>
      </c>
    </row>
    <row r="270" spans="1:16" ht="28.5">
      <c r="A270" s="833" t="s">
        <v>2168</v>
      </c>
      <c r="B270" s="834" t="s">
        <v>705</v>
      </c>
      <c r="C270" s="835" t="s">
        <v>669</v>
      </c>
      <c r="D270" s="836">
        <v>3</v>
      </c>
      <c r="E270" s="836">
        <v>3</v>
      </c>
      <c r="F270" s="836">
        <f t="shared" si="35"/>
        <v>0</v>
      </c>
      <c r="G270" s="836">
        <v>2216.48</v>
      </c>
      <c r="H270" s="836"/>
      <c r="I270" s="836"/>
      <c r="J270" s="836">
        <f t="shared" si="36"/>
        <v>6649.44</v>
      </c>
      <c r="K270" s="836">
        <f t="shared" si="37"/>
        <v>6649.44</v>
      </c>
      <c r="L270" s="836"/>
      <c r="M270" s="836"/>
      <c r="N270" s="837" t="s">
        <v>242</v>
      </c>
      <c r="O270" s="82" t="s">
        <v>243</v>
      </c>
    </row>
    <row r="271" spans="1:16" ht="28.5">
      <c r="A271" s="853" t="s">
        <v>2169</v>
      </c>
      <c r="B271" s="854" t="s">
        <v>708</v>
      </c>
      <c r="C271" s="855" t="s">
        <v>669</v>
      </c>
      <c r="D271" s="856">
        <v>6</v>
      </c>
      <c r="E271" s="856">
        <f>'數量計算(FOR5變) '!E510</f>
        <v>7</v>
      </c>
      <c r="F271" s="856">
        <f t="shared" si="35"/>
        <v>1</v>
      </c>
      <c r="G271" s="856">
        <v>4720.3100000000004</v>
      </c>
      <c r="H271" s="856"/>
      <c r="I271" s="856"/>
      <c r="J271" s="856">
        <f t="shared" si="36"/>
        <v>28321.86</v>
      </c>
      <c r="K271" s="856">
        <f t="shared" si="37"/>
        <v>33042.17</v>
      </c>
      <c r="L271" s="856">
        <f>K271-J271</f>
        <v>4720.3099999999977</v>
      </c>
      <c r="M271" s="856"/>
      <c r="N271" s="857" t="s">
        <v>242</v>
      </c>
      <c r="O271" s="293" t="s">
        <v>3561</v>
      </c>
      <c r="P271" s="293" t="s">
        <v>3724</v>
      </c>
    </row>
    <row r="272" spans="1:16" ht="42.75">
      <c r="A272" s="833" t="s">
        <v>2170</v>
      </c>
      <c r="B272" s="834" t="s">
        <v>147</v>
      </c>
      <c r="C272" s="835" t="s">
        <v>8</v>
      </c>
      <c r="D272" s="836">
        <v>162</v>
      </c>
      <c r="E272" s="836">
        <v>162</v>
      </c>
      <c r="F272" s="836">
        <f t="shared" si="35"/>
        <v>0</v>
      </c>
      <c r="G272" s="836">
        <v>1859.79</v>
      </c>
      <c r="H272" s="836"/>
      <c r="I272" s="836"/>
      <c r="J272" s="836">
        <f t="shared" si="36"/>
        <v>301285.98</v>
      </c>
      <c r="K272" s="836">
        <f t="shared" si="37"/>
        <v>301285.98</v>
      </c>
      <c r="L272" s="836"/>
      <c r="M272" s="836"/>
      <c r="N272" s="837" t="s">
        <v>2404</v>
      </c>
      <c r="O272" s="82" t="s">
        <v>243</v>
      </c>
    </row>
    <row r="273" spans="1:17" ht="42.75">
      <c r="A273" s="833" t="s">
        <v>2171</v>
      </c>
      <c r="B273" s="834" t="s">
        <v>713</v>
      </c>
      <c r="C273" s="835" t="s">
        <v>15</v>
      </c>
      <c r="D273" s="836">
        <v>1</v>
      </c>
      <c r="E273" s="836">
        <v>1</v>
      </c>
      <c r="F273" s="836">
        <f t="shared" si="35"/>
        <v>0</v>
      </c>
      <c r="G273" s="836">
        <v>10254.44</v>
      </c>
      <c r="H273" s="836"/>
      <c r="I273" s="836"/>
      <c r="J273" s="836">
        <f t="shared" si="36"/>
        <v>10254.44</v>
      </c>
      <c r="K273" s="836">
        <f t="shared" si="37"/>
        <v>10254.44</v>
      </c>
      <c r="L273" s="836"/>
      <c r="M273" s="836"/>
      <c r="N273" s="837" t="s">
        <v>2405</v>
      </c>
      <c r="O273" s="82" t="s">
        <v>243</v>
      </c>
    </row>
    <row r="274" spans="1:17" ht="42.75">
      <c r="A274" s="833" t="s">
        <v>2172</v>
      </c>
      <c r="B274" s="834" t="s">
        <v>716</v>
      </c>
      <c r="C274" s="835" t="s">
        <v>15</v>
      </c>
      <c r="D274" s="836">
        <v>268</v>
      </c>
      <c r="E274" s="836">
        <v>268</v>
      </c>
      <c r="F274" s="836">
        <f t="shared" si="35"/>
        <v>0</v>
      </c>
      <c r="G274" s="836">
        <v>40</v>
      </c>
      <c r="H274" s="836"/>
      <c r="I274" s="836"/>
      <c r="J274" s="836">
        <f t="shared" si="36"/>
        <v>10720</v>
      </c>
      <c r="K274" s="836">
        <f t="shared" si="37"/>
        <v>10720</v>
      </c>
      <c r="L274" s="836"/>
      <c r="M274" s="836"/>
      <c r="N274" s="837" t="s">
        <v>2406</v>
      </c>
      <c r="O274" s="82" t="s">
        <v>243</v>
      </c>
    </row>
    <row r="275" spans="1:17" ht="42.75">
      <c r="A275" s="833" t="s">
        <v>2173</v>
      </c>
      <c r="B275" s="834" t="s">
        <v>719</v>
      </c>
      <c r="C275" s="835" t="s">
        <v>7</v>
      </c>
      <c r="D275" s="836">
        <v>1340</v>
      </c>
      <c r="E275" s="836">
        <v>1340</v>
      </c>
      <c r="F275" s="836">
        <f t="shared" si="35"/>
        <v>0</v>
      </c>
      <c r="G275" s="836">
        <v>35</v>
      </c>
      <c r="H275" s="836"/>
      <c r="I275" s="836"/>
      <c r="J275" s="836">
        <f t="shared" si="36"/>
        <v>46900</v>
      </c>
      <c r="K275" s="836">
        <f t="shared" si="37"/>
        <v>46900</v>
      </c>
      <c r="L275" s="836"/>
      <c r="M275" s="836"/>
      <c r="N275" s="837" t="s">
        <v>2407</v>
      </c>
      <c r="O275" s="82" t="s">
        <v>243</v>
      </c>
    </row>
    <row r="276" spans="1:17" ht="28.5">
      <c r="A276" s="833" t="s">
        <v>2174</v>
      </c>
      <c r="B276" s="834" t="s">
        <v>722</v>
      </c>
      <c r="C276" s="835" t="s">
        <v>8</v>
      </c>
      <c r="D276" s="836">
        <v>1</v>
      </c>
      <c r="E276" s="836">
        <v>1</v>
      </c>
      <c r="F276" s="836">
        <f t="shared" si="35"/>
        <v>0</v>
      </c>
      <c r="G276" s="836">
        <v>10</v>
      </c>
      <c r="H276" s="836"/>
      <c r="I276" s="836"/>
      <c r="J276" s="836">
        <f t="shared" si="36"/>
        <v>10</v>
      </c>
      <c r="K276" s="836">
        <f t="shared" si="37"/>
        <v>10</v>
      </c>
      <c r="L276" s="836"/>
      <c r="M276" s="836"/>
      <c r="N276" s="837" t="s">
        <v>242</v>
      </c>
      <c r="O276" s="82" t="s">
        <v>243</v>
      </c>
    </row>
    <row r="277" spans="1:17" ht="28.5">
      <c r="A277" s="833" t="s">
        <v>2175</v>
      </c>
      <c r="B277" s="834" t="s">
        <v>725</v>
      </c>
      <c r="C277" s="835" t="s">
        <v>13</v>
      </c>
      <c r="D277" s="836">
        <v>1</v>
      </c>
      <c r="E277" s="836">
        <v>1</v>
      </c>
      <c r="F277" s="836">
        <f t="shared" si="35"/>
        <v>0</v>
      </c>
      <c r="G277" s="836">
        <v>530.97</v>
      </c>
      <c r="H277" s="836"/>
      <c r="I277" s="836"/>
      <c r="J277" s="836">
        <f t="shared" si="36"/>
        <v>530.97</v>
      </c>
      <c r="K277" s="836">
        <f t="shared" si="37"/>
        <v>530.97</v>
      </c>
      <c r="L277" s="836"/>
      <c r="M277" s="836"/>
      <c r="N277" s="837" t="s">
        <v>2408</v>
      </c>
      <c r="O277" s="82" t="s">
        <v>243</v>
      </c>
    </row>
    <row r="278" spans="1:17" ht="14.25">
      <c r="A278" s="833" t="s">
        <v>2177</v>
      </c>
      <c r="B278" s="834" t="s">
        <v>728</v>
      </c>
      <c r="C278" s="835" t="s">
        <v>6</v>
      </c>
      <c r="D278" s="836">
        <v>11.31</v>
      </c>
      <c r="E278" s="836">
        <v>11.31</v>
      </c>
      <c r="F278" s="836">
        <f t="shared" si="35"/>
        <v>0</v>
      </c>
      <c r="G278" s="836">
        <v>3386.34</v>
      </c>
      <c r="H278" s="836"/>
      <c r="I278" s="836"/>
      <c r="J278" s="836">
        <f t="shared" si="36"/>
        <v>38299.51</v>
      </c>
      <c r="K278" s="836">
        <f t="shared" si="37"/>
        <v>38299.51</v>
      </c>
      <c r="L278" s="836"/>
      <c r="M278" s="836"/>
      <c r="N278" s="837" t="s">
        <v>242</v>
      </c>
      <c r="O278" s="82" t="s">
        <v>243</v>
      </c>
    </row>
    <row r="279" spans="1:17" ht="42.75">
      <c r="A279" s="833" t="s">
        <v>2178</v>
      </c>
      <c r="B279" s="834" t="s">
        <v>731</v>
      </c>
      <c r="C279" s="835" t="s">
        <v>4</v>
      </c>
      <c r="D279" s="836">
        <v>1</v>
      </c>
      <c r="E279" s="836">
        <v>1</v>
      </c>
      <c r="F279" s="836">
        <f t="shared" si="35"/>
        <v>0</v>
      </c>
      <c r="G279" s="836">
        <v>107994.11</v>
      </c>
      <c r="H279" s="836"/>
      <c r="I279" s="836"/>
      <c r="J279" s="836">
        <f t="shared" si="36"/>
        <v>107994.11</v>
      </c>
      <c r="K279" s="836">
        <f t="shared" si="37"/>
        <v>107994.11</v>
      </c>
      <c r="L279" s="836"/>
      <c r="M279" s="836"/>
      <c r="N279" s="837" t="s">
        <v>2409</v>
      </c>
      <c r="O279" s="82" t="s">
        <v>243</v>
      </c>
    </row>
    <row r="280" spans="1:17" ht="14.25">
      <c r="A280" s="833" t="s">
        <v>2179</v>
      </c>
      <c r="B280" s="834" t="s">
        <v>734</v>
      </c>
      <c r="C280" s="835" t="s">
        <v>13</v>
      </c>
      <c r="D280" s="836">
        <v>1</v>
      </c>
      <c r="E280" s="836">
        <v>1</v>
      </c>
      <c r="F280" s="836">
        <f t="shared" si="35"/>
        <v>0</v>
      </c>
      <c r="G280" s="836">
        <v>499.97</v>
      </c>
      <c r="H280" s="836"/>
      <c r="I280" s="836"/>
      <c r="J280" s="836">
        <f t="shared" si="36"/>
        <v>499.97</v>
      </c>
      <c r="K280" s="836">
        <f t="shared" si="37"/>
        <v>499.97</v>
      </c>
      <c r="L280" s="836"/>
      <c r="M280" s="836"/>
      <c r="N280" s="837" t="s">
        <v>2321</v>
      </c>
      <c r="O280" s="82" t="s">
        <v>243</v>
      </c>
    </row>
    <row r="281" spans="1:17" ht="42.75">
      <c r="A281" s="815" t="s">
        <v>2181</v>
      </c>
      <c r="B281" s="816" t="s">
        <v>737</v>
      </c>
      <c r="C281" s="821" t="s">
        <v>669</v>
      </c>
      <c r="D281" s="817">
        <v>1</v>
      </c>
      <c r="E281" s="817">
        <v>0</v>
      </c>
      <c r="F281" s="817">
        <f t="shared" si="35"/>
        <v>-1</v>
      </c>
      <c r="G281" s="817">
        <v>10067.84</v>
      </c>
      <c r="H281" s="817"/>
      <c r="I281" s="817"/>
      <c r="J281" s="817">
        <f t="shared" si="36"/>
        <v>10067.84</v>
      </c>
      <c r="K281" s="817">
        <f t="shared" si="37"/>
        <v>0</v>
      </c>
      <c r="L281" s="817"/>
      <c r="M281" s="817">
        <f>J281-K281</f>
        <v>10067.84</v>
      </c>
      <c r="N281" s="818" t="s">
        <v>2321</v>
      </c>
      <c r="O281" s="147" t="s">
        <v>3587</v>
      </c>
      <c r="P281" s="147"/>
    </row>
    <row r="282" spans="1:17" ht="42.75">
      <c r="A282" s="859">
        <v>26.1</v>
      </c>
      <c r="B282" s="854" t="s">
        <v>3213</v>
      </c>
      <c r="C282" s="855" t="s">
        <v>669</v>
      </c>
      <c r="D282" s="856">
        <v>1</v>
      </c>
      <c r="E282" s="862">
        <f>'數量計算(FOR5變) '!E521</f>
        <v>35</v>
      </c>
      <c r="F282" s="856">
        <f t="shared" si="35"/>
        <v>34</v>
      </c>
      <c r="G282" s="941">
        <v>9750</v>
      </c>
      <c r="H282" s="862"/>
      <c r="I282" s="862"/>
      <c r="J282" s="856">
        <f t="shared" ref="J282:J331" si="50">ROUND(D282*G282,2)</f>
        <v>9750</v>
      </c>
      <c r="K282" s="856">
        <f t="shared" ref="K282:K331" si="51">ROUND(E282*G282,2)</f>
        <v>341250</v>
      </c>
      <c r="L282" s="862"/>
      <c r="M282" s="862"/>
      <c r="N282" s="863"/>
      <c r="O282" s="147" t="s">
        <v>3587</v>
      </c>
      <c r="P282" s="147"/>
      <c r="Q282" s="846" t="s">
        <v>3266</v>
      </c>
    </row>
    <row r="283" spans="1:17" ht="28.5">
      <c r="A283" s="853" t="s">
        <v>2182</v>
      </c>
      <c r="B283" s="854" t="s">
        <v>740</v>
      </c>
      <c r="C283" s="855" t="s">
        <v>669</v>
      </c>
      <c r="D283" s="856">
        <v>1</v>
      </c>
      <c r="E283" s="862">
        <f>'數量計算(FOR5變) '!E522</f>
        <v>29</v>
      </c>
      <c r="F283" s="856">
        <f t="shared" ref="F283:F348" si="52">E283-D283</f>
        <v>28</v>
      </c>
      <c r="G283" s="856">
        <v>6487.57</v>
      </c>
      <c r="H283" s="856"/>
      <c r="I283" s="856"/>
      <c r="J283" s="856">
        <f t="shared" si="50"/>
        <v>6487.57</v>
      </c>
      <c r="K283" s="856">
        <f t="shared" si="51"/>
        <v>188139.53</v>
      </c>
      <c r="L283" s="856">
        <f>K283-J283</f>
        <v>181651.96</v>
      </c>
      <c r="M283" s="856"/>
      <c r="N283" s="857" t="s">
        <v>2321</v>
      </c>
      <c r="O283" s="82" t="s">
        <v>243</v>
      </c>
      <c r="Q283" s="846" t="s">
        <v>3266</v>
      </c>
    </row>
    <row r="284" spans="1:17" ht="42.75">
      <c r="A284" s="815" t="s">
        <v>2183</v>
      </c>
      <c r="B284" s="816" t="s">
        <v>743</v>
      </c>
      <c r="C284" s="821" t="s">
        <v>669</v>
      </c>
      <c r="D284" s="817">
        <v>1</v>
      </c>
      <c r="E284" s="820">
        <f>'數量計算(FOR5變) '!E523</f>
        <v>0</v>
      </c>
      <c r="F284" s="817">
        <f t="shared" si="52"/>
        <v>-1</v>
      </c>
      <c r="G284" s="817">
        <v>8473.2999999999993</v>
      </c>
      <c r="H284" s="817"/>
      <c r="I284" s="817"/>
      <c r="J284" s="817">
        <f t="shared" si="50"/>
        <v>8473.2999999999993</v>
      </c>
      <c r="K284" s="817">
        <f t="shared" si="51"/>
        <v>0</v>
      </c>
      <c r="L284" s="817"/>
      <c r="M284" s="817">
        <f>J284-K284</f>
        <v>8473.2999999999993</v>
      </c>
      <c r="N284" s="818" t="s">
        <v>2321</v>
      </c>
      <c r="O284" s="147" t="s">
        <v>3587</v>
      </c>
      <c r="P284" s="147"/>
      <c r="Q284" s="846" t="s">
        <v>3266</v>
      </c>
    </row>
    <row r="285" spans="1:17" ht="42.75">
      <c r="A285" s="859">
        <v>28.1</v>
      </c>
      <c r="B285" s="854" t="s">
        <v>3214</v>
      </c>
      <c r="C285" s="855" t="s">
        <v>669</v>
      </c>
      <c r="D285" s="856">
        <v>0</v>
      </c>
      <c r="E285" s="862">
        <f>'數量計算(FOR5變) '!E524</f>
        <v>19</v>
      </c>
      <c r="F285" s="856">
        <f t="shared" si="52"/>
        <v>19</v>
      </c>
      <c r="G285" s="941">
        <v>9750</v>
      </c>
      <c r="H285" s="862"/>
      <c r="I285" s="862"/>
      <c r="J285" s="856">
        <f t="shared" si="50"/>
        <v>0</v>
      </c>
      <c r="K285" s="856">
        <f t="shared" si="51"/>
        <v>185250</v>
      </c>
      <c r="L285" s="862"/>
      <c r="M285" s="862"/>
      <c r="N285" s="863"/>
      <c r="O285" s="147" t="s">
        <v>3587</v>
      </c>
      <c r="P285" s="147"/>
      <c r="Q285" s="846" t="s">
        <v>3266</v>
      </c>
    </row>
    <row r="286" spans="1:17" ht="28.5">
      <c r="A286" s="853" t="s">
        <v>2184</v>
      </c>
      <c r="B286" s="854" t="s">
        <v>746</v>
      </c>
      <c r="C286" s="855" t="s">
        <v>669</v>
      </c>
      <c r="D286" s="856">
        <v>1</v>
      </c>
      <c r="E286" s="862">
        <f>'數量計算(FOR5變) '!E525</f>
        <v>12</v>
      </c>
      <c r="F286" s="856">
        <f t="shared" si="52"/>
        <v>11</v>
      </c>
      <c r="G286" s="856">
        <v>17742.79</v>
      </c>
      <c r="H286" s="856"/>
      <c r="I286" s="856"/>
      <c r="J286" s="856">
        <f t="shared" si="50"/>
        <v>17742.79</v>
      </c>
      <c r="K286" s="856">
        <f t="shared" si="51"/>
        <v>212913.48</v>
      </c>
      <c r="L286" s="856">
        <f>K286-J286</f>
        <v>195170.69</v>
      </c>
      <c r="M286" s="856"/>
      <c r="N286" s="857" t="s">
        <v>2321</v>
      </c>
      <c r="O286" s="82" t="s">
        <v>243</v>
      </c>
      <c r="Q286" s="846" t="s">
        <v>3266</v>
      </c>
    </row>
    <row r="287" spans="1:17" ht="42.75">
      <c r="A287" s="853" t="s">
        <v>2185</v>
      </c>
      <c r="B287" s="854" t="s">
        <v>749</v>
      </c>
      <c r="C287" s="855" t="s">
        <v>669</v>
      </c>
      <c r="D287" s="856">
        <v>1</v>
      </c>
      <c r="E287" s="856">
        <f>'數量計算(FOR5變) '!E526</f>
        <v>3</v>
      </c>
      <c r="F287" s="856">
        <f t="shared" si="52"/>
        <v>2</v>
      </c>
      <c r="G287" s="856">
        <v>5164.09</v>
      </c>
      <c r="H287" s="856"/>
      <c r="I287" s="856"/>
      <c r="J287" s="856">
        <f t="shared" si="50"/>
        <v>5164.09</v>
      </c>
      <c r="K287" s="856">
        <f t="shared" si="51"/>
        <v>15492.27</v>
      </c>
      <c r="L287" s="856">
        <f>K287-J287</f>
        <v>10328.18</v>
      </c>
      <c r="M287" s="856"/>
      <c r="N287" s="857" t="s">
        <v>2321</v>
      </c>
      <c r="O287" s="82" t="s">
        <v>243</v>
      </c>
      <c r="Q287" s="846" t="s">
        <v>3266</v>
      </c>
    </row>
    <row r="288" spans="1:17" ht="42.75">
      <c r="A288" s="815" t="s">
        <v>2186</v>
      </c>
      <c r="B288" s="816" t="s">
        <v>752</v>
      </c>
      <c r="C288" s="821" t="s">
        <v>669</v>
      </c>
      <c r="D288" s="817">
        <v>1</v>
      </c>
      <c r="E288" s="817">
        <f>'數量計算(FOR5變) '!E527</f>
        <v>0</v>
      </c>
      <c r="F288" s="817">
        <f t="shared" si="52"/>
        <v>-1</v>
      </c>
      <c r="G288" s="817">
        <v>5164.09</v>
      </c>
      <c r="H288" s="817"/>
      <c r="I288" s="817"/>
      <c r="J288" s="817">
        <f t="shared" si="50"/>
        <v>5164.09</v>
      </c>
      <c r="K288" s="817">
        <f t="shared" si="51"/>
        <v>0</v>
      </c>
      <c r="L288" s="817"/>
      <c r="M288" s="817">
        <f>J288-K288</f>
        <v>5164.09</v>
      </c>
      <c r="N288" s="818" t="s">
        <v>2321</v>
      </c>
      <c r="O288" s="82" t="s">
        <v>243</v>
      </c>
      <c r="Q288" s="846" t="s">
        <v>3266</v>
      </c>
    </row>
    <row r="289" spans="1:17" ht="42.75">
      <c r="A289" s="853" t="s">
        <v>2187</v>
      </c>
      <c r="B289" s="854" t="s">
        <v>755</v>
      </c>
      <c r="C289" s="855" t="s">
        <v>669</v>
      </c>
      <c r="D289" s="856">
        <v>1</v>
      </c>
      <c r="E289" s="856">
        <f>'數量計算(FOR5變) '!E528</f>
        <v>3</v>
      </c>
      <c r="F289" s="856">
        <f t="shared" si="52"/>
        <v>2</v>
      </c>
      <c r="G289" s="856">
        <v>5730.56</v>
      </c>
      <c r="H289" s="856"/>
      <c r="I289" s="856"/>
      <c r="J289" s="856">
        <f t="shared" si="50"/>
        <v>5730.56</v>
      </c>
      <c r="K289" s="856">
        <f t="shared" si="51"/>
        <v>17191.68</v>
      </c>
      <c r="L289" s="856">
        <f>K289-J289</f>
        <v>11461.119999999999</v>
      </c>
      <c r="M289" s="856"/>
      <c r="N289" s="857" t="s">
        <v>2321</v>
      </c>
      <c r="O289" s="82" t="s">
        <v>243</v>
      </c>
      <c r="Q289" s="846" t="s">
        <v>3266</v>
      </c>
    </row>
    <row r="290" spans="1:17" ht="42.75">
      <c r="A290" s="853" t="s">
        <v>2188</v>
      </c>
      <c r="B290" s="854" t="s">
        <v>758</v>
      </c>
      <c r="C290" s="855" t="s">
        <v>669</v>
      </c>
      <c r="D290" s="856">
        <v>1</v>
      </c>
      <c r="E290" s="856">
        <f>'數量計算(FOR5變) '!E529</f>
        <v>6</v>
      </c>
      <c r="F290" s="856">
        <f t="shared" si="52"/>
        <v>5</v>
      </c>
      <c r="G290" s="856">
        <v>7081</v>
      </c>
      <c r="H290" s="856"/>
      <c r="I290" s="856"/>
      <c r="J290" s="856">
        <f t="shared" si="50"/>
        <v>7081</v>
      </c>
      <c r="K290" s="856">
        <f t="shared" si="51"/>
        <v>42486</v>
      </c>
      <c r="L290" s="856">
        <f>K290-J290</f>
        <v>35405</v>
      </c>
      <c r="M290" s="856"/>
      <c r="N290" s="857" t="s">
        <v>2321</v>
      </c>
      <c r="O290" s="82" t="s">
        <v>243</v>
      </c>
      <c r="Q290" s="846" t="s">
        <v>3266</v>
      </c>
    </row>
    <row r="291" spans="1:17" ht="28.5">
      <c r="A291" s="853" t="s">
        <v>2189</v>
      </c>
      <c r="B291" s="854" t="s">
        <v>761</v>
      </c>
      <c r="C291" s="855" t="s">
        <v>669</v>
      </c>
      <c r="D291" s="856">
        <v>1</v>
      </c>
      <c r="E291" s="856">
        <f>'數量計算(FOR5變) '!E530</f>
        <v>24</v>
      </c>
      <c r="F291" s="856">
        <f t="shared" si="52"/>
        <v>23</v>
      </c>
      <c r="G291" s="856">
        <v>4752.1099999999997</v>
      </c>
      <c r="H291" s="856"/>
      <c r="I291" s="856"/>
      <c r="J291" s="856">
        <f t="shared" si="50"/>
        <v>4752.1099999999997</v>
      </c>
      <c r="K291" s="856">
        <f t="shared" si="51"/>
        <v>114050.64</v>
      </c>
      <c r="L291" s="856">
        <f>K291-J291</f>
        <v>109298.53</v>
      </c>
      <c r="M291" s="856"/>
      <c r="N291" s="857" t="s">
        <v>2321</v>
      </c>
      <c r="O291" s="147"/>
      <c r="P291" s="147"/>
      <c r="Q291" s="846" t="s">
        <v>3266</v>
      </c>
    </row>
    <row r="292" spans="1:17" ht="42.75">
      <c r="A292" s="853" t="s">
        <v>2190</v>
      </c>
      <c r="B292" s="854" t="s">
        <v>764</v>
      </c>
      <c r="C292" s="855" t="s">
        <v>669</v>
      </c>
      <c r="D292" s="856">
        <v>1</v>
      </c>
      <c r="E292" s="856">
        <f>'數量計算(FOR5變) '!E531</f>
        <v>2</v>
      </c>
      <c r="F292" s="856">
        <f t="shared" si="52"/>
        <v>1</v>
      </c>
      <c r="G292" s="856">
        <v>14691.08</v>
      </c>
      <c r="H292" s="856"/>
      <c r="I292" s="856"/>
      <c r="J292" s="856">
        <f t="shared" si="50"/>
        <v>14691.08</v>
      </c>
      <c r="K292" s="856">
        <f t="shared" si="51"/>
        <v>29382.16</v>
      </c>
      <c r="L292" s="856">
        <f>K292-J292</f>
        <v>14691.08</v>
      </c>
      <c r="M292" s="856"/>
      <c r="N292" s="857" t="s">
        <v>2321</v>
      </c>
      <c r="O292" s="82" t="s">
        <v>243</v>
      </c>
      <c r="Q292" s="846" t="s">
        <v>3266</v>
      </c>
    </row>
    <row r="293" spans="1:17" ht="28.5">
      <c r="A293" s="853" t="s">
        <v>2191</v>
      </c>
      <c r="B293" s="854" t="s">
        <v>767</v>
      </c>
      <c r="C293" s="855" t="s">
        <v>669</v>
      </c>
      <c r="D293" s="856">
        <v>1</v>
      </c>
      <c r="E293" s="856">
        <f>'數量計算(FOR5變) '!E532</f>
        <v>215</v>
      </c>
      <c r="F293" s="856">
        <f t="shared" si="52"/>
        <v>214</v>
      </c>
      <c r="G293" s="856">
        <v>224.3</v>
      </c>
      <c r="H293" s="856"/>
      <c r="I293" s="856"/>
      <c r="J293" s="856">
        <f t="shared" si="50"/>
        <v>224.3</v>
      </c>
      <c r="K293" s="856">
        <f t="shared" si="51"/>
        <v>48224.5</v>
      </c>
      <c r="L293" s="856">
        <f>K293-J293</f>
        <v>48000.2</v>
      </c>
      <c r="M293" s="856"/>
      <c r="N293" s="857" t="s">
        <v>2321</v>
      </c>
      <c r="O293" s="82" t="s">
        <v>243</v>
      </c>
      <c r="Q293" s="846" t="s">
        <v>3266</v>
      </c>
    </row>
    <row r="294" spans="1:17" ht="28.5">
      <c r="A294" s="815" t="s">
        <v>2192</v>
      </c>
      <c r="B294" s="816" t="s">
        <v>770</v>
      </c>
      <c r="C294" s="821" t="s">
        <v>669</v>
      </c>
      <c r="D294" s="820">
        <v>1</v>
      </c>
      <c r="E294" s="817">
        <f>'數量計算(FOR5變) '!E533</f>
        <v>0</v>
      </c>
      <c r="F294" s="817">
        <f t="shared" si="52"/>
        <v>-1</v>
      </c>
      <c r="G294" s="817">
        <v>275.64</v>
      </c>
      <c r="H294" s="817"/>
      <c r="I294" s="817"/>
      <c r="J294" s="817">
        <f t="shared" si="50"/>
        <v>275.64</v>
      </c>
      <c r="K294" s="817">
        <f t="shared" si="51"/>
        <v>0</v>
      </c>
      <c r="L294" s="817"/>
      <c r="M294" s="817">
        <f>J294-K294</f>
        <v>275.64</v>
      </c>
      <c r="N294" s="818" t="s">
        <v>2321</v>
      </c>
      <c r="O294" s="147" t="s">
        <v>3588</v>
      </c>
      <c r="P294" s="147"/>
      <c r="Q294" s="846" t="s">
        <v>3266</v>
      </c>
    </row>
    <row r="295" spans="1:17" ht="28.5">
      <c r="A295" s="853" t="s">
        <v>2193</v>
      </c>
      <c r="B295" s="854" t="s">
        <v>773</v>
      </c>
      <c r="C295" s="855" t="s">
        <v>669</v>
      </c>
      <c r="D295" s="856">
        <v>1</v>
      </c>
      <c r="E295" s="856">
        <f>'數量計算(FOR5變) '!E534</f>
        <v>770</v>
      </c>
      <c r="F295" s="856">
        <f t="shared" si="52"/>
        <v>769</v>
      </c>
      <c r="G295" s="856">
        <v>283.52999999999997</v>
      </c>
      <c r="H295" s="856"/>
      <c r="I295" s="856"/>
      <c r="J295" s="856">
        <f t="shared" si="50"/>
        <v>283.52999999999997</v>
      </c>
      <c r="K295" s="856">
        <f t="shared" si="51"/>
        <v>218318.1</v>
      </c>
      <c r="L295" s="856">
        <f>K295-J295</f>
        <v>218034.57</v>
      </c>
      <c r="M295" s="856"/>
      <c r="N295" s="857" t="s">
        <v>2321</v>
      </c>
      <c r="O295" s="82" t="s">
        <v>243</v>
      </c>
      <c r="Q295" s="846" t="s">
        <v>3266</v>
      </c>
    </row>
    <row r="296" spans="1:17" ht="28.5">
      <c r="A296" s="853" t="s">
        <v>2194</v>
      </c>
      <c r="B296" s="854" t="s">
        <v>776</v>
      </c>
      <c r="C296" s="855" t="s">
        <v>669</v>
      </c>
      <c r="D296" s="856">
        <v>1</v>
      </c>
      <c r="E296" s="856">
        <f>'數量計算(FOR5變) '!E535</f>
        <v>804</v>
      </c>
      <c r="F296" s="856">
        <f t="shared" si="52"/>
        <v>803</v>
      </c>
      <c r="G296" s="856">
        <v>88.95</v>
      </c>
      <c r="H296" s="856"/>
      <c r="I296" s="856"/>
      <c r="J296" s="856">
        <f t="shared" si="50"/>
        <v>88.95</v>
      </c>
      <c r="K296" s="856">
        <f t="shared" si="51"/>
        <v>71515.8</v>
      </c>
      <c r="L296" s="856">
        <f t="shared" ref="L296:L302" si="53">K296-J296</f>
        <v>71426.850000000006</v>
      </c>
      <c r="M296" s="856"/>
      <c r="N296" s="857" t="s">
        <v>242</v>
      </c>
      <c r="O296" s="82" t="s">
        <v>243</v>
      </c>
      <c r="Q296" s="846" t="s">
        <v>3266</v>
      </c>
    </row>
    <row r="297" spans="1:17" ht="28.5">
      <c r="A297" s="853" t="s">
        <v>2195</v>
      </c>
      <c r="B297" s="854" t="s">
        <v>779</v>
      </c>
      <c r="C297" s="855" t="s">
        <v>669</v>
      </c>
      <c r="D297" s="862">
        <v>1</v>
      </c>
      <c r="E297" s="856">
        <f>'數量計算(FOR5變) '!E536</f>
        <v>2383</v>
      </c>
      <c r="F297" s="856">
        <f t="shared" si="52"/>
        <v>2382</v>
      </c>
      <c r="G297" s="856">
        <v>123.72</v>
      </c>
      <c r="H297" s="856"/>
      <c r="I297" s="856"/>
      <c r="J297" s="856">
        <f t="shared" si="50"/>
        <v>123.72</v>
      </c>
      <c r="K297" s="856">
        <f t="shared" si="51"/>
        <v>294824.76</v>
      </c>
      <c r="L297" s="856">
        <f t="shared" si="53"/>
        <v>294701.04000000004</v>
      </c>
      <c r="M297" s="856"/>
      <c r="N297" s="857" t="s">
        <v>2321</v>
      </c>
      <c r="O297" s="82" t="s">
        <v>243</v>
      </c>
      <c r="Q297" s="846" t="s">
        <v>3266</v>
      </c>
    </row>
    <row r="298" spans="1:17" ht="28.5">
      <c r="A298" s="853" t="s">
        <v>2196</v>
      </c>
      <c r="B298" s="854" t="s">
        <v>782</v>
      </c>
      <c r="C298" s="855" t="s">
        <v>669</v>
      </c>
      <c r="D298" s="856">
        <v>1</v>
      </c>
      <c r="E298" s="856">
        <f>'數量計算(FOR5變) '!E537</f>
        <v>1079</v>
      </c>
      <c r="F298" s="856">
        <f t="shared" si="52"/>
        <v>1078</v>
      </c>
      <c r="G298" s="856">
        <v>121.41</v>
      </c>
      <c r="H298" s="856"/>
      <c r="I298" s="856"/>
      <c r="J298" s="856">
        <f t="shared" si="50"/>
        <v>121.41</v>
      </c>
      <c r="K298" s="856">
        <f t="shared" si="51"/>
        <v>131001.39</v>
      </c>
      <c r="L298" s="856">
        <f t="shared" si="53"/>
        <v>130879.98</v>
      </c>
      <c r="M298" s="856"/>
      <c r="N298" s="857" t="s">
        <v>242</v>
      </c>
      <c r="O298" s="82" t="s">
        <v>243</v>
      </c>
      <c r="Q298" s="846" t="s">
        <v>3266</v>
      </c>
    </row>
    <row r="299" spans="1:17" ht="28.5">
      <c r="A299" s="853" t="s">
        <v>2197</v>
      </c>
      <c r="B299" s="854" t="s">
        <v>785</v>
      </c>
      <c r="C299" s="855" t="s">
        <v>669</v>
      </c>
      <c r="D299" s="856">
        <v>1</v>
      </c>
      <c r="E299" s="856">
        <f>'數量計算(FOR5變) '!E538</f>
        <v>2343</v>
      </c>
      <c r="F299" s="856">
        <f t="shared" si="52"/>
        <v>2342</v>
      </c>
      <c r="G299" s="856">
        <v>134.28</v>
      </c>
      <c r="H299" s="856"/>
      <c r="I299" s="856"/>
      <c r="J299" s="856">
        <f t="shared" si="50"/>
        <v>134.28</v>
      </c>
      <c r="K299" s="856">
        <f t="shared" si="51"/>
        <v>314618.03999999998</v>
      </c>
      <c r="L299" s="856">
        <f t="shared" si="53"/>
        <v>314483.75999999995</v>
      </c>
      <c r="M299" s="856"/>
      <c r="N299" s="857" t="s">
        <v>242</v>
      </c>
      <c r="O299" s="82" t="s">
        <v>243</v>
      </c>
      <c r="Q299" s="846" t="s">
        <v>3266</v>
      </c>
    </row>
    <row r="300" spans="1:17" ht="28.5">
      <c r="A300" s="853" t="s">
        <v>2198</v>
      </c>
      <c r="B300" s="854" t="s">
        <v>788</v>
      </c>
      <c r="C300" s="855" t="s">
        <v>669</v>
      </c>
      <c r="D300" s="856">
        <v>1</v>
      </c>
      <c r="E300" s="856">
        <f>'數量計算(FOR5變) '!E539</f>
        <v>6458</v>
      </c>
      <c r="F300" s="856">
        <f t="shared" si="52"/>
        <v>6457</v>
      </c>
      <c r="G300" s="856">
        <v>36.549999999999997</v>
      </c>
      <c r="H300" s="856"/>
      <c r="I300" s="856"/>
      <c r="J300" s="856">
        <f t="shared" si="50"/>
        <v>36.549999999999997</v>
      </c>
      <c r="K300" s="856">
        <f t="shared" si="51"/>
        <v>236039.9</v>
      </c>
      <c r="L300" s="856">
        <f t="shared" si="53"/>
        <v>236003.35</v>
      </c>
      <c r="M300" s="856"/>
      <c r="N300" s="857" t="s">
        <v>2321</v>
      </c>
      <c r="O300" s="82" t="s">
        <v>243</v>
      </c>
      <c r="Q300" s="846" t="s">
        <v>3266</v>
      </c>
    </row>
    <row r="301" spans="1:17" ht="28.5">
      <c r="A301" s="853" t="s">
        <v>2199</v>
      </c>
      <c r="B301" s="854" t="s">
        <v>791</v>
      </c>
      <c r="C301" s="855" t="s">
        <v>669</v>
      </c>
      <c r="D301" s="856">
        <v>1</v>
      </c>
      <c r="E301" s="856">
        <f>'數量計算(FOR5變) '!E540</f>
        <v>7893</v>
      </c>
      <c r="F301" s="856">
        <f t="shared" si="52"/>
        <v>7892</v>
      </c>
      <c r="G301" s="856">
        <v>103.76</v>
      </c>
      <c r="H301" s="856"/>
      <c r="I301" s="856"/>
      <c r="J301" s="856">
        <f t="shared" si="50"/>
        <v>103.76</v>
      </c>
      <c r="K301" s="856">
        <f t="shared" si="51"/>
        <v>818977.68</v>
      </c>
      <c r="L301" s="856">
        <f t="shared" si="53"/>
        <v>818873.92</v>
      </c>
      <c r="M301" s="856"/>
      <c r="N301" s="857" t="s">
        <v>242</v>
      </c>
      <c r="O301" s="82" t="s">
        <v>243</v>
      </c>
      <c r="Q301" s="846" t="s">
        <v>3266</v>
      </c>
    </row>
    <row r="302" spans="1:17" ht="28.5">
      <c r="A302" s="853" t="s">
        <v>2200</v>
      </c>
      <c r="B302" s="854" t="s">
        <v>794</v>
      </c>
      <c r="C302" s="855" t="s">
        <v>669</v>
      </c>
      <c r="D302" s="856">
        <v>1</v>
      </c>
      <c r="E302" s="856">
        <f>'數量計算(FOR5變) '!E541</f>
        <v>2013</v>
      </c>
      <c r="F302" s="856">
        <f t="shared" si="52"/>
        <v>2012</v>
      </c>
      <c r="G302" s="856">
        <v>140.84</v>
      </c>
      <c r="H302" s="856"/>
      <c r="I302" s="856"/>
      <c r="J302" s="856">
        <f t="shared" si="50"/>
        <v>140.84</v>
      </c>
      <c r="K302" s="856">
        <f t="shared" si="51"/>
        <v>283510.92</v>
      </c>
      <c r="L302" s="856">
        <f t="shared" si="53"/>
        <v>283370.07999999996</v>
      </c>
      <c r="M302" s="856"/>
      <c r="N302" s="857" t="s">
        <v>242</v>
      </c>
      <c r="O302" s="82" t="s">
        <v>243</v>
      </c>
      <c r="Q302" s="846" t="s">
        <v>3266</v>
      </c>
    </row>
    <row r="303" spans="1:17" ht="28.5">
      <c r="A303" s="853" t="s">
        <v>2201</v>
      </c>
      <c r="B303" s="854" t="s">
        <v>797</v>
      </c>
      <c r="C303" s="855" t="s">
        <v>669</v>
      </c>
      <c r="D303" s="856">
        <v>1</v>
      </c>
      <c r="E303" s="856">
        <f>'數量計算(FOR5變) '!E542</f>
        <v>5128</v>
      </c>
      <c r="F303" s="856">
        <f t="shared" si="52"/>
        <v>5127</v>
      </c>
      <c r="G303" s="856">
        <v>51.75</v>
      </c>
      <c r="H303" s="856"/>
      <c r="I303" s="856"/>
      <c r="J303" s="856">
        <f t="shared" si="50"/>
        <v>51.75</v>
      </c>
      <c r="K303" s="856">
        <f t="shared" si="51"/>
        <v>265374</v>
      </c>
      <c r="L303" s="856">
        <f>K303-J303</f>
        <v>265322.25</v>
      </c>
      <c r="M303" s="856"/>
      <c r="N303" s="857" t="s">
        <v>2321</v>
      </c>
      <c r="O303" s="82" t="s">
        <v>243</v>
      </c>
      <c r="Q303" s="846" t="s">
        <v>3266</v>
      </c>
    </row>
    <row r="304" spans="1:17" ht="28.5">
      <c r="A304" s="815" t="s">
        <v>2202</v>
      </c>
      <c r="B304" s="816" t="s">
        <v>800</v>
      </c>
      <c r="C304" s="821" t="s">
        <v>669</v>
      </c>
      <c r="D304" s="817">
        <v>1</v>
      </c>
      <c r="E304" s="817">
        <f>'數量計算(FOR5變) '!E543</f>
        <v>0</v>
      </c>
      <c r="F304" s="817">
        <f t="shared" si="52"/>
        <v>-1</v>
      </c>
      <c r="G304" s="817">
        <v>35.01</v>
      </c>
      <c r="H304" s="817"/>
      <c r="I304" s="817"/>
      <c r="J304" s="817">
        <f t="shared" si="50"/>
        <v>35.01</v>
      </c>
      <c r="K304" s="817">
        <f t="shared" si="51"/>
        <v>0</v>
      </c>
      <c r="L304" s="817"/>
      <c r="M304" s="817">
        <f>J304-K304</f>
        <v>35.01</v>
      </c>
      <c r="N304" s="818" t="s">
        <v>2321</v>
      </c>
      <c r="O304" s="147" t="s">
        <v>3588</v>
      </c>
      <c r="P304" s="147"/>
      <c r="Q304" s="846" t="s">
        <v>3266</v>
      </c>
    </row>
    <row r="305" spans="1:17" ht="28.5">
      <c r="A305" s="853" t="s">
        <v>2203</v>
      </c>
      <c r="B305" s="854" t="s">
        <v>803</v>
      </c>
      <c r="C305" s="855" t="s">
        <v>669</v>
      </c>
      <c r="D305" s="856">
        <v>1</v>
      </c>
      <c r="E305" s="856">
        <f>'數量計算(FOR5變) '!E544</f>
        <v>840</v>
      </c>
      <c r="F305" s="856">
        <f t="shared" si="52"/>
        <v>839</v>
      </c>
      <c r="G305" s="856">
        <v>58.37</v>
      </c>
      <c r="H305" s="856"/>
      <c r="I305" s="856"/>
      <c r="J305" s="856">
        <f t="shared" si="50"/>
        <v>58.37</v>
      </c>
      <c r="K305" s="856">
        <f t="shared" si="51"/>
        <v>49030.8</v>
      </c>
      <c r="L305" s="856">
        <f>K305-J305</f>
        <v>48972.43</v>
      </c>
      <c r="M305" s="856"/>
      <c r="N305" s="857" t="s">
        <v>2321</v>
      </c>
      <c r="O305" s="82" t="s">
        <v>243</v>
      </c>
      <c r="Q305" s="846" t="s">
        <v>3266</v>
      </c>
    </row>
    <row r="306" spans="1:17" ht="28.5">
      <c r="A306" s="853" t="s">
        <v>2204</v>
      </c>
      <c r="B306" s="854" t="s">
        <v>806</v>
      </c>
      <c r="C306" s="855" t="s">
        <v>669</v>
      </c>
      <c r="D306" s="856">
        <v>1</v>
      </c>
      <c r="E306" s="856">
        <f>'數量計算(FOR5變) '!E545</f>
        <v>1525</v>
      </c>
      <c r="F306" s="856">
        <f t="shared" si="52"/>
        <v>1524</v>
      </c>
      <c r="G306" s="856">
        <v>79.040000000000006</v>
      </c>
      <c r="H306" s="856"/>
      <c r="I306" s="856"/>
      <c r="J306" s="856">
        <f t="shared" si="50"/>
        <v>79.040000000000006</v>
      </c>
      <c r="K306" s="856">
        <f t="shared" si="51"/>
        <v>120536</v>
      </c>
      <c r="L306" s="856">
        <f t="shared" ref="L306:L307" si="54">K306-J306</f>
        <v>120456.96000000001</v>
      </c>
      <c r="M306" s="856"/>
      <c r="N306" s="857" t="s">
        <v>2321</v>
      </c>
      <c r="O306" s="82" t="s">
        <v>243</v>
      </c>
      <c r="Q306" s="846" t="s">
        <v>3266</v>
      </c>
    </row>
    <row r="307" spans="1:17" ht="28.5">
      <c r="A307" s="853" t="s">
        <v>2205</v>
      </c>
      <c r="B307" s="854" t="s">
        <v>809</v>
      </c>
      <c r="C307" s="855" t="s">
        <v>669</v>
      </c>
      <c r="D307" s="856">
        <v>1</v>
      </c>
      <c r="E307" s="856">
        <f>'數量計算(FOR5變) '!E546</f>
        <v>14958</v>
      </c>
      <c r="F307" s="856">
        <f t="shared" si="52"/>
        <v>14957</v>
      </c>
      <c r="G307" s="856">
        <v>63.59</v>
      </c>
      <c r="H307" s="856"/>
      <c r="I307" s="856"/>
      <c r="J307" s="856">
        <f t="shared" si="50"/>
        <v>63.59</v>
      </c>
      <c r="K307" s="856">
        <f t="shared" si="51"/>
        <v>951179.22</v>
      </c>
      <c r="L307" s="856">
        <f t="shared" si="54"/>
        <v>951115.63</v>
      </c>
      <c r="M307" s="856"/>
      <c r="N307" s="857" t="s">
        <v>2321</v>
      </c>
      <c r="O307" s="82" t="s">
        <v>243</v>
      </c>
      <c r="Q307" s="846" t="s">
        <v>3266</v>
      </c>
    </row>
    <row r="308" spans="1:17" ht="28.5">
      <c r="A308" s="815" t="s">
        <v>2206</v>
      </c>
      <c r="B308" s="816" t="s">
        <v>812</v>
      </c>
      <c r="C308" s="821" t="s">
        <v>669</v>
      </c>
      <c r="D308" s="817">
        <v>1</v>
      </c>
      <c r="E308" s="817">
        <f>'數量計算(FOR5變) '!E547</f>
        <v>0</v>
      </c>
      <c r="F308" s="817">
        <f t="shared" si="52"/>
        <v>-1</v>
      </c>
      <c r="G308" s="817">
        <v>94.49</v>
      </c>
      <c r="H308" s="817"/>
      <c r="I308" s="817"/>
      <c r="J308" s="817">
        <f t="shared" si="50"/>
        <v>94.49</v>
      </c>
      <c r="K308" s="817">
        <f t="shared" si="51"/>
        <v>0</v>
      </c>
      <c r="L308" s="817"/>
      <c r="M308" s="817">
        <f>J308-K308</f>
        <v>94.49</v>
      </c>
      <c r="N308" s="818" t="s">
        <v>2321</v>
      </c>
      <c r="O308" s="147" t="s">
        <v>3588</v>
      </c>
      <c r="P308" s="147"/>
      <c r="Q308" s="846" t="s">
        <v>3266</v>
      </c>
    </row>
    <row r="309" spans="1:17" ht="28.5">
      <c r="A309" s="853" t="s">
        <v>2207</v>
      </c>
      <c r="B309" s="854" t="s">
        <v>815</v>
      </c>
      <c r="C309" s="855" t="s">
        <v>669</v>
      </c>
      <c r="D309" s="856">
        <v>1</v>
      </c>
      <c r="E309" s="856">
        <f>'數量計算(FOR5變) '!E548</f>
        <v>410</v>
      </c>
      <c r="F309" s="856">
        <f t="shared" si="52"/>
        <v>409</v>
      </c>
      <c r="G309" s="856">
        <v>73.89</v>
      </c>
      <c r="H309" s="856"/>
      <c r="I309" s="856"/>
      <c r="J309" s="856">
        <f t="shared" si="50"/>
        <v>73.89</v>
      </c>
      <c r="K309" s="856">
        <f t="shared" si="51"/>
        <v>30294.9</v>
      </c>
      <c r="L309" s="856">
        <f>K309-J309</f>
        <v>30221.010000000002</v>
      </c>
      <c r="M309" s="856"/>
      <c r="N309" s="857" t="s">
        <v>2321</v>
      </c>
      <c r="O309" s="82" t="s">
        <v>243</v>
      </c>
      <c r="Q309" s="846" t="s">
        <v>3266</v>
      </c>
    </row>
    <row r="310" spans="1:17" ht="28.5">
      <c r="A310" s="853" t="s">
        <v>2208</v>
      </c>
      <c r="B310" s="854" t="s">
        <v>818</v>
      </c>
      <c r="C310" s="855" t="s">
        <v>669</v>
      </c>
      <c r="D310" s="856">
        <v>1</v>
      </c>
      <c r="E310" s="856">
        <f>'數量計算(FOR5變) '!E549</f>
        <v>5738</v>
      </c>
      <c r="F310" s="856">
        <f t="shared" si="52"/>
        <v>5737</v>
      </c>
      <c r="G310" s="856">
        <v>92.43</v>
      </c>
      <c r="H310" s="856"/>
      <c r="I310" s="856"/>
      <c r="J310" s="856">
        <f t="shared" si="50"/>
        <v>92.43</v>
      </c>
      <c r="K310" s="856">
        <f t="shared" si="51"/>
        <v>530363.34</v>
      </c>
      <c r="L310" s="856">
        <f t="shared" ref="L310:L313" si="55">K310-J310</f>
        <v>530270.90999999992</v>
      </c>
      <c r="M310" s="856"/>
      <c r="N310" s="857" t="s">
        <v>2321</v>
      </c>
      <c r="O310" s="82" t="s">
        <v>243</v>
      </c>
      <c r="Q310" s="846" t="s">
        <v>3266</v>
      </c>
    </row>
    <row r="311" spans="1:17" ht="28.5">
      <c r="A311" s="853" t="s">
        <v>2209</v>
      </c>
      <c r="B311" s="854" t="s">
        <v>821</v>
      </c>
      <c r="C311" s="855" t="s">
        <v>669</v>
      </c>
      <c r="D311" s="856">
        <v>1</v>
      </c>
      <c r="E311" s="856">
        <f>'數量計算(FOR5變) '!E550</f>
        <v>735</v>
      </c>
      <c r="F311" s="856">
        <f t="shared" si="52"/>
        <v>734</v>
      </c>
      <c r="G311" s="856">
        <v>61.98</v>
      </c>
      <c r="H311" s="856"/>
      <c r="I311" s="856"/>
      <c r="J311" s="856">
        <f t="shared" si="50"/>
        <v>61.98</v>
      </c>
      <c r="K311" s="856">
        <f t="shared" si="51"/>
        <v>45555.3</v>
      </c>
      <c r="L311" s="856">
        <f t="shared" si="55"/>
        <v>45493.32</v>
      </c>
      <c r="M311" s="856"/>
      <c r="N311" s="857" t="s">
        <v>2321</v>
      </c>
      <c r="O311" s="82" t="s">
        <v>243</v>
      </c>
      <c r="Q311" s="846" t="s">
        <v>3266</v>
      </c>
    </row>
    <row r="312" spans="1:17" ht="28.5">
      <c r="A312" s="853" t="s">
        <v>2210</v>
      </c>
      <c r="B312" s="854" t="s">
        <v>824</v>
      </c>
      <c r="C312" s="855" t="s">
        <v>669</v>
      </c>
      <c r="D312" s="856">
        <v>1</v>
      </c>
      <c r="E312" s="856">
        <f>'數量計算(FOR5變) '!E551</f>
        <v>248</v>
      </c>
      <c r="F312" s="856">
        <f t="shared" si="52"/>
        <v>247</v>
      </c>
      <c r="G312" s="856">
        <v>154.66</v>
      </c>
      <c r="H312" s="856"/>
      <c r="I312" s="856"/>
      <c r="J312" s="856">
        <f t="shared" si="50"/>
        <v>154.66</v>
      </c>
      <c r="K312" s="856">
        <f t="shared" si="51"/>
        <v>38355.68</v>
      </c>
      <c r="L312" s="856">
        <f t="shared" si="55"/>
        <v>38201.019999999997</v>
      </c>
      <c r="M312" s="856"/>
      <c r="N312" s="857" t="s">
        <v>2321</v>
      </c>
      <c r="O312" s="82" t="s">
        <v>243</v>
      </c>
      <c r="Q312" s="846" t="s">
        <v>3266</v>
      </c>
    </row>
    <row r="313" spans="1:17" ht="28.5">
      <c r="A313" s="853" t="s">
        <v>2211</v>
      </c>
      <c r="B313" s="854" t="s">
        <v>827</v>
      </c>
      <c r="C313" s="855" t="s">
        <v>669</v>
      </c>
      <c r="D313" s="856">
        <v>1</v>
      </c>
      <c r="E313" s="856">
        <f>'數量計算(FOR5變) '!E552</f>
        <v>2733</v>
      </c>
      <c r="F313" s="856">
        <f t="shared" si="52"/>
        <v>2732</v>
      </c>
      <c r="G313" s="856">
        <v>67.709999999999994</v>
      </c>
      <c r="H313" s="856"/>
      <c r="I313" s="856"/>
      <c r="J313" s="856">
        <f t="shared" si="50"/>
        <v>67.709999999999994</v>
      </c>
      <c r="K313" s="856">
        <f t="shared" si="51"/>
        <v>185051.43</v>
      </c>
      <c r="L313" s="856">
        <f t="shared" si="55"/>
        <v>184983.72</v>
      </c>
      <c r="M313" s="856"/>
      <c r="N313" s="857" t="s">
        <v>2321</v>
      </c>
      <c r="O313" s="82" t="s">
        <v>243</v>
      </c>
      <c r="Q313" s="846" t="s">
        <v>3266</v>
      </c>
    </row>
    <row r="314" spans="1:17" ht="28.5">
      <c r="A314" s="815" t="s">
        <v>2212</v>
      </c>
      <c r="B314" s="816" t="s">
        <v>830</v>
      </c>
      <c r="C314" s="821" t="s">
        <v>669</v>
      </c>
      <c r="D314" s="817">
        <v>1</v>
      </c>
      <c r="E314" s="817">
        <f>'數量計算(FOR5變) '!E553</f>
        <v>0</v>
      </c>
      <c r="F314" s="817">
        <f t="shared" si="52"/>
        <v>-1</v>
      </c>
      <c r="G314" s="817">
        <v>54.25</v>
      </c>
      <c r="H314" s="817"/>
      <c r="I314" s="817"/>
      <c r="J314" s="817">
        <f t="shared" si="50"/>
        <v>54.25</v>
      </c>
      <c r="K314" s="817">
        <f t="shared" si="51"/>
        <v>0</v>
      </c>
      <c r="L314" s="817"/>
      <c r="M314" s="817">
        <f>J314-K314</f>
        <v>54.25</v>
      </c>
      <c r="N314" s="818" t="s">
        <v>2321</v>
      </c>
      <c r="O314" s="147" t="s">
        <v>3588</v>
      </c>
      <c r="P314" s="147"/>
      <c r="Q314" s="846" t="s">
        <v>3266</v>
      </c>
    </row>
    <row r="315" spans="1:17" ht="28.5">
      <c r="A315" s="815" t="s">
        <v>2213</v>
      </c>
      <c r="B315" s="816" t="s">
        <v>833</v>
      </c>
      <c r="C315" s="821" t="s">
        <v>669</v>
      </c>
      <c r="D315" s="817">
        <v>1</v>
      </c>
      <c r="E315" s="817">
        <f>'數量計算(FOR5變) '!E554</f>
        <v>0</v>
      </c>
      <c r="F315" s="817">
        <f t="shared" si="52"/>
        <v>-1</v>
      </c>
      <c r="G315" s="817">
        <v>90.3</v>
      </c>
      <c r="H315" s="817"/>
      <c r="I315" s="817"/>
      <c r="J315" s="817">
        <f t="shared" si="50"/>
        <v>90.3</v>
      </c>
      <c r="K315" s="817">
        <f t="shared" si="51"/>
        <v>0</v>
      </c>
      <c r="L315" s="817"/>
      <c r="M315" s="817">
        <f>J315-K315</f>
        <v>90.3</v>
      </c>
      <c r="N315" s="818" t="s">
        <v>2321</v>
      </c>
      <c r="O315" s="147" t="s">
        <v>3588</v>
      </c>
      <c r="P315" s="147"/>
      <c r="Q315" s="846" t="s">
        <v>3266</v>
      </c>
    </row>
    <row r="316" spans="1:17" ht="27" customHeight="1">
      <c r="A316" s="859">
        <v>58.1</v>
      </c>
      <c r="B316" s="854" t="s">
        <v>3846</v>
      </c>
      <c r="C316" s="861" t="s">
        <v>3224</v>
      </c>
      <c r="D316" s="856">
        <v>1</v>
      </c>
      <c r="E316" s="856">
        <f>'數量計算(FOR5變) '!E555</f>
        <v>949</v>
      </c>
      <c r="F316" s="856">
        <f t="shared" si="52"/>
        <v>948</v>
      </c>
      <c r="G316" s="941">
        <v>80</v>
      </c>
      <c r="H316" s="862"/>
      <c r="I316" s="862"/>
      <c r="J316" s="856">
        <f t="shared" si="50"/>
        <v>80</v>
      </c>
      <c r="K316" s="856">
        <f t="shared" si="51"/>
        <v>75920</v>
      </c>
      <c r="L316" s="856">
        <f>K316-J316</f>
        <v>75840</v>
      </c>
      <c r="M316" s="862"/>
      <c r="N316" s="863"/>
      <c r="O316" s="147" t="s">
        <v>3587</v>
      </c>
      <c r="P316" s="147"/>
      <c r="Q316" s="846" t="s">
        <v>3266</v>
      </c>
    </row>
    <row r="317" spans="1:17" ht="28.5">
      <c r="A317" s="815" t="s">
        <v>2214</v>
      </c>
      <c r="B317" s="816" t="s">
        <v>836</v>
      </c>
      <c r="C317" s="821" t="s">
        <v>669</v>
      </c>
      <c r="D317" s="817">
        <v>1</v>
      </c>
      <c r="E317" s="817">
        <f>'數量計算(FOR5變) '!E556</f>
        <v>0</v>
      </c>
      <c r="F317" s="817">
        <f t="shared" si="52"/>
        <v>-1</v>
      </c>
      <c r="G317" s="817">
        <v>67.13</v>
      </c>
      <c r="H317" s="817"/>
      <c r="I317" s="817"/>
      <c r="J317" s="817">
        <f t="shared" si="50"/>
        <v>67.13</v>
      </c>
      <c r="K317" s="817">
        <f t="shared" si="51"/>
        <v>0</v>
      </c>
      <c r="L317" s="817"/>
      <c r="M317" s="817">
        <f>J317-K317</f>
        <v>67.13</v>
      </c>
      <c r="N317" s="818" t="s">
        <v>2321</v>
      </c>
      <c r="O317" s="147" t="s">
        <v>3588</v>
      </c>
      <c r="P317" s="147"/>
      <c r="Q317" s="846" t="s">
        <v>3266</v>
      </c>
    </row>
    <row r="318" spans="1:17" ht="28.5">
      <c r="A318" s="853" t="s">
        <v>2215</v>
      </c>
      <c r="B318" s="854" t="s">
        <v>839</v>
      </c>
      <c r="C318" s="855" t="s">
        <v>669</v>
      </c>
      <c r="D318" s="856">
        <v>1</v>
      </c>
      <c r="E318" s="856">
        <f>'數量計算(FOR5變) '!E557</f>
        <v>1962</v>
      </c>
      <c r="F318" s="856">
        <f t="shared" si="52"/>
        <v>1961</v>
      </c>
      <c r="G318" s="856">
        <v>56.83</v>
      </c>
      <c r="H318" s="856"/>
      <c r="I318" s="856"/>
      <c r="J318" s="856">
        <f t="shared" si="50"/>
        <v>56.83</v>
      </c>
      <c r="K318" s="856">
        <f t="shared" si="51"/>
        <v>111500.46</v>
      </c>
      <c r="L318" s="856">
        <f>K318-J318</f>
        <v>111443.63</v>
      </c>
      <c r="M318" s="856"/>
      <c r="N318" s="857" t="s">
        <v>2321</v>
      </c>
      <c r="O318" s="82" t="s">
        <v>243</v>
      </c>
      <c r="Q318" s="846" t="s">
        <v>3266</v>
      </c>
    </row>
    <row r="319" spans="1:17" ht="28.5">
      <c r="A319" s="815" t="s">
        <v>2216</v>
      </c>
      <c r="B319" s="816" t="s">
        <v>842</v>
      </c>
      <c r="C319" s="821" t="s">
        <v>669</v>
      </c>
      <c r="D319" s="817">
        <v>1</v>
      </c>
      <c r="E319" s="817">
        <f>'數量計算(FOR5變) '!E558</f>
        <v>0</v>
      </c>
      <c r="F319" s="817">
        <f t="shared" si="52"/>
        <v>-1</v>
      </c>
      <c r="G319" s="817">
        <v>68.67</v>
      </c>
      <c r="H319" s="817"/>
      <c r="I319" s="817"/>
      <c r="J319" s="817">
        <f t="shared" si="50"/>
        <v>68.67</v>
      </c>
      <c r="K319" s="817">
        <f t="shared" si="51"/>
        <v>0</v>
      </c>
      <c r="L319" s="817"/>
      <c r="M319" s="817">
        <f>J319-K319</f>
        <v>68.67</v>
      </c>
      <c r="N319" s="818" t="s">
        <v>2321</v>
      </c>
      <c r="O319" s="147" t="s">
        <v>3588</v>
      </c>
      <c r="P319" s="147"/>
      <c r="Q319" s="846" t="s">
        <v>3266</v>
      </c>
    </row>
    <row r="320" spans="1:17" ht="28.5">
      <c r="A320" s="853" t="s">
        <v>2217</v>
      </c>
      <c r="B320" s="854" t="s">
        <v>845</v>
      </c>
      <c r="C320" s="855" t="s">
        <v>669</v>
      </c>
      <c r="D320" s="856">
        <v>1</v>
      </c>
      <c r="E320" s="856">
        <f>'數量計算(FOR5變) '!E559</f>
        <v>1650</v>
      </c>
      <c r="F320" s="856">
        <f t="shared" si="52"/>
        <v>1649</v>
      </c>
      <c r="G320" s="856">
        <v>59.92</v>
      </c>
      <c r="H320" s="856"/>
      <c r="I320" s="856"/>
      <c r="J320" s="856">
        <f t="shared" si="50"/>
        <v>59.92</v>
      </c>
      <c r="K320" s="856">
        <f t="shared" si="51"/>
        <v>98868</v>
      </c>
      <c r="L320" s="856">
        <f>K320-J320</f>
        <v>98808.08</v>
      </c>
      <c r="M320" s="856"/>
      <c r="N320" s="857" t="s">
        <v>2321</v>
      </c>
      <c r="O320" s="82" t="s">
        <v>243</v>
      </c>
      <c r="Q320" s="846" t="s">
        <v>3266</v>
      </c>
    </row>
    <row r="321" spans="1:17" ht="28.5">
      <c r="A321" s="853" t="s">
        <v>2218</v>
      </c>
      <c r="B321" s="854" t="s">
        <v>848</v>
      </c>
      <c r="C321" s="855" t="s">
        <v>669</v>
      </c>
      <c r="D321" s="856">
        <v>1</v>
      </c>
      <c r="E321" s="856">
        <f>'數量計算(FOR5變) '!E560</f>
        <v>510</v>
      </c>
      <c r="F321" s="856">
        <f t="shared" si="52"/>
        <v>509</v>
      </c>
      <c r="G321" s="856">
        <v>58.37</v>
      </c>
      <c r="H321" s="856"/>
      <c r="I321" s="856"/>
      <c r="J321" s="856">
        <f t="shared" si="50"/>
        <v>58.37</v>
      </c>
      <c r="K321" s="856">
        <f t="shared" si="51"/>
        <v>29768.7</v>
      </c>
      <c r="L321" s="856">
        <f t="shared" ref="L321:L322" si="56">K321-J321</f>
        <v>29710.33</v>
      </c>
      <c r="M321" s="856"/>
      <c r="N321" s="857" t="s">
        <v>2321</v>
      </c>
      <c r="O321" s="82" t="s">
        <v>243</v>
      </c>
      <c r="Q321" s="846" t="s">
        <v>3266</v>
      </c>
    </row>
    <row r="322" spans="1:17" ht="28.5">
      <c r="A322" s="853" t="s">
        <v>2219</v>
      </c>
      <c r="B322" s="854" t="s">
        <v>851</v>
      </c>
      <c r="C322" s="855" t="s">
        <v>669</v>
      </c>
      <c r="D322" s="856">
        <v>1</v>
      </c>
      <c r="E322" s="856">
        <f>'數量計算(FOR5變) '!E561</f>
        <v>1078</v>
      </c>
      <c r="F322" s="856">
        <f t="shared" si="52"/>
        <v>1077</v>
      </c>
      <c r="G322" s="856">
        <v>68.209999999999994</v>
      </c>
      <c r="H322" s="856"/>
      <c r="I322" s="856"/>
      <c r="J322" s="856">
        <f t="shared" si="50"/>
        <v>68.209999999999994</v>
      </c>
      <c r="K322" s="856">
        <f t="shared" si="51"/>
        <v>73530.38</v>
      </c>
      <c r="L322" s="856">
        <f t="shared" si="56"/>
        <v>73462.17</v>
      </c>
      <c r="M322" s="856"/>
      <c r="N322" s="857" t="s">
        <v>2321</v>
      </c>
      <c r="O322" s="82" t="s">
        <v>243</v>
      </c>
      <c r="Q322" s="846" t="s">
        <v>3266</v>
      </c>
    </row>
    <row r="323" spans="1:17" ht="18">
      <c r="A323" s="815" t="s">
        <v>2220</v>
      </c>
      <c r="B323" s="816" t="s">
        <v>854</v>
      </c>
      <c r="C323" s="821" t="s">
        <v>669</v>
      </c>
      <c r="D323" s="817">
        <v>1</v>
      </c>
      <c r="E323" s="817">
        <f>'數量計算(FOR5變) '!E562</f>
        <v>0</v>
      </c>
      <c r="F323" s="817">
        <f t="shared" si="52"/>
        <v>-1</v>
      </c>
      <c r="G323" s="817">
        <v>72.33</v>
      </c>
      <c r="H323" s="817"/>
      <c r="I323" s="817"/>
      <c r="J323" s="817">
        <f t="shared" si="50"/>
        <v>72.33</v>
      </c>
      <c r="K323" s="817">
        <f t="shared" si="51"/>
        <v>0</v>
      </c>
      <c r="L323" s="817"/>
      <c r="M323" s="817">
        <f>J323-K323</f>
        <v>72.33</v>
      </c>
      <c r="N323" s="818" t="s">
        <v>2321</v>
      </c>
      <c r="O323" s="147" t="s">
        <v>3588</v>
      </c>
      <c r="P323" s="147"/>
      <c r="Q323" s="846" t="s">
        <v>3266</v>
      </c>
    </row>
    <row r="324" spans="1:17" ht="18">
      <c r="A324" s="815" t="s">
        <v>2221</v>
      </c>
      <c r="B324" s="816" t="s">
        <v>857</v>
      </c>
      <c r="C324" s="821" t="s">
        <v>669</v>
      </c>
      <c r="D324" s="817">
        <v>1</v>
      </c>
      <c r="E324" s="817">
        <f>'數量計算(FOR5變) '!E563</f>
        <v>0</v>
      </c>
      <c r="F324" s="817">
        <f t="shared" si="52"/>
        <v>-1</v>
      </c>
      <c r="G324" s="817">
        <v>111.47</v>
      </c>
      <c r="H324" s="817"/>
      <c r="I324" s="817"/>
      <c r="J324" s="817">
        <f t="shared" si="50"/>
        <v>111.47</v>
      </c>
      <c r="K324" s="817">
        <f t="shared" si="51"/>
        <v>0</v>
      </c>
      <c r="L324" s="817"/>
      <c r="M324" s="817">
        <f>J324-K324</f>
        <v>111.47</v>
      </c>
      <c r="N324" s="818" t="s">
        <v>2321</v>
      </c>
      <c r="O324" s="147" t="s">
        <v>3588</v>
      </c>
      <c r="P324" s="147"/>
      <c r="Q324" s="846" t="s">
        <v>3266</v>
      </c>
    </row>
    <row r="325" spans="1:17" ht="18">
      <c r="A325" s="853" t="s">
        <v>2222</v>
      </c>
      <c r="B325" s="854" t="s">
        <v>860</v>
      </c>
      <c r="C325" s="855" t="s">
        <v>669</v>
      </c>
      <c r="D325" s="856">
        <v>1</v>
      </c>
      <c r="E325" s="856">
        <f>'數量計算(FOR5變) '!E564</f>
        <v>2150</v>
      </c>
      <c r="F325" s="856">
        <f t="shared" si="52"/>
        <v>2149</v>
      </c>
      <c r="G325" s="856">
        <v>101.17</v>
      </c>
      <c r="H325" s="856"/>
      <c r="I325" s="856"/>
      <c r="J325" s="856">
        <f t="shared" si="50"/>
        <v>101.17</v>
      </c>
      <c r="K325" s="856">
        <f t="shared" si="51"/>
        <v>217515.5</v>
      </c>
      <c r="L325" s="856">
        <f>K325-J325</f>
        <v>217414.33</v>
      </c>
      <c r="M325" s="856"/>
      <c r="N325" s="857" t="s">
        <v>2321</v>
      </c>
      <c r="O325" s="82" t="s">
        <v>243</v>
      </c>
      <c r="Q325" s="846" t="s">
        <v>3266</v>
      </c>
    </row>
    <row r="326" spans="1:17" ht="28.5">
      <c r="A326" s="853" t="s">
        <v>2223</v>
      </c>
      <c r="B326" s="854" t="s">
        <v>863</v>
      </c>
      <c r="C326" s="855" t="s">
        <v>669</v>
      </c>
      <c r="D326" s="856">
        <v>1</v>
      </c>
      <c r="E326" s="856">
        <f>'數量計算(FOR5變) '!E565</f>
        <v>5336</v>
      </c>
      <c r="F326" s="856">
        <f t="shared" si="52"/>
        <v>5335</v>
      </c>
      <c r="G326" s="856">
        <v>81.62</v>
      </c>
      <c r="H326" s="856"/>
      <c r="I326" s="856"/>
      <c r="J326" s="856">
        <f t="shared" si="50"/>
        <v>81.62</v>
      </c>
      <c r="K326" s="856">
        <f t="shared" si="51"/>
        <v>435524.32</v>
      </c>
      <c r="L326" s="856">
        <f>K326-J326</f>
        <v>435442.7</v>
      </c>
      <c r="M326" s="856"/>
      <c r="N326" s="857" t="s">
        <v>242</v>
      </c>
      <c r="O326" s="82" t="s">
        <v>243</v>
      </c>
      <c r="Q326" s="846" t="s">
        <v>3266</v>
      </c>
    </row>
    <row r="327" spans="1:17" ht="28.5">
      <c r="A327" s="815" t="s">
        <v>2224</v>
      </c>
      <c r="B327" s="816" t="s">
        <v>866</v>
      </c>
      <c r="C327" s="821" t="s">
        <v>669</v>
      </c>
      <c r="D327" s="817">
        <v>1</v>
      </c>
      <c r="E327" s="817">
        <f>'數量計算(FOR5變) '!E566</f>
        <v>0</v>
      </c>
      <c r="F327" s="817">
        <f t="shared" si="52"/>
        <v>-1</v>
      </c>
      <c r="G327" s="817">
        <v>79.040000000000006</v>
      </c>
      <c r="H327" s="817"/>
      <c r="I327" s="817"/>
      <c r="J327" s="817">
        <f t="shared" si="50"/>
        <v>79.040000000000006</v>
      </c>
      <c r="K327" s="817">
        <f t="shared" si="51"/>
        <v>0</v>
      </c>
      <c r="L327" s="817"/>
      <c r="M327" s="817">
        <f>J327-K327</f>
        <v>79.040000000000006</v>
      </c>
      <c r="N327" s="818" t="s">
        <v>242</v>
      </c>
      <c r="O327" s="147" t="s">
        <v>3588</v>
      </c>
      <c r="P327" s="147"/>
      <c r="Q327" s="846" t="s">
        <v>3266</v>
      </c>
    </row>
    <row r="328" spans="1:17" ht="28.5">
      <c r="A328" s="815" t="s">
        <v>2225</v>
      </c>
      <c r="B328" s="816" t="s">
        <v>869</v>
      </c>
      <c r="C328" s="821" t="s">
        <v>669</v>
      </c>
      <c r="D328" s="820">
        <v>1</v>
      </c>
      <c r="E328" s="817">
        <f>'數量計算(FOR5變) '!E567</f>
        <v>0</v>
      </c>
      <c r="F328" s="817">
        <f t="shared" si="52"/>
        <v>-1</v>
      </c>
      <c r="G328" s="817">
        <v>99.64</v>
      </c>
      <c r="H328" s="817"/>
      <c r="I328" s="817"/>
      <c r="J328" s="817">
        <f t="shared" si="50"/>
        <v>99.64</v>
      </c>
      <c r="K328" s="817">
        <f t="shared" si="51"/>
        <v>0</v>
      </c>
      <c r="L328" s="817"/>
      <c r="M328" s="817">
        <f>J328-K328</f>
        <v>99.64</v>
      </c>
      <c r="N328" s="818" t="s">
        <v>242</v>
      </c>
      <c r="O328" s="147" t="s">
        <v>3588</v>
      </c>
      <c r="P328" s="147"/>
      <c r="Q328" s="846" t="s">
        <v>3266</v>
      </c>
    </row>
    <row r="329" spans="1:17" ht="28.5">
      <c r="A329" s="853" t="s">
        <v>2226</v>
      </c>
      <c r="B329" s="854" t="s">
        <v>872</v>
      </c>
      <c r="C329" s="855" t="s">
        <v>669</v>
      </c>
      <c r="D329" s="856">
        <v>1</v>
      </c>
      <c r="E329" s="856">
        <f>'數量計算(FOR5變) '!E568</f>
        <v>1492</v>
      </c>
      <c r="F329" s="856">
        <f t="shared" si="52"/>
        <v>1491</v>
      </c>
      <c r="G329" s="856">
        <v>74.92</v>
      </c>
      <c r="H329" s="856"/>
      <c r="I329" s="856"/>
      <c r="J329" s="856">
        <f t="shared" si="50"/>
        <v>74.92</v>
      </c>
      <c r="K329" s="856">
        <f t="shared" si="51"/>
        <v>111780.64</v>
      </c>
      <c r="L329" s="856">
        <f>K329-J329</f>
        <v>111705.72</v>
      </c>
      <c r="M329" s="856"/>
      <c r="N329" s="857" t="s">
        <v>242</v>
      </c>
      <c r="O329" s="82" t="s">
        <v>243</v>
      </c>
      <c r="Q329" s="846" t="s">
        <v>3266</v>
      </c>
    </row>
    <row r="330" spans="1:17" ht="18">
      <c r="A330" s="853" t="s">
        <v>2227</v>
      </c>
      <c r="B330" s="854" t="s">
        <v>875</v>
      </c>
      <c r="C330" s="855" t="s">
        <v>669</v>
      </c>
      <c r="D330" s="856">
        <v>1</v>
      </c>
      <c r="E330" s="856">
        <f>'數量計算(FOR5變) '!E569</f>
        <v>202</v>
      </c>
      <c r="F330" s="856">
        <f t="shared" si="52"/>
        <v>201</v>
      </c>
      <c r="G330" s="856">
        <v>72.28</v>
      </c>
      <c r="H330" s="856"/>
      <c r="I330" s="856"/>
      <c r="J330" s="856">
        <f t="shared" si="50"/>
        <v>72.28</v>
      </c>
      <c r="K330" s="856">
        <f t="shared" si="51"/>
        <v>14600.56</v>
      </c>
      <c r="L330" s="856">
        <f t="shared" ref="L330:L333" si="57">K330-J330</f>
        <v>14528.279999999999</v>
      </c>
      <c r="M330" s="856"/>
      <c r="N330" s="857" t="s">
        <v>242</v>
      </c>
      <c r="O330" s="82" t="s">
        <v>243</v>
      </c>
      <c r="Q330" s="846" t="s">
        <v>3266</v>
      </c>
    </row>
    <row r="331" spans="1:17" ht="18">
      <c r="A331" s="853" t="s">
        <v>2228</v>
      </c>
      <c r="B331" s="854" t="s">
        <v>878</v>
      </c>
      <c r="C331" s="855" t="s">
        <v>13</v>
      </c>
      <c r="D331" s="856">
        <v>1</v>
      </c>
      <c r="E331" s="856">
        <f>'數量計算(FOR5變) '!E570</f>
        <v>1368</v>
      </c>
      <c r="F331" s="856">
        <f t="shared" si="52"/>
        <v>1367</v>
      </c>
      <c r="G331" s="856">
        <v>43.77</v>
      </c>
      <c r="H331" s="856"/>
      <c r="I331" s="856"/>
      <c r="J331" s="856">
        <f t="shared" si="50"/>
        <v>43.77</v>
      </c>
      <c r="K331" s="856">
        <f t="shared" si="51"/>
        <v>59877.36</v>
      </c>
      <c r="L331" s="856">
        <f t="shared" si="57"/>
        <v>59833.590000000004</v>
      </c>
      <c r="M331" s="856"/>
      <c r="N331" s="857" t="s">
        <v>242</v>
      </c>
      <c r="O331" s="82" t="s">
        <v>243</v>
      </c>
      <c r="Q331" s="846" t="s">
        <v>3266</v>
      </c>
    </row>
    <row r="332" spans="1:17" ht="18">
      <c r="A332" s="853" t="s">
        <v>2229</v>
      </c>
      <c r="B332" s="854" t="s">
        <v>881</v>
      </c>
      <c r="C332" s="855" t="s">
        <v>882</v>
      </c>
      <c r="D332" s="856">
        <v>1</v>
      </c>
      <c r="E332" s="856">
        <f>'數量計算(FOR5變) '!E571</f>
        <v>37440</v>
      </c>
      <c r="F332" s="856">
        <f t="shared" si="52"/>
        <v>37439</v>
      </c>
      <c r="G332" s="856">
        <v>28.11</v>
      </c>
      <c r="H332" s="856"/>
      <c r="I332" s="856"/>
      <c r="J332" s="856">
        <f t="shared" ref="J332:J374" si="58">ROUND(D332*G332,2)</f>
        <v>28.11</v>
      </c>
      <c r="K332" s="856">
        <f t="shared" ref="K332:K374" si="59">ROUND(E332*G332,2)</f>
        <v>1052438.3999999999</v>
      </c>
      <c r="L332" s="856">
        <f t="shared" si="57"/>
        <v>1052410.2899999998</v>
      </c>
      <c r="M332" s="856"/>
      <c r="N332" s="857" t="s">
        <v>242</v>
      </c>
      <c r="O332" s="82" t="s">
        <v>243</v>
      </c>
      <c r="Q332" s="846" t="s">
        <v>3266</v>
      </c>
    </row>
    <row r="333" spans="1:17" ht="28.5">
      <c r="A333" s="853" t="s">
        <v>2230</v>
      </c>
      <c r="B333" s="854" t="s">
        <v>885</v>
      </c>
      <c r="C333" s="855" t="s">
        <v>13</v>
      </c>
      <c r="D333" s="862">
        <v>1</v>
      </c>
      <c r="E333" s="856">
        <f>'數量計算(FOR5變) '!E572</f>
        <v>6680.6</v>
      </c>
      <c r="F333" s="856">
        <f t="shared" si="52"/>
        <v>6679.6</v>
      </c>
      <c r="G333" s="856">
        <v>239.86</v>
      </c>
      <c r="H333" s="856"/>
      <c r="I333" s="856"/>
      <c r="J333" s="856">
        <f t="shared" si="58"/>
        <v>239.86</v>
      </c>
      <c r="K333" s="856">
        <f t="shared" si="59"/>
        <v>1602408.72</v>
      </c>
      <c r="L333" s="856">
        <f t="shared" si="57"/>
        <v>1602168.8599999999</v>
      </c>
      <c r="M333" s="856"/>
      <c r="N333" s="857" t="s">
        <v>2410</v>
      </c>
      <c r="O333" s="293" t="s">
        <v>3635</v>
      </c>
      <c r="P333" s="293"/>
      <c r="Q333" s="846" t="s">
        <v>3266</v>
      </c>
    </row>
    <row r="334" spans="1:17" ht="28.5">
      <c r="A334" s="833" t="s">
        <v>2231</v>
      </c>
      <c r="B334" s="834" t="s">
        <v>1506</v>
      </c>
      <c r="C334" s="835" t="s">
        <v>8</v>
      </c>
      <c r="D334" s="836">
        <v>1305</v>
      </c>
      <c r="E334" s="836">
        <v>1305</v>
      </c>
      <c r="F334" s="836">
        <f t="shared" si="52"/>
        <v>0</v>
      </c>
      <c r="G334" s="836">
        <v>1765.46</v>
      </c>
      <c r="H334" s="836"/>
      <c r="I334" s="836"/>
      <c r="J334" s="836">
        <f t="shared" si="58"/>
        <v>2303925.2999999998</v>
      </c>
      <c r="K334" s="836">
        <f t="shared" si="59"/>
        <v>2303925.2999999998</v>
      </c>
      <c r="L334" s="836"/>
      <c r="M334" s="836"/>
      <c r="N334" s="837" t="s">
        <v>242</v>
      </c>
      <c r="O334" s="82" t="s">
        <v>243</v>
      </c>
    </row>
    <row r="335" spans="1:17" ht="14.25">
      <c r="A335" s="833" t="s">
        <v>2232</v>
      </c>
      <c r="B335" s="834" t="s">
        <v>1508</v>
      </c>
      <c r="C335" s="835" t="s">
        <v>1509</v>
      </c>
      <c r="D335" s="836">
        <v>15318</v>
      </c>
      <c r="E335" s="836">
        <v>15318</v>
      </c>
      <c r="F335" s="836">
        <f t="shared" si="52"/>
        <v>0</v>
      </c>
      <c r="G335" s="836">
        <v>149.99</v>
      </c>
      <c r="H335" s="836"/>
      <c r="I335" s="836"/>
      <c r="J335" s="836">
        <f t="shared" si="58"/>
        <v>2297546.8199999998</v>
      </c>
      <c r="K335" s="836">
        <f t="shared" si="59"/>
        <v>2297546.8199999998</v>
      </c>
      <c r="L335" s="836"/>
      <c r="M335" s="836"/>
      <c r="N335" s="837" t="s">
        <v>242</v>
      </c>
      <c r="O335" s="82" t="s">
        <v>243</v>
      </c>
    </row>
    <row r="336" spans="1:17" ht="42.75">
      <c r="A336" s="859">
        <v>78</v>
      </c>
      <c r="B336" s="854" t="s">
        <v>3221</v>
      </c>
      <c r="C336" s="861" t="s">
        <v>3224</v>
      </c>
      <c r="D336" s="862">
        <v>0</v>
      </c>
      <c r="E336" s="862">
        <f>'數量計算(FOR5變) '!E575</f>
        <v>19</v>
      </c>
      <c r="F336" s="856">
        <f t="shared" si="52"/>
        <v>19</v>
      </c>
      <c r="G336" s="941">
        <v>16250</v>
      </c>
      <c r="H336" s="862"/>
      <c r="I336" s="862"/>
      <c r="J336" s="856">
        <f t="shared" si="58"/>
        <v>0</v>
      </c>
      <c r="K336" s="856">
        <f t="shared" si="59"/>
        <v>308750</v>
      </c>
      <c r="L336" s="862"/>
      <c r="M336" s="862"/>
      <c r="N336" s="863"/>
      <c r="Q336" s="846" t="s">
        <v>3266</v>
      </c>
    </row>
    <row r="337" spans="1:17" ht="28.5">
      <c r="A337" s="859">
        <v>79</v>
      </c>
      <c r="B337" s="854" t="s">
        <v>3228</v>
      </c>
      <c r="C337" s="861" t="s">
        <v>3224</v>
      </c>
      <c r="D337" s="862">
        <v>0</v>
      </c>
      <c r="E337" s="862">
        <f>'數量計算(FOR5變) '!E576</f>
        <v>1520</v>
      </c>
      <c r="F337" s="856">
        <f t="shared" si="52"/>
        <v>1520</v>
      </c>
      <c r="G337" s="941">
        <v>240</v>
      </c>
      <c r="H337" s="862"/>
      <c r="I337" s="862"/>
      <c r="J337" s="856">
        <f t="shared" si="58"/>
        <v>0</v>
      </c>
      <c r="K337" s="856">
        <f t="shared" si="59"/>
        <v>364800</v>
      </c>
      <c r="L337" s="862"/>
      <c r="M337" s="862"/>
      <c r="N337" s="863"/>
      <c r="Q337" s="846" t="s">
        <v>3266</v>
      </c>
    </row>
    <row r="338" spans="1:17" ht="28.5">
      <c r="A338" s="859">
        <v>80</v>
      </c>
      <c r="B338" s="854" t="s">
        <v>3233</v>
      </c>
      <c r="C338" s="861" t="s">
        <v>3224</v>
      </c>
      <c r="D338" s="862">
        <v>0</v>
      </c>
      <c r="E338" s="862">
        <f>'數量計算(FOR5變) '!E577</f>
        <v>4915</v>
      </c>
      <c r="F338" s="856">
        <f t="shared" si="52"/>
        <v>4915</v>
      </c>
      <c r="G338" s="941">
        <v>85</v>
      </c>
      <c r="H338" s="862"/>
      <c r="I338" s="862"/>
      <c r="J338" s="856">
        <f t="shared" si="58"/>
        <v>0</v>
      </c>
      <c r="K338" s="856">
        <f t="shared" si="59"/>
        <v>417775</v>
      </c>
      <c r="L338" s="862"/>
      <c r="M338" s="862"/>
      <c r="N338" s="863"/>
      <c r="Q338" s="846" t="s">
        <v>3266</v>
      </c>
    </row>
    <row r="339" spans="1:17" ht="28.5">
      <c r="A339" s="853">
        <v>81</v>
      </c>
      <c r="B339" s="854" t="s">
        <v>3852</v>
      </c>
      <c r="C339" s="861" t="s">
        <v>3224</v>
      </c>
      <c r="D339" s="856">
        <v>0</v>
      </c>
      <c r="E339" s="856">
        <v>300</v>
      </c>
      <c r="F339" s="856">
        <f t="shared" si="52"/>
        <v>300</v>
      </c>
      <c r="G339" s="942">
        <v>420</v>
      </c>
      <c r="H339" s="856"/>
      <c r="I339" s="856"/>
      <c r="J339" s="856">
        <f t="shared" si="58"/>
        <v>0</v>
      </c>
      <c r="K339" s="856">
        <f t="shared" si="59"/>
        <v>126000</v>
      </c>
      <c r="L339" s="856"/>
      <c r="M339" s="856"/>
      <c r="N339" s="857" t="s">
        <v>3850</v>
      </c>
      <c r="Q339" s="846"/>
    </row>
    <row r="340" spans="1:17" ht="27">
      <c r="A340" s="853">
        <v>82</v>
      </c>
      <c r="B340" s="854" t="s">
        <v>3700</v>
      </c>
      <c r="C340" s="855" t="s">
        <v>3689</v>
      </c>
      <c r="D340" s="856">
        <v>0</v>
      </c>
      <c r="E340" s="856">
        <v>1</v>
      </c>
      <c r="F340" s="856">
        <f t="shared" si="52"/>
        <v>1</v>
      </c>
      <c r="G340" s="856">
        <v>75000</v>
      </c>
      <c r="H340" s="856"/>
      <c r="I340" s="856"/>
      <c r="J340" s="856">
        <f t="shared" si="58"/>
        <v>0</v>
      </c>
      <c r="K340" s="856">
        <f t="shared" si="59"/>
        <v>75000</v>
      </c>
      <c r="L340" s="856">
        <f t="shared" ref="L340" si="60">K340-J340</f>
        <v>75000</v>
      </c>
      <c r="M340" s="856"/>
      <c r="N340" s="857"/>
      <c r="O340" s="147" t="s">
        <v>3701</v>
      </c>
      <c r="P340" s="293" t="s">
        <v>3702</v>
      </c>
      <c r="Q340" s="846"/>
    </row>
    <row r="341" spans="1:17" ht="14.25">
      <c r="A341" s="833" t="s">
        <v>2248</v>
      </c>
      <c r="B341" s="834" t="s">
        <v>888</v>
      </c>
      <c r="C341" s="835" t="s">
        <v>4</v>
      </c>
      <c r="D341" s="836">
        <v>1</v>
      </c>
      <c r="E341" s="836"/>
      <c r="F341" s="836"/>
      <c r="G341" s="836">
        <f>J341</f>
        <v>5050770.370000001</v>
      </c>
      <c r="H341" s="836"/>
      <c r="I341" s="836"/>
      <c r="J341" s="836">
        <f>SUM(J342:J374)</f>
        <v>5050770.370000001</v>
      </c>
      <c r="K341" s="836">
        <f>SUM(K342:K374)</f>
        <v>5050770.370000001</v>
      </c>
      <c r="L341" s="836">
        <f>SUM(L342:L374)</f>
        <v>0</v>
      </c>
      <c r="M341" s="836">
        <f>SUM(M342:M374)</f>
        <v>0</v>
      </c>
      <c r="N341" s="837" t="s">
        <v>242</v>
      </c>
      <c r="O341" s="82" t="s">
        <v>243</v>
      </c>
    </row>
    <row r="342" spans="1:17" ht="14.25">
      <c r="A342" s="833" t="s">
        <v>2154</v>
      </c>
      <c r="B342" s="834" t="s">
        <v>890</v>
      </c>
      <c r="C342" s="835" t="s">
        <v>4</v>
      </c>
      <c r="D342" s="836">
        <v>1</v>
      </c>
      <c r="E342" s="836">
        <v>1</v>
      </c>
      <c r="F342" s="836">
        <f t="shared" si="52"/>
        <v>0</v>
      </c>
      <c r="G342" s="836">
        <v>88179.19</v>
      </c>
      <c r="H342" s="836"/>
      <c r="I342" s="836"/>
      <c r="J342" s="836">
        <f t="shared" si="58"/>
        <v>88179.19</v>
      </c>
      <c r="K342" s="836">
        <f t="shared" si="59"/>
        <v>88179.19</v>
      </c>
      <c r="L342" s="836"/>
      <c r="M342" s="836"/>
      <c r="N342" s="837" t="s">
        <v>242</v>
      </c>
      <c r="O342" s="82" t="s">
        <v>243</v>
      </c>
    </row>
    <row r="343" spans="1:17" ht="14.25">
      <c r="A343" s="833" t="s">
        <v>2155</v>
      </c>
      <c r="B343" s="834" t="s">
        <v>893</v>
      </c>
      <c r="C343" s="835" t="s">
        <v>4</v>
      </c>
      <c r="D343" s="836">
        <v>1</v>
      </c>
      <c r="E343" s="836">
        <v>1</v>
      </c>
      <c r="F343" s="836">
        <f t="shared" si="52"/>
        <v>0</v>
      </c>
      <c r="G343" s="836">
        <v>149702.84</v>
      </c>
      <c r="H343" s="836"/>
      <c r="I343" s="836"/>
      <c r="J343" s="836">
        <f t="shared" si="58"/>
        <v>149702.84</v>
      </c>
      <c r="K343" s="836">
        <f t="shared" si="59"/>
        <v>149702.84</v>
      </c>
      <c r="L343" s="836"/>
      <c r="M343" s="836"/>
      <c r="N343" s="837" t="s">
        <v>242</v>
      </c>
      <c r="O343" s="82" t="s">
        <v>243</v>
      </c>
    </row>
    <row r="344" spans="1:17" ht="14.25">
      <c r="A344" s="833" t="s">
        <v>2156</v>
      </c>
      <c r="B344" s="834" t="s">
        <v>896</v>
      </c>
      <c r="C344" s="835" t="s">
        <v>4</v>
      </c>
      <c r="D344" s="494">
        <v>1</v>
      </c>
      <c r="E344" s="836">
        <v>1</v>
      </c>
      <c r="F344" s="836">
        <f t="shared" si="52"/>
        <v>0</v>
      </c>
      <c r="G344" s="836">
        <v>168290.82</v>
      </c>
      <c r="H344" s="836"/>
      <c r="I344" s="836"/>
      <c r="J344" s="836">
        <f t="shared" si="58"/>
        <v>168290.82</v>
      </c>
      <c r="K344" s="836">
        <f t="shared" si="59"/>
        <v>168290.82</v>
      </c>
      <c r="L344" s="836"/>
      <c r="M344" s="836"/>
      <c r="N344" s="837" t="s">
        <v>242</v>
      </c>
      <c r="O344" s="82" t="s">
        <v>243</v>
      </c>
    </row>
    <row r="345" spans="1:17" ht="14.25">
      <c r="A345" s="833" t="s">
        <v>2157</v>
      </c>
      <c r="B345" s="834" t="s">
        <v>899</v>
      </c>
      <c r="C345" s="835" t="s">
        <v>4</v>
      </c>
      <c r="D345" s="494">
        <v>1</v>
      </c>
      <c r="E345" s="836">
        <v>1</v>
      </c>
      <c r="F345" s="836">
        <f t="shared" si="52"/>
        <v>0</v>
      </c>
      <c r="G345" s="836">
        <v>23946.69</v>
      </c>
      <c r="H345" s="836"/>
      <c r="I345" s="836"/>
      <c r="J345" s="836">
        <f t="shared" si="58"/>
        <v>23946.69</v>
      </c>
      <c r="K345" s="836">
        <f t="shared" si="59"/>
        <v>23946.69</v>
      </c>
      <c r="L345" s="836"/>
      <c r="M345" s="836"/>
      <c r="N345" s="837" t="s">
        <v>242</v>
      </c>
      <c r="O345" s="82" t="s">
        <v>243</v>
      </c>
    </row>
    <row r="346" spans="1:17" ht="42.75">
      <c r="A346" s="833" t="s">
        <v>2158</v>
      </c>
      <c r="B346" s="834" t="s">
        <v>902</v>
      </c>
      <c r="C346" s="835" t="s">
        <v>0</v>
      </c>
      <c r="D346" s="836">
        <v>11</v>
      </c>
      <c r="E346" s="836">
        <v>11</v>
      </c>
      <c r="F346" s="836">
        <f t="shared" si="52"/>
        <v>0</v>
      </c>
      <c r="G346" s="836">
        <v>42797.67</v>
      </c>
      <c r="H346" s="836"/>
      <c r="I346" s="836"/>
      <c r="J346" s="836">
        <f t="shared" si="58"/>
        <v>470774.37</v>
      </c>
      <c r="K346" s="836">
        <f t="shared" si="59"/>
        <v>470774.37</v>
      </c>
      <c r="L346" s="836"/>
      <c r="M346" s="836"/>
      <c r="N346" s="837" t="s">
        <v>2419</v>
      </c>
      <c r="O346" s="82" t="s">
        <v>243</v>
      </c>
    </row>
    <row r="347" spans="1:17" ht="28.5">
      <c r="A347" s="833" t="s">
        <v>2159</v>
      </c>
      <c r="B347" s="834" t="s">
        <v>905</v>
      </c>
      <c r="C347" s="835" t="s">
        <v>0</v>
      </c>
      <c r="D347" s="836">
        <v>9</v>
      </c>
      <c r="E347" s="836">
        <v>9</v>
      </c>
      <c r="F347" s="836">
        <f t="shared" si="52"/>
        <v>0</v>
      </c>
      <c r="G347" s="836">
        <v>60396.71</v>
      </c>
      <c r="H347" s="836"/>
      <c r="I347" s="836"/>
      <c r="J347" s="836">
        <f t="shared" si="58"/>
        <v>543570.39</v>
      </c>
      <c r="K347" s="836">
        <f t="shared" si="59"/>
        <v>543570.39</v>
      </c>
      <c r="L347" s="836"/>
      <c r="M347" s="836"/>
      <c r="N347" s="837" t="s">
        <v>2321</v>
      </c>
      <c r="O347" s="82" t="s">
        <v>243</v>
      </c>
    </row>
    <row r="348" spans="1:17" ht="28.5">
      <c r="A348" s="833" t="s">
        <v>2160</v>
      </c>
      <c r="B348" s="834" t="s">
        <v>908</v>
      </c>
      <c r="C348" s="835" t="s">
        <v>0</v>
      </c>
      <c r="D348" s="836">
        <v>10</v>
      </c>
      <c r="E348" s="836">
        <v>10</v>
      </c>
      <c r="F348" s="836">
        <f t="shared" si="52"/>
        <v>0</v>
      </c>
      <c r="G348" s="836">
        <v>34998.089999999997</v>
      </c>
      <c r="H348" s="836"/>
      <c r="I348" s="836"/>
      <c r="J348" s="836">
        <f t="shared" si="58"/>
        <v>349980.9</v>
      </c>
      <c r="K348" s="836">
        <f t="shared" si="59"/>
        <v>349980.9</v>
      </c>
      <c r="L348" s="836"/>
      <c r="M348" s="836"/>
      <c r="N348" s="837" t="s">
        <v>2321</v>
      </c>
      <c r="O348" s="82" t="s">
        <v>243</v>
      </c>
    </row>
    <row r="349" spans="1:17" ht="28.5">
      <c r="A349" s="833" t="s">
        <v>2161</v>
      </c>
      <c r="B349" s="834" t="s">
        <v>911</v>
      </c>
      <c r="C349" s="835" t="s">
        <v>0</v>
      </c>
      <c r="D349" s="836">
        <v>8</v>
      </c>
      <c r="E349" s="836">
        <v>8</v>
      </c>
      <c r="F349" s="836">
        <f t="shared" ref="F349:F411" si="61">E349-D349</f>
        <v>0</v>
      </c>
      <c r="G349" s="836">
        <v>9999.4500000000007</v>
      </c>
      <c r="H349" s="836"/>
      <c r="I349" s="836"/>
      <c r="J349" s="836">
        <f t="shared" si="58"/>
        <v>79995.600000000006</v>
      </c>
      <c r="K349" s="836">
        <f t="shared" si="59"/>
        <v>79995.600000000006</v>
      </c>
      <c r="L349" s="836"/>
      <c r="M349" s="836"/>
      <c r="N349" s="837" t="s">
        <v>2321</v>
      </c>
      <c r="O349" s="82" t="s">
        <v>243</v>
      </c>
    </row>
    <row r="350" spans="1:17" ht="14.25">
      <c r="A350" s="833" t="s">
        <v>2162</v>
      </c>
      <c r="B350" s="834" t="s">
        <v>914</v>
      </c>
      <c r="C350" s="835" t="s">
        <v>15</v>
      </c>
      <c r="D350" s="836">
        <v>2</v>
      </c>
      <c r="E350" s="836">
        <v>2</v>
      </c>
      <c r="F350" s="836">
        <f t="shared" si="61"/>
        <v>0</v>
      </c>
      <c r="G350" s="836">
        <v>1499.92</v>
      </c>
      <c r="H350" s="836"/>
      <c r="I350" s="836"/>
      <c r="J350" s="836">
        <f t="shared" si="58"/>
        <v>2999.84</v>
      </c>
      <c r="K350" s="836">
        <f t="shared" si="59"/>
        <v>2999.84</v>
      </c>
      <c r="L350" s="836"/>
      <c r="M350" s="836"/>
      <c r="N350" s="837" t="s">
        <v>242</v>
      </c>
      <c r="O350" s="82" t="s">
        <v>243</v>
      </c>
    </row>
    <row r="351" spans="1:17" ht="14.25">
      <c r="A351" s="833" t="s">
        <v>2163</v>
      </c>
      <c r="B351" s="834" t="s">
        <v>917</v>
      </c>
      <c r="C351" s="835" t="s">
        <v>15</v>
      </c>
      <c r="D351" s="836">
        <v>2</v>
      </c>
      <c r="E351" s="836">
        <v>2</v>
      </c>
      <c r="F351" s="836">
        <f t="shared" si="61"/>
        <v>0</v>
      </c>
      <c r="G351" s="836">
        <v>3999.78</v>
      </c>
      <c r="H351" s="836"/>
      <c r="I351" s="836"/>
      <c r="J351" s="836">
        <f t="shared" si="58"/>
        <v>7999.56</v>
      </c>
      <c r="K351" s="836">
        <f t="shared" si="59"/>
        <v>7999.56</v>
      </c>
      <c r="L351" s="836"/>
      <c r="M351" s="836"/>
      <c r="N351" s="837" t="s">
        <v>242</v>
      </c>
      <c r="O351" s="82" t="s">
        <v>243</v>
      </c>
    </row>
    <row r="352" spans="1:17" ht="14.25">
      <c r="A352" s="833" t="s">
        <v>2164</v>
      </c>
      <c r="B352" s="834" t="s">
        <v>920</v>
      </c>
      <c r="C352" s="835" t="s">
        <v>8</v>
      </c>
      <c r="D352" s="836">
        <v>44.6</v>
      </c>
      <c r="E352" s="836">
        <v>44.6</v>
      </c>
      <c r="F352" s="836">
        <f t="shared" si="61"/>
        <v>0</v>
      </c>
      <c r="G352" s="836">
        <v>799.96</v>
      </c>
      <c r="H352" s="836"/>
      <c r="I352" s="836"/>
      <c r="J352" s="836">
        <f t="shared" si="58"/>
        <v>35678.22</v>
      </c>
      <c r="K352" s="836">
        <f t="shared" si="59"/>
        <v>35678.22</v>
      </c>
      <c r="L352" s="836"/>
      <c r="M352" s="836"/>
      <c r="N352" s="837" t="s">
        <v>242</v>
      </c>
      <c r="O352" s="82" t="s">
        <v>243</v>
      </c>
    </row>
    <row r="353" spans="1:15" ht="14.25">
      <c r="A353" s="833" t="s">
        <v>2165</v>
      </c>
      <c r="B353" s="834" t="s">
        <v>923</v>
      </c>
      <c r="C353" s="835" t="s">
        <v>15</v>
      </c>
      <c r="D353" s="836">
        <v>10</v>
      </c>
      <c r="E353" s="836">
        <v>10</v>
      </c>
      <c r="F353" s="836">
        <f t="shared" si="61"/>
        <v>0</v>
      </c>
      <c r="G353" s="836">
        <v>11299.38</v>
      </c>
      <c r="H353" s="836"/>
      <c r="I353" s="836"/>
      <c r="J353" s="836">
        <f t="shared" si="58"/>
        <v>112993.8</v>
      </c>
      <c r="K353" s="836">
        <f t="shared" si="59"/>
        <v>112993.8</v>
      </c>
      <c r="L353" s="836"/>
      <c r="M353" s="836"/>
      <c r="N353" s="837" t="s">
        <v>242</v>
      </c>
      <c r="O353" s="82" t="s">
        <v>243</v>
      </c>
    </row>
    <row r="354" spans="1:15" ht="14.25">
      <c r="A354" s="833" t="s">
        <v>2166</v>
      </c>
      <c r="B354" s="834" t="s">
        <v>3165</v>
      </c>
      <c r="C354" s="835" t="s">
        <v>15</v>
      </c>
      <c r="D354" s="836">
        <v>5</v>
      </c>
      <c r="E354" s="836">
        <v>5</v>
      </c>
      <c r="F354" s="836">
        <f t="shared" si="61"/>
        <v>0</v>
      </c>
      <c r="G354" s="836">
        <v>17999.02</v>
      </c>
      <c r="H354" s="836"/>
      <c r="I354" s="836"/>
      <c r="J354" s="836">
        <f t="shared" si="58"/>
        <v>89995.1</v>
      </c>
      <c r="K354" s="836">
        <f t="shared" si="59"/>
        <v>89995.1</v>
      </c>
      <c r="L354" s="836"/>
      <c r="M354" s="836"/>
      <c r="N354" s="837" t="s">
        <v>242</v>
      </c>
      <c r="O354" s="82" t="s">
        <v>243</v>
      </c>
    </row>
    <row r="355" spans="1:15" ht="14.25">
      <c r="A355" s="833" t="s">
        <v>2167</v>
      </c>
      <c r="B355" s="834" t="s">
        <v>929</v>
      </c>
      <c r="C355" s="835" t="s">
        <v>15</v>
      </c>
      <c r="D355" s="836">
        <v>17</v>
      </c>
      <c r="E355" s="836">
        <v>17</v>
      </c>
      <c r="F355" s="836">
        <f t="shared" si="61"/>
        <v>0</v>
      </c>
      <c r="G355" s="836">
        <v>4199.7700000000004</v>
      </c>
      <c r="H355" s="836"/>
      <c r="I355" s="836"/>
      <c r="J355" s="836">
        <f t="shared" si="58"/>
        <v>71396.09</v>
      </c>
      <c r="K355" s="836">
        <f t="shared" si="59"/>
        <v>71396.09</v>
      </c>
      <c r="L355" s="836"/>
      <c r="M355" s="836"/>
      <c r="N355" s="837" t="s">
        <v>242</v>
      </c>
      <c r="O355" s="82" t="s">
        <v>243</v>
      </c>
    </row>
    <row r="356" spans="1:15" ht="42.75">
      <c r="A356" s="833" t="s">
        <v>2168</v>
      </c>
      <c r="B356" s="834" t="s">
        <v>932</v>
      </c>
      <c r="C356" s="835" t="s">
        <v>290</v>
      </c>
      <c r="D356" s="494">
        <v>1</v>
      </c>
      <c r="E356" s="836">
        <v>1</v>
      </c>
      <c r="F356" s="836">
        <f t="shared" si="61"/>
        <v>0</v>
      </c>
      <c r="G356" s="836">
        <v>112957.32</v>
      </c>
      <c r="H356" s="836"/>
      <c r="I356" s="836"/>
      <c r="J356" s="836">
        <f t="shared" si="58"/>
        <v>112957.32</v>
      </c>
      <c r="K356" s="836">
        <f t="shared" si="59"/>
        <v>112957.32</v>
      </c>
      <c r="L356" s="836"/>
      <c r="M356" s="836"/>
      <c r="N356" s="837" t="s">
        <v>2420</v>
      </c>
      <c r="O356" s="82" t="s">
        <v>243</v>
      </c>
    </row>
    <row r="357" spans="1:15" ht="71.25">
      <c r="A357" s="833" t="s">
        <v>2169</v>
      </c>
      <c r="B357" s="834" t="s">
        <v>3249</v>
      </c>
      <c r="C357" s="835" t="s">
        <v>4</v>
      </c>
      <c r="D357" s="494">
        <v>1</v>
      </c>
      <c r="E357" s="836">
        <v>1</v>
      </c>
      <c r="F357" s="836">
        <f t="shared" si="61"/>
        <v>0</v>
      </c>
      <c r="G357" s="836">
        <v>322482.40999999997</v>
      </c>
      <c r="H357" s="836"/>
      <c r="I357" s="836"/>
      <c r="J357" s="836">
        <f t="shared" si="58"/>
        <v>322482.40999999997</v>
      </c>
      <c r="K357" s="836">
        <f t="shared" si="59"/>
        <v>322482.40999999997</v>
      </c>
      <c r="L357" s="836"/>
      <c r="M357" s="836"/>
      <c r="N357" s="837" t="s">
        <v>2421</v>
      </c>
      <c r="O357" s="82" t="s">
        <v>243</v>
      </c>
    </row>
    <row r="358" spans="1:15" ht="14.25">
      <c r="A358" s="833" t="s">
        <v>2170</v>
      </c>
      <c r="B358" s="834" t="s">
        <v>938</v>
      </c>
      <c r="C358" s="835" t="s">
        <v>15</v>
      </c>
      <c r="D358" s="494">
        <v>17</v>
      </c>
      <c r="E358" s="836">
        <v>17</v>
      </c>
      <c r="F358" s="836">
        <f t="shared" si="61"/>
        <v>0</v>
      </c>
      <c r="G358" s="836">
        <v>99994.55</v>
      </c>
      <c r="H358" s="836"/>
      <c r="I358" s="836"/>
      <c r="J358" s="836">
        <f t="shared" si="58"/>
        <v>1699907.35</v>
      </c>
      <c r="K358" s="836">
        <f t="shared" si="59"/>
        <v>1699907.35</v>
      </c>
      <c r="L358" s="836"/>
      <c r="M358" s="836"/>
      <c r="N358" s="837" t="s">
        <v>242</v>
      </c>
      <c r="O358" s="82" t="s">
        <v>243</v>
      </c>
    </row>
    <row r="359" spans="1:15" ht="14.25">
      <c r="A359" s="833" t="s">
        <v>2171</v>
      </c>
      <c r="B359" s="834" t="s">
        <v>941</v>
      </c>
      <c r="C359" s="835" t="s">
        <v>583</v>
      </c>
      <c r="D359" s="836">
        <v>2</v>
      </c>
      <c r="E359" s="836">
        <v>2</v>
      </c>
      <c r="F359" s="836">
        <f t="shared" si="61"/>
        <v>0</v>
      </c>
      <c r="G359" s="836">
        <v>14999.18</v>
      </c>
      <c r="H359" s="836"/>
      <c r="I359" s="836"/>
      <c r="J359" s="836">
        <f t="shared" si="58"/>
        <v>29998.36</v>
      </c>
      <c r="K359" s="836">
        <f t="shared" si="59"/>
        <v>29998.36</v>
      </c>
      <c r="L359" s="836"/>
      <c r="M359" s="836"/>
      <c r="N359" s="837" t="s">
        <v>2321</v>
      </c>
      <c r="O359" s="82" t="s">
        <v>243</v>
      </c>
    </row>
    <row r="360" spans="1:15" ht="28.5">
      <c r="A360" s="833" t="s">
        <v>2172</v>
      </c>
      <c r="B360" s="834" t="s">
        <v>944</v>
      </c>
      <c r="C360" s="835" t="s">
        <v>15</v>
      </c>
      <c r="D360" s="836">
        <v>1</v>
      </c>
      <c r="E360" s="836">
        <v>1</v>
      </c>
      <c r="F360" s="836">
        <f t="shared" si="61"/>
        <v>0</v>
      </c>
      <c r="G360" s="836">
        <v>1499.92</v>
      </c>
      <c r="H360" s="836"/>
      <c r="I360" s="836"/>
      <c r="J360" s="836">
        <f t="shared" si="58"/>
        <v>1499.92</v>
      </c>
      <c r="K360" s="836">
        <f t="shared" si="59"/>
        <v>1499.92</v>
      </c>
      <c r="L360" s="836"/>
      <c r="M360" s="836"/>
      <c r="N360" s="837" t="s">
        <v>2422</v>
      </c>
      <c r="O360" s="82" t="s">
        <v>243</v>
      </c>
    </row>
    <row r="361" spans="1:15" ht="14.25">
      <c r="A361" s="833" t="s">
        <v>2173</v>
      </c>
      <c r="B361" s="834" t="s">
        <v>947</v>
      </c>
      <c r="C361" s="835" t="s">
        <v>19</v>
      </c>
      <c r="D361" s="836">
        <v>2</v>
      </c>
      <c r="E361" s="836">
        <v>2</v>
      </c>
      <c r="F361" s="836">
        <f t="shared" si="61"/>
        <v>0</v>
      </c>
      <c r="G361" s="836">
        <v>2599.86</v>
      </c>
      <c r="H361" s="836"/>
      <c r="I361" s="836"/>
      <c r="J361" s="836">
        <f t="shared" si="58"/>
        <v>5199.72</v>
      </c>
      <c r="K361" s="836">
        <f t="shared" si="59"/>
        <v>5199.72</v>
      </c>
      <c r="L361" s="836"/>
      <c r="M361" s="836"/>
      <c r="N361" s="837" t="s">
        <v>242</v>
      </c>
      <c r="O361" s="82" t="s">
        <v>243</v>
      </c>
    </row>
    <row r="362" spans="1:15" ht="14.25">
      <c r="A362" s="833" t="s">
        <v>2174</v>
      </c>
      <c r="B362" s="834" t="s">
        <v>3765</v>
      </c>
      <c r="C362" s="835" t="s">
        <v>19</v>
      </c>
      <c r="D362" s="836">
        <v>9</v>
      </c>
      <c r="E362" s="836">
        <v>9</v>
      </c>
      <c r="F362" s="836">
        <f t="shared" si="61"/>
        <v>0</v>
      </c>
      <c r="G362" s="836">
        <v>4459.76</v>
      </c>
      <c r="H362" s="836"/>
      <c r="I362" s="836"/>
      <c r="J362" s="836">
        <f t="shared" si="58"/>
        <v>40137.839999999997</v>
      </c>
      <c r="K362" s="836">
        <f t="shared" si="59"/>
        <v>40137.839999999997</v>
      </c>
      <c r="L362" s="836"/>
      <c r="M362" s="836"/>
      <c r="N362" s="837" t="s">
        <v>242</v>
      </c>
      <c r="O362" s="82" t="s">
        <v>243</v>
      </c>
    </row>
    <row r="363" spans="1:15" ht="28.5">
      <c r="A363" s="833" t="s">
        <v>2175</v>
      </c>
      <c r="B363" s="834" t="s">
        <v>953</v>
      </c>
      <c r="C363" s="835" t="s">
        <v>8</v>
      </c>
      <c r="D363" s="836">
        <v>180</v>
      </c>
      <c r="E363" s="836">
        <v>180</v>
      </c>
      <c r="F363" s="836">
        <f t="shared" si="61"/>
        <v>0</v>
      </c>
      <c r="G363" s="836">
        <v>596.98</v>
      </c>
      <c r="H363" s="836"/>
      <c r="I363" s="836"/>
      <c r="J363" s="836">
        <f t="shared" si="58"/>
        <v>107456.4</v>
      </c>
      <c r="K363" s="836">
        <f t="shared" si="59"/>
        <v>107456.4</v>
      </c>
      <c r="L363" s="836"/>
      <c r="M363" s="836"/>
      <c r="N363" s="837" t="s">
        <v>242</v>
      </c>
      <c r="O363" s="82" t="s">
        <v>243</v>
      </c>
    </row>
    <row r="364" spans="1:15" ht="28.5">
      <c r="A364" s="833" t="s">
        <v>2177</v>
      </c>
      <c r="B364" s="834" t="s">
        <v>956</v>
      </c>
      <c r="C364" s="835" t="s">
        <v>8</v>
      </c>
      <c r="D364" s="836">
        <v>60</v>
      </c>
      <c r="E364" s="836">
        <v>60</v>
      </c>
      <c r="F364" s="836">
        <f t="shared" si="61"/>
        <v>0</v>
      </c>
      <c r="G364" s="836">
        <v>67.42</v>
      </c>
      <c r="H364" s="836"/>
      <c r="I364" s="836"/>
      <c r="J364" s="836">
        <f t="shared" si="58"/>
        <v>4045.2</v>
      </c>
      <c r="K364" s="836">
        <f t="shared" si="59"/>
        <v>4045.2</v>
      </c>
      <c r="L364" s="836"/>
      <c r="M364" s="836"/>
      <c r="N364" s="837" t="s">
        <v>2321</v>
      </c>
      <c r="O364" s="82" t="s">
        <v>243</v>
      </c>
    </row>
    <row r="365" spans="1:15" ht="28.5">
      <c r="A365" s="833" t="s">
        <v>2178</v>
      </c>
      <c r="B365" s="834" t="s">
        <v>959</v>
      </c>
      <c r="C365" s="835" t="s">
        <v>8</v>
      </c>
      <c r="D365" s="836">
        <v>1032</v>
      </c>
      <c r="E365" s="836">
        <v>1032</v>
      </c>
      <c r="F365" s="836">
        <f t="shared" si="61"/>
        <v>0</v>
      </c>
      <c r="G365" s="836">
        <v>29.42</v>
      </c>
      <c r="H365" s="836"/>
      <c r="I365" s="836"/>
      <c r="J365" s="836">
        <f t="shared" si="58"/>
        <v>30361.439999999999</v>
      </c>
      <c r="K365" s="836">
        <f t="shared" si="59"/>
        <v>30361.439999999999</v>
      </c>
      <c r="L365" s="836"/>
      <c r="M365" s="836"/>
      <c r="N365" s="837" t="s">
        <v>242</v>
      </c>
      <c r="O365" s="82" t="s">
        <v>243</v>
      </c>
    </row>
    <row r="366" spans="1:15" ht="28.5">
      <c r="A366" s="833" t="s">
        <v>2179</v>
      </c>
      <c r="B366" s="834" t="s">
        <v>962</v>
      </c>
      <c r="C366" s="835" t="s">
        <v>8</v>
      </c>
      <c r="D366" s="836">
        <v>1103</v>
      </c>
      <c r="E366" s="836">
        <v>1103</v>
      </c>
      <c r="F366" s="836">
        <f t="shared" si="61"/>
        <v>0</v>
      </c>
      <c r="G366" s="836">
        <v>147.1</v>
      </c>
      <c r="H366" s="836"/>
      <c r="I366" s="836"/>
      <c r="J366" s="836">
        <f t="shared" si="58"/>
        <v>162251.29999999999</v>
      </c>
      <c r="K366" s="836">
        <f t="shared" si="59"/>
        <v>162251.29999999999</v>
      </c>
      <c r="L366" s="836"/>
      <c r="M366" s="836"/>
      <c r="N366" s="837" t="s">
        <v>242</v>
      </c>
      <c r="O366" s="82" t="s">
        <v>243</v>
      </c>
    </row>
    <row r="367" spans="1:15" ht="42.75">
      <c r="A367" s="833" t="s">
        <v>2181</v>
      </c>
      <c r="B367" s="834" t="s">
        <v>219</v>
      </c>
      <c r="C367" s="835" t="s">
        <v>8</v>
      </c>
      <c r="D367" s="836">
        <v>2064</v>
      </c>
      <c r="E367" s="836">
        <v>2064</v>
      </c>
      <c r="F367" s="836">
        <f t="shared" si="61"/>
        <v>0</v>
      </c>
      <c r="G367" s="836">
        <v>78.459999999999994</v>
      </c>
      <c r="H367" s="836"/>
      <c r="I367" s="836"/>
      <c r="J367" s="836">
        <f t="shared" si="58"/>
        <v>161941.44</v>
      </c>
      <c r="K367" s="836">
        <f t="shared" si="59"/>
        <v>161941.44</v>
      </c>
      <c r="L367" s="836"/>
      <c r="M367" s="836"/>
      <c r="N367" s="837" t="s">
        <v>242</v>
      </c>
      <c r="O367" s="82" t="s">
        <v>243</v>
      </c>
    </row>
    <row r="368" spans="1:15" ht="14.25">
      <c r="A368" s="833" t="s">
        <v>2182</v>
      </c>
      <c r="B368" s="834" t="s">
        <v>967</v>
      </c>
      <c r="C368" s="835" t="s">
        <v>4</v>
      </c>
      <c r="D368" s="836">
        <v>1</v>
      </c>
      <c r="E368" s="836">
        <v>1</v>
      </c>
      <c r="F368" s="836">
        <f t="shared" si="61"/>
        <v>0</v>
      </c>
      <c r="G368" s="836">
        <v>24062.69</v>
      </c>
      <c r="H368" s="836"/>
      <c r="I368" s="836"/>
      <c r="J368" s="836">
        <f t="shared" si="58"/>
        <v>24062.69</v>
      </c>
      <c r="K368" s="836">
        <f t="shared" si="59"/>
        <v>24062.69</v>
      </c>
      <c r="L368" s="836"/>
      <c r="M368" s="836"/>
      <c r="N368" s="837" t="s">
        <v>2321</v>
      </c>
      <c r="O368" s="82" t="s">
        <v>243</v>
      </c>
    </row>
    <row r="369" spans="1:15" ht="28.5">
      <c r="A369" s="833" t="s">
        <v>2183</v>
      </c>
      <c r="B369" s="834" t="s">
        <v>970</v>
      </c>
      <c r="C369" s="835" t="s">
        <v>8</v>
      </c>
      <c r="D369" s="836">
        <v>1011</v>
      </c>
      <c r="E369" s="836">
        <v>1011</v>
      </c>
      <c r="F369" s="836">
        <f t="shared" si="61"/>
        <v>0</v>
      </c>
      <c r="G369" s="836">
        <v>35.549999999999997</v>
      </c>
      <c r="H369" s="836"/>
      <c r="I369" s="836"/>
      <c r="J369" s="836">
        <f t="shared" si="58"/>
        <v>35941.050000000003</v>
      </c>
      <c r="K369" s="836">
        <f t="shared" si="59"/>
        <v>35941.050000000003</v>
      </c>
      <c r="L369" s="836"/>
      <c r="M369" s="836"/>
      <c r="N369" s="837" t="s">
        <v>242</v>
      </c>
      <c r="O369" s="82" t="s">
        <v>243</v>
      </c>
    </row>
    <row r="370" spans="1:15" ht="28.5">
      <c r="A370" s="833" t="s">
        <v>2184</v>
      </c>
      <c r="B370" s="834" t="s">
        <v>220</v>
      </c>
      <c r="C370" s="835" t="s">
        <v>8</v>
      </c>
      <c r="D370" s="836">
        <v>946</v>
      </c>
      <c r="E370" s="836">
        <v>946</v>
      </c>
      <c r="F370" s="836">
        <f t="shared" si="61"/>
        <v>0</v>
      </c>
      <c r="G370" s="836">
        <v>60.07</v>
      </c>
      <c r="H370" s="836"/>
      <c r="I370" s="836"/>
      <c r="J370" s="836">
        <f t="shared" si="58"/>
        <v>56826.22</v>
      </c>
      <c r="K370" s="836">
        <f t="shared" si="59"/>
        <v>56826.22</v>
      </c>
      <c r="L370" s="836"/>
      <c r="M370" s="836"/>
      <c r="N370" s="837" t="s">
        <v>2321</v>
      </c>
      <c r="O370" s="82" t="s">
        <v>243</v>
      </c>
    </row>
    <row r="371" spans="1:15" ht="28.5">
      <c r="A371" s="833" t="s">
        <v>2185</v>
      </c>
      <c r="B371" s="834" t="s">
        <v>975</v>
      </c>
      <c r="C371" s="835" t="s">
        <v>8</v>
      </c>
      <c r="D371" s="836">
        <v>55</v>
      </c>
      <c r="E371" s="836">
        <v>55</v>
      </c>
      <c r="F371" s="836">
        <f t="shared" si="61"/>
        <v>0</v>
      </c>
      <c r="G371" s="836">
        <v>125.03</v>
      </c>
      <c r="H371" s="836"/>
      <c r="I371" s="836"/>
      <c r="J371" s="836">
        <f t="shared" si="58"/>
        <v>6876.65</v>
      </c>
      <c r="K371" s="836">
        <f t="shared" si="59"/>
        <v>6876.65</v>
      </c>
      <c r="L371" s="836"/>
      <c r="M371" s="836"/>
      <c r="N371" s="837" t="s">
        <v>242</v>
      </c>
      <c r="O371" s="82" t="s">
        <v>243</v>
      </c>
    </row>
    <row r="372" spans="1:15" ht="28.5">
      <c r="A372" s="833" t="s">
        <v>2186</v>
      </c>
      <c r="B372" s="834" t="s">
        <v>978</v>
      </c>
      <c r="C372" s="835" t="s">
        <v>8</v>
      </c>
      <c r="D372" s="836">
        <v>22</v>
      </c>
      <c r="E372" s="836">
        <v>22</v>
      </c>
      <c r="F372" s="836">
        <f t="shared" si="61"/>
        <v>0</v>
      </c>
      <c r="G372" s="836">
        <v>178.97</v>
      </c>
      <c r="H372" s="836"/>
      <c r="I372" s="836"/>
      <c r="J372" s="836">
        <f t="shared" si="58"/>
        <v>3937.34</v>
      </c>
      <c r="K372" s="836">
        <f t="shared" si="59"/>
        <v>3937.34</v>
      </c>
      <c r="L372" s="836"/>
      <c r="M372" s="836"/>
      <c r="N372" s="837" t="s">
        <v>242</v>
      </c>
      <c r="O372" s="82" t="s">
        <v>243</v>
      </c>
    </row>
    <row r="373" spans="1:15" ht="14.25">
      <c r="A373" s="833" t="s">
        <v>2187</v>
      </c>
      <c r="B373" s="834" t="s">
        <v>981</v>
      </c>
      <c r="C373" s="835" t="s">
        <v>4</v>
      </c>
      <c r="D373" s="836">
        <v>1</v>
      </c>
      <c r="E373" s="836">
        <v>1</v>
      </c>
      <c r="F373" s="836">
        <f t="shared" si="61"/>
        <v>0</v>
      </c>
      <c r="G373" s="836">
        <v>19812.919999999998</v>
      </c>
      <c r="H373" s="836"/>
      <c r="I373" s="836"/>
      <c r="J373" s="836">
        <f t="shared" si="58"/>
        <v>19812.919999999998</v>
      </c>
      <c r="K373" s="836">
        <f t="shared" si="59"/>
        <v>19812.919999999998</v>
      </c>
      <c r="L373" s="836"/>
      <c r="M373" s="836"/>
      <c r="N373" s="837" t="s">
        <v>242</v>
      </c>
      <c r="O373" s="82" t="s">
        <v>243</v>
      </c>
    </row>
    <row r="374" spans="1:15" ht="14.25">
      <c r="A374" s="833" t="s">
        <v>2188</v>
      </c>
      <c r="B374" s="834" t="s">
        <v>984</v>
      </c>
      <c r="C374" s="835" t="s">
        <v>4</v>
      </c>
      <c r="D374" s="836">
        <v>1</v>
      </c>
      <c r="E374" s="836">
        <v>1</v>
      </c>
      <c r="F374" s="836">
        <f t="shared" si="61"/>
        <v>0</v>
      </c>
      <c r="G374" s="836">
        <v>29571.39</v>
      </c>
      <c r="H374" s="836"/>
      <c r="I374" s="836"/>
      <c r="J374" s="836">
        <f t="shared" si="58"/>
        <v>29571.39</v>
      </c>
      <c r="K374" s="836">
        <f t="shared" si="59"/>
        <v>29571.39</v>
      </c>
      <c r="L374" s="836"/>
      <c r="M374" s="836"/>
      <c r="N374" s="837" t="s">
        <v>242</v>
      </c>
      <c r="O374" s="82" t="s">
        <v>243</v>
      </c>
    </row>
    <row r="375" spans="1:15" ht="14.25">
      <c r="A375" s="833" t="s">
        <v>2249</v>
      </c>
      <c r="B375" s="834" t="s">
        <v>987</v>
      </c>
      <c r="C375" s="835" t="s">
        <v>4</v>
      </c>
      <c r="D375" s="836">
        <v>1</v>
      </c>
      <c r="E375" s="836"/>
      <c r="F375" s="836"/>
      <c r="G375" s="836">
        <f>J375</f>
        <v>13193015.85</v>
      </c>
      <c r="H375" s="836"/>
      <c r="I375" s="836"/>
      <c r="J375" s="836">
        <f>SUM(J376:J384)</f>
        <v>13193015.85</v>
      </c>
      <c r="K375" s="836">
        <f t="shared" ref="K375:M375" si="62">SUM(K376:K384)</f>
        <v>13193015.85</v>
      </c>
      <c r="L375" s="836">
        <f t="shared" si="62"/>
        <v>0</v>
      </c>
      <c r="M375" s="836">
        <f t="shared" si="62"/>
        <v>0</v>
      </c>
      <c r="N375" s="837" t="s">
        <v>242</v>
      </c>
      <c r="O375" s="82" t="s">
        <v>243</v>
      </c>
    </row>
    <row r="376" spans="1:15" ht="28.5">
      <c r="A376" s="833" t="s">
        <v>2154</v>
      </c>
      <c r="B376" s="834" t="s">
        <v>989</v>
      </c>
      <c r="C376" s="835" t="s">
        <v>8</v>
      </c>
      <c r="D376" s="836">
        <v>2576.8000000000002</v>
      </c>
      <c r="E376" s="836">
        <v>2576.8000000000002</v>
      </c>
      <c r="F376" s="836">
        <f t="shared" si="61"/>
        <v>0</v>
      </c>
      <c r="G376" s="836">
        <v>247.19</v>
      </c>
      <c r="H376" s="836"/>
      <c r="I376" s="836"/>
      <c r="J376" s="836">
        <f t="shared" ref="J376" si="63">ROUND(D376*G376,2)</f>
        <v>636959.18999999994</v>
      </c>
      <c r="K376" s="836">
        <f t="shared" ref="K376" si="64">ROUND(E376*G376,2)</f>
        <v>636959.18999999994</v>
      </c>
      <c r="L376" s="836"/>
      <c r="M376" s="836"/>
      <c r="N376" s="837" t="s">
        <v>3166</v>
      </c>
      <c r="O376" s="82" t="s">
        <v>243</v>
      </c>
    </row>
    <row r="377" spans="1:15" ht="28.5">
      <c r="A377" s="833" t="s">
        <v>2155</v>
      </c>
      <c r="B377" s="834" t="s">
        <v>992</v>
      </c>
      <c r="C377" s="835" t="s">
        <v>8</v>
      </c>
      <c r="D377" s="836">
        <v>2576.8000000000002</v>
      </c>
      <c r="E377" s="836">
        <v>2576.8000000000002</v>
      </c>
      <c r="F377" s="836">
        <f t="shared" si="61"/>
        <v>0</v>
      </c>
      <c r="G377" s="836">
        <v>236.89</v>
      </c>
      <c r="H377" s="836"/>
      <c r="I377" s="836"/>
      <c r="J377" s="836">
        <f t="shared" ref="J377:J384" si="65">ROUND(D377*G377,2)</f>
        <v>610418.15</v>
      </c>
      <c r="K377" s="836">
        <f t="shared" ref="K377:K384" si="66">ROUND(E377*G377,2)</f>
        <v>610418.15</v>
      </c>
      <c r="L377" s="836"/>
      <c r="M377" s="836"/>
      <c r="N377" s="837" t="s">
        <v>242</v>
      </c>
      <c r="O377" s="82" t="s">
        <v>243</v>
      </c>
    </row>
    <row r="378" spans="1:15" ht="14.25">
      <c r="A378" s="833" t="s">
        <v>2156</v>
      </c>
      <c r="B378" s="834" t="s">
        <v>995</v>
      </c>
      <c r="C378" s="835" t="s">
        <v>13</v>
      </c>
      <c r="D378" s="836">
        <v>9215</v>
      </c>
      <c r="E378" s="836">
        <v>9215</v>
      </c>
      <c r="F378" s="836">
        <f t="shared" si="61"/>
        <v>0</v>
      </c>
      <c r="G378" s="836">
        <v>252.34</v>
      </c>
      <c r="H378" s="836"/>
      <c r="I378" s="836"/>
      <c r="J378" s="836">
        <f t="shared" si="65"/>
        <v>2325313.1</v>
      </c>
      <c r="K378" s="836">
        <f t="shared" si="66"/>
        <v>2325313.1</v>
      </c>
      <c r="L378" s="836"/>
      <c r="M378" s="836"/>
      <c r="N378" s="837" t="s">
        <v>242</v>
      </c>
      <c r="O378" s="82" t="s">
        <v>243</v>
      </c>
    </row>
    <row r="379" spans="1:15" ht="42.75">
      <c r="A379" s="833" t="s">
        <v>2157</v>
      </c>
      <c r="B379" s="834" t="s">
        <v>998</v>
      </c>
      <c r="C379" s="835" t="s">
        <v>4</v>
      </c>
      <c r="D379" s="836">
        <v>1</v>
      </c>
      <c r="E379" s="836">
        <v>1</v>
      </c>
      <c r="F379" s="836">
        <f t="shared" si="61"/>
        <v>0</v>
      </c>
      <c r="G379" s="836">
        <v>349980.91</v>
      </c>
      <c r="H379" s="836"/>
      <c r="I379" s="836"/>
      <c r="J379" s="836">
        <f t="shared" si="65"/>
        <v>349980.91</v>
      </c>
      <c r="K379" s="836">
        <f t="shared" si="66"/>
        <v>349980.91</v>
      </c>
      <c r="L379" s="836"/>
      <c r="M379" s="836"/>
      <c r="N379" s="837" t="s">
        <v>2428</v>
      </c>
      <c r="O379" s="82" t="s">
        <v>243</v>
      </c>
    </row>
    <row r="380" spans="1:15" ht="28.5">
      <c r="A380" s="833" t="s">
        <v>2158</v>
      </c>
      <c r="B380" s="834" t="s">
        <v>1001</v>
      </c>
      <c r="C380" s="835" t="s">
        <v>16</v>
      </c>
      <c r="D380" s="836">
        <v>2928</v>
      </c>
      <c r="E380" s="836">
        <v>2928</v>
      </c>
      <c r="F380" s="836">
        <f t="shared" si="61"/>
        <v>0</v>
      </c>
      <c r="G380" s="836">
        <v>931.07</v>
      </c>
      <c r="H380" s="836"/>
      <c r="I380" s="836"/>
      <c r="J380" s="836">
        <f t="shared" si="65"/>
        <v>2726172.96</v>
      </c>
      <c r="K380" s="836">
        <f t="shared" si="66"/>
        <v>2726172.96</v>
      </c>
      <c r="L380" s="836"/>
      <c r="M380" s="836"/>
      <c r="N380" s="837" t="s">
        <v>2429</v>
      </c>
      <c r="O380" s="82" t="s">
        <v>243</v>
      </c>
    </row>
    <row r="381" spans="1:15" ht="14.25">
      <c r="A381" s="833" t="s">
        <v>2159</v>
      </c>
      <c r="B381" s="834" t="s">
        <v>728</v>
      </c>
      <c r="C381" s="835" t="s">
        <v>6</v>
      </c>
      <c r="D381" s="836">
        <v>1053</v>
      </c>
      <c r="E381" s="836">
        <v>1053</v>
      </c>
      <c r="F381" s="836">
        <f t="shared" si="61"/>
        <v>0</v>
      </c>
      <c r="G381" s="836">
        <v>3386.34</v>
      </c>
      <c r="H381" s="836"/>
      <c r="I381" s="836"/>
      <c r="J381" s="836">
        <f t="shared" si="65"/>
        <v>3565816.02</v>
      </c>
      <c r="K381" s="836">
        <f t="shared" si="66"/>
        <v>3565816.02</v>
      </c>
      <c r="L381" s="836"/>
      <c r="M381" s="836"/>
      <c r="N381" s="837" t="s">
        <v>242</v>
      </c>
      <c r="O381" s="82" t="s">
        <v>243</v>
      </c>
    </row>
    <row r="382" spans="1:15" ht="28.5">
      <c r="A382" s="833" t="s">
        <v>2160</v>
      </c>
      <c r="B382" s="834" t="s">
        <v>1515</v>
      </c>
      <c r="C382" s="835" t="s">
        <v>8</v>
      </c>
      <c r="D382" s="836">
        <v>132</v>
      </c>
      <c r="E382" s="836">
        <v>132</v>
      </c>
      <c r="F382" s="836">
        <f t="shared" si="61"/>
        <v>0</v>
      </c>
      <c r="G382" s="836">
        <v>5107.6000000000004</v>
      </c>
      <c r="H382" s="836"/>
      <c r="I382" s="836"/>
      <c r="J382" s="836">
        <f t="shared" si="65"/>
        <v>674203.2</v>
      </c>
      <c r="K382" s="836">
        <f t="shared" si="66"/>
        <v>674203.2</v>
      </c>
      <c r="L382" s="836"/>
      <c r="M382" s="836"/>
      <c r="N382" s="837" t="s">
        <v>2432</v>
      </c>
      <c r="O382" s="82" t="s">
        <v>243</v>
      </c>
    </row>
    <row r="383" spans="1:15" ht="28.5">
      <c r="A383" s="833" t="s">
        <v>2161</v>
      </c>
      <c r="B383" s="834" t="s">
        <v>1517</v>
      </c>
      <c r="C383" s="835" t="s">
        <v>8</v>
      </c>
      <c r="D383" s="836">
        <v>106</v>
      </c>
      <c r="E383" s="836">
        <v>106</v>
      </c>
      <c r="F383" s="836">
        <f t="shared" si="61"/>
        <v>0</v>
      </c>
      <c r="G383" s="836">
        <v>7385.08</v>
      </c>
      <c r="H383" s="836"/>
      <c r="I383" s="836"/>
      <c r="J383" s="836">
        <f t="shared" si="65"/>
        <v>782818.48</v>
      </c>
      <c r="K383" s="836">
        <f t="shared" si="66"/>
        <v>782818.48</v>
      </c>
      <c r="L383" s="836"/>
      <c r="M383" s="836"/>
      <c r="N383" s="837" t="s">
        <v>2432</v>
      </c>
      <c r="O383" s="82" t="s">
        <v>243</v>
      </c>
    </row>
    <row r="384" spans="1:15" ht="42.75">
      <c r="A384" s="833" t="s">
        <v>2162</v>
      </c>
      <c r="B384" s="834" t="s">
        <v>1519</v>
      </c>
      <c r="C384" s="835" t="s">
        <v>8</v>
      </c>
      <c r="D384" s="836">
        <v>156</v>
      </c>
      <c r="E384" s="836">
        <v>156</v>
      </c>
      <c r="F384" s="836">
        <f t="shared" si="61"/>
        <v>0</v>
      </c>
      <c r="G384" s="836">
        <v>9752.14</v>
      </c>
      <c r="H384" s="836"/>
      <c r="I384" s="836"/>
      <c r="J384" s="836">
        <f t="shared" si="65"/>
        <v>1521333.84</v>
      </c>
      <c r="K384" s="836">
        <f t="shared" si="66"/>
        <v>1521333.84</v>
      </c>
      <c r="L384" s="836"/>
      <c r="M384" s="836"/>
      <c r="N384" s="837" t="s">
        <v>2433</v>
      </c>
      <c r="O384" s="82" t="s">
        <v>243</v>
      </c>
    </row>
    <row r="385" spans="1:16" ht="14.25">
      <c r="A385" s="833" t="s">
        <v>2250</v>
      </c>
      <c r="B385" s="834" t="s">
        <v>11</v>
      </c>
      <c r="C385" s="835" t="s">
        <v>4</v>
      </c>
      <c r="D385" s="836">
        <v>1</v>
      </c>
      <c r="E385" s="836">
        <v>1</v>
      </c>
      <c r="F385" s="836"/>
      <c r="G385" s="836">
        <f>J385</f>
        <v>19503470.259999998</v>
      </c>
      <c r="H385" s="836"/>
      <c r="I385" s="836"/>
      <c r="J385" s="836">
        <f>SUM(J386:J411)</f>
        <v>19503470.259999998</v>
      </c>
      <c r="K385" s="836">
        <f>SUM(K386:K411)</f>
        <v>21673303.109999999</v>
      </c>
      <c r="L385" s="836">
        <f>SUM(L386:L411)</f>
        <v>2169832.8499999996</v>
      </c>
      <c r="M385" s="836">
        <f>SUM(M386:M411)</f>
        <v>0</v>
      </c>
      <c r="N385" s="837" t="s">
        <v>242</v>
      </c>
      <c r="O385" s="82" t="s">
        <v>243</v>
      </c>
    </row>
    <row r="386" spans="1:16" ht="14.25">
      <c r="A386" s="833" t="s">
        <v>2154</v>
      </c>
      <c r="B386" s="834" t="s">
        <v>1004</v>
      </c>
      <c r="C386" s="835" t="s">
        <v>4</v>
      </c>
      <c r="D386" s="836">
        <v>1</v>
      </c>
      <c r="E386" s="836">
        <v>1</v>
      </c>
      <c r="F386" s="836">
        <f t="shared" si="61"/>
        <v>0</v>
      </c>
      <c r="G386" s="836">
        <v>716633.92</v>
      </c>
      <c r="H386" s="836"/>
      <c r="I386" s="836"/>
      <c r="J386" s="836">
        <f t="shared" ref="J386" si="67">ROUND(D386*G386,2)</f>
        <v>716633.92</v>
      </c>
      <c r="K386" s="836">
        <f t="shared" ref="K386" si="68">ROUND(E386*G386,2)</f>
        <v>716633.92</v>
      </c>
      <c r="L386" s="836"/>
      <c r="M386" s="836"/>
      <c r="N386" s="837" t="s">
        <v>2321</v>
      </c>
      <c r="O386" s="82" t="s">
        <v>243</v>
      </c>
    </row>
    <row r="387" spans="1:16" ht="14.25">
      <c r="A387" s="833" t="s">
        <v>2155</v>
      </c>
      <c r="B387" s="834" t="s">
        <v>1006</v>
      </c>
      <c r="C387" s="835" t="s">
        <v>1007</v>
      </c>
      <c r="D387" s="836">
        <v>7</v>
      </c>
      <c r="E387" s="836">
        <v>7</v>
      </c>
      <c r="F387" s="836">
        <f t="shared" si="61"/>
        <v>0</v>
      </c>
      <c r="G387" s="836">
        <v>49997.27</v>
      </c>
      <c r="H387" s="836"/>
      <c r="I387" s="836"/>
      <c r="J387" s="836">
        <f t="shared" ref="J387:J411" si="69">ROUND(D387*G387,2)</f>
        <v>349980.89</v>
      </c>
      <c r="K387" s="836">
        <f t="shared" ref="K387:K411" si="70">ROUND(E387*G387,2)</f>
        <v>349980.89</v>
      </c>
      <c r="L387" s="836"/>
      <c r="M387" s="836"/>
      <c r="N387" s="837" t="s">
        <v>242</v>
      </c>
      <c r="O387" s="82" t="s">
        <v>243</v>
      </c>
    </row>
    <row r="388" spans="1:16" ht="85.5">
      <c r="A388" s="853" t="s">
        <v>2156</v>
      </c>
      <c r="B388" s="854" t="s">
        <v>1009</v>
      </c>
      <c r="C388" s="855" t="s">
        <v>1010</v>
      </c>
      <c r="D388" s="856">
        <v>2230</v>
      </c>
      <c r="E388" s="856">
        <f>'數量計算(FOR5變) '!E630</f>
        <v>2689</v>
      </c>
      <c r="F388" s="856">
        <f t="shared" si="61"/>
        <v>459</v>
      </c>
      <c r="G388" s="856">
        <v>805.95</v>
      </c>
      <c r="H388" s="856"/>
      <c r="I388" s="856"/>
      <c r="J388" s="856">
        <f t="shared" si="69"/>
        <v>1797268.5</v>
      </c>
      <c r="K388" s="856">
        <f t="shared" si="70"/>
        <v>2167199.5499999998</v>
      </c>
      <c r="L388" s="856">
        <f>K388-J388</f>
        <v>369931.04999999981</v>
      </c>
      <c r="M388" s="856"/>
      <c r="N388" s="857" t="s">
        <v>2434</v>
      </c>
      <c r="O388" s="147" t="s">
        <v>3590</v>
      </c>
      <c r="P388" s="586" t="s">
        <v>3725</v>
      </c>
    </row>
    <row r="389" spans="1:16" ht="14.25">
      <c r="A389" s="833" t="s">
        <v>2157</v>
      </c>
      <c r="B389" s="834" t="s">
        <v>1012</v>
      </c>
      <c r="C389" s="835" t="s">
        <v>1007</v>
      </c>
      <c r="D389" s="836">
        <v>4</v>
      </c>
      <c r="E389" s="836">
        <v>4</v>
      </c>
      <c r="F389" s="836">
        <f t="shared" si="61"/>
        <v>0</v>
      </c>
      <c r="G389" s="836">
        <v>49997.27</v>
      </c>
      <c r="H389" s="836"/>
      <c r="I389" s="836"/>
      <c r="J389" s="836">
        <f t="shared" si="69"/>
        <v>199989.08</v>
      </c>
      <c r="K389" s="836">
        <f t="shared" si="70"/>
        <v>199989.08</v>
      </c>
      <c r="L389" s="836"/>
      <c r="M389" s="836"/>
      <c r="N389" s="837" t="s">
        <v>242</v>
      </c>
      <c r="O389" s="82" t="s">
        <v>243</v>
      </c>
    </row>
    <row r="390" spans="1:16" ht="28.5">
      <c r="A390" s="853" t="s">
        <v>2158</v>
      </c>
      <c r="B390" s="854" t="s">
        <v>1014</v>
      </c>
      <c r="C390" s="855" t="s">
        <v>1015</v>
      </c>
      <c r="D390" s="856">
        <v>19</v>
      </c>
      <c r="E390" s="856">
        <f>'數量計算(FOR5變) '!E632</f>
        <v>29</v>
      </c>
      <c r="F390" s="856">
        <f t="shared" si="61"/>
        <v>10</v>
      </c>
      <c r="G390" s="856">
        <v>179990.18</v>
      </c>
      <c r="H390" s="856"/>
      <c r="I390" s="856"/>
      <c r="J390" s="856">
        <f t="shared" si="69"/>
        <v>3419813.42</v>
      </c>
      <c r="K390" s="856">
        <f t="shared" si="70"/>
        <v>5219715.22</v>
      </c>
      <c r="L390" s="856">
        <f>K390-J390</f>
        <v>1799901.7999999998</v>
      </c>
      <c r="M390" s="856"/>
      <c r="N390" s="857" t="s">
        <v>242</v>
      </c>
      <c r="O390" s="147" t="s">
        <v>3590</v>
      </c>
      <c r="P390" s="586" t="s">
        <v>3725</v>
      </c>
    </row>
    <row r="391" spans="1:16" ht="14.25">
      <c r="A391" s="833" t="s">
        <v>2159</v>
      </c>
      <c r="B391" s="834" t="s">
        <v>1017</v>
      </c>
      <c r="C391" s="835" t="s">
        <v>4</v>
      </c>
      <c r="D391" s="836">
        <v>1</v>
      </c>
      <c r="E391" s="836">
        <v>1</v>
      </c>
      <c r="F391" s="836">
        <f t="shared" si="61"/>
        <v>0</v>
      </c>
      <c r="G391" s="836">
        <v>205971.45</v>
      </c>
      <c r="H391" s="836"/>
      <c r="I391" s="836"/>
      <c r="J391" s="836">
        <f t="shared" si="69"/>
        <v>205971.45</v>
      </c>
      <c r="K391" s="836">
        <f t="shared" si="70"/>
        <v>205971.45</v>
      </c>
      <c r="L391" s="836"/>
      <c r="M391" s="836"/>
      <c r="N391" s="837" t="s">
        <v>2321</v>
      </c>
      <c r="O391" s="82" t="s">
        <v>243</v>
      </c>
    </row>
    <row r="392" spans="1:16" ht="14.25">
      <c r="A392" s="833" t="s">
        <v>2160</v>
      </c>
      <c r="B392" s="834" t="s">
        <v>1019</v>
      </c>
      <c r="C392" s="835" t="s">
        <v>4</v>
      </c>
      <c r="D392" s="836">
        <v>1</v>
      </c>
      <c r="E392" s="836">
        <v>1</v>
      </c>
      <c r="F392" s="836">
        <f t="shared" si="61"/>
        <v>0</v>
      </c>
      <c r="G392" s="836">
        <v>2424867.7599999998</v>
      </c>
      <c r="H392" s="836"/>
      <c r="I392" s="836"/>
      <c r="J392" s="836">
        <f t="shared" si="69"/>
        <v>2424867.7599999998</v>
      </c>
      <c r="K392" s="836">
        <f t="shared" si="70"/>
        <v>2424867.7599999998</v>
      </c>
      <c r="L392" s="836"/>
      <c r="M392" s="836"/>
      <c r="N392" s="837" t="s">
        <v>2321</v>
      </c>
      <c r="O392" s="82" t="s">
        <v>243</v>
      </c>
    </row>
    <row r="393" spans="1:16" ht="14.25">
      <c r="A393" s="833" t="s">
        <v>2161</v>
      </c>
      <c r="B393" s="834" t="s">
        <v>1021</v>
      </c>
      <c r="C393" s="835" t="s">
        <v>4</v>
      </c>
      <c r="D393" s="836">
        <v>1</v>
      </c>
      <c r="E393" s="836">
        <v>1</v>
      </c>
      <c r="F393" s="836">
        <f t="shared" si="61"/>
        <v>0</v>
      </c>
      <c r="G393" s="836">
        <v>349980.91</v>
      </c>
      <c r="H393" s="836"/>
      <c r="I393" s="836"/>
      <c r="J393" s="836">
        <f t="shared" si="69"/>
        <v>349980.91</v>
      </c>
      <c r="K393" s="836">
        <f t="shared" si="70"/>
        <v>349980.91</v>
      </c>
      <c r="L393" s="836"/>
      <c r="M393" s="836"/>
      <c r="N393" s="837" t="s">
        <v>242</v>
      </c>
      <c r="O393" s="82" t="s">
        <v>243</v>
      </c>
    </row>
    <row r="394" spans="1:16" ht="14.25">
      <c r="A394" s="833" t="s">
        <v>2162</v>
      </c>
      <c r="B394" s="834" t="s">
        <v>1534</v>
      </c>
      <c r="C394" s="835" t="s">
        <v>13</v>
      </c>
      <c r="D394" s="836">
        <v>464</v>
      </c>
      <c r="E394" s="836">
        <v>464</v>
      </c>
      <c r="F394" s="836">
        <f t="shared" si="61"/>
        <v>0</v>
      </c>
      <c r="G394" s="836">
        <v>15384.09</v>
      </c>
      <c r="H394" s="836"/>
      <c r="I394" s="836"/>
      <c r="J394" s="836">
        <f t="shared" si="69"/>
        <v>7138217.7599999998</v>
      </c>
      <c r="K394" s="836">
        <f t="shared" si="70"/>
        <v>7138217.7599999998</v>
      </c>
      <c r="L394" s="836"/>
      <c r="M394" s="836"/>
      <c r="N394" s="837" t="s">
        <v>242</v>
      </c>
      <c r="O394" s="82" t="s">
        <v>243</v>
      </c>
    </row>
    <row r="395" spans="1:16" ht="14.25">
      <c r="A395" s="833" t="s">
        <v>2163</v>
      </c>
      <c r="B395" s="834" t="s">
        <v>2251</v>
      </c>
      <c r="C395" s="835" t="s">
        <v>15</v>
      </c>
      <c r="D395" s="836">
        <v>2</v>
      </c>
      <c r="E395" s="836">
        <v>2</v>
      </c>
      <c r="F395" s="836">
        <f t="shared" si="61"/>
        <v>0</v>
      </c>
      <c r="G395" s="836">
        <v>60994.76</v>
      </c>
      <c r="H395" s="836"/>
      <c r="I395" s="836"/>
      <c r="J395" s="836">
        <f t="shared" si="69"/>
        <v>121989.52</v>
      </c>
      <c r="K395" s="836">
        <f t="shared" si="70"/>
        <v>121989.52</v>
      </c>
      <c r="L395" s="836"/>
      <c r="M395" s="836"/>
      <c r="N395" s="837" t="s">
        <v>242</v>
      </c>
      <c r="O395" s="82" t="s">
        <v>243</v>
      </c>
    </row>
    <row r="396" spans="1:16" ht="14.25">
      <c r="A396" s="833" t="s">
        <v>2164</v>
      </c>
      <c r="B396" s="834" t="s">
        <v>2567</v>
      </c>
      <c r="C396" s="835" t="s">
        <v>16</v>
      </c>
      <c r="D396" s="836">
        <v>129</v>
      </c>
      <c r="E396" s="836">
        <v>129</v>
      </c>
      <c r="F396" s="836">
        <f t="shared" si="61"/>
        <v>0</v>
      </c>
      <c r="G396" s="836">
        <v>1159.8599999999999</v>
      </c>
      <c r="H396" s="836"/>
      <c r="I396" s="836"/>
      <c r="J396" s="836">
        <f t="shared" si="69"/>
        <v>149621.94</v>
      </c>
      <c r="K396" s="836">
        <f t="shared" si="70"/>
        <v>149621.94</v>
      </c>
      <c r="L396" s="836"/>
      <c r="M396" s="836"/>
      <c r="N396" s="837" t="s">
        <v>242</v>
      </c>
      <c r="O396" s="82" t="s">
        <v>243</v>
      </c>
    </row>
    <row r="397" spans="1:16" ht="14.25">
      <c r="A397" s="833" t="s">
        <v>2165</v>
      </c>
      <c r="B397" s="834" t="s">
        <v>3771</v>
      </c>
      <c r="C397" s="835" t="s">
        <v>16</v>
      </c>
      <c r="D397" s="836">
        <v>282</v>
      </c>
      <c r="E397" s="836">
        <v>282</v>
      </c>
      <c r="F397" s="836">
        <f t="shared" si="61"/>
        <v>0</v>
      </c>
      <c r="G397" s="836">
        <v>689.92</v>
      </c>
      <c r="H397" s="836"/>
      <c r="I397" s="836"/>
      <c r="J397" s="836">
        <f t="shared" si="69"/>
        <v>194557.44</v>
      </c>
      <c r="K397" s="836">
        <f t="shared" si="70"/>
        <v>194557.44</v>
      </c>
      <c r="L397" s="836"/>
      <c r="M397" s="836"/>
      <c r="N397" s="837" t="s">
        <v>242</v>
      </c>
      <c r="O397" s="82" t="s">
        <v>243</v>
      </c>
    </row>
    <row r="398" spans="1:16" ht="28.5">
      <c r="A398" s="833" t="s">
        <v>2166</v>
      </c>
      <c r="B398" s="834" t="s">
        <v>2569</v>
      </c>
      <c r="C398" s="835" t="s">
        <v>16</v>
      </c>
      <c r="D398" s="836">
        <v>214.5</v>
      </c>
      <c r="E398" s="836">
        <v>214.5</v>
      </c>
      <c r="F398" s="836">
        <f t="shared" si="61"/>
        <v>0</v>
      </c>
      <c r="G398" s="836">
        <v>899.89</v>
      </c>
      <c r="H398" s="836"/>
      <c r="I398" s="836"/>
      <c r="J398" s="836">
        <f t="shared" si="69"/>
        <v>193026.41</v>
      </c>
      <c r="K398" s="836">
        <f t="shared" si="70"/>
        <v>193026.41</v>
      </c>
      <c r="L398" s="836"/>
      <c r="M398" s="836"/>
      <c r="N398" s="837" t="s">
        <v>242</v>
      </c>
      <c r="O398" s="82" t="s">
        <v>243</v>
      </c>
    </row>
    <row r="399" spans="1:16" ht="14.25">
      <c r="A399" s="833" t="s">
        <v>2167</v>
      </c>
      <c r="B399" s="834" t="s">
        <v>2570</v>
      </c>
      <c r="C399" s="835" t="s">
        <v>16</v>
      </c>
      <c r="D399" s="836">
        <v>47</v>
      </c>
      <c r="E399" s="836">
        <v>47</v>
      </c>
      <c r="F399" s="836">
        <f t="shared" si="61"/>
        <v>0</v>
      </c>
      <c r="G399" s="836">
        <v>1499.82</v>
      </c>
      <c r="H399" s="836"/>
      <c r="I399" s="836"/>
      <c r="J399" s="836">
        <f t="shared" si="69"/>
        <v>70491.539999999994</v>
      </c>
      <c r="K399" s="836">
        <f t="shared" si="70"/>
        <v>70491.539999999994</v>
      </c>
      <c r="L399" s="836"/>
      <c r="M399" s="836"/>
      <c r="N399" s="837" t="s">
        <v>242</v>
      </c>
      <c r="O399" s="82" t="s">
        <v>243</v>
      </c>
    </row>
    <row r="400" spans="1:16" ht="14.25">
      <c r="A400" s="833" t="s">
        <v>2168</v>
      </c>
      <c r="B400" s="834" t="s">
        <v>2571</v>
      </c>
      <c r="C400" s="835" t="s">
        <v>16</v>
      </c>
      <c r="D400" s="836">
        <v>73</v>
      </c>
      <c r="E400" s="836">
        <v>73</v>
      </c>
      <c r="F400" s="836">
        <f t="shared" si="61"/>
        <v>0</v>
      </c>
      <c r="G400" s="836">
        <v>1419.83</v>
      </c>
      <c r="H400" s="836"/>
      <c r="I400" s="836"/>
      <c r="J400" s="836">
        <f t="shared" si="69"/>
        <v>103647.59</v>
      </c>
      <c r="K400" s="836">
        <f t="shared" si="70"/>
        <v>103647.59</v>
      </c>
      <c r="L400" s="836"/>
      <c r="M400" s="836"/>
      <c r="N400" s="837" t="s">
        <v>242</v>
      </c>
      <c r="O400" s="82" t="s">
        <v>243</v>
      </c>
    </row>
    <row r="401" spans="1:15" ht="14.25">
      <c r="A401" s="833" t="s">
        <v>2169</v>
      </c>
      <c r="B401" s="834" t="s">
        <v>2572</v>
      </c>
      <c r="C401" s="835" t="s">
        <v>16</v>
      </c>
      <c r="D401" s="836">
        <v>174</v>
      </c>
      <c r="E401" s="836">
        <v>174</v>
      </c>
      <c r="F401" s="836">
        <f t="shared" si="61"/>
        <v>0</v>
      </c>
      <c r="G401" s="836">
        <v>771.9</v>
      </c>
      <c r="H401" s="836"/>
      <c r="I401" s="836"/>
      <c r="J401" s="836">
        <f t="shared" si="69"/>
        <v>134310.6</v>
      </c>
      <c r="K401" s="836">
        <f t="shared" si="70"/>
        <v>134310.6</v>
      </c>
      <c r="L401" s="836"/>
      <c r="M401" s="836"/>
      <c r="N401" s="837" t="s">
        <v>242</v>
      </c>
      <c r="O401" s="82" t="s">
        <v>243</v>
      </c>
    </row>
    <row r="402" spans="1:15" ht="28.5">
      <c r="A402" s="833" t="s">
        <v>2170</v>
      </c>
      <c r="B402" s="834" t="s">
        <v>2573</v>
      </c>
      <c r="C402" s="835" t="s">
        <v>16</v>
      </c>
      <c r="D402" s="836">
        <v>1695</v>
      </c>
      <c r="E402" s="836">
        <v>1695</v>
      </c>
      <c r="F402" s="836">
        <f t="shared" si="61"/>
        <v>0</v>
      </c>
      <c r="G402" s="836">
        <v>400.95</v>
      </c>
      <c r="H402" s="836"/>
      <c r="I402" s="836"/>
      <c r="J402" s="836">
        <f t="shared" si="69"/>
        <v>679610.25</v>
      </c>
      <c r="K402" s="836">
        <f t="shared" si="70"/>
        <v>679610.25</v>
      </c>
      <c r="L402" s="836"/>
      <c r="M402" s="836"/>
      <c r="N402" s="837" t="s">
        <v>242</v>
      </c>
      <c r="O402" s="82" t="s">
        <v>243</v>
      </c>
    </row>
    <row r="403" spans="1:15" ht="14.25">
      <c r="A403" s="833" t="s">
        <v>2171</v>
      </c>
      <c r="B403" s="834" t="s">
        <v>2574</v>
      </c>
      <c r="C403" s="835" t="s">
        <v>16</v>
      </c>
      <c r="D403" s="836">
        <v>310</v>
      </c>
      <c r="E403" s="836">
        <v>310</v>
      </c>
      <c r="F403" s="836">
        <f t="shared" si="61"/>
        <v>0</v>
      </c>
      <c r="G403" s="836">
        <v>280.97000000000003</v>
      </c>
      <c r="H403" s="836"/>
      <c r="I403" s="836"/>
      <c r="J403" s="836">
        <f t="shared" si="69"/>
        <v>87100.7</v>
      </c>
      <c r="K403" s="836">
        <f t="shared" si="70"/>
        <v>87100.7</v>
      </c>
      <c r="L403" s="836"/>
      <c r="M403" s="836"/>
      <c r="N403" s="837" t="s">
        <v>242</v>
      </c>
      <c r="O403" s="82" t="s">
        <v>243</v>
      </c>
    </row>
    <row r="404" spans="1:15" ht="28.5">
      <c r="A404" s="833" t="s">
        <v>2172</v>
      </c>
      <c r="B404" s="834" t="s">
        <v>2575</v>
      </c>
      <c r="C404" s="835" t="s">
        <v>16</v>
      </c>
      <c r="D404" s="836">
        <v>723.5</v>
      </c>
      <c r="E404" s="836">
        <v>723.5</v>
      </c>
      <c r="F404" s="836">
        <f t="shared" si="61"/>
        <v>0</v>
      </c>
      <c r="G404" s="836">
        <v>800.9</v>
      </c>
      <c r="H404" s="836"/>
      <c r="I404" s="836"/>
      <c r="J404" s="836">
        <f t="shared" si="69"/>
        <v>579451.15</v>
      </c>
      <c r="K404" s="836">
        <f t="shared" si="70"/>
        <v>579451.15</v>
      </c>
      <c r="L404" s="836"/>
      <c r="M404" s="836"/>
      <c r="N404" s="837" t="s">
        <v>242</v>
      </c>
      <c r="O404" s="82" t="s">
        <v>243</v>
      </c>
    </row>
    <row r="405" spans="1:15" ht="14.25">
      <c r="A405" s="833" t="s">
        <v>2173</v>
      </c>
      <c r="B405" s="834" t="s">
        <v>2576</v>
      </c>
      <c r="C405" s="835" t="s">
        <v>16</v>
      </c>
      <c r="D405" s="836">
        <v>122</v>
      </c>
      <c r="E405" s="836">
        <v>122</v>
      </c>
      <c r="F405" s="836">
        <f t="shared" si="61"/>
        <v>0</v>
      </c>
      <c r="G405" s="836">
        <v>561.92999999999995</v>
      </c>
      <c r="H405" s="836"/>
      <c r="I405" s="836"/>
      <c r="J405" s="836">
        <f t="shared" si="69"/>
        <v>68555.460000000006</v>
      </c>
      <c r="K405" s="836">
        <f t="shared" si="70"/>
        <v>68555.460000000006</v>
      </c>
      <c r="L405" s="836"/>
      <c r="M405" s="836"/>
      <c r="N405" s="837" t="s">
        <v>242</v>
      </c>
      <c r="O405" s="82" t="s">
        <v>243</v>
      </c>
    </row>
    <row r="406" spans="1:15" ht="14.25">
      <c r="A406" s="833" t="s">
        <v>2174</v>
      </c>
      <c r="B406" s="834" t="s">
        <v>2577</v>
      </c>
      <c r="C406" s="835" t="s">
        <v>16</v>
      </c>
      <c r="D406" s="836">
        <v>421</v>
      </c>
      <c r="E406" s="836">
        <v>421</v>
      </c>
      <c r="F406" s="836">
        <f t="shared" si="61"/>
        <v>0</v>
      </c>
      <c r="G406" s="836">
        <v>519.94000000000005</v>
      </c>
      <c r="H406" s="836"/>
      <c r="I406" s="836"/>
      <c r="J406" s="836">
        <f t="shared" si="69"/>
        <v>218894.74</v>
      </c>
      <c r="K406" s="836">
        <f t="shared" si="70"/>
        <v>218894.74</v>
      </c>
      <c r="L406" s="836"/>
      <c r="M406" s="836"/>
      <c r="N406" s="837" t="s">
        <v>242</v>
      </c>
      <c r="O406" s="82" t="s">
        <v>243</v>
      </c>
    </row>
    <row r="407" spans="1:15" ht="14.25">
      <c r="A407" s="833" t="s">
        <v>2175</v>
      </c>
      <c r="B407" s="834" t="s">
        <v>2578</v>
      </c>
      <c r="C407" s="835" t="s">
        <v>16</v>
      </c>
      <c r="D407" s="836">
        <v>28</v>
      </c>
      <c r="E407" s="836">
        <v>28</v>
      </c>
      <c r="F407" s="836">
        <f t="shared" si="61"/>
        <v>0</v>
      </c>
      <c r="G407" s="836">
        <v>1579.81</v>
      </c>
      <c r="H407" s="836"/>
      <c r="I407" s="836"/>
      <c r="J407" s="836">
        <f t="shared" si="69"/>
        <v>44234.68</v>
      </c>
      <c r="K407" s="836">
        <f t="shared" si="70"/>
        <v>44234.68</v>
      </c>
      <c r="L407" s="836"/>
      <c r="M407" s="836"/>
      <c r="N407" s="837" t="s">
        <v>242</v>
      </c>
      <c r="O407" s="82" t="s">
        <v>243</v>
      </c>
    </row>
    <row r="408" spans="1:15" ht="14.25">
      <c r="A408" s="833" t="s">
        <v>2177</v>
      </c>
      <c r="B408" s="834" t="s">
        <v>2579</v>
      </c>
      <c r="C408" s="835" t="s">
        <v>16</v>
      </c>
      <c r="D408" s="836">
        <v>442.5</v>
      </c>
      <c r="E408" s="836">
        <v>442.5</v>
      </c>
      <c r="F408" s="836">
        <f t="shared" si="61"/>
        <v>0</v>
      </c>
      <c r="G408" s="836">
        <v>209.97</v>
      </c>
      <c r="H408" s="836"/>
      <c r="I408" s="836"/>
      <c r="J408" s="836">
        <f t="shared" si="69"/>
        <v>92911.73</v>
      </c>
      <c r="K408" s="836">
        <f t="shared" si="70"/>
        <v>92911.73</v>
      </c>
      <c r="L408" s="836"/>
      <c r="M408" s="836"/>
      <c r="N408" s="837" t="s">
        <v>242</v>
      </c>
      <c r="O408" s="82" t="s">
        <v>243</v>
      </c>
    </row>
    <row r="409" spans="1:15" ht="28.5">
      <c r="A409" s="833" t="s">
        <v>2178</v>
      </c>
      <c r="B409" s="834" t="s">
        <v>2580</v>
      </c>
      <c r="C409" s="835" t="s">
        <v>14</v>
      </c>
      <c r="D409" s="836">
        <v>2</v>
      </c>
      <c r="E409" s="836">
        <v>2</v>
      </c>
      <c r="F409" s="836">
        <f t="shared" si="61"/>
        <v>0</v>
      </c>
      <c r="G409" s="836">
        <v>10798.67</v>
      </c>
      <c r="H409" s="836"/>
      <c r="I409" s="836"/>
      <c r="J409" s="836">
        <f t="shared" si="69"/>
        <v>21597.34</v>
      </c>
      <c r="K409" s="836">
        <f t="shared" si="70"/>
        <v>21597.34</v>
      </c>
      <c r="L409" s="836"/>
      <c r="M409" s="836"/>
      <c r="N409" s="837" t="s">
        <v>242</v>
      </c>
      <c r="O409" s="82" t="s">
        <v>243</v>
      </c>
    </row>
    <row r="410" spans="1:15" ht="28.5">
      <c r="A410" s="833" t="s">
        <v>2179</v>
      </c>
      <c r="B410" s="834" t="s">
        <v>2581</v>
      </c>
      <c r="C410" s="835" t="s">
        <v>14</v>
      </c>
      <c r="D410" s="836">
        <v>12</v>
      </c>
      <c r="E410" s="836">
        <v>12</v>
      </c>
      <c r="F410" s="836">
        <f t="shared" si="61"/>
        <v>0</v>
      </c>
      <c r="G410" s="836">
        <v>7249.11</v>
      </c>
      <c r="H410" s="836"/>
      <c r="I410" s="836"/>
      <c r="J410" s="836">
        <f t="shared" si="69"/>
        <v>86989.32</v>
      </c>
      <c r="K410" s="836">
        <f t="shared" si="70"/>
        <v>86989.32</v>
      </c>
      <c r="L410" s="836"/>
      <c r="M410" s="836"/>
      <c r="N410" s="837" t="s">
        <v>242</v>
      </c>
      <c r="O410" s="82" t="s">
        <v>243</v>
      </c>
    </row>
    <row r="411" spans="1:15" ht="14.25">
      <c r="A411" s="833" t="s">
        <v>2181</v>
      </c>
      <c r="B411" s="834" t="s">
        <v>3167</v>
      </c>
      <c r="C411" s="835" t="s">
        <v>16</v>
      </c>
      <c r="D411" s="836">
        <v>192</v>
      </c>
      <c r="E411" s="836">
        <v>192</v>
      </c>
      <c r="F411" s="836">
        <f t="shared" si="61"/>
        <v>0</v>
      </c>
      <c r="G411" s="836">
        <v>279.98</v>
      </c>
      <c r="H411" s="836"/>
      <c r="I411" s="836"/>
      <c r="J411" s="836">
        <f t="shared" si="69"/>
        <v>53756.160000000003</v>
      </c>
      <c r="K411" s="836">
        <f t="shared" si="70"/>
        <v>53756.160000000003</v>
      </c>
      <c r="L411" s="836"/>
      <c r="M411" s="836"/>
      <c r="N411" s="837" t="s">
        <v>242</v>
      </c>
      <c r="O411" s="82" t="s">
        <v>243</v>
      </c>
    </row>
    <row r="412" spans="1:15" ht="14.25">
      <c r="A412" s="833" t="s">
        <v>2252</v>
      </c>
      <c r="B412" s="834" t="s">
        <v>25</v>
      </c>
      <c r="C412" s="835" t="s">
        <v>4</v>
      </c>
      <c r="D412" s="494"/>
      <c r="E412" s="836"/>
      <c r="F412" s="836"/>
      <c r="G412" s="836">
        <f>J412</f>
        <v>3537274.3800000008</v>
      </c>
      <c r="H412" s="836"/>
      <c r="I412" s="836"/>
      <c r="J412" s="836">
        <f>SUM(J413:J451)</f>
        <v>3537274.3800000008</v>
      </c>
      <c r="K412" s="836">
        <f>SUM(K413:K451)</f>
        <v>3744562.4100000011</v>
      </c>
      <c r="L412" s="836">
        <f>SUM(L413:L451)</f>
        <v>293083.37</v>
      </c>
      <c r="M412" s="836">
        <f>SUM(M413:M451)</f>
        <v>85795.340000000011</v>
      </c>
      <c r="N412" s="837" t="s">
        <v>242</v>
      </c>
      <c r="O412" s="82" t="s">
        <v>243</v>
      </c>
    </row>
    <row r="413" spans="1:15" ht="42.75">
      <c r="A413" s="853" t="s">
        <v>2154</v>
      </c>
      <c r="B413" s="854" t="s">
        <v>1023</v>
      </c>
      <c r="C413" s="855" t="s">
        <v>7</v>
      </c>
      <c r="D413" s="856">
        <v>295</v>
      </c>
      <c r="E413" s="856">
        <f>'數量計算(FOR5變) '!E655</f>
        <v>490</v>
      </c>
      <c r="F413" s="856">
        <f t="shared" ref="F413:F451" si="71">E413-D413</f>
        <v>195</v>
      </c>
      <c r="G413" s="856">
        <v>299.98</v>
      </c>
      <c r="H413" s="856"/>
      <c r="I413" s="856"/>
      <c r="J413" s="856">
        <f t="shared" ref="J413" si="72">ROUND(D413*G413,2)</f>
        <v>88494.1</v>
      </c>
      <c r="K413" s="856">
        <f t="shared" ref="K413" si="73">ROUND(E413*G413,2)</f>
        <v>146990.20000000001</v>
      </c>
      <c r="L413" s="856">
        <f>K413-J413</f>
        <v>58496.100000000006</v>
      </c>
      <c r="M413" s="856"/>
      <c r="N413" s="857" t="s">
        <v>242</v>
      </c>
      <c r="O413" s="245" t="s">
        <v>3736</v>
      </c>
    </row>
    <row r="414" spans="1:15" ht="28.5">
      <c r="A414" s="853" t="s">
        <v>2155</v>
      </c>
      <c r="B414" s="854" t="s">
        <v>1025</v>
      </c>
      <c r="C414" s="855" t="s">
        <v>15</v>
      </c>
      <c r="D414" s="856">
        <v>59</v>
      </c>
      <c r="E414" s="856">
        <f>'數量計算(FOR5變) '!E656</f>
        <v>95</v>
      </c>
      <c r="F414" s="856">
        <f t="shared" si="71"/>
        <v>36</v>
      </c>
      <c r="G414" s="856">
        <v>2999.84</v>
      </c>
      <c r="H414" s="856"/>
      <c r="I414" s="856"/>
      <c r="J414" s="856">
        <f t="shared" ref="J414:J451" si="74">ROUND(D414*G414,2)</f>
        <v>176990.56</v>
      </c>
      <c r="K414" s="856">
        <f t="shared" ref="K414:K451" si="75">ROUND(E414*G414,2)</f>
        <v>284984.8</v>
      </c>
      <c r="L414" s="856">
        <f t="shared" ref="L414:L418" si="76">K414-J414</f>
        <v>107994.23999999999</v>
      </c>
      <c r="M414" s="856"/>
      <c r="N414" s="857" t="s">
        <v>2321</v>
      </c>
      <c r="O414" s="245" t="s">
        <v>3737</v>
      </c>
    </row>
    <row r="415" spans="1:15" ht="28.5">
      <c r="A415" s="853" t="s">
        <v>2156</v>
      </c>
      <c r="B415" s="854" t="s">
        <v>1027</v>
      </c>
      <c r="C415" s="855" t="s">
        <v>15</v>
      </c>
      <c r="D415" s="856">
        <v>59</v>
      </c>
      <c r="E415" s="856">
        <f>'數量計算(FOR5變) '!E657</f>
        <v>95</v>
      </c>
      <c r="F415" s="856">
        <f t="shared" si="71"/>
        <v>36</v>
      </c>
      <c r="G415" s="856">
        <v>149.99</v>
      </c>
      <c r="H415" s="856"/>
      <c r="I415" s="856"/>
      <c r="J415" s="856">
        <f t="shared" si="74"/>
        <v>8849.41</v>
      </c>
      <c r="K415" s="856">
        <f t="shared" si="75"/>
        <v>14249.05</v>
      </c>
      <c r="L415" s="856">
        <f t="shared" si="76"/>
        <v>5399.6399999999994</v>
      </c>
      <c r="M415" s="856"/>
      <c r="N415" s="857" t="s">
        <v>2321</v>
      </c>
      <c r="O415" s="245" t="s">
        <v>3737</v>
      </c>
    </row>
    <row r="416" spans="1:15" ht="42.75">
      <c r="A416" s="833" t="s">
        <v>2157</v>
      </c>
      <c r="B416" s="834" t="s">
        <v>1029</v>
      </c>
      <c r="C416" s="835" t="s">
        <v>1030</v>
      </c>
      <c r="D416" s="836">
        <v>9</v>
      </c>
      <c r="E416" s="836">
        <f>'數量計算(FOR5變) '!E658</f>
        <v>9</v>
      </c>
      <c r="F416" s="836">
        <f t="shared" si="71"/>
        <v>0</v>
      </c>
      <c r="G416" s="836">
        <v>1199.93</v>
      </c>
      <c r="H416" s="836"/>
      <c r="I416" s="836"/>
      <c r="J416" s="836">
        <f t="shared" si="74"/>
        <v>10799.37</v>
      </c>
      <c r="K416" s="836">
        <f t="shared" si="75"/>
        <v>10799.37</v>
      </c>
      <c r="L416" s="836"/>
      <c r="M416" s="836"/>
      <c r="N416" s="837" t="s">
        <v>2321</v>
      </c>
      <c r="O416" s="82" t="s">
        <v>243</v>
      </c>
    </row>
    <row r="417" spans="1:15" ht="42.75">
      <c r="A417" s="853" t="s">
        <v>2158</v>
      </c>
      <c r="B417" s="854" t="s">
        <v>1032</v>
      </c>
      <c r="C417" s="855" t="s">
        <v>15</v>
      </c>
      <c r="D417" s="856">
        <v>22</v>
      </c>
      <c r="E417" s="856">
        <f>'數量計算(FOR5變) '!E659</f>
        <v>58</v>
      </c>
      <c r="F417" s="856">
        <f t="shared" si="71"/>
        <v>36</v>
      </c>
      <c r="G417" s="856">
        <v>649.96</v>
      </c>
      <c r="H417" s="856"/>
      <c r="I417" s="856"/>
      <c r="J417" s="856">
        <f t="shared" si="74"/>
        <v>14299.12</v>
      </c>
      <c r="K417" s="856">
        <f t="shared" si="75"/>
        <v>37697.68</v>
      </c>
      <c r="L417" s="856">
        <f t="shared" si="76"/>
        <v>23398.559999999998</v>
      </c>
      <c r="M417" s="856"/>
      <c r="N417" s="857" t="s">
        <v>2440</v>
      </c>
      <c r="O417" s="245" t="s">
        <v>3737</v>
      </c>
    </row>
    <row r="418" spans="1:15" ht="42.75">
      <c r="A418" s="853" t="s">
        <v>2159</v>
      </c>
      <c r="B418" s="854" t="s">
        <v>1034</v>
      </c>
      <c r="C418" s="855" t="s">
        <v>15</v>
      </c>
      <c r="D418" s="856">
        <v>22</v>
      </c>
      <c r="E418" s="856">
        <f>'數量計算(FOR5變) '!E660</f>
        <v>58</v>
      </c>
      <c r="F418" s="856">
        <f t="shared" si="71"/>
        <v>36</v>
      </c>
      <c r="G418" s="856">
        <v>1299.93</v>
      </c>
      <c r="H418" s="856"/>
      <c r="I418" s="856"/>
      <c r="J418" s="856">
        <f t="shared" si="74"/>
        <v>28598.46</v>
      </c>
      <c r="K418" s="856">
        <f t="shared" si="75"/>
        <v>75395.94</v>
      </c>
      <c r="L418" s="856">
        <f t="shared" si="76"/>
        <v>46797.48</v>
      </c>
      <c r="M418" s="856"/>
      <c r="N418" s="857" t="s">
        <v>2440</v>
      </c>
      <c r="O418" s="245" t="s">
        <v>3737</v>
      </c>
    </row>
    <row r="419" spans="1:15" ht="42.75">
      <c r="A419" s="833" t="s">
        <v>2160</v>
      </c>
      <c r="B419" s="834" t="s">
        <v>1036</v>
      </c>
      <c r="C419" s="835" t="s">
        <v>15</v>
      </c>
      <c r="D419" s="836">
        <v>5</v>
      </c>
      <c r="E419" s="836">
        <f>'數量計算(FOR5變) '!E661</f>
        <v>5</v>
      </c>
      <c r="F419" s="836">
        <f t="shared" si="71"/>
        <v>0</v>
      </c>
      <c r="G419" s="836">
        <v>3499.81</v>
      </c>
      <c r="H419" s="836"/>
      <c r="I419" s="836"/>
      <c r="J419" s="836">
        <f t="shared" si="74"/>
        <v>17499.05</v>
      </c>
      <c r="K419" s="836">
        <f t="shared" si="75"/>
        <v>17499.05</v>
      </c>
      <c r="L419" s="836"/>
      <c r="M419" s="836"/>
      <c r="N419" s="837" t="s">
        <v>242</v>
      </c>
      <c r="O419" s="82" t="s">
        <v>243</v>
      </c>
    </row>
    <row r="420" spans="1:15" ht="42.75">
      <c r="A420" s="833" t="s">
        <v>2161</v>
      </c>
      <c r="B420" s="834" t="s">
        <v>1038</v>
      </c>
      <c r="C420" s="835" t="s">
        <v>15</v>
      </c>
      <c r="D420" s="836">
        <v>5</v>
      </c>
      <c r="E420" s="836">
        <f>'數量計算(FOR5變) '!E662</f>
        <v>5</v>
      </c>
      <c r="F420" s="836">
        <f t="shared" si="71"/>
        <v>0</v>
      </c>
      <c r="G420" s="836">
        <v>699.96</v>
      </c>
      <c r="H420" s="836"/>
      <c r="I420" s="836"/>
      <c r="J420" s="836">
        <f t="shared" si="74"/>
        <v>3499.8</v>
      </c>
      <c r="K420" s="836">
        <f t="shared" si="75"/>
        <v>3499.8</v>
      </c>
      <c r="L420" s="836"/>
      <c r="M420" s="836"/>
      <c r="N420" s="837" t="s">
        <v>242</v>
      </c>
      <c r="O420" s="82" t="s">
        <v>243</v>
      </c>
    </row>
    <row r="421" spans="1:15" ht="42.75">
      <c r="A421" s="833" t="s">
        <v>2162</v>
      </c>
      <c r="B421" s="834" t="s">
        <v>1040</v>
      </c>
      <c r="C421" s="835" t="s">
        <v>14</v>
      </c>
      <c r="D421" s="836">
        <v>1</v>
      </c>
      <c r="E421" s="836">
        <f>'數量計算(FOR5變) '!E663</f>
        <v>1</v>
      </c>
      <c r="F421" s="836">
        <f t="shared" si="71"/>
        <v>0</v>
      </c>
      <c r="G421" s="836">
        <v>14999.18</v>
      </c>
      <c r="H421" s="836"/>
      <c r="I421" s="836"/>
      <c r="J421" s="836">
        <f t="shared" si="74"/>
        <v>14999.18</v>
      </c>
      <c r="K421" s="836">
        <f t="shared" si="75"/>
        <v>14999.18</v>
      </c>
      <c r="L421" s="836"/>
      <c r="M421" s="836"/>
      <c r="N421" s="837" t="s">
        <v>242</v>
      </c>
      <c r="O421" s="82" t="s">
        <v>243</v>
      </c>
    </row>
    <row r="422" spans="1:15" ht="42.75">
      <c r="A422" s="833" t="s">
        <v>2163</v>
      </c>
      <c r="B422" s="834" t="s">
        <v>1043</v>
      </c>
      <c r="C422" s="835" t="s">
        <v>15</v>
      </c>
      <c r="D422" s="836">
        <v>1</v>
      </c>
      <c r="E422" s="836">
        <f>'數量計算(FOR5變) '!E664</f>
        <v>1</v>
      </c>
      <c r="F422" s="836">
        <f t="shared" si="71"/>
        <v>0</v>
      </c>
      <c r="G422" s="836">
        <v>5999.67</v>
      </c>
      <c r="H422" s="836"/>
      <c r="I422" s="836"/>
      <c r="J422" s="836">
        <f t="shared" si="74"/>
        <v>5999.67</v>
      </c>
      <c r="K422" s="836">
        <f t="shared" si="75"/>
        <v>5999.67</v>
      </c>
      <c r="L422" s="836"/>
      <c r="M422" s="836"/>
      <c r="N422" s="837" t="s">
        <v>2321</v>
      </c>
      <c r="O422" s="82" t="s">
        <v>243</v>
      </c>
    </row>
    <row r="423" spans="1:15" ht="71.25">
      <c r="A423" s="833" t="s">
        <v>2164</v>
      </c>
      <c r="B423" s="834" t="s">
        <v>1046</v>
      </c>
      <c r="C423" s="835" t="s">
        <v>15</v>
      </c>
      <c r="D423" s="836">
        <v>1</v>
      </c>
      <c r="E423" s="836">
        <f>'數量計算(FOR5變) '!E665</f>
        <v>1</v>
      </c>
      <c r="F423" s="836">
        <f t="shared" si="71"/>
        <v>0</v>
      </c>
      <c r="G423" s="836">
        <v>49497.3</v>
      </c>
      <c r="H423" s="836"/>
      <c r="I423" s="836"/>
      <c r="J423" s="836">
        <f t="shared" si="74"/>
        <v>49497.3</v>
      </c>
      <c r="K423" s="836">
        <f t="shared" si="75"/>
        <v>49497.3</v>
      </c>
      <c r="L423" s="836"/>
      <c r="M423" s="836"/>
      <c r="N423" s="837" t="s">
        <v>242</v>
      </c>
      <c r="O423" s="82" t="s">
        <v>243</v>
      </c>
    </row>
    <row r="424" spans="1:15" ht="42.75">
      <c r="A424" s="833" t="s">
        <v>2165</v>
      </c>
      <c r="B424" s="834" t="s">
        <v>1049</v>
      </c>
      <c r="C424" s="835" t="s">
        <v>15</v>
      </c>
      <c r="D424" s="836">
        <v>6</v>
      </c>
      <c r="E424" s="836">
        <f>'數量計算(FOR5變) '!E666</f>
        <v>6</v>
      </c>
      <c r="F424" s="836">
        <f t="shared" si="71"/>
        <v>0</v>
      </c>
      <c r="G424" s="836">
        <v>2999.84</v>
      </c>
      <c r="H424" s="836"/>
      <c r="I424" s="836"/>
      <c r="J424" s="836">
        <f t="shared" si="74"/>
        <v>17999.04</v>
      </c>
      <c r="K424" s="836">
        <f t="shared" si="75"/>
        <v>17999.04</v>
      </c>
      <c r="L424" s="836"/>
      <c r="M424" s="836"/>
      <c r="N424" s="837" t="s">
        <v>242</v>
      </c>
      <c r="O424" s="82" t="s">
        <v>243</v>
      </c>
    </row>
    <row r="425" spans="1:15" ht="28.5">
      <c r="A425" s="853" t="s">
        <v>2166</v>
      </c>
      <c r="B425" s="854" t="s">
        <v>1052</v>
      </c>
      <c r="C425" s="855" t="s">
        <v>14</v>
      </c>
      <c r="D425" s="856">
        <v>75</v>
      </c>
      <c r="E425" s="856">
        <f>'數量計算(FOR5變) '!E667</f>
        <v>77</v>
      </c>
      <c r="F425" s="856">
        <f t="shared" si="71"/>
        <v>2</v>
      </c>
      <c r="G425" s="856">
        <v>11999.35</v>
      </c>
      <c r="H425" s="856"/>
      <c r="I425" s="856"/>
      <c r="J425" s="856">
        <f t="shared" si="74"/>
        <v>899951.25</v>
      </c>
      <c r="K425" s="856">
        <f t="shared" si="75"/>
        <v>923949.95</v>
      </c>
      <c r="L425" s="856">
        <f t="shared" ref="L425" si="77">K425-J425</f>
        <v>23998.699999999953</v>
      </c>
      <c r="M425" s="856"/>
      <c r="N425" s="857" t="s">
        <v>242</v>
      </c>
      <c r="O425" s="245" t="s">
        <v>3738</v>
      </c>
    </row>
    <row r="426" spans="1:15" ht="28.5">
      <c r="A426" s="833" t="s">
        <v>2167</v>
      </c>
      <c r="B426" s="834" t="s">
        <v>1055</v>
      </c>
      <c r="C426" s="835" t="s">
        <v>1007</v>
      </c>
      <c r="D426" s="836">
        <v>75</v>
      </c>
      <c r="E426" s="836">
        <f>'數量計算(FOR5變) '!E668</f>
        <v>75</v>
      </c>
      <c r="F426" s="836">
        <f t="shared" si="71"/>
        <v>0</v>
      </c>
      <c r="G426" s="836">
        <v>1499.92</v>
      </c>
      <c r="H426" s="836"/>
      <c r="I426" s="836"/>
      <c r="J426" s="836">
        <f t="shared" si="74"/>
        <v>112494</v>
      </c>
      <c r="K426" s="836">
        <f t="shared" si="75"/>
        <v>112494</v>
      </c>
      <c r="L426" s="836"/>
      <c r="M426" s="836"/>
      <c r="N426" s="837" t="s">
        <v>242</v>
      </c>
      <c r="O426" s="82" t="s">
        <v>243</v>
      </c>
    </row>
    <row r="427" spans="1:15" ht="42.75">
      <c r="A427" s="833" t="s">
        <v>2168</v>
      </c>
      <c r="B427" s="834" t="s">
        <v>1058</v>
      </c>
      <c r="C427" s="835" t="s">
        <v>15</v>
      </c>
      <c r="D427" s="836">
        <v>1</v>
      </c>
      <c r="E427" s="836">
        <f>'數量計算(FOR5變) '!E669</f>
        <v>1</v>
      </c>
      <c r="F427" s="836">
        <f t="shared" si="71"/>
        <v>0</v>
      </c>
      <c r="G427" s="836">
        <v>11999.35</v>
      </c>
      <c r="H427" s="836"/>
      <c r="I427" s="836"/>
      <c r="J427" s="836">
        <f t="shared" si="74"/>
        <v>11999.35</v>
      </c>
      <c r="K427" s="836">
        <f t="shared" si="75"/>
        <v>11999.35</v>
      </c>
      <c r="L427" s="836"/>
      <c r="M427" s="836"/>
      <c r="N427" s="837" t="s">
        <v>2321</v>
      </c>
      <c r="O427" s="82" t="s">
        <v>243</v>
      </c>
    </row>
    <row r="428" spans="1:15" ht="28.5">
      <c r="A428" s="833" t="s">
        <v>2169</v>
      </c>
      <c r="B428" s="834" t="s">
        <v>1061</v>
      </c>
      <c r="C428" s="835" t="s">
        <v>15</v>
      </c>
      <c r="D428" s="836">
        <v>1</v>
      </c>
      <c r="E428" s="836">
        <f>'數量計算(FOR5變) '!E670</f>
        <v>1</v>
      </c>
      <c r="F428" s="836">
        <f t="shared" si="71"/>
        <v>0</v>
      </c>
      <c r="G428" s="836">
        <v>1999.89</v>
      </c>
      <c r="H428" s="836"/>
      <c r="I428" s="836"/>
      <c r="J428" s="836">
        <f t="shared" si="74"/>
        <v>1999.89</v>
      </c>
      <c r="K428" s="836">
        <f t="shared" si="75"/>
        <v>1999.89</v>
      </c>
      <c r="L428" s="836"/>
      <c r="M428" s="836"/>
      <c r="N428" s="837" t="s">
        <v>242</v>
      </c>
      <c r="O428" s="82" t="s">
        <v>243</v>
      </c>
    </row>
    <row r="429" spans="1:15" ht="42.75">
      <c r="A429" s="815" t="s">
        <v>2170</v>
      </c>
      <c r="B429" s="816" t="s">
        <v>1064</v>
      </c>
      <c r="C429" s="821" t="s">
        <v>15</v>
      </c>
      <c r="D429" s="817">
        <v>11</v>
      </c>
      <c r="E429" s="817">
        <f>'數量計算(FOR5變) '!E671</f>
        <v>6</v>
      </c>
      <c r="F429" s="817">
        <f t="shared" si="71"/>
        <v>-5</v>
      </c>
      <c r="G429" s="817">
        <v>2999.84</v>
      </c>
      <c r="H429" s="817"/>
      <c r="I429" s="817"/>
      <c r="J429" s="817">
        <f t="shared" si="74"/>
        <v>32998.239999999998</v>
      </c>
      <c r="K429" s="817">
        <f t="shared" si="75"/>
        <v>17999.04</v>
      </c>
      <c r="L429" s="817"/>
      <c r="M429" s="817">
        <f>J429-K429</f>
        <v>14999.199999999997</v>
      </c>
      <c r="N429" s="818" t="s">
        <v>2321</v>
      </c>
      <c r="O429" s="293" t="s">
        <v>3739</v>
      </c>
    </row>
    <row r="430" spans="1:15" ht="42.75">
      <c r="A430" s="833" t="s">
        <v>2171</v>
      </c>
      <c r="B430" s="834" t="s">
        <v>1067</v>
      </c>
      <c r="C430" s="835" t="s">
        <v>15</v>
      </c>
      <c r="D430" s="836">
        <v>3</v>
      </c>
      <c r="E430" s="836">
        <f>'數量計算(FOR5變) '!E672</f>
        <v>3</v>
      </c>
      <c r="F430" s="836">
        <f t="shared" si="71"/>
        <v>0</v>
      </c>
      <c r="G430" s="836">
        <v>1399.92</v>
      </c>
      <c r="H430" s="836"/>
      <c r="I430" s="836"/>
      <c r="J430" s="836">
        <f t="shared" si="74"/>
        <v>4199.76</v>
      </c>
      <c r="K430" s="836">
        <f t="shared" si="75"/>
        <v>4199.76</v>
      </c>
      <c r="L430" s="836"/>
      <c r="M430" s="836"/>
      <c r="N430" s="837" t="s">
        <v>2321</v>
      </c>
      <c r="O430" s="82" t="s">
        <v>243</v>
      </c>
    </row>
    <row r="431" spans="1:15" ht="42.75">
      <c r="A431" s="815" t="s">
        <v>2172</v>
      </c>
      <c r="B431" s="816" t="s">
        <v>1070</v>
      </c>
      <c r="C431" s="821" t="s">
        <v>14</v>
      </c>
      <c r="D431" s="820">
        <v>5</v>
      </c>
      <c r="E431" s="817">
        <f>'數量計算(FOR5變) '!E673</f>
        <v>2</v>
      </c>
      <c r="F431" s="817">
        <f t="shared" si="71"/>
        <v>-3</v>
      </c>
      <c r="G431" s="817">
        <v>17999.02</v>
      </c>
      <c r="H431" s="817"/>
      <c r="I431" s="817"/>
      <c r="J431" s="817">
        <f t="shared" si="74"/>
        <v>89995.1</v>
      </c>
      <c r="K431" s="817">
        <f t="shared" si="75"/>
        <v>35998.04</v>
      </c>
      <c r="L431" s="817"/>
      <c r="M431" s="817">
        <f>J431-K431</f>
        <v>53997.060000000005</v>
      </c>
      <c r="N431" s="818" t="s">
        <v>242</v>
      </c>
      <c r="O431" s="82" t="s">
        <v>3741</v>
      </c>
    </row>
    <row r="432" spans="1:15" ht="28.5">
      <c r="A432" s="833" t="s">
        <v>2173</v>
      </c>
      <c r="B432" s="834" t="s">
        <v>1073</v>
      </c>
      <c r="C432" s="835" t="s">
        <v>14</v>
      </c>
      <c r="D432" s="836">
        <v>1</v>
      </c>
      <c r="E432" s="836">
        <f>'數量計算(FOR5變) '!E674</f>
        <v>1</v>
      </c>
      <c r="F432" s="836">
        <f t="shared" si="71"/>
        <v>0</v>
      </c>
      <c r="G432" s="836">
        <v>8999.51</v>
      </c>
      <c r="H432" s="836"/>
      <c r="I432" s="836"/>
      <c r="J432" s="836">
        <f t="shared" si="74"/>
        <v>8999.51</v>
      </c>
      <c r="K432" s="836">
        <f t="shared" si="75"/>
        <v>8999.51</v>
      </c>
      <c r="L432" s="836"/>
      <c r="M432" s="836"/>
      <c r="N432" s="837" t="s">
        <v>242</v>
      </c>
      <c r="O432" s="82" t="s">
        <v>243</v>
      </c>
    </row>
    <row r="433" spans="1:15" ht="28.5">
      <c r="A433" s="833" t="s">
        <v>2174</v>
      </c>
      <c r="B433" s="834" t="s">
        <v>1076</v>
      </c>
      <c r="C433" s="835" t="s">
        <v>15</v>
      </c>
      <c r="D433" s="836">
        <v>2</v>
      </c>
      <c r="E433" s="836">
        <f>'數量計算(FOR5變) '!E675</f>
        <v>2</v>
      </c>
      <c r="F433" s="836">
        <f t="shared" si="71"/>
        <v>0</v>
      </c>
      <c r="G433" s="836">
        <v>5999.67</v>
      </c>
      <c r="H433" s="836"/>
      <c r="I433" s="836"/>
      <c r="J433" s="836">
        <f t="shared" si="74"/>
        <v>11999.34</v>
      </c>
      <c r="K433" s="836">
        <f t="shared" si="75"/>
        <v>11999.34</v>
      </c>
      <c r="L433" s="836"/>
      <c r="M433" s="836"/>
      <c r="N433" s="837" t="s">
        <v>242</v>
      </c>
      <c r="O433" s="82" t="s">
        <v>243</v>
      </c>
    </row>
    <row r="434" spans="1:15" ht="28.5">
      <c r="A434" s="833" t="s">
        <v>2175</v>
      </c>
      <c r="B434" s="834" t="s">
        <v>1079</v>
      </c>
      <c r="C434" s="835" t="s">
        <v>14</v>
      </c>
      <c r="D434" s="836">
        <v>1</v>
      </c>
      <c r="E434" s="836">
        <f>'數量計算(FOR5變) '!E676</f>
        <v>1</v>
      </c>
      <c r="F434" s="836">
        <f t="shared" si="71"/>
        <v>0</v>
      </c>
      <c r="G434" s="836">
        <v>2499.86</v>
      </c>
      <c r="H434" s="836"/>
      <c r="I434" s="836"/>
      <c r="J434" s="836">
        <f t="shared" si="74"/>
        <v>2499.86</v>
      </c>
      <c r="K434" s="836">
        <f t="shared" si="75"/>
        <v>2499.86</v>
      </c>
      <c r="L434" s="836"/>
      <c r="M434" s="836"/>
      <c r="N434" s="837" t="s">
        <v>242</v>
      </c>
      <c r="O434" s="82" t="s">
        <v>243</v>
      </c>
    </row>
    <row r="435" spans="1:15" ht="28.5">
      <c r="A435" s="833" t="s">
        <v>2177</v>
      </c>
      <c r="B435" s="834" t="s">
        <v>1082</v>
      </c>
      <c r="C435" s="835" t="s">
        <v>14</v>
      </c>
      <c r="D435" s="836">
        <v>1</v>
      </c>
      <c r="E435" s="836">
        <f>'數量計算(FOR5變) '!E677</f>
        <v>1</v>
      </c>
      <c r="F435" s="836">
        <f t="shared" si="71"/>
        <v>0</v>
      </c>
      <c r="G435" s="836">
        <v>2499.86</v>
      </c>
      <c r="H435" s="836"/>
      <c r="I435" s="836"/>
      <c r="J435" s="836">
        <f t="shared" si="74"/>
        <v>2499.86</v>
      </c>
      <c r="K435" s="836">
        <f t="shared" si="75"/>
        <v>2499.86</v>
      </c>
      <c r="L435" s="836"/>
      <c r="M435" s="836"/>
      <c r="N435" s="837" t="s">
        <v>242</v>
      </c>
      <c r="O435" s="82" t="s">
        <v>243</v>
      </c>
    </row>
    <row r="436" spans="1:15" ht="28.5">
      <c r="A436" s="833" t="s">
        <v>2178</v>
      </c>
      <c r="B436" s="834" t="s">
        <v>1085</v>
      </c>
      <c r="C436" s="835" t="s">
        <v>15</v>
      </c>
      <c r="D436" s="836">
        <v>4</v>
      </c>
      <c r="E436" s="836">
        <f>'數量計算(FOR5變) '!E678</f>
        <v>4</v>
      </c>
      <c r="F436" s="836">
        <f t="shared" si="71"/>
        <v>0</v>
      </c>
      <c r="G436" s="836">
        <v>2999.84</v>
      </c>
      <c r="H436" s="836"/>
      <c r="I436" s="836"/>
      <c r="J436" s="836">
        <f t="shared" si="74"/>
        <v>11999.36</v>
      </c>
      <c r="K436" s="836">
        <f t="shared" si="75"/>
        <v>11999.36</v>
      </c>
      <c r="L436" s="836"/>
      <c r="M436" s="836"/>
      <c r="N436" s="837" t="s">
        <v>242</v>
      </c>
      <c r="O436" s="82" t="s">
        <v>243</v>
      </c>
    </row>
    <row r="437" spans="1:15" ht="42.75">
      <c r="A437" s="833" t="s">
        <v>2179</v>
      </c>
      <c r="B437" s="834" t="s">
        <v>1088</v>
      </c>
      <c r="C437" s="835" t="s">
        <v>15</v>
      </c>
      <c r="D437" s="836">
        <v>2</v>
      </c>
      <c r="E437" s="836">
        <f>'數量計算(FOR5變) '!E679</f>
        <v>2</v>
      </c>
      <c r="F437" s="836">
        <f t="shared" si="71"/>
        <v>0</v>
      </c>
      <c r="G437" s="836">
        <v>19998.91</v>
      </c>
      <c r="H437" s="836"/>
      <c r="I437" s="836"/>
      <c r="J437" s="836">
        <f t="shared" si="74"/>
        <v>39997.82</v>
      </c>
      <c r="K437" s="836">
        <f t="shared" si="75"/>
        <v>39997.82</v>
      </c>
      <c r="L437" s="836"/>
      <c r="M437" s="836"/>
      <c r="N437" s="837" t="s">
        <v>2321</v>
      </c>
      <c r="O437" s="82" t="s">
        <v>243</v>
      </c>
    </row>
    <row r="438" spans="1:15" ht="42.75">
      <c r="A438" s="833" t="s">
        <v>2181</v>
      </c>
      <c r="B438" s="834" t="s">
        <v>1091</v>
      </c>
      <c r="C438" s="835" t="s">
        <v>14</v>
      </c>
      <c r="D438" s="836">
        <v>1</v>
      </c>
      <c r="E438" s="836">
        <f>'數量計算(FOR5變) '!E680</f>
        <v>1</v>
      </c>
      <c r="F438" s="836">
        <f t="shared" si="71"/>
        <v>0</v>
      </c>
      <c r="G438" s="836">
        <v>14999.18</v>
      </c>
      <c r="H438" s="836"/>
      <c r="I438" s="836"/>
      <c r="J438" s="836">
        <f t="shared" si="74"/>
        <v>14999.18</v>
      </c>
      <c r="K438" s="836">
        <f t="shared" si="75"/>
        <v>14999.18</v>
      </c>
      <c r="L438" s="836"/>
      <c r="M438" s="836"/>
      <c r="N438" s="837" t="s">
        <v>242</v>
      </c>
      <c r="O438" s="82" t="s">
        <v>243</v>
      </c>
    </row>
    <row r="439" spans="1:15" ht="42.75">
      <c r="A439" s="833" t="s">
        <v>2182</v>
      </c>
      <c r="B439" s="834" t="s">
        <v>1094</v>
      </c>
      <c r="C439" s="835" t="s">
        <v>1095</v>
      </c>
      <c r="D439" s="836">
        <v>3</v>
      </c>
      <c r="E439" s="836">
        <f>'數量計算(FOR5變) '!E681</f>
        <v>3</v>
      </c>
      <c r="F439" s="836">
        <f t="shared" si="71"/>
        <v>0</v>
      </c>
      <c r="G439" s="836">
        <v>1299.93</v>
      </c>
      <c r="H439" s="836"/>
      <c r="I439" s="836"/>
      <c r="J439" s="836">
        <f t="shared" si="74"/>
        <v>3899.79</v>
      </c>
      <c r="K439" s="836">
        <f t="shared" si="75"/>
        <v>3899.79</v>
      </c>
      <c r="L439" s="836"/>
      <c r="M439" s="836"/>
      <c r="N439" s="837" t="s">
        <v>242</v>
      </c>
      <c r="O439" s="82" t="s">
        <v>243</v>
      </c>
    </row>
    <row r="440" spans="1:15" ht="28.5">
      <c r="A440" s="853" t="s">
        <v>2183</v>
      </c>
      <c r="B440" s="854" t="s">
        <v>1098</v>
      </c>
      <c r="C440" s="855" t="s">
        <v>1095</v>
      </c>
      <c r="D440" s="856">
        <v>4</v>
      </c>
      <c r="E440" s="856">
        <f>'數量計算(FOR5變) '!E682</f>
        <v>15</v>
      </c>
      <c r="F440" s="856">
        <f t="shared" si="71"/>
        <v>11</v>
      </c>
      <c r="G440" s="856">
        <v>999.95</v>
      </c>
      <c r="H440" s="856"/>
      <c r="I440" s="856"/>
      <c r="J440" s="856">
        <f t="shared" si="74"/>
        <v>3999.8</v>
      </c>
      <c r="K440" s="856">
        <f t="shared" si="75"/>
        <v>14999.25</v>
      </c>
      <c r="L440" s="856">
        <f>K440-J440</f>
        <v>10999.45</v>
      </c>
      <c r="M440" s="856"/>
      <c r="N440" s="857" t="s">
        <v>242</v>
      </c>
      <c r="O440" s="293" t="s">
        <v>3745</v>
      </c>
    </row>
    <row r="441" spans="1:15" ht="14.25">
      <c r="A441" s="833" t="s">
        <v>2184</v>
      </c>
      <c r="B441" s="834" t="s">
        <v>1101</v>
      </c>
      <c r="C441" s="835" t="s">
        <v>15</v>
      </c>
      <c r="D441" s="836">
        <v>2</v>
      </c>
      <c r="E441" s="836">
        <f>'數量計算(FOR5變) '!E683</f>
        <v>2</v>
      </c>
      <c r="F441" s="836">
        <f t="shared" si="71"/>
        <v>0</v>
      </c>
      <c r="G441" s="836">
        <v>8999.51</v>
      </c>
      <c r="H441" s="836"/>
      <c r="I441" s="836"/>
      <c r="J441" s="836">
        <f t="shared" si="74"/>
        <v>17999.02</v>
      </c>
      <c r="K441" s="836">
        <f t="shared" si="75"/>
        <v>17999.02</v>
      </c>
      <c r="L441" s="836"/>
      <c r="M441" s="836"/>
      <c r="N441" s="837" t="s">
        <v>2321</v>
      </c>
      <c r="O441" s="82" t="s">
        <v>243</v>
      </c>
    </row>
    <row r="442" spans="1:15" ht="28.5">
      <c r="A442" s="815" t="s">
        <v>2185</v>
      </c>
      <c r="B442" s="816" t="s">
        <v>1104</v>
      </c>
      <c r="C442" s="821" t="s">
        <v>15</v>
      </c>
      <c r="D442" s="817">
        <v>4</v>
      </c>
      <c r="E442" s="817">
        <f>'數量計算(FOR5變) '!E684</f>
        <v>0</v>
      </c>
      <c r="F442" s="817">
        <f t="shared" si="71"/>
        <v>-4</v>
      </c>
      <c r="G442" s="817">
        <v>4199.7700000000004</v>
      </c>
      <c r="H442" s="817"/>
      <c r="I442" s="817"/>
      <c r="J442" s="817">
        <f t="shared" si="74"/>
        <v>16799.080000000002</v>
      </c>
      <c r="K442" s="817">
        <f t="shared" si="75"/>
        <v>0</v>
      </c>
      <c r="L442" s="817"/>
      <c r="M442" s="817">
        <f>J442-K442</f>
        <v>16799.080000000002</v>
      </c>
      <c r="N442" s="818" t="s">
        <v>242</v>
      </c>
      <c r="O442" s="82" t="s">
        <v>243</v>
      </c>
    </row>
    <row r="443" spans="1:15" ht="28.5">
      <c r="A443" s="853" t="s">
        <v>2186</v>
      </c>
      <c r="B443" s="854" t="s">
        <v>1107</v>
      </c>
      <c r="C443" s="855" t="s">
        <v>14</v>
      </c>
      <c r="D443" s="856">
        <v>2</v>
      </c>
      <c r="E443" s="856">
        <f>'數量計算(FOR5變) '!E685</f>
        <v>18</v>
      </c>
      <c r="F443" s="856">
        <f t="shared" si="71"/>
        <v>16</v>
      </c>
      <c r="G443" s="856">
        <v>999.95</v>
      </c>
      <c r="H443" s="856"/>
      <c r="I443" s="856"/>
      <c r="J443" s="856">
        <f t="shared" si="74"/>
        <v>1999.9</v>
      </c>
      <c r="K443" s="856">
        <f t="shared" si="75"/>
        <v>17999.099999999999</v>
      </c>
      <c r="L443" s="856">
        <f>K443-J443</f>
        <v>15999.199999999999</v>
      </c>
      <c r="M443" s="856"/>
      <c r="N443" s="857" t="s">
        <v>242</v>
      </c>
      <c r="O443" s="556" t="s">
        <v>3768</v>
      </c>
    </row>
    <row r="444" spans="1:15" ht="28.5">
      <c r="A444" s="833" t="s">
        <v>2187</v>
      </c>
      <c r="B444" s="834" t="s">
        <v>224</v>
      </c>
      <c r="C444" s="835" t="s">
        <v>15</v>
      </c>
      <c r="D444" s="836">
        <v>12</v>
      </c>
      <c r="E444" s="836">
        <f>'數量計算(FOR5變) '!E686</f>
        <v>12</v>
      </c>
      <c r="F444" s="836">
        <f t="shared" si="71"/>
        <v>0</v>
      </c>
      <c r="G444" s="836">
        <v>4499.75</v>
      </c>
      <c r="H444" s="836"/>
      <c r="I444" s="836"/>
      <c r="J444" s="836">
        <f t="shared" si="74"/>
        <v>53997</v>
      </c>
      <c r="K444" s="836">
        <f t="shared" si="75"/>
        <v>53997</v>
      </c>
      <c r="L444" s="836"/>
      <c r="M444" s="836"/>
      <c r="N444" s="837" t="s">
        <v>242</v>
      </c>
      <c r="O444" s="82" t="s">
        <v>243</v>
      </c>
    </row>
    <row r="445" spans="1:15" ht="28.5">
      <c r="A445" s="833" t="s">
        <v>2188</v>
      </c>
      <c r="B445" s="834" t="s">
        <v>1112</v>
      </c>
      <c r="C445" s="835" t="s">
        <v>15</v>
      </c>
      <c r="D445" s="836">
        <v>2</v>
      </c>
      <c r="E445" s="836">
        <f>'數量計算(FOR5變) '!E687</f>
        <v>2</v>
      </c>
      <c r="F445" s="836">
        <f t="shared" si="71"/>
        <v>0</v>
      </c>
      <c r="G445" s="836">
        <v>636265.30000000005</v>
      </c>
      <c r="H445" s="836"/>
      <c r="I445" s="836"/>
      <c r="J445" s="836">
        <f t="shared" si="74"/>
        <v>1272530.6000000001</v>
      </c>
      <c r="K445" s="836">
        <f t="shared" si="75"/>
        <v>1272530.6000000001</v>
      </c>
      <c r="L445" s="836"/>
      <c r="M445" s="836"/>
      <c r="N445" s="837" t="s">
        <v>242</v>
      </c>
      <c r="O445" s="82" t="s">
        <v>243</v>
      </c>
    </row>
    <row r="446" spans="1:15" ht="28.5">
      <c r="A446" s="833" t="s">
        <v>2189</v>
      </c>
      <c r="B446" s="834" t="s">
        <v>1115</v>
      </c>
      <c r="C446" s="835" t="s">
        <v>1116</v>
      </c>
      <c r="D446" s="836">
        <v>4</v>
      </c>
      <c r="E446" s="836">
        <f>'數量計算(FOR5變) '!E688</f>
        <v>4</v>
      </c>
      <c r="F446" s="836">
        <f t="shared" si="71"/>
        <v>0</v>
      </c>
      <c r="G446" s="836">
        <v>1999.89</v>
      </c>
      <c r="H446" s="836"/>
      <c r="I446" s="836"/>
      <c r="J446" s="836">
        <f t="shared" si="74"/>
        <v>7999.56</v>
      </c>
      <c r="K446" s="836">
        <f t="shared" si="75"/>
        <v>7999.56</v>
      </c>
      <c r="L446" s="836"/>
      <c r="M446" s="836"/>
      <c r="N446" s="837" t="s">
        <v>2321</v>
      </c>
      <c r="O446" s="82" t="s">
        <v>243</v>
      </c>
    </row>
    <row r="447" spans="1:15" ht="14.25">
      <c r="A447" s="833" t="s">
        <v>2190</v>
      </c>
      <c r="B447" s="834" t="s">
        <v>1542</v>
      </c>
      <c r="C447" s="835" t="s">
        <v>15</v>
      </c>
      <c r="D447" s="836">
        <v>1</v>
      </c>
      <c r="E447" s="836">
        <f>'數量計算(FOR5變) '!E689</f>
        <v>1</v>
      </c>
      <c r="F447" s="836">
        <f t="shared" si="71"/>
        <v>0</v>
      </c>
      <c r="G447" s="836">
        <v>119722.49</v>
      </c>
      <c r="H447" s="836"/>
      <c r="I447" s="836"/>
      <c r="J447" s="836">
        <f t="shared" si="74"/>
        <v>119722.49</v>
      </c>
      <c r="K447" s="836">
        <f t="shared" si="75"/>
        <v>119722.49</v>
      </c>
      <c r="L447" s="836"/>
      <c r="M447" s="836"/>
      <c r="N447" s="837" t="s">
        <v>242</v>
      </c>
      <c r="O447" s="82" t="s">
        <v>243</v>
      </c>
    </row>
    <row r="448" spans="1:15" ht="28.5">
      <c r="A448" s="833" t="s">
        <v>2191</v>
      </c>
      <c r="B448" s="834" t="s">
        <v>1544</v>
      </c>
      <c r="C448" s="835" t="s">
        <v>15</v>
      </c>
      <c r="D448" s="836">
        <v>1</v>
      </c>
      <c r="E448" s="836">
        <f>'數量計算(FOR5變) '!E690</f>
        <v>1</v>
      </c>
      <c r="F448" s="836">
        <f t="shared" si="71"/>
        <v>0</v>
      </c>
      <c r="G448" s="836">
        <v>74993.56</v>
      </c>
      <c r="H448" s="836"/>
      <c r="I448" s="836"/>
      <c r="J448" s="836">
        <f t="shared" si="74"/>
        <v>74993.56</v>
      </c>
      <c r="K448" s="836">
        <f t="shared" si="75"/>
        <v>74993.56</v>
      </c>
      <c r="L448" s="836"/>
      <c r="M448" s="836"/>
      <c r="N448" s="837" t="s">
        <v>3168</v>
      </c>
      <c r="O448" s="82" t="s">
        <v>243</v>
      </c>
    </row>
    <row r="449" spans="1:17" ht="42.75">
      <c r="A449" s="833" t="s">
        <v>2192</v>
      </c>
      <c r="B449" s="834" t="s">
        <v>1546</v>
      </c>
      <c r="C449" s="835" t="s">
        <v>15</v>
      </c>
      <c r="D449" s="836">
        <v>2</v>
      </c>
      <c r="E449" s="836">
        <f>'數量計算(FOR5變) '!E691</f>
        <v>2</v>
      </c>
      <c r="F449" s="836">
        <f t="shared" si="71"/>
        <v>0</v>
      </c>
      <c r="G449" s="836">
        <v>83492.83</v>
      </c>
      <c r="H449" s="836"/>
      <c r="I449" s="836"/>
      <c r="J449" s="836">
        <f t="shared" si="74"/>
        <v>166985.66</v>
      </c>
      <c r="K449" s="836">
        <f t="shared" si="75"/>
        <v>166985.66</v>
      </c>
      <c r="L449" s="836"/>
      <c r="M449" s="836"/>
      <c r="N449" s="837" t="s">
        <v>242</v>
      </c>
      <c r="O449" s="82" t="s">
        <v>243</v>
      </c>
    </row>
    <row r="450" spans="1:17" ht="28.5">
      <c r="A450" s="833" t="s">
        <v>2193</v>
      </c>
      <c r="B450" s="834" t="s">
        <v>3666</v>
      </c>
      <c r="C450" s="835" t="s">
        <v>15</v>
      </c>
      <c r="D450" s="836">
        <v>1</v>
      </c>
      <c r="E450" s="836">
        <f>'數量計算(FOR5變) '!E692</f>
        <v>1</v>
      </c>
      <c r="F450" s="836">
        <f t="shared" si="71"/>
        <v>0</v>
      </c>
      <c r="G450" s="836">
        <v>76193.42</v>
      </c>
      <c r="H450" s="836"/>
      <c r="I450" s="836"/>
      <c r="J450" s="836">
        <f t="shared" si="74"/>
        <v>76193.42</v>
      </c>
      <c r="K450" s="836">
        <f t="shared" si="75"/>
        <v>76193.42</v>
      </c>
      <c r="L450" s="836"/>
      <c r="M450" s="836"/>
      <c r="N450" s="837" t="s">
        <v>242</v>
      </c>
      <c r="O450" s="82" t="s">
        <v>243</v>
      </c>
    </row>
    <row r="451" spans="1:17" ht="28.5">
      <c r="A451" s="833" t="s">
        <v>2194</v>
      </c>
      <c r="B451" s="834" t="s">
        <v>1550</v>
      </c>
      <c r="C451" s="835" t="s">
        <v>15</v>
      </c>
      <c r="D451" s="836">
        <v>2</v>
      </c>
      <c r="E451" s="836">
        <f>'數量計算(FOR5變) '!E693</f>
        <v>2</v>
      </c>
      <c r="F451" s="836">
        <f t="shared" si="71"/>
        <v>0</v>
      </c>
      <c r="G451" s="836">
        <v>17998.46</v>
      </c>
      <c r="H451" s="836"/>
      <c r="I451" s="836"/>
      <c r="J451" s="836">
        <f t="shared" si="74"/>
        <v>35996.92</v>
      </c>
      <c r="K451" s="836">
        <f t="shared" si="75"/>
        <v>35996.92</v>
      </c>
      <c r="L451" s="836"/>
      <c r="M451" s="836"/>
      <c r="N451" s="837" t="s">
        <v>242</v>
      </c>
      <c r="O451" s="82" t="s">
        <v>243</v>
      </c>
    </row>
    <row r="452" spans="1:17" ht="14.25">
      <c r="A452" s="833" t="s">
        <v>2253</v>
      </c>
      <c r="B452" s="834" t="s">
        <v>1118</v>
      </c>
      <c r="C452" s="835" t="s">
        <v>4</v>
      </c>
      <c r="D452" s="836"/>
      <c r="E452" s="836"/>
      <c r="F452" s="836"/>
      <c r="G452" s="836">
        <f>J452</f>
        <v>3983954.6799999997</v>
      </c>
      <c r="H452" s="836"/>
      <c r="I452" s="836"/>
      <c r="J452" s="836">
        <f>SUM(J453:J455)</f>
        <v>3983954.6799999997</v>
      </c>
      <c r="K452" s="836">
        <f t="shared" ref="K452:M452" si="78">SUM(K453:K455)</f>
        <v>4437952.74</v>
      </c>
      <c r="L452" s="836">
        <f t="shared" si="78"/>
        <v>453998.06000000006</v>
      </c>
      <c r="M452" s="836">
        <f t="shared" si="78"/>
        <v>0</v>
      </c>
      <c r="N452" s="837" t="s">
        <v>242</v>
      </c>
      <c r="O452" s="82" t="s">
        <v>243</v>
      </c>
    </row>
    <row r="453" spans="1:17" ht="28.5">
      <c r="A453" s="853" t="s">
        <v>2154</v>
      </c>
      <c r="B453" s="854" t="s">
        <v>26</v>
      </c>
      <c r="C453" s="855" t="s">
        <v>20</v>
      </c>
      <c r="D453" s="856">
        <v>48</v>
      </c>
      <c r="E453" s="856">
        <f>'數量計算(FOR5變) '!E695</f>
        <v>58</v>
      </c>
      <c r="F453" s="856">
        <f t="shared" ref="F453:F474" si="79">E453-D453</f>
        <v>10</v>
      </c>
      <c r="G453" s="856">
        <v>13067.55</v>
      </c>
      <c r="H453" s="856"/>
      <c r="I453" s="856"/>
      <c r="J453" s="856">
        <f t="shared" ref="J453" si="80">ROUND(D453*G453,2)</f>
        <v>627242.4</v>
      </c>
      <c r="K453" s="856">
        <f t="shared" ref="K453" si="81">ROUND(E453*G453,2)</f>
        <v>757917.9</v>
      </c>
      <c r="L453" s="856">
        <f>K453-J453</f>
        <v>130675.5</v>
      </c>
      <c r="M453" s="856"/>
      <c r="N453" s="857" t="s">
        <v>242</v>
      </c>
      <c r="O453" s="147" t="s">
        <v>3590</v>
      </c>
      <c r="P453" s="586" t="s">
        <v>3725</v>
      </c>
    </row>
    <row r="454" spans="1:17" ht="42.75">
      <c r="A454" s="853" t="s">
        <v>2155</v>
      </c>
      <c r="B454" s="854" t="s">
        <v>27</v>
      </c>
      <c r="C454" s="855" t="s">
        <v>21</v>
      </c>
      <c r="D454" s="856">
        <v>28448</v>
      </c>
      <c r="E454" s="856">
        <f>'數量計算(FOR5變) '!E696</f>
        <v>34374</v>
      </c>
      <c r="F454" s="856">
        <f t="shared" si="79"/>
        <v>5926</v>
      </c>
      <c r="G454" s="856">
        <v>54.56</v>
      </c>
      <c r="H454" s="856"/>
      <c r="I454" s="856"/>
      <c r="J454" s="856">
        <f t="shared" ref="J454:J455" si="82">ROUND(D454*G454,2)</f>
        <v>1552122.8799999999</v>
      </c>
      <c r="K454" s="856">
        <f t="shared" ref="K454:K455" si="83">ROUND(E454*G454,2)</f>
        <v>1875445.44</v>
      </c>
      <c r="L454" s="856">
        <f>K454-J454</f>
        <v>323322.56000000006</v>
      </c>
      <c r="M454" s="856"/>
      <c r="N454" s="857" t="s">
        <v>2444</v>
      </c>
      <c r="O454" s="147" t="s">
        <v>3590</v>
      </c>
      <c r="P454" s="586" t="s">
        <v>3725</v>
      </c>
    </row>
    <row r="455" spans="1:17" ht="14.25">
      <c r="A455" s="833" t="s">
        <v>2156</v>
      </c>
      <c r="B455" s="834" t="s">
        <v>1553</v>
      </c>
      <c r="C455" s="835" t="s">
        <v>1554</v>
      </c>
      <c r="D455" s="836">
        <v>1570</v>
      </c>
      <c r="E455" s="836">
        <v>1570</v>
      </c>
      <c r="F455" s="836">
        <f t="shared" si="79"/>
        <v>0</v>
      </c>
      <c r="G455" s="836">
        <v>1149.42</v>
      </c>
      <c r="H455" s="836"/>
      <c r="I455" s="836"/>
      <c r="J455" s="836">
        <f t="shared" si="82"/>
        <v>1804589.4</v>
      </c>
      <c r="K455" s="836">
        <f t="shared" si="83"/>
        <v>1804589.4</v>
      </c>
      <c r="L455" s="836"/>
      <c r="M455" s="836"/>
      <c r="N455" s="837" t="s">
        <v>242</v>
      </c>
      <c r="O455" s="82" t="s">
        <v>243</v>
      </c>
    </row>
    <row r="456" spans="1:17" ht="14.25">
      <c r="A456" s="833" t="s">
        <v>2254</v>
      </c>
      <c r="B456" s="834" t="s">
        <v>1121</v>
      </c>
      <c r="C456" s="835" t="s">
        <v>4</v>
      </c>
      <c r="D456" s="836"/>
      <c r="E456" s="836"/>
      <c r="F456" s="836"/>
      <c r="G456" s="836">
        <f>J456</f>
        <v>10761887.789999999</v>
      </c>
      <c r="H456" s="836"/>
      <c r="I456" s="836"/>
      <c r="J456" s="836">
        <f>SUM(J457:J475)</f>
        <v>10761887.789999999</v>
      </c>
      <c r="K456" s="836">
        <f>SUM(K457:K475)</f>
        <v>10882174.18</v>
      </c>
      <c r="L456" s="836">
        <f>SUM(L457:L475)</f>
        <v>120286.39000000004</v>
      </c>
      <c r="M456" s="836">
        <f>SUM(M457:M475)</f>
        <v>0</v>
      </c>
      <c r="N456" s="837" t="s">
        <v>242</v>
      </c>
      <c r="O456" s="82" t="s">
        <v>243</v>
      </c>
    </row>
    <row r="457" spans="1:17" ht="28.5">
      <c r="A457" s="833" t="s">
        <v>2154</v>
      </c>
      <c r="B457" s="834" t="s">
        <v>1122</v>
      </c>
      <c r="C457" s="835" t="s">
        <v>8</v>
      </c>
      <c r="D457" s="836">
        <v>1294.97</v>
      </c>
      <c r="E457" s="836">
        <v>1294.97</v>
      </c>
      <c r="F457" s="836">
        <f t="shared" si="79"/>
        <v>0</v>
      </c>
      <c r="G457" s="836">
        <v>3662.03</v>
      </c>
      <c r="H457" s="836"/>
      <c r="I457" s="836"/>
      <c r="J457" s="836">
        <f t="shared" ref="J457" si="84">ROUND(D457*G457,2)</f>
        <v>4742218.99</v>
      </c>
      <c r="K457" s="836">
        <f t="shared" ref="K457" si="85">ROUND(E457*G457,2)</f>
        <v>4742218.99</v>
      </c>
      <c r="L457" s="836"/>
      <c r="M457" s="836"/>
      <c r="N457" s="837" t="s">
        <v>2451</v>
      </c>
      <c r="O457" s="82" t="s">
        <v>243</v>
      </c>
    </row>
    <row r="458" spans="1:17" ht="28.5">
      <c r="A458" s="853" t="s">
        <v>2155</v>
      </c>
      <c r="B458" s="854" t="s">
        <v>1124</v>
      </c>
      <c r="C458" s="855" t="s">
        <v>13</v>
      </c>
      <c r="D458" s="856">
        <v>1840.93</v>
      </c>
      <c r="E458" s="856">
        <f>'數量計算(FOR5變) '!E700</f>
        <v>1854.1599999999999</v>
      </c>
      <c r="F458" s="856">
        <f t="shared" si="79"/>
        <v>13.229999999999791</v>
      </c>
      <c r="G458" s="856">
        <v>352.98</v>
      </c>
      <c r="H458" s="856"/>
      <c r="I458" s="856"/>
      <c r="J458" s="856">
        <f t="shared" ref="J458:J475" si="86">ROUND(D458*G458,2)</f>
        <v>649811.47</v>
      </c>
      <c r="K458" s="856">
        <f t="shared" ref="K458:K475" si="87">ROUND(E458*G458,2)</f>
        <v>654481.4</v>
      </c>
      <c r="L458" s="856">
        <f>K458-J458</f>
        <v>4669.9300000000512</v>
      </c>
      <c r="M458" s="856"/>
      <c r="N458" s="857" t="s">
        <v>2452</v>
      </c>
      <c r="O458" s="245" t="s">
        <v>3650</v>
      </c>
      <c r="P458" s="753" t="s">
        <v>3031</v>
      </c>
      <c r="Q458" s="846" t="s">
        <v>3266</v>
      </c>
    </row>
    <row r="459" spans="1:17" ht="28.5">
      <c r="A459" s="833" t="s">
        <v>2156</v>
      </c>
      <c r="B459" s="834" t="s">
        <v>32</v>
      </c>
      <c r="C459" s="835" t="s">
        <v>7</v>
      </c>
      <c r="D459" s="836">
        <v>59</v>
      </c>
      <c r="E459" s="836">
        <v>59</v>
      </c>
      <c r="F459" s="836">
        <f t="shared" si="79"/>
        <v>0</v>
      </c>
      <c r="G459" s="836">
        <v>217.01</v>
      </c>
      <c r="H459" s="836"/>
      <c r="I459" s="836"/>
      <c r="J459" s="836">
        <f t="shared" si="86"/>
        <v>12803.59</v>
      </c>
      <c r="K459" s="836">
        <f t="shared" si="87"/>
        <v>12803.59</v>
      </c>
      <c r="L459" s="836"/>
      <c r="M459" s="836"/>
      <c r="N459" s="837" t="s">
        <v>242</v>
      </c>
      <c r="O459" s="82" t="s">
        <v>243</v>
      </c>
    </row>
    <row r="460" spans="1:17" ht="14.25">
      <c r="A460" s="833" t="s">
        <v>2157</v>
      </c>
      <c r="B460" s="834" t="s">
        <v>33</v>
      </c>
      <c r="C460" s="835" t="s">
        <v>5</v>
      </c>
      <c r="D460" s="836">
        <v>30</v>
      </c>
      <c r="E460" s="836">
        <v>30</v>
      </c>
      <c r="F460" s="836">
        <f t="shared" si="79"/>
        <v>0</v>
      </c>
      <c r="G460" s="836">
        <v>50</v>
      </c>
      <c r="H460" s="836"/>
      <c r="I460" s="836"/>
      <c r="J460" s="836">
        <f t="shared" si="86"/>
        <v>1500</v>
      </c>
      <c r="K460" s="836">
        <f t="shared" si="87"/>
        <v>1500</v>
      </c>
      <c r="L460" s="836"/>
      <c r="M460" s="836"/>
      <c r="N460" s="837" t="s">
        <v>242</v>
      </c>
      <c r="O460" s="82" t="s">
        <v>243</v>
      </c>
    </row>
    <row r="461" spans="1:17" ht="28.5">
      <c r="A461" s="853" t="s">
        <v>2158</v>
      </c>
      <c r="B461" s="854" t="s">
        <v>1128</v>
      </c>
      <c r="C461" s="855" t="s">
        <v>0</v>
      </c>
      <c r="D461" s="856">
        <v>19</v>
      </c>
      <c r="E461" s="856">
        <f>'數量計算(FOR5變) '!E703</f>
        <v>36</v>
      </c>
      <c r="F461" s="856">
        <f t="shared" si="79"/>
        <v>17</v>
      </c>
      <c r="G461" s="856">
        <v>1900.88</v>
      </c>
      <c r="H461" s="856"/>
      <c r="I461" s="856"/>
      <c r="J461" s="856">
        <f t="shared" si="86"/>
        <v>36116.720000000001</v>
      </c>
      <c r="K461" s="856">
        <f t="shared" si="87"/>
        <v>68431.679999999993</v>
      </c>
      <c r="L461" s="856">
        <f>K461-J461</f>
        <v>32314.959999999992</v>
      </c>
      <c r="M461" s="856"/>
      <c r="N461" s="857" t="s">
        <v>242</v>
      </c>
      <c r="O461" s="586" t="s">
        <v>3966</v>
      </c>
      <c r="P461" s="293" t="s">
        <v>3965</v>
      </c>
    </row>
    <row r="462" spans="1:17" ht="14.25">
      <c r="A462" s="833" t="s">
        <v>2159</v>
      </c>
      <c r="B462" s="834" t="s">
        <v>1130</v>
      </c>
      <c r="C462" s="835" t="s">
        <v>0</v>
      </c>
      <c r="D462" s="836">
        <v>10</v>
      </c>
      <c r="E462" s="836">
        <v>10</v>
      </c>
      <c r="F462" s="836">
        <f t="shared" si="79"/>
        <v>0</v>
      </c>
      <c r="G462" s="836">
        <v>1230.67</v>
      </c>
      <c r="H462" s="836"/>
      <c r="I462" s="836"/>
      <c r="J462" s="836">
        <f t="shared" si="86"/>
        <v>12306.7</v>
      </c>
      <c r="K462" s="836">
        <f t="shared" si="87"/>
        <v>12306.7</v>
      </c>
      <c r="L462" s="836"/>
      <c r="M462" s="836"/>
      <c r="N462" s="837" t="s">
        <v>242</v>
      </c>
      <c r="O462" s="82" t="s">
        <v>243</v>
      </c>
    </row>
    <row r="463" spans="1:17" ht="28.5">
      <c r="A463" s="853" t="s">
        <v>2160</v>
      </c>
      <c r="B463" s="854" t="s">
        <v>30</v>
      </c>
      <c r="C463" s="855" t="s">
        <v>0</v>
      </c>
      <c r="D463" s="856">
        <v>577</v>
      </c>
      <c r="E463" s="856">
        <f>'數量計算(FOR5變) '!E706</f>
        <v>627</v>
      </c>
      <c r="F463" s="856">
        <f t="shared" si="79"/>
        <v>50</v>
      </c>
      <c r="G463" s="856">
        <v>1666.03</v>
      </c>
      <c r="H463" s="856"/>
      <c r="I463" s="856"/>
      <c r="J463" s="856">
        <f t="shared" si="86"/>
        <v>961299.31</v>
      </c>
      <c r="K463" s="856">
        <f t="shared" si="87"/>
        <v>1044600.81</v>
      </c>
      <c r="L463" s="856">
        <f>K463-J463</f>
        <v>83301.5</v>
      </c>
      <c r="M463" s="856"/>
      <c r="N463" s="857" t="s">
        <v>242</v>
      </c>
      <c r="O463" s="147" t="s">
        <v>3979</v>
      </c>
      <c r="P463" s="953" t="s">
        <v>3977</v>
      </c>
    </row>
    <row r="464" spans="1:17" ht="28.5">
      <c r="A464" s="833" t="s">
        <v>2161</v>
      </c>
      <c r="B464" s="834" t="s">
        <v>1133</v>
      </c>
      <c r="C464" s="835" t="s">
        <v>0</v>
      </c>
      <c r="D464" s="836">
        <v>3</v>
      </c>
      <c r="E464" s="836">
        <v>3</v>
      </c>
      <c r="F464" s="836">
        <f t="shared" si="79"/>
        <v>0</v>
      </c>
      <c r="G464" s="836">
        <v>48510.35</v>
      </c>
      <c r="H464" s="836"/>
      <c r="I464" s="836"/>
      <c r="J464" s="836">
        <f t="shared" si="86"/>
        <v>145531.04999999999</v>
      </c>
      <c r="K464" s="836">
        <f t="shared" si="87"/>
        <v>145531.04999999999</v>
      </c>
      <c r="L464" s="836"/>
      <c r="M464" s="836"/>
      <c r="N464" s="837" t="s">
        <v>242</v>
      </c>
      <c r="O464" s="82" t="s">
        <v>243</v>
      </c>
    </row>
    <row r="465" spans="1:16" ht="99.75">
      <c r="A465" s="943" t="s">
        <v>2162</v>
      </c>
      <c r="B465" s="944" t="s">
        <v>28</v>
      </c>
      <c r="C465" s="945" t="s">
        <v>22</v>
      </c>
      <c r="D465" s="946">
        <v>19</v>
      </c>
      <c r="E465" s="946">
        <v>19</v>
      </c>
      <c r="F465" s="946">
        <f t="shared" si="79"/>
        <v>0</v>
      </c>
      <c r="G465" s="946">
        <v>587.07000000000005</v>
      </c>
      <c r="H465" s="946"/>
      <c r="I465" s="946"/>
      <c r="J465" s="946">
        <f t="shared" si="86"/>
        <v>11154.33</v>
      </c>
      <c r="K465" s="946">
        <f t="shared" si="87"/>
        <v>11154.33</v>
      </c>
      <c r="L465" s="946"/>
      <c r="M465" s="946"/>
      <c r="N465" s="947" t="s">
        <v>2453</v>
      </c>
      <c r="O465" s="586"/>
      <c r="P465" s="293"/>
    </row>
    <row r="466" spans="1:16" ht="14.25">
      <c r="A466" s="833" t="s">
        <v>2163</v>
      </c>
      <c r="B466" s="834" t="s">
        <v>1136</v>
      </c>
      <c r="C466" s="835" t="s">
        <v>7</v>
      </c>
      <c r="D466" s="836">
        <v>19</v>
      </c>
      <c r="E466" s="836">
        <v>19</v>
      </c>
      <c r="F466" s="836">
        <f t="shared" si="79"/>
        <v>0</v>
      </c>
      <c r="G466" s="836">
        <v>664.14</v>
      </c>
      <c r="H466" s="836"/>
      <c r="I466" s="836"/>
      <c r="J466" s="836">
        <f t="shared" si="86"/>
        <v>12618.66</v>
      </c>
      <c r="K466" s="836">
        <f t="shared" si="87"/>
        <v>12618.66</v>
      </c>
      <c r="L466" s="836"/>
      <c r="M466" s="836"/>
      <c r="N466" s="837" t="s">
        <v>242</v>
      </c>
      <c r="O466" s="82" t="s">
        <v>243</v>
      </c>
    </row>
    <row r="467" spans="1:16" ht="14.25">
      <c r="A467" s="833" t="s">
        <v>2164</v>
      </c>
      <c r="B467" s="834" t="s">
        <v>1138</v>
      </c>
      <c r="C467" s="835" t="s">
        <v>1139</v>
      </c>
      <c r="D467" s="836">
        <v>2</v>
      </c>
      <c r="E467" s="836">
        <v>2</v>
      </c>
      <c r="F467" s="836">
        <f t="shared" si="79"/>
        <v>0</v>
      </c>
      <c r="G467" s="836">
        <v>9999.4500000000007</v>
      </c>
      <c r="H467" s="836"/>
      <c r="I467" s="836"/>
      <c r="J467" s="836">
        <f t="shared" si="86"/>
        <v>19998.900000000001</v>
      </c>
      <c r="K467" s="836">
        <f t="shared" si="87"/>
        <v>19998.900000000001</v>
      </c>
      <c r="L467" s="836"/>
      <c r="M467" s="836"/>
      <c r="N467" s="837" t="s">
        <v>242</v>
      </c>
      <c r="O467" s="82" t="s">
        <v>243</v>
      </c>
    </row>
    <row r="468" spans="1:16" ht="14.25">
      <c r="A468" s="833" t="s">
        <v>2165</v>
      </c>
      <c r="B468" s="834" t="s">
        <v>1142</v>
      </c>
      <c r="C468" s="835" t="s">
        <v>8</v>
      </c>
      <c r="D468" s="836">
        <v>698.15</v>
      </c>
      <c r="E468" s="836">
        <v>698.15</v>
      </c>
      <c r="F468" s="836">
        <f t="shared" si="79"/>
        <v>0</v>
      </c>
      <c r="G468" s="836">
        <v>209.99</v>
      </c>
      <c r="H468" s="836"/>
      <c r="I468" s="836"/>
      <c r="J468" s="836">
        <f t="shared" si="86"/>
        <v>146604.51999999999</v>
      </c>
      <c r="K468" s="836">
        <f t="shared" si="87"/>
        <v>146604.51999999999</v>
      </c>
      <c r="L468" s="836"/>
      <c r="M468" s="836"/>
      <c r="N468" s="837" t="s">
        <v>2454</v>
      </c>
      <c r="O468" s="82" t="s">
        <v>243</v>
      </c>
    </row>
    <row r="469" spans="1:16" ht="14.25">
      <c r="A469" s="833" t="s">
        <v>2166</v>
      </c>
      <c r="B469" s="834" t="s">
        <v>1145</v>
      </c>
      <c r="C469" s="835" t="s">
        <v>8</v>
      </c>
      <c r="D469" s="836">
        <v>2498.77</v>
      </c>
      <c r="E469" s="836">
        <v>2498.77</v>
      </c>
      <c r="F469" s="836">
        <f t="shared" si="79"/>
        <v>0</v>
      </c>
      <c r="G469" s="836">
        <v>299.98</v>
      </c>
      <c r="H469" s="836"/>
      <c r="I469" s="836"/>
      <c r="J469" s="836">
        <f t="shared" si="86"/>
        <v>749581.02</v>
      </c>
      <c r="K469" s="836">
        <f t="shared" si="87"/>
        <v>749581.02</v>
      </c>
      <c r="L469" s="836"/>
      <c r="M469" s="836"/>
      <c r="N469" s="837" t="s">
        <v>242</v>
      </c>
      <c r="O469" s="82" t="s">
        <v>243</v>
      </c>
    </row>
    <row r="470" spans="1:16" ht="14.25">
      <c r="A470" s="833" t="s">
        <v>2167</v>
      </c>
      <c r="B470" s="834" t="s">
        <v>1148</v>
      </c>
      <c r="C470" s="835" t="s">
        <v>8</v>
      </c>
      <c r="D470" s="836">
        <v>1396.3</v>
      </c>
      <c r="E470" s="836">
        <v>1396.3</v>
      </c>
      <c r="F470" s="836">
        <f t="shared" si="79"/>
        <v>0</v>
      </c>
      <c r="G470" s="836">
        <v>199.99</v>
      </c>
      <c r="H470" s="836"/>
      <c r="I470" s="836"/>
      <c r="J470" s="836">
        <f t="shared" si="86"/>
        <v>279246.03999999998</v>
      </c>
      <c r="K470" s="836">
        <f t="shared" si="87"/>
        <v>279246.03999999998</v>
      </c>
      <c r="L470" s="836"/>
      <c r="M470" s="836"/>
      <c r="N470" s="837" t="s">
        <v>242</v>
      </c>
      <c r="O470" s="82" t="s">
        <v>243</v>
      </c>
    </row>
    <row r="471" spans="1:16" ht="14.25">
      <c r="A471" s="833" t="s">
        <v>2168</v>
      </c>
      <c r="B471" s="834" t="s">
        <v>1151</v>
      </c>
      <c r="C471" s="835" t="s">
        <v>4</v>
      </c>
      <c r="D471" s="836">
        <v>1</v>
      </c>
      <c r="E471" s="836">
        <v>1</v>
      </c>
      <c r="F471" s="836">
        <f t="shared" si="79"/>
        <v>0</v>
      </c>
      <c r="G471" s="836">
        <v>21835.68</v>
      </c>
      <c r="H471" s="836"/>
      <c r="I471" s="836"/>
      <c r="J471" s="836">
        <f t="shared" si="86"/>
        <v>21835.68</v>
      </c>
      <c r="K471" s="836">
        <f t="shared" si="87"/>
        <v>21835.68</v>
      </c>
      <c r="L471" s="836"/>
      <c r="M471" s="836"/>
      <c r="N471" s="837" t="s">
        <v>242</v>
      </c>
      <c r="O471" s="82" t="s">
        <v>243</v>
      </c>
    </row>
    <row r="472" spans="1:16" ht="57">
      <c r="A472" s="833" t="s">
        <v>2169</v>
      </c>
      <c r="B472" s="834" t="s">
        <v>1556</v>
      </c>
      <c r="C472" s="835" t="s">
        <v>8</v>
      </c>
      <c r="D472" s="836">
        <v>355</v>
      </c>
      <c r="E472" s="836">
        <v>355</v>
      </c>
      <c r="F472" s="836">
        <f t="shared" si="79"/>
        <v>0</v>
      </c>
      <c r="G472" s="836">
        <v>1859.79</v>
      </c>
      <c r="H472" s="836"/>
      <c r="I472" s="836"/>
      <c r="J472" s="836">
        <f t="shared" si="86"/>
        <v>660225.44999999995</v>
      </c>
      <c r="K472" s="836">
        <f t="shared" si="87"/>
        <v>660225.44999999995</v>
      </c>
      <c r="L472" s="836"/>
      <c r="M472" s="836"/>
      <c r="N472" s="837" t="s">
        <v>2455</v>
      </c>
      <c r="O472" s="82" t="s">
        <v>243</v>
      </c>
    </row>
    <row r="473" spans="1:16" ht="14.25">
      <c r="A473" s="833" t="s">
        <v>2170</v>
      </c>
      <c r="B473" s="834" t="s">
        <v>29</v>
      </c>
      <c r="C473" s="835" t="s">
        <v>8</v>
      </c>
      <c r="D473" s="836">
        <v>465</v>
      </c>
      <c r="E473" s="836">
        <v>465</v>
      </c>
      <c r="F473" s="836">
        <f t="shared" si="79"/>
        <v>0</v>
      </c>
      <c r="G473" s="836">
        <v>293.70999999999998</v>
      </c>
      <c r="H473" s="836"/>
      <c r="I473" s="836"/>
      <c r="J473" s="836">
        <f t="shared" si="86"/>
        <v>136575.15</v>
      </c>
      <c r="K473" s="836">
        <f t="shared" si="87"/>
        <v>136575.15</v>
      </c>
      <c r="L473" s="836"/>
      <c r="M473" s="836"/>
      <c r="N473" s="837" t="s">
        <v>242</v>
      </c>
      <c r="O473" s="82" t="s">
        <v>243</v>
      </c>
    </row>
    <row r="474" spans="1:16" ht="42.75">
      <c r="A474" s="833" t="s">
        <v>2171</v>
      </c>
      <c r="B474" s="834" t="s">
        <v>1559</v>
      </c>
      <c r="C474" s="835" t="s">
        <v>16</v>
      </c>
      <c r="D474" s="836">
        <v>6945</v>
      </c>
      <c r="E474" s="836">
        <v>6945</v>
      </c>
      <c r="F474" s="836">
        <f t="shared" si="79"/>
        <v>0</v>
      </c>
      <c r="G474" s="836">
        <v>279.98</v>
      </c>
      <c r="H474" s="836"/>
      <c r="I474" s="836"/>
      <c r="J474" s="836">
        <f t="shared" si="86"/>
        <v>1944461.1</v>
      </c>
      <c r="K474" s="836">
        <f t="shared" si="87"/>
        <v>1944461.1</v>
      </c>
      <c r="L474" s="836"/>
      <c r="M474" s="836"/>
      <c r="N474" s="837" t="s">
        <v>3169</v>
      </c>
      <c r="O474" s="82" t="s">
        <v>243</v>
      </c>
    </row>
    <row r="475" spans="1:16" ht="14.25">
      <c r="A475" s="833" t="s">
        <v>2172</v>
      </c>
      <c r="B475" s="834" t="s">
        <v>2585</v>
      </c>
      <c r="C475" s="835" t="s">
        <v>4</v>
      </c>
      <c r="D475" s="836">
        <v>1</v>
      </c>
      <c r="E475" s="836">
        <v>1</v>
      </c>
      <c r="F475" s="836">
        <f t="shared" ref="F475" si="88">E475-D475</f>
        <v>0</v>
      </c>
      <c r="G475" s="836">
        <v>217999.11</v>
      </c>
      <c r="H475" s="836"/>
      <c r="I475" s="836"/>
      <c r="J475" s="836">
        <f t="shared" si="86"/>
        <v>217999.11</v>
      </c>
      <c r="K475" s="836">
        <f t="shared" si="87"/>
        <v>217999.11</v>
      </c>
      <c r="L475" s="836"/>
      <c r="M475" s="836"/>
      <c r="N475" s="837" t="s">
        <v>242</v>
      </c>
      <c r="O475" s="82" t="s">
        <v>243</v>
      </c>
    </row>
    <row r="476" spans="1:16" ht="14.25">
      <c r="A476" s="833" t="s">
        <v>2255</v>
      </c>
      <c r="B476" s="834" t="s">
        <v>34</v>
      </c>
      <c r="C476" s="835" t="s">
        <v>4</v>
      </c>
      <c r="D476" s="836"/>
      <c r="E476" s="836"/>
      <c r="F476" s="836"/>
      <c r="G476" s="836">
        <f>J476</f>
        <v>3112577.47</v>
      </c>
      <c r="H476" s="836"/>
      <c r="I476" s="836"/>
      <c r="J476" s="836">
        <f>SUM(J477:J495)</f>
        <v>3112577.47</v>
      </c>
      <c r="K476" s="836">
        <f t="shared" ref="K476:M476" si="89">SUM(K477:K495)</f>
        <v>3587257.47</v>
      </c>
      <c r="L476" s="836">
        <f t="shared" si="89"/>
        <v>474680</v>
      </c>
      <c r="M476" s="836">
        <f t="shared" si="89"/>
        <v>0</v>
      </c>
      <c r="N476" s="837" t="s">
        <v>242</v>
      </c>
      <c r="O476" s="82" t="s">
        <v>243</v>
      </c>
    </row>
    <row r="477" spans="1:16" ht="28.5">
      <c r="A477" s="833" t="s">
        <v>2154</v>
      </c>
      <c r="B477" s="834" t="s">
        <v>146</v>
      </c>
      <c r="C477" s="835" t="s">
        <v>1007</v>
      </c>
      <c r="D477" s="836">
        <v>10</v>
      </c>
      <c r="E477" s="836">
        <v>10</v>
      </c>
      <c r="F477" s="836">
        <f t="shared" ref="F477:F499" si="90">E477-D477</f>
        <v>0</v>
      </c>
      <c r="G477" s="836">
        <v>770</v>
      </c>
      <c r="H477" s="836"/>
      <c r="I477" s="836"/>
      <c r="J477" s="836">
        <f t="shared" ref="J477" si="91">ROUND(D477*G477,2)</f>
        <v>7700</v>
      </c>
      <c r="K477" s="836">
        <f t="shared" ref="K477:K501" si="92">ROUND(E477*G477,2)</f>
        <v>7700</v>
      </c>
      <c r="L477" s="836"/>
      <c r="M477" s="836"/>
      <c r="N477" s="837" t="s">
        <v>242</v>
      </c>
      <c r="O477" s="82" t="s">
        <v>243</v>
      </c>
    </row>
    <row r="478" spans="1:16" ht="28.5">
      <c r="A478" s="833" t="s">
        <v>2155</v>
      </c>
      <c r="B478" s="834" t="s">
        <v>145</v>
      </c>
      <c r="C478" s="835" t="s">
        <v>1</v>
      </c>
      <c r="D478" s="836">
        <v>100</v>
      </c>
      <c r="E478" s="836">
        <v>100</v>
      </c>
      <c r="F478" s="836">
        <f t="shared" si="90"/>
        <v>0</v>
      </c>
      <c r="G478" s="836">
        <v>201</v>
      </c>
      <c r="H478" s="836"/>
      <c r="I478" s="836"/>
      <c r="J478" s="836">
        <f t="shared" ref="J478:J495" si="93">ROUND(D478*G478,2)</f>
        <v>20100</v>
      </c>
      <c r="K478" s="836">
        <f t="shared" ref="K478:K495" si="94">ROUND(E478*G478,2)</f>
        <v>20100</v>
      </c>
      <c r="L478" s="836"/>
      <c r="M478" s="836"/>
      <c r="N478" s="837" t="s">
        <v>242</v>
      </c>
      <c r="O478" s="82" t="s">
        <v>243</v>
      </c>
    </row>
    <row r="479" spans="1:16" ht="28.5">
      <c r="A479" s="833" t="s">
        <v>2156</v>
      </c>
      <c r="B479" s="834" t="s">
        <v>144</v>
      </c>
      <c r="C479" s="835" t="s">
        <v>9</v>
      </c>
      <c r="D479" s="836">
        <v>50</v>
      </c>
      <c r="E479" s="836">
        <v>50</v>
      </c>
      <c r="F479" s="836">
        <f t="shared" si="90"/>
        <v>0</v>
      </c>
      <c r="G479" s="836">
        <v>300</v>
      </c>
      <c r="H479" s="836"/>
      <c r="I479" s="836"/>
      <c r="J479" s="836">
        <f t="shared" si="93"/>
        <v>15000</v>
      </c>
      <c r="K479" s="836">
        <f t="shared" si="94"/>
        <v>15000</v>
      </c>
      <c r="L479" s="836"/>
      <c r="M479" s="836"/>
      <c r="N479" s="837" t="s">
        <v>242</v>
      </c>
      <c r="O479" s="82" t="s">
        <v>243</v>
      </c>
    </row>
    <row r="480" spans="1:16" ht="28.5">
      <c r="A480" s="833" t="s">
        <v>2157</v>
      </c>
      <c r="B480" s="834" t="s">
        <v>35</v>
      </c>
      <c r="C480" s="835" t="s">
        <v>15</v>
      </c>
      <c r="D480" s="836">
        <v>75</v>
      </c>
      <c r="E480" s="836">
        <v>75</v>
      </c>
      <c r="F480" s="836">
        <f t="shared" si="90"/>
        <v>0</v>
      </c>
      <c r="G480" s="836">
        <v>650</v>
      </c>
      <c r="H480" s="836"/>
      <c r="I480" s="836"/>
      <c r="J480" s="836">
        <f t="shared" si="93"/>
        <v>48750</v>
      </c>
      <c r="K480" s="836">
        <f t="shared" si="94"/>
        <v>48750</v>
      </c>
      <c r="L480" s="836"/>
      <c r="M480" s="836"/>
      <c r="N480" s="837" t="s">
        <v>242</v>
      </c>
      <c r="O480" s="82" t="s">
        <v>243</v>
      </c>
    </row>
    <row r="481" spans="1:16" ht="28.5">
      <c r="A481" s="833" t="s">
        <v>2158</v>
      </c>
      <c r="B481" s="834" t="s">
        <v>143</v>
      </c>
      <c r="C481" s="835" t="s">
        <v>3</v>
      </c>
      <c r="D481" s="836">
        <v>200</v>
      </c>
      <c r="E481" s="836">
        <v>200</v>
      </c>
      <c r="F481" s="836">
        <f t="shared" si="90"/>
        <v>0</v>
      </c>
      <c r="G481" s="836">
        <v>28</v>
      </c>
      <c r="H481" s="836"/>
      <c r="I481" s="836"/>
      <c r="J481" s="836">
        <f t="shared" si="93"/>
        <v>5600</v>
      </c>
      <c r="K481" s="836">
        <f t="shared" si="94"/>
        <v>5600</v>
      </c>
      <c r="L481" s="836"/>
      <c r="M481" s="836"/>
      <c r="N481" s="837" t="s">
        <v>242</v>
      </c>
      <c r="O481" s="82" t="s">
        <v>243</v>
      </c>
    </row>
    <row r="482" spans="1:16" ht="28.5">
      <c r="A482" s="833" t="s">
        <v>2159</v>
      </c>
      <c r="B482" s="834" t="s">
        <v>36</v>
      </c>
      <c r="C482" s="835" t="s">
        <v>3</v>
      </c>
      <c r="D482" s="836">
        <v>100</v>
      </c>
      <c r="E482" s="836">
        <v>100</v>
      </c>
      <c r="F482" s="836">
        <f t="shared" si="90"/>
        <v>0</v>
      </c>
      <c r="G482" s="836">
        <v>500</v>
      </c>
      <c r="H482" s="836"/>
      <c r="I482" s="836"/>
      <c r="J482" s="836">
        <f t="shared" si="93"/>
        <v>50000</v>
      </c>
      <c r="K482" s="836">
        <f t="shared" si="94"/>
        <v>50000</v>
      </c>
      <c r="L482" s="836"/>
      <c r="M482" s="836"/>
      <c r="N482" s="837" t="s">
        <v>242</v>
      </c>
      <c r="O482" s="82" t="s">
        <v>243</v>
      </c>
    </row>
    <row r="483" spans="1:16" ht="28.5">
      <c r="A483" s="833" t="s">
        <v>2160</v>
      </c>
      <c r="B483" s="834" t="s">
        <v>1159</v>
      </c>
      <c r="C483" s="835" t="s">
        <v>18</v>
      </c>
      <c r="D483" s="836">
        <v>75</v>
      </c>
      <c r="E483" s="836">
        <v>75</v>
      </c>
      <c r="F483" s="836">
        <f t="shared" si="90"/>
        <v>0</v>
      </c>
      <c r="G483" s="836">
        <v>280</v>
      </c>
      <c r="H483" s="836"/>
      <c r="I483" s="836"/>
      <c r="J483" s="836">
        <f t="shared" si="93"/>
        <v>21000</v>
      </c>
      <c r="K483" s="836">
        <f t="shared" si="94"/>
        <v>21000</v>
      </c>
      <c r="L483" s="836"/>
      <c r="M483" s="836"/>
      <c r="N483" s="837" t="s">
        <v>242</v>
      </c>
      <c r="O483" s="82" t="s">
        <v>243</v>
      </c>
    </row>
    <row r="484" spans="1:16" ht="42.75">
      <c r="A484" s="833" t="s">
        <v>2161</v>
      </c>
      <c r="B484" s="834" t="s">
        <v>37</v>
      </c>
      <c r="C484" s="835" t="s">
        <v>18</v>
      </c>
      <c r="D484" s="836">
        <v>50</v>
      </c>
      <c r="E484" s="836">
        <v>50</v>
      </c>
      <c r="F484" s="836">
        <f t="shared" si="90"/>
        <v>0</v>
      </c>
      <c r="G484" s="836">
        <v>350</v>
      </c>
      <c r="H484" s="836"/>
      <c r="I484" s="836"/>
      <c r="J484" s="836">
        <f t="shared" si="93"/>
        <v>17500</v>
      </c>
      <c r="K484" s="836">
        <f t="shared" si="94"/>
        <v>17500</v>
      </c>
      <c r="L484" s="836"/>
      <c r="M484" s="836"/>
      <c r="N484" s="837" t="s">
        <v>242</v>
      </c>
      <c r="O484" s="82" t="s">
        <v>243</v>
      </c>
    </row>
    <row r="485" spans="1:16" ht="28.5">
      <c r="A485" s="833" t="s">
        <v>2162</v>
      </c>
      <c r="B485" s="834" t="s">
        <v>1162</v>
      </c>
      <c r="C485" s="835" t="s">
        <v>15</v>
      </c>
      <c r="D485" s="836">
        <v>10</v>
      </c>
      <c r="E485" s="836">
        <v>10</v>
      </c>
      <c r="F485" s="836">
        <f t="shared" si="90"/>
        <v>0</v>
      </c>
      <c r="G485" s="836">
        <v>560</v>
      </c>
      <c r="H485" s="836"/>
      <c r="I485" s="836"/>
      <c r="J485" s="836">
        <f t="shared" si="93"/>
        <v>5600</v>
      </c>
      <c r="K485" s="836">
        <f t="shared" si="94"/>
        <v>5600</v>
      </c>
      <c r="L485" s="836"/>
      <c r="M485" s="836"/>
      <c r="N485" s="837" t="s">
        <v>242</v>
      </c>
      <c r="O485" s="82" t="s">
        <v>243</v>
      </c>
    </row>
    <row r="486" spans="1:16" ht="28.5">
      <c r="A486" s="833" t="s">
        <v>2163</v>
      </c>
      <c r="B486" s="834" t="s">
        <v>38</v>
      </c>
      <c r="C486" s="835" t="s">
        <v>7</v>
      </c>
      <c r="D486" s="836">
        <v>4</v>
      </c>
      <c r="E486" s="836">
        <v>4</v>
      </c>
      <c r="F486" s="836">
        <f t="shared" si="90"/>
        <v>0</v>
      </c>
      <c r="G486" s="836">
        <v>250</v>
      </c>
      <c r="H486" s="836"/>
      <c r="I486" s="836"/>
      <c r="J486" s="836">
        <f t="shared" si="93"/>
        <v>1000</v>
      </c>
      <c r="K486" s="836">
        <f t="shared" si="94"/>
        <v>1000</v>
      </c>
      <c r="L486" s="836"/>
      <c r="M486" s="836"/>
      <c r="N486" s="837" t="s">
        <v>242</v>
      </c>
      <c r="O486" s="82" t="s">
        <v>243</v>
      </c>
    </row>
    <row r="487" spans="1:16" ht="28.5">
      <c r="A487" s="833" t="s">
        <v>2164</v>
      </c>
      <c r="B487" s="834" t="s">
        <v>1165</v>
      </c>
      <c r="C487" s="835" t="s">
        <v>15</v>
      </c>
      <c r="D487" s="836">
        <v>5</v>
      </c>
      <c r="E487" s="836">
        <v>5</v>
      </c>
      <c r="F487" s="836">
        <f t="shared" si="90"/>
        <v>0</v>
      </c>
      <c r="G487" s="836">
        <v>8300</v>
      </c>
      <c r="H487" s="836"/>
      <c r="I487" s="836"/>
      <c r="J487" s="836">
        <f t="shared" si="93"/>
        <v>41500</v>
      </c>
      <c r="K487" s="836">
        <f t="shared" si="94"/>
        <v>41500</v>
      </c>
      <c r="L487" s="836"/>
      <c r="M487" s="836"/>
      <c r="N487" s="837" t="s">
        <v>242</v>
      </c>
      <c r="O487" s="82" t="s">
        <v>243</v>
      </c>
    </row>
    <row r="488" spans="1:16" ht="28.5">
      <c r="A488" s="833" t="s">
        <v>2165</v>
      </c>
      <c r="B488" s="834" t="s">
        <v>1168</v>
      </c>
      <c r="C488" s="835" t="s">
        <v>15</v>
      </c>
      <c r="D488" s="836">
        <v>5</v>
      </c>
      <c r="E488" s="836">
        <v>5</v>
      </c>
      <c r="F488" s="836">
        <f t="shared" si="90"/>
        <v>0</v>
      </c>
      <c r="G488" s="836">
        <v>1160</v>
      </c>
      <c r="H488" s="836"/>
      <c r="I488" s="836"/>
      <c r="J488" s="836">
        <f t="shared" si="93"/>
        <v>5800</v>
      </c>
      <c r="K488" s="836">
        <f t="shared" si="94"/>
        <v>5800</v>
      </c>
      <c r="L488" s="836"/>
      <c r="M488" s="836"/>
      <c r="N488" s="837" t="s">
        <v>242</v>
      </c>
      <c r="O488" s="82" t="s">
        <v>243</v>
      </c>
    </row>
    <row r="489" spans="1:16" ht="28.5">
      <c r="A489" s="833" t="s">
        <v>2166</v>
      </c>
      <c r="B489" s="834" t="s">
        <v>1171</v>
      </c>
      <c r="C489" s="835" t="s">
        <v>15</v>
      </c>
      <c r="D489" s="836">
        <v>5</v>
      </c>
      <c r="E489" s="836">
        <v>5</v>
      </c>
      <c r="F489" s="836">
        <f t="shared" si="90"/>
        <v>0</v>
      </c>
      <c r="G489" s="836">
        <v>600</v>
      </c>
      <c r="H489" s="836"/>
      <c r="I489" s="836"/>
      <c r="J489" s="836">
        <f t="shared" si="93"/>
        <v>3000</v>
      </c>
      <c r="K489" s="836">
        <f t="shared" si="94"/>
        <v>3000</v>
      </c>
      <c r="L489" s="836"/>
      <c r="M489" s="836"/>
      <c r="N489" s="837" t="s">
        <v>242</v>
      </c>
      <c r="O489" s="82" t="s">
        <v>243</v>
      </c>
    </row>
    <row r="490" spans="1:16" ht="28.5">
      <c r="A490" s="833" t="s">
        <v>2167</v>
      </c>
      <c r="B490" s="834" t="s">
        <v>1174</v>
      </c>
      <c r="C490" s="835" t="s">
        <v>15</v>
      </c>
      <c r="D490" s="836">
        <v>5</v>
      </c>
      <c r="E490" s="836">
        <v>5</v>
      </c>
      <c r="F490" s="836">
        <f t="shared" si="90"/>
        <v>0</v>
      </c>
      <c r="G490" s="836">
        <v>1800</v>
      </c>
      <c r="H490" s="836"/>
      <c r="I490" s="836"/>
      <c r="J490" s="836">
        <f t="shared" si="93"/>
        <v>9000</v>
      </c>
      <c r="K490" s="836">
        <f t="shared" si="94"/>
        <v>9000</v>
      </c>
      <c r="L490" s="836"/>
      <c r="M490" s="836"/>
      <c r="N490" s="837" t="s">
        <v>242</v>
      </c>
      <c r="O490" s="82" t="s">
        <v>243</v>
      </c>
    </row>
    <row r="491" spans="1:16" ht="28.5">
      <c r="A491" s="833" t="s">
        <v>2168</v>
      </c>
      <c r="B491" s="834" t="s">
        <v>1177</v>
      </c>
      <c r="C491" s="835" t="s">
        <v>15</v>
      </c>
      <c r="D491" s="836">
        <v>80</v>
      </c>
      <c r="E491" s="836">
        <v>80</v>
      </c>
      <c r="F491" s="836">
        <f t="shared" si="90"/>
        <v>0</v>
      </c>
      <c r="G491" s="836">
        <v>2200</v>
      </c>
      <c r="H491" s="836"/>
      <c r="I491" s="836"/>
      <c r="J491" s="836">
        <f t="shared" si="93"/>
        <v>176000</v>
      </c>
      <c r="K491" s="836">
        <f t="shared" si="94"/>
        <v>176000</v>
      </c>
      <c r="L491" s="836"/>
      <c r="M491" s="836"/>
      <c r="N491" s="837" t="s">
        <v>242</v>
      </c>
      <c r="O491" s="82" t="s">
        <v>243</v>
      </c>
    </row>
    <row r="492" spans="1:16" ht="14.25">
      <c r="A492" s="833" t="s">
        <v>2169</v>
      </c>
      <c r="B492" s="834" t="s">
        <v>39</v>
      </c>
      <c r="C492" s="835" t="s">
        <v>4</v>
      </c>
      <c r="D492" s="836">
        <v>1</v>
      </c>
      <c r="E492" s="836">
        <v>1</v>
      </c>
      <c r="F492" s="836">
        <f t="shared" si="90"/>
        <v>0</v>
      </c>
      <c r="G492" s="836">
        <v>232697.98</v>
      </c>
      <c r="H492" s="836"/>
      <c r="I492" s="836"/>
      <c r="J492" s="836">
        <f t="shared" si="93"/>
        <v>232697.98</v>
      </c>
      <c r="K492" s="836">
        <f t="shared" si="94"/>
        <v>232697.98</v>
      </c>
      <c r="L492" s="836"/>
      <c r="M492" s="836"/>
      <c r="N492" s="837" t="s">
        <v>242</v>
      </c>
      <c r="O492" s="82" t="s">
        <v>243</v>
      </c>
    </row>
    <row r="493" spans="1:16" ht="14.25">
      <c r="A493" s="833" t="s">
        <v>2170</v>
      </c>
      <c r="B493" s="834" t="s">
        <v>1182</v>
      </c>
      <c r="C493" s="835" t="s">
        <v>8</v>
      </c>
      <c r="D493" s="836">
        <v>5000</v>
      </c>
      <c r="E493" s="836">
        <v>5000</v>
      </c>
      <c r="F493" s="836">
        <f t="shared" si="90"/>
        <v>0</v>
      </c>
      <c r="G493" s="836">
        <v>13</v>
      </c>
      <c r="H493" s="836"/>
      <c r="I493" s="836"/>
      <c r="J493" s="836">
        <f t="shared" si="93"/>
        <v>65000</v>
      </c>
      <c r="K493" s="836">
        <f t="shared" si="94"/>
        <v>65000</v>
      </c>
      <c r="L493" s="836"/>
      <c r="M493" s="836"/>
      <c r="N493" s="837" t="s">
        <v>242</v>
      </c>
      <c r="O493" s="82" t="s">
        <v>243</v>
      </c>
    </row>
    <row r="494" spans="1:16" ht="57">
      <c r="A494" s="853" t="s">
        <v>2171</v>
      </c>
      <c r="B494" s="854" t="s">
        <v>225</v>
      </c>
      <c r="C494" s="855" t="s">
        <v>226</v>
      </c>
      <c r="D494" s="856">
        <v>48</v>
      </c>
      <c r="E494" s="856">
        <f>'數量計算(FOR5變) '!E739</f>
        <v>58</v>
      </c>
      <c r="F494" s="856">
        <f t="shared" si="90"/>
        <v>10</v>
      </c>
      <c r="G494" s="856">
        <v>47468</v>
      </c>
      <c r="H494" s="856"/>
      <c r="I494" s="856"/>
      <c r="J494" s="856">
        <f t="shared" si="93"/>
        <v>2278464</v>
      </c>
      <c r="K494" s="856">
        <f t="shared" si="94"/>
        <v>2753144</v>
      </c>
      <c r="L494" s="856">
        <f>K494-J494</f>
        <v>474680</v>
      </c>
      <c r="M494" s="856"/>
      <c r="N494" s="857" t="s">
        <v>2463</v>
      </c>
      <c r="O494" s="245" t="s">
        <v>3589</v>
      </c>
      <c r="P494" s="586" t="s">
        <v>3725</v>
      </c>
    </row>
    <row r="495" spans="1:16" ht="42.75">
      <c r="A495" s="833" t="s">
        <v>2172</v>
      </c>
      <c r="B495" s="834" t="s">
        <v>1187</v>
      </c>
      <c r="C495" s="835" t="s">
        <v>4</v>
      </c>
      <c r="D495" s="836">
        <v>1</v>
      </c>
      <c r="E495" s="836">
        <v>1</v>
      </c>
      <c r="F495" s="836">
        <f t="shared" si="90"/>
        <v>0</v>
      </c>
      <c r="G495" s="836">
        <v>108865.49</v>
      </c>
      <c r="H495" s="836"/>
      <c r="I495" s="836"/>
      <c r="J495" s="836">
        <f t="shared" si="93"/>
        <v>108865.49</v>
      </c>
      <c r="K495" s="836">
        <f t="shared" si="94"/>
        <v>108865.49</v>
      </c>
      <c r="L495" s="836"/>
      <c r="M495" s="836"/>
      <c r="N495" s="837" t="s">
        <v>2464</v>
      </c>
      <c r="O495" s="82" t="s">
        <v>243</v>
      </c>
    </row>
    <row r="496" spans="1:16" ht="14.25">
      <c r="A496" s="833" t="s">
        <v>2256</v>
      </c>
      <c r="B496" s="834" t="s">
        <v>227</v>
      </c>
      <c r="C496" s="835" t="s">
        <v>4</v>
      </c>
      <c r="D496" s="836"/>
      <c r="E496" s="836"/>
      <c r="F496" s="836"/>
      <c r="G496" s="836">
        <f>J496</f>
        <v>2769229.16</v>
      </c>
      <c r="H496" s="836"/>
      <c r="I496" s="836"/>
      <c r="J496" s="836">
        <f>SUM(J497:J498)</f>
        <v>2769229.16</v>
      </c>
      <c r="K496" s="836">
        <f t="shared" ref="K496:M496" si="95">SUM(K497:K498)</f>
        <v>3243909.16</v>
      </c>
      <c r="L496" s="836">
        <f t="shared" si="95"/>
        <v>474680</v>
      </c>
      <c r="M496" s="836">
        <f t="shared" si="95"/>
        <v>0</v>
      </c>
      <c r="N496" s="837" t="s">
        <v>242</v>
      </c>
      <c r="O496" s="82" t="s">
        <v>243</v>
      </c>
    </row>
    <row r="497" spans="1:16" ht="57">
      <c r="A497" s="853" t="s">
        <v>2154</v>
      </c>
      <c r="B497" s="854" t="s">
        <v>228</v>
      </c>
      <c r="C497" s="855" t="s">
        <v>226</v>
      </c>
      <c r="D497" s="856">
        <v>48</v>
      </c>
      <c r="E497" s="856">
        <f>'數量計算(FOR5變) '!E743</f>
        <v>58</v>
      </c>
      <c r="F497" s="856">
        <f t="shared" si="90"/>
        <v>10</v>
      </c>
      <c r="G497" s="856">
        <v>47468</v>
      </c>
      <c r="H497" s="856"/>
      <c r="I497" s="856"/>
      <c r="J497" s="856">
        <f t="shared" ref="J497" si="96">ROUND(D497*G497,2)</f>
        <v>2278464</v>
      </c>
      <c r="K497" s="856">
        <f t="shared" ref="K497" si="97">ROUND(E497*G497,2)</f>
        <v>2753144</v>
      </c>
      <c r="L497" s="856">
        <f>K497-J497</f>
        <v>474680</v>
      </c>
      <c r="M497" s="856"/>
      <c r="N497" s="857" t="s">
        <v>2463</v>
      </c>
      <c r="O497" s="245" t="s">
        <v>3589</v>
      </c>
      <c r="P497" s="586" t="s">
        <v>3725</v>
      </c>
    </row>
    <row r="498" spans="1:16" ht="42.75">
      <c r="A498" s="833" t="s">
        <v>2155</v>
      </c>
      <c r="B498" s="834" t="s">
        <v>1193</v>
      </c>
      <c r="C498" s="835" t="s">
        <v>4</v>
      </c>
      <c r="D498" s="836">
        <v>1</v>
      </c>
      <c r="E498" s="836">
        <v>1</v>
      </c>
      <c r="F498" s="836">
        <f t="shared" si="90"/>
        <v>0</v>
      </c>
      <c r="G498" s="836">
        <v>490765.16</v>
      </c>
      <c r="H498" s="836"/>
      <c r="I498" s="836"/>
      <c r="J498" s="836">
        <f t="shared" ref="J498" si="98">ROUND(D498*G498,2)</f>
        <v>490765.16</v>
      </c>
      <c r="K498" s="836">
        <f t="shared" ref="K498" si="99">ROUND(E498*G498,2)</f>
        <v>490765.16</v>
      </c>
      <c r="L498" s="836"/>
      <c r="M498" s="836"/>
      <c r="N498" s="837" t="s">
        <v>2465</v>
      </c>
      <c r="O498" s="82" t="s">
        <v>243</v>
      </c>
    </row>
    <row r="499" spans="1:16" ht="57">
      <c r="A499" s="853" t="s">
        <v>2257</v>
      </c>
      <c r="B499" s="854" t="s">
        <v>1196</v>
      </c>
      <c r="C499" s="855" t="s">
        <v>4</v>
      </c>
      <c r="D499" s="856">
        <v>1</v>
      </c>
      <c r="E499" s="856">
        <v>1</v>
      </c>
      <c r="F499" s="856">
        <f t="shared" si="90"/>
        <v>0</v>
      </c>
      <c r="G499" s="856">
        <v>31805968.579999998</v>
      </c>
      <c r="H499" s="856"/>
      <c r="I499" s="856"/>
      <c r="J499" s="856">
        <f t="shared" ref="J499" si="100">ROUND(D499*G499,2)</f>
        <v>31805968.579999998</v>
      </c>
      <c r="K499" s="856">
        <f>ROUND((K10+K385+K412+K452+K456+K476+K496)*0.1094944113,0)-0.51</f>
        <v>34787806.490000002</v>
      </c>
      <c r="L499" s="856">
        <f>K499-J499</f>
        <v>2981837.9100000039</v>
      </c>
      <c r="M499" s="856"/>
      <c r="N499" s="857" t="s">
        <v>2258</v>
      </c>
      <c r="O499" s="147" t="s">
        <v>3591</v>
      </c>
      <c r="P499" s="147"/>
    </row>
    <row r="500" spans="1:16" ht="156.75">
      <c r="A500" s="833" t="s">
        <v>2259</v>
      </c>
      <c r="B500" s="834" t="s">
        <v>1199</v>
      </c>
      <c r="C500" s="835" t="s">
        <v>4</v>
      </c>
      <c r="D500" s="836">
        <v>1</v>
      </c>
      <c r="E500" s="836">
        <v>1</v>
      </c>
      <c r="F500" s="836">
        <v>0</v>
      </c>
      <c r="G500" s="836">
        <v>1987650</v>
      </c>
      <c r="H500" s="836"/>
      <c r="I500" s="836"/>
      <c r="J500" s="836">
        <f>J501</f>
        <v>2736738</v>
      </c>
      <c r="K500" s="836">
        <f>K501</f>
        <v>2736738</v>
      </c>
      <c r="L500" s="836">
        <f t="shared" ref="L500:M500" si="101">L501</f>
        <v>0</v>
      </c>
      <c r="M500" s="836">
        <f t="shared" si="101"/>
        <v>0</v>
      </c>
      <c r="N500" s="837" t="s">
        <v>1200</v>
      </c>
      <c r="O500" s="82" t="s">
        <v>243</v>
      </c>
    </row>
    <row r="501" spans="1:16" ht="14.25">
      <c r="A501" s="833" t="s">
        <v>2154</v>
      </c>
      <c r="B501" s="834" t="s">
        <v>1199</v>
      </c>
      <c r="C501" s="835" t="s">
        <v>6</v>
      </c>
      <c r="D501" s="836">
        <v>18244.919999999998</v>
      </c>
      <c r="E501" s="836">
        <v>18244.919999999998</v>
      </c>
      <c r="F501" s="836">
        <v>0</v>
      </c>
      <c r="G501" s="836">
        <v>150</v>
      </c>
      <c r="H501" s="836"/>
      <c r="I501" s="836"/>
      <c r="J501" s="836">
        <f t="shared" ref="J501" si="102">ROUND(D501*G501,2)</f>
        <v>2736738</v>
      </c>
      <c r="K501" s="836">
        <f t="shared" si="92"/>
        <v>2736738</v>
      </c>
      <c r="L501" s="836"/>
      <c r="M501" s="836"/>
      <c r="N501" s="837" t="s">
        <v>242</v>
      </c>
      <c r="O501" s="82" t="s">
        <v>243</v>
      </c>
    </row>
    <row r="502" spans="1:16" ht="185.25">
      <c r="A502" s="833" t="s">
        <v>2260</v>
      </c>
      <c r="B502" s="834" t="s">
        <v>1204</v>
      </c>
      <c r="C502" s="835" t="s">
        <v>4</v>
      </c>
      <c r="D502" s="836">
        <v>1</v>
      </c>
      <c r="E502" s="836">
        <v>1</v>
      </c>
      <c r="F502" s="836">
        <v>0</v>
      </c>
      <c r="G502" s="836">
        <v>179691.68</v>
      </c>
      <c r="H502" s="836"/>
      <c r="I502" s="836"/>
      <c r="J502" s="836">
        <f t="shared" ref="J502" si="103">ROUND(D502*G502,2)</f>
        <v>179691.68</v>
      </c>
      <c r="K502" s="836">
        <f t="shared" ref="K502" si="104">ROUND(E502*G502,2)</f>
        <v>179691.68</v>
      </c>
      <c r="L502" s="836"/>
      <c r="M502" s="836"/>
      <c r="N502" s="837" t="s">
        <v>1205</v>
      </c>
      <c r="O502" s="82" t="s">
        <v>243</v>
      </c>
    </row>
    <row r="503" spans="1:16" ht="14.25">
      <c r="A503" s="833" t="s">
        <v>2154</v>
      </c>
      <c r="B503" s="834" t="s">
        <v>1207</v>
      </c>
      <c r="C503" s="835" t="s">
        <v>13</v>
      </c>
      <c r="D503" s="836">
        <v>3208.78</v>
      </c>
      <c r="E503" s="836">
        <v>3208.78</v>
      </c>
      <c r="F503" s="836">
        <v>0</v>
      </c>
      <c r="G503" s="836">
        <v>56</v>
      </c>
      <c r="H503" s="836"/>
      <c r="I503" s="836"/>
      <c r="J503" s="836">
        <f t="shared" ref="J503" si="105">ROUND(D503*G503,2)</f>
        <v>179691.68</v>
      </c>
      <c r="K503" s="836">
        <f t="shared" ref="K503" si="106">ROUND(E503*G503,2)</f>
        <v>179691.68</v>
      </c>
      <c r="L503" s="836"/>
      <c r="M503" s="836"/>
      <c r="N503" s="837" t="s">
        <v>242</v>
      </c>
      <c r="O503" s="82" t="s">
        <v>243</v>
      </c>
    </row>
    <row r="504" spans="1:16" ht="24.2" customHeight="1"/>
    <row r="505" spans="1:16" ht="24.2" customHeight="1"/>
    <row r="506" spans="1:16" ht="24.2" customHeight="1"/>
    <row r="507" spans="1:16" ht="24.2" customHeight="1"/>
    <row r="508" spans="1:16" ht="24.2" customHeight="1"/>
    <row r="509" spans="1:16" ht="24.2" customHeight="1"/>
    <row r="510" spans="1:16" ht="24.2" customHeight="1"/>
    <row r="511" spans="1:16" ht="24.2" customHeight="1"/>
    <row r="512" spans="1:16" ht="24.2" customHeight="1"/>
    <row r="513" ht="24.2" customHeight="1"/>
    <row r="514" ht="24.2" customHeight="1"/>
    <row r="515" ht="24.2" customHeight="1"/>
    <row r="516" ht="24.2" customHeight="1"/>
    <row r="517" ht="24.2" customHeight="1"/>
    <row r="518" ht="24.2" customHeight="1"/>
    <row r="519" ht="24.2" customHeight="1"/>
    <row r="520" ht="24.2" customHeight="1"/>
    <row r="521" ht="24.2" customHeight="1"/>
    <row r="522" ht="24.2" customHeight="1"/>
    <row r="523" ht="24.2" customHeight="1"/>
    <row r="524" ht="24.2" customHeight="1"/>
    <row r="525" ht="24.2" customHeight="1"/>
    <row r="526" ht="24.2" customHeight="1"/>
    <row r="527" ht="24.2" customHeight="1"/>
    <row r="528" ht="24.2" customHeight="1"/>
    <row r="529" ht="24.2" customHeight="1"/>
    <row r="530" ht="24.2" customHeight="1"/>
    <row r="531" ht="24.2" customHeight="1"/>
    <row r="532" ht="24.2" customHeight="1"/>
    <row r="533" ht="24.2" customHeight="1"/>
    <row r="534" ht="24.2" customHeight="1"/>
    <row r="535" ht="24.2" customHeight="1"/>
    <row r="536" ht="24.2" customHeight="1"/>
    <row r="537" ht="24.2" customHeight="1"/>
    <row r="538" ht="24.2" customHeight="1"/>
    <row r="539" ht="24.2" customHeight="1"/>
    <row r="540" ht="24.2" customHeight="1"/>
    <row r="541" ht="24.2" customHeight="1"/>
    <row r="542" ht="24.2" customHeight="1"/>
    <row r="543" ht="24.2" customHeight="1"/>
    <row r="544" ht="24.2" customHeight="1"/>
    <row r="545" ht="24.2" customHeight="1"/>
    <row r="546" ht="24.2" customHeight="1"/>
    <row r="547" ht="24.2" customHeight="1"/>
    <row r="548" ht="24.2" customHeight="1"/>
    <row r="549" ht="24.2" customHeight="1"/>
    <row r="550" ht="24.2" customHeight="1"/>
    <row r="551" ht="24.2" customHeight="1"/>
    <row r="552" ht="24.2" customHeight="1"/>
    <row r="553" ht="24.2" customHeight="1"/>
    <row r="554" ht="24.2" customHeight="1"/>
    <row r="555" ht="24.2" customHeight="1"/>
    <row r="556" ht="24.2" customHeight="1"/>
    <row r="557" ht="24.2" customHeight="1"/>
    <row r="558" ht="24.2" customHeight="1"/>
    <row r="559" ht="24.2" customHeight="1"/>
    <row r="560" ht="24.2" customHeight="1"/>
    <row r="561" ht="24.2" customHeight="1"/>
    <row r="562" ht="24.2" customHeight="1"/>
    <row r="563" ht="24.2" customHeight="1"/>
    <row r="564" ht="24.2" customHeight="1"/>
    <row r="565" ht="24.2" customHeight="1"/>
    <row r="566" ht="24.2" customHeight="1"/>
    <row r="567" ht="24.2" customHeight="1"/>
    <row r="568" ht="24.2" customHeight="1"/>
    <row r="569" ht="24.2" customHeight="1"/>
    <row r="570" ht="24.2" customHeight="1"/>
    <row r="571" ht="24.2" customHeight="1"/>
    <row r="572" ht="24.2" customHeight="1"/>
    <row r="573" ht="24.2" customHeight="1"/>
    <row r="574" ht="24.2" customHeight="1"/>
    <row r="575" ht="24.2" customHeight="1"/>
    <row r="576" ht="24.2" customHeight="1"/>
    <row r="577" ht="24.2" customHeight="1"/>
    <row r="578" ht="24.2" customHeight="1"/>
    <row r="579" ht="24.2" customHeight="1"/>
    <row r="580" ht="24.2" customHeight="1"/>
    <row r="581" ht="24.2" customHeight="1"/>
    <row r="582" ht="24.2" customHeight="1"/>
    <row r="583" ht="24.2" customHeight="1"/>
    <row r="584" ht="24.2" customHeight="1"/>
    <row r="585" ht="24.2" customHeight="1"/>
    <row r="586" ht="24.2" customHeight="1"/>
    <row r="587" ht="24.2" customHeight="1"/>
    <row r="588" ht="24.2" customHeight="1"/>
    <row r="589" ht="24.2" customHeight="1"/>
    <row r="590" ht="24.2" customHeight="1"/>
    <row r="591" ht="24.2" customHeight="1"/>
    <row r="592" ht="24.2" customHeight="1"/>
    <row r="593" ht="24.2" customHeight="1"/>
    <row r="594" ht="24.2" customHeight="1"/>
    <row r="595" ht="24.2" customHeight="1"/>
    <row r="596" ht="24.2" customHeight="1"/>
    <row r="597" ht="24.2" customHeight="1"/>
    <row r="598" ht="24.2" customHeight="1"/>
    <row r="599" ht="24.2" customHeight="1"/>
    <row r="600" ht="24.2" customHeight="1"/>
    <row r="601" ht="24.2" customHeight="1"/>
    <row r="602" ht="24.2" customHeight="1"/>
    <row r="603" ht="24.2" customHeight="1"/>
    <row r="604" ht="24.2" customHeight="1"/>
    <row r="605" ht="24.2" customHeight="1"/>
    <row r="606" ht="24.2" customHeight="1"/>
    <row r="607" ht="24.2" customHeight="1"/>
    <row r="608" ht="24.2" customHeight="1"/>
    <row r="609" ht="24.2" customHeight="1"/>
    <row r="610" ht="24.2" customHeight="1"/>
    <row r="611" ht="24.2" customHeight="1"/>
    <row r="612" ht="24.2" customHeight="1"/>
    <row r="613" ht="24.2" customHeight="1"/>
    <row r="614" ht="24.2" customHeight="1"/>
    <row r="615" ht="24.2" customHeight="1"/>
    <row r="616" ht="24.2" customHeight="1"/>
    <row r="617" ht="24.2" customHeight="1"/>
    <row r="618" ht="24.2" customHeight="1"/>
    <row r="619" ht="24.2" customHeight="1"/>
    <row r="620" ht="24.2" customHeight="1"/>
    <row r="621" ht="24.2" customHeight="1"/>
    <row r="622" ht="24.2" customHeight="1"/>
    <row r="623" ht="24.2" customHeight="1"/>
    <row r="624" ht="24.2" customHeight="1"/>
    <row r="625" ht="24.2" customHeight="1"/>
    <row r="626" ht="24.2" customHeight="1"/>
    <row r="627" ht="24.2" customHeight="1"/>
    <row r="628" ht="24.2" customHeight="1"/>
    <row r="629" ht="24.2" customHeight="1"/>
    <row r="630" ht="24.2" customHeight="1"/>
    <row r="631" ht="24.2" customHeight="1"/>
    <row r="632" ht="24.2" customHeight="1"/>
    <row r="633" ht="24.2" customHeight="1"/>
    <row r="634" ht="24.2" customHeight="1"/>
    <row r="635" ht="24.2" customHeight="1"/>
    <row r="636" ht="24.2" customHeight="1"/>
    <row r="637" ht="24.2" customHeight="1"/>
    <row r="638" ht="24.2" customHeight="1"/>
    <row r="639" ht="24.2" customHeight="1"/>
    <row r="640" ht="24.2" customHeight="1"/>
    <row r="641" ht="24.2" customHeight="1"/>
    <row r="642" ht="24.2" customHeight="1"/>
    <row r="643" ht="24.2" customHeight="1"/>
    <row r="644" ht="24.2" customHeight="1"/>
    <row r="645" ht="24.2" customHeight="1"/>
    <row r="646" ht="24.2" customHeight="1"/>
    <row r="647" ht="24.2" customHeight="1"/>
    <row r="648" ht="24.2" customHeight="1"/>
    <row r="649" ht="24.2" customHeight="1"/>
    <row r="650" ht="24.2" customHeight="1"/>
    <row r="651" ht="24.2" customHeight="1"/>
    <row r="652" ht="24.2" customHeight="1"/>
    <row r="653" ht="24.2" customHeight="1"/>
    <row r="654" ht="24.2" customHeight="1"/>
    <row r="655" ht="24.2" customHeight="1"/>
    <row r="656" ht="24.2" customHeight="1"/>
    <row r="657" ht="24.2" customHeight="1"/>
    <row r="658" ht="24.2" customHeight="1"/>
    <row r="659" ht="24.2" customHeight="1"/>
    <row r="660" ht="24.2" customHeight="1"/>
    <row r="661" ht="24.2" customHeight="1"/>
    <row r="662" ht="24.2" customHeight="1"/>
    <row r="663" ht="24.2" customHeight="1"/>
    <row r="664" ht="24.2" customHeight="1"/>
    <row r="665" ht="24.2" customHeight="1"/>
    <row r="666" ht="24.2" customHeight="1"/>
    <row r="667" ht="24.2" customHeight="1"/>
    <row r="668" ht="24.2" customHeight="1"/>
    <row r="669" ht="24.2" customHeight="1"/>
    <row r="670" ht="24.2" customHeight="1"/>
    <row r="671" ht="24.2" customHeight="1"/>
    <row r="672" ht="24.2" customHeight="1"/>
    <row r="673" ht="24.2" customHeight="1"/>
    <row r="674" ht="24.2" customHeight="1"/>
    <row r="675" ht="24.2" customHeight="1"/>
    <row r="676" ht="24.2" customHeight="1"/>
    <row r="677" ht="24.2" customHeight="1"/>
    <row r="678" ht="24.2" customHeight="1"/>
    <row r="679" ht="24.2" customHeight="1"/>
    <row r="680" ht="24.2" customHeight="1"/>
    <row r="681" ht="24.2" customHeight="1"/>
    <row r="682" ht="24.2" customHeight="1"/>
    <row r="683" ht="24.2" customHeight="1"/>
    <row r="684" ht="24.2" customHeight="1"/>
    <row r="685" ht="24.2" customHeight="1"/>
    <row r="686" ht="24.2" customHeight="1"/>
    <row r="687" ht="24.2" customHeight="1"/>
    <row r="688" ht="24.2" customHeight="1"/>
    <row r="689" ht="24.2" customHeight="1"/>
    <row r="690" ht="24.2" customHeight="1"/>
    <row r="691" ht="24.2" customHeight="1"/>
    <row r="692" ht="24.2" customHeight="1"/>
    <row r="693" ht="24.2" customHeight="1"/>
    <row r="694" ht="24.2" customHeight="1"/>
    <row r="695" ht="24.2" customHeight="1"/>
    <row r="696" ht="24.2" customHeight="1"/>
    <row r="697" ht="24.2" customHeight="1"/>
    <row r="698" ht="24.2" customHeight="1"/>
    <row r="699" ht="24.2" customHeight="1"/>
    <row r="700" ht="24.2" customHeight="1"/>
    <row r="701" ht="24.2" customHeight="1"/>
    <row r="702" ht="24.2" customHeight="1"/>
    <row r="703" ht="24.2" customHeight="1"/>
    <row r="704" ht="24.2" customHeight="1"/>
    <row r="705" ht="24.2" customHeight="1"/>
    <row r="706" ht="24.2" customHeight="1"/>
    <row r="707" ht="24.2" customHeight="1"/>
    <row r="708" ht="24.2" customHeight="1"/>
    <row r="709" ht="24.2" customHeight="1"/>
    <row r="710" ht="24.2" customHeight="1"/>
    <row r="711" ht="24.2" customHeight="1"/>
    <row r="712" ht="24.2" customHeight="1"/>
    <row r="713" ht="24.2" customHeight="1"/>
    <row r="714" ht="24.2" customHeight="1"/>
    <row r="715" ht="24.2" customHeight="1"/>
    <row r="716" ht="24.2" customHeight="1"/>
    <row r="717" ht="24.2" customHeight="1"/>
    <row r="718" ht="24.2" customHeight="1"/>
    <row r="719" ht="24.2" customHeight="1"/>
    <row r="720" ht="24.2" customHeight="1"/>
    <row r="721" ht="24.2" customHeight="1"/>
    <row r="722" ht="24.2" customHeight="1"/>
    <row r="723" ht="24.2" customHeight="1"/>
    <row r="724" ht="24.2" customHeight="1"/>
    <row r="725" ht="24.2" customHeight="1"/>
    <row r="726" ht="24.2" customHeight="1"/>
    <row r="727" ht="24.2" customHeight="1"/>
    <row r="728" ht="24.2" customHeight="1"/>
    <row r="729" ht="24.2" customHeight="1"/>
    <row r="730" ht="24.2" customHeight="1"/>
    <row r="731" ht="24.2" customHeight="1"/>
    <row r="732" ht="24.2" customHeight="1"/>
    <row r="733" ht="24.2" customHeight="1"/>
    <row r="734" ht="24.2" customHeight="1"/>
    <row r="735" ht="24.2" customHeight="1"/>
    <row r="736" ht="24.2" customHeight="1"/>
    <row r="737" ht="24.2" customHeight="1"/>
    <row r="738" ht="24.2" customHeight="1"/>
    <row r="739" ht="24.2" customHeight="1"/>
    <row r="740" ht="24.2" customHeight="1"/>
    <row r="741" ht="24.2" customHeight="1"/>
    <row r="742" ht="24.2" customHeight="1"/>
    <row r="743" ht="24.2" customHeight="1"/>
    <row r="744" ht="24.2" customHeight="1"/>
    <row r="745" ht="24.2" customHeight="1"/>
    <row r="746" ht="24.2" customHeight="1"/>
    <row r="747" ht="24.2" customHeight="1"/>
    <row r="748" ht="24.2" customHeight="1"/>
    <row r="749" ht="24.2" customHeight="1"/>
    <row r="750" ht="24.2" customHeight="1"/>
    <row r="751" ht="24.2" customHeight="1"/>
    <row r="752" ht="24.2" customHeight="1"/>
    <row r="753" ht="24.2" customHeight="1"/>
    <row r="754" ht="24.2" customHeight="1"/>
    <row r="755" ht="24.2" customHeight="1"/>
    <row r="756" ht="24.2" customHeight="1"/>
    <row r="757" ht="24.2" customHeight="1"/>
    <row r="758" ht="24.2" customHeight="1"/>
    <row r="759" ht="24.2" customHeight="1"/>
    <row r="760" ht="24.2" customHeight="1"/>
    <row r="761" ht="24.2" customHeight="1"/>
    <row r="762" ht="24.2" customHeight="1"/>
    <row r="763" ht="24.2" customHeight="1"/>
    <row r="764" ht="24.2" customHeight="1"/>
    <row r="765" ht="24.2" customHeight="1"/>
    <row r="766" ht="24.2" customHeight="1"/>
    <row r="767" ht="24.2" customHeight="1"/>
    <row r="768" ht="24.2" customHeight="1"/>
    <row r="769" ht="24.2" customHeight="1"/>
    <row r="770" ht="24.2" customHeight="1"/>
    <row r="771" ht="24.2" customHeight="1"/>
    <row r="772" ht="24.2" customHeight="1"/>
    <row r="773" ht="24.2" customHeight="1"/>
    <row r="774" ht="24.2" customHeight="1"/>
    <row r="775" ht="24.2" customHeight="1"/>
    <row r="776" ht="24.2" customHeight="1"/>
    <row r="777" ht="24.2" customHeight="1"/>
    <row r="778" ht="24.2" customHeight="1"/>
    <row r="779" ht="24.2" customHeight="1"/>
    <row r="780" ht="24.2" customHeight="1"/>
    <row r="781" ht="24.2" customHeight="1"/>
    <row r="782" ht="24.2" customHeight="1"/>
    <row r="783" ht="24.2" customHeight="1"/>
    <row r="784" ht="24.2" customHeight="1"/>
    <row r="785" ht="24.2" customHeight="1"/>
    <row r="786" ht="24.2" customHeight="1"/>
    <row r="787" ht="24.2" customHeight="1"/>
    <row r="788" ht="24.2" customHeight="1"/>
    <row r="789" ht="24.2" customHeight="1"/>
    <row r="790" ht="24.2" customHeight="1"/>
    <row r="791" ht="24.2" customHeight="1"/>
    <row r="792" ht="24.2" customHeight="1"/>
    <row r="793" ht="24.2" customHeight="1"/>
    <row r="794" ht="24.2" customHeight="1"/>
    <row r="795" ht="24.2" customHeight="1"/>
    <row r="796" ht="24.2" customHeight="1"/>
    <row r="797" ht="24.2" customHeight="1"/>
    <row r="798" ht="24.2" customHeight="1"/>
    <row r="799" ht="24.2" customHeight="1"/>
    <row r="800" ht="24.2" customHeight="1"/>
    <row r="801" ht="24.2" customHeight="1"/>
    <row r="802" ht="24.2" customHeight="1"/>
    <row r="803" ht="24.2" customHeight="1"/>
    <row r="804" ht="24.2" customHeight="1"/>
    <row r="805" ht="24.2" customHeight="1"/>
    <row r="806" ht="24.2" customHeight="1"/>
    <row r="807" ht="24.2" customHeight="1"/>
    <row r="808" ht="24.2" customHeight="1"/>
    <row r="809" ht="24.2" customHeight="1"/>
    <row r="810" ht="24.2" customHeight="1"/>
    <row r="811" ht="24.2" customHeight="1"/>
    <row r="812" ht="24.2" customHeight="1"/>
    <row r="813" ht="24.2" customHeight="1"/>
    <row r="814" ht="24.2" customHeight="1"/>
    <row r="815" ht="24.2" customHeight="1"/>
    <row r="816" ht="24.2" customHeight="1"/>
    <row r="817" ht="24.2" customHeight="1"/>
    <row r="818" ht="24.2" customHeight="1"/>
    <row r="819" ht="24.2" customHeight="1"/>
    <row r="820" ht="24.2" customHeight="1"/>
    <row r="821" ht="24.2" customHeight="1"/>
    <row r="822" ht="24.2" customHeight="1"/>
    <row r="823" ht="24.2" customHeight="1"/>
    <row r="824" ht="24.2" customHeight="1"/>
    <row r="825" ht="24.2" customHeight="1"/>
    <row r="826" ht="24.2" customHeight="1"/>
    <row r="827" ht="24.2" customHeight="1"/>
    <row r="828" ht="24.2" customHeight="1"/>
    <row r="829" ht="24.2" customHeight="1"/>
    <row r="830" ht="24.2" customHeight="1"/>
    <row r="831" ht="24.2" customHeight="1"/>
    <row r="832" ht="24.2" customHeight="1"/>
    <row r="833" ht="24.2" customHeight="1"/>
    <row r="834" ht="24.2" customHeight="1"/>
    <row r="835" ht="24.2" customHeight="1"/>
    <row r="836" ht="24.2" customHeight="1"/>
    <row r="837" ht="24.2" customHeight="1"/>
    <row r="838" ht="24.2" customHeight="1"/>
    <row r="839" ht="24.2" customHeight="1"/>
    <row r="840" ht="24.2" customHeight="1"/>
    <row r="841" ht="24.2" customHeight="1"/>
    <row r="842" ht="24.2" customHeight="1"/>
    <row r="843" ht="24.2" customHeight="1"/>
    <row r="844" ht="24.2" customHeight="1"/>
    <row r="845" ht="24.2" customHeight="1"/>
    <row r="846" ht="24.2" customHeight="1"/>
    <row r="847" ht="24.2" customHeight="1"/>
    <row r="848" ht="24.2" customHeight="1"/>
    <row r="849" ht="24.2" customHeight="1"/>
    <row r="850" ht="24.2" customHeight="1"/>
    <row r="851" ht="24.2" customHeight="1"/>
    <row r="852" ht="24.2" customHeight="1"/>
    <row r="853" ht="24.2" customHeight="1"/>
    <row r="854" ht="24.2" customHeight="1"/>
    <row r="855" ht="24.2" customHeight="1"/>
    <row r="856" ht="24.2" customHeight="1"/>
    <row r="857" ht="24.2" customHeight="1"/>
    <row r="858" ht="24.2" customHeight="1"/>
    <row r="859" ht="24.2" customHeight="1"/>
    <row r="860" ht="24.2" customHeight="1"/>
    <row r="861" ht="24.2" customHeight="1"/>
    <row r="862" ht="24.2" customHeight="1"/>
    <row r="863" ht="24.2" customHeight="1"/>
    <row r="864" ht="24.2" customHeight="1"/>
    <row r="865" ht="24.2" customHeight="1"/>
    <row r="866" ht="24.2" customHeight="1"/>
    <row r="867" ht="24.2" customHeight="1"/>
    <row r="868" ht="24.2" customHeight="1"/>
    <row r="869" ht="24.2" customHeight="1"/>
    <row r="870" ht="24.2" customHeight="1"/>
    <row r="871" ht="24.2" customHeight="1"/>
    <row r="872" ht="24.2" customHeight="1"/>
    <row r="873" ht="24.2" customHeight="1"/>
    <row r="874" ht="24.2" customHeight="1"/>
    <row r="875" ht="24.2" customHeight="1"/>
    <row r="876" ht="24.2" customHeight="1"/>
    <row r="877" ht="24.2" customHeight="1"/>
    <row r="878" ht="24.2" customHeight="1"/>
    <row r="879" ht="24.2" customHeight="1"/>
    <row r="880" ht="24.2" customHeight="1"/>
    <row r="881" ht="24.2" customHeight="1"/>
    <row r="882" ht="24.2" customHeight="1"/>
    <row r="883" ht="24.2" customHeight="1"/>
    <row r="884" ht="24.2" customHeight="1"/>
    <row r="885" ht="24.2" customHeight="1"/>
    <row r="886" ht="24.2" customHeight="1"/>
    <row r="887" ht="24.2" customHeight="1"/>
    <row r="888" ht="24.2" customHeight="1"/>
    <row r="889" ht="24.2" customHeight="1"/>
    <row r="890" ht="24.2" customHeight="1"/>
    <row r="891" ht="24.2" customHeight="1"/>
    <row r="892" ht="24.2" customHeight="1"/>
    <row r="893" ht="24.2" customHeight="1"/>
    <row r="894" ht="24.2" customHeight="1"/>
    <row r="895" ht="24.2" customHeight="1"/>
    <row r="896" ht="24.2" customHeight="1"/>
    <row r="897" ht="24.2" customHeight="1"/>
    <row r="898" ht="24.2" customHeight="1"/>
    <row r="899" ht="24.2" customHeight="1"/>
    <row r="900" ht="24.2" customHeight="1"/>
    <row r="901" ht="24.2" customHeight="1"/>
    <row r="902" ht="24.2" customHeight="1"/>
    <row r="903" ht="24.2" customHeight="1"/>
    <row r="904" ht="24.2" customHeight="1"/>
    <row r="905" ht="24.2" customHeight="1"/>
    <row r="906" ht="24.2" customHeight="1"/>
    <row r="907" ht="24.2" customHeight="1"/>
    <row r="908" ht="24.2" customHeight="1"/>
    <row r="909" ht="24.2" customHeight="1"/>
    <row r="910" ht="24.2" customHeight="1"/>
    <row r="911" ht="24.2" customHeight="1"/>
    <row r="912" ht="24.2" customHeight="1"/>
    <row r="913" ht="24.2" customHeight="1"/>
    <row r="914" ht="24.2" customHeight="1"/>
    <row r="915" ht="24.2" customHeight="1"/>
    <row r="916" ht="24.2" customHeight="1"/>
    <row r="917" ht="24.2" customHeight="1"/>
    <row r="918" ht="24.2" customHeight="1"/>
    <row r="919" ht="24.2" customHeight="1"/>
    <row r="920" ht="24.2" customHeight="1"/>
    <row r="921" ht="24.2" customHeight="1"/>
    <row r="922" ht="24.2" customHeight="1"/>
    <row r="923" ht="24.2" customHeight="1"/>
    <row r="924" ht="24.2" customHeight="1"/>
    <row r="925" ht="24.2" customHeight="1"/>
    <row r="926" ht="24.2" customHeight="1"/>
    <row r="927" ht="24.2" customHeight="1"/>
    <row r="928" ht="24.2" customHeight="1"/>
    <row r="929" ht="24.2" customHeight="1"/>
    <row r="930" ht="24.2" customHeight="1"/>
    <row r="931" ht="24.2" customHeight="1"/>
    <row r="932" ht="24.2" customHeight="1"/>
    <row r="933" ht="24.2" customHeight="1"/>
    <row r="934" ht="24.2" customHeight="1"/>
    <row r="935" ht="24.2" customHeight="1"/>
    <row r="936" ht="24.2" customHeight="1"/>
    <row r="937" ht="24.2" customHeight="1"/>
    <row r="938" ht="24.2" customHeight="1"/>
    <row r="939" ht="24.2" customHeight="1"/>
    <row r="940" ht="24.2" customHeight="1"/>
    <row r="941" ht="24.2" customHeight="1"/>
    <row r="942" ht="24.2" customHeight="1"/>
    <row r="943" ht="24.2" customHeight="1"/>
    <row r="944" ht="24.2" customHeight="1"/>
    <row r="945" ht="24.2" customHeight="1"/>
    <row r="946" ht="24.2" customHeight="1"/>
    <row r="947" ht="24.2" customHeight="1"/>
    <row r="948" ht="24.2" customHeight="1"/>
    <row r="949" ht="24.2" customHeight="1"/>
    <row r="950" ht="24.2" customHeight="1"/>
    <row r="951" ht="24.2" customHeight="1"/>
  </sheetData>
  <autoFilter ref="A7:P503" xr:uid="{7727653C-5C84-4BD5-80DE-FF36A746C207}"/>
  <mergeCells count="25">
    <mergeCell ref="I7:I8"/>
    <mergeCell ref="J7:J8"/>
    <mergeCell ref="G7:G8"/>
    <mergeCell ref="H7:H8"/>
    <mergeCell ref="B7:B8"/>
    <mergeCell ref="C7:C8"/>
    <mergeCell ref="D7:D8"/>
    <mergeCell ref="E7:E8"/>
    <mergeCell ref="F7:F8"/>
    <mergeCell ref="K7:K8"/>
    <mergeCell ref="L7:L8"/>
    <mergeCell ref="A4:J4"/>
    <mergeCell ref="M4:N4"/>
    <mergeCell ref="C1:L1"/>
    <mergeCell ref="A2:B2"/>
    <mergeCell ref="C2:L2"/>
    <mergeCell ref="A3:K3"/>
    <mergeCell ref="M3:N3"/>
    <mergeCell ref="A5:J5"/>
    <mergeCell ref="M5:N5"/>
    <mergeCell ref="A6:J6"/>
    <mergeCell ref="M6:N6"/>
    <mergeCell ref="A7:A8"/>
    <mergeCell ref="M7:M8"/>
    <mergeCell ref="N7:N8"/>
  </mergeCells>
  <phoneticPr fontId="1" type="noConversion"/>
  <printOptions horizontalCentered="1"/>
  <pageMargins left="0.11811023622047245" right="0.11811023622047245" top="0.15748031496062992" bottom="0.15748031496062992" header="0.31496062992125984" footer="0.31496062992125984"/>
  <pageSetup paperSize="8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E535C-9AB7-4DF5-A53B-6BEE44975B7B}">
  <sheetPr>
    <tabColor theme="5" tint="0.39997558519241921"/>
  </sheetPr>
  <dimension ref="A1:X452"/>
  <sheetViews>
    <sheetView view="pageBreakPreview" zoomScale="91" zoomScaleNormal="100" zoomScaleSheetLayoutView="91" workbookViewId="0">
      <pane ySplit="8" topLeftCell="A162" activePane="bottomLeft" state="frozen"/>
      <selection pane="bottomLeft" activeCell="R74" sqref="R74"/>
    </sheetView>
  </sheetViews>
  <sheetFormatPr defaultColWidth="9.140625" defaultRowHeight="12.75"/>
  <cols>
    <col min="1" max="1" width="3.28515625" style="82" customWidth="1"/>
    <col min="2" max="2" width="31.140625" style="82" customWidth="1"/>
    <col min="3" max="3" width="4.140625" style="82" customWidth="1"/>
    <col min="4" max="7" width="8.42578125" style="82" customWidth="1"/>
    <col min="8" max="8" width="9.5703125" style="82" customWidth="1"/>
    <col min="9" max="9" width="0" style="82" hidden="1" customWidth="1"/>
    <col min="10" max="10" width="8.42578125" style="82" customWidth="1"/>
    <col min="11" max="11" width="14.7109375" style="82" bestFit="1" customWidth="1"/>
    <col min="12" max="13" width="12.5703125" style="82" customWidth="1"/>
    <col min="14" max="14" width="11.7109375" style="82" customWidth="1"/>
    <col min="15" max="15" width="11.7109375" style="306" customWidth="1"/>
    <col min="16" max="16" width="12.42578125" style="82" customWidth="1"/>
    <col min="17" max="17" width="0.5703125" style="82" customWidth="1"/>
    <col min="18" max="18" width="24.140625" style="475" customWidth="1"/>
    <col min="19" max="19" width="26.42578125" style="325" customWidth="1"/>
    <col min="20" max="20" width="21.7109375" style="82" customWidth="1"/>
    <col min="21" max="21" width="28.5703125" style="82" customWidth="1"/>
    <col min="22" max="22" width="25" style="82" customWidth="1"/>
    <col min="23" max="23" width="16.140625" style="82" customWidth="1"/>
    <col min="24" max="16384" width="9.140625" style="82"/>
  </cols>
  <sheetData>
    <row r="1" spans="1:20" ht="25.5">
      <c r="A1" s="323"/>
      <c r="B1" s="323"/>
      <c r="C1" s="980" t="s">
        <v>230</v>
      </c>
      <c r="D1" s="980"/>
      <c r="E1" s="980"/>
      <c r="F1" s="980"/>
      <c r="G1" s="980"/>
      <c r="H1" s="980"/>
      <c r="I1" s="980"/>
      <c r="J1" s="980"/>
      <c r="K1" s="980"/>
      <c r="L1" s="980"/>
      <c r="M1" s="980"/>
      <c r="N1" s="980"/>
      <c r="O1" s="437"/>
      <c r="P1" s="324"/>
      <c r="Q1" s="1"/>
    </row>
    <row r="2" spans="1:20" ht="19.5">
      <c r="A2" s="981" t="s">
        <v>242</v>
      </c>
      <c r="B2" s="981"/>
      <c r="C2" s="982" t="s">
        <v>2298</v>
      </c>
      <c r="D2" s="982"/>
      <c r="E2" s="982"/>
      <c r="F2" s="982"/>
      <c r="G2" s="982"/>
      <c r="H2" s="982"/>
      <c r="I2" s="982"/>
      <c r="J2" s="982"/>
      <c r="K2" s="982"/>
      <c r="L2" s="982"/>
      <c r="M2" s="982"/>
      <c r="N2" s="982"/>
      <c r="O2" s="438"/>
      <c r="P2" s="29"/>
      <c r="Q2" s="1"/>
      <c r="R2" s="475">
        <v>-4483155.42</v>
      </c>
    </row>
    <row r="3" spans="1:20" ht="16.5">
      <c r="A3" s="983" t="s">
        <v>2140</v>
      </c>
      <c r="B3" s="983"/>
      <c r="C3" s="983"/>
      <c r="D3" s="983"/>
      <c r="E3" s="983"/>
      <c r="F3" s="983"/>
      <c r="G3" s="983"/>
      <c r="H3" s="983"/>
      <c r="I3" s="983"/>
      <c r="J3" s="983"/>
      <c r="K3" s="983"/>
      <c r="L3" s="983"/>
      <c r="M3" s="28"/>
      <c r="N3" s="326" t="s">
        <v>2299</v>
      </c>
      <c r="O3" s="984">
        <v>45621</v>
      </c>
      <c r="P3" s="984"/>
      <c r="Q3" s="327"/>
      <c r="S3" s="328"/>
    </row>
    <row r="4" spans="1:20" ht="16.5">
      <c r="A4" s="970" t="s">
        <v>2486</v>
      </c>
      <c r="B4" s="971"/>
      <c r="C4" s="971"/>
      <c r="D4" s="971"/>
      <c r="E4" s="971"/>
      <c r="F4" s="971"/>
      <c r="G4" s="971"/>
      <c r="H4" s="971"/>
      <c r="I4" s="971"/>
      <c r="J4" s="971"/>
      <c r="K4" s="972"/>
      <c r="L4" s="329" t="s">
        <v>2300</v>
      </c>
      <c r="M4" s="330"/>
      <c r="N4" s="330"/>
      <c r="O4" s="973">
        <v>257600000</v>
      </c>
      <c r="P4" s="974"/>
      <c r="Q4" s="327"/>
      <c r="R4" s="476"/>
    </row>
    <row r="5" spans="1:20" ht="16.5">
      <c r="A5" s="970" t="s">
        <v>2470</v>
      </c>
      <c r="B5" s="971"/>
      <c r="C5" s="971"/>
      <c r="D5" s="971"/>
      <c r="E5" s="971"/>
      <c r="F5" s="971"/>
      <c r="G5" s="971"/>
      <c r="H5" s="971"/>
      <c r="I5" s="971"/>
      <c r="J5" s="971"/>
      <c r="K5" s="972"/>
      <c r="L5" s="387" t="s">
        <v>2301</v>
      </c>
      <c r="M5" s="388"/>
      <c r="N5" s="388"/>
      <c r="O5" s="439"/>
      <c r="P5" s="389"/>
      <c r="Q5" s="327"/>
    </row>
    <row r="6" spans="1:20" ht="16.5">
      <c r="A6" s="970" t="s">
        <v>2485</v>
      </c>
      <c r="B6" s="971"/>
      <c r="C6" s="971"/>
      <c r="D6" s="971"/>
      <c r="E6" s="971"/>
      <c r="F6" s="971"/>
      <c r="G6" s="971"/>
      <c r="H6" s="971"/>
      <c r="I6" s="971"/>
      <c r="J6" s="971"/>
      <c r="K6" s="972"/>
      <c r="L6" s="329" t="s">
        <v>2302</v>
      </c>
      <c r="M6" s="330"/>
      <c r="N6" s="330"/>
      <c r="O6" s="1033"/>
      <c r="P6" s="1034"/>
      <c r="Q6" s="327"/>
      <c r="R6" s="477"/>
      <c r="S6" s="331"/>
    </row>
    <row r="7" spans="1:20" ht="14.25">
      <c r="A7" s="957" t="s">
        <v>235</v>
      </c>
      <c r="B7" s="964" t="s">
        <v>2303</v>
      </c>
      <c r="C7" s="964" t="s">
        <v>237</v>
      </c>
      <c r="D7" s="957" t="s">
        <v>2304</v>
      </c>
      <c r="E7" s="957" t="s">
        <v>2466</v>
      </c>
      <c r="F7" s="957" t="s">
        <v>2467</v>
      </c>
      <c r="G7" s="968" t="s">
        <v>2305</v>
      </c>
      <c r="H7" s="957" t="s">
        <v>2306</v>
      </c>
      <c r="I7" s="957" t="s">
        <v>2307</v>
      </c>
      <c r="J7" s="957" t="s">
        <v>2307</v>
      </c>
      <c r="K7" s="957" t="s">
        <v>2308</v>
      </c>
      <c r="L7" s="957" t="s">
        <v>2469</v>
      </c>
      <c r="M7" s="957" t="s">
        <v>2468</v>
      </c>
      <c r="N7" s="964" t="s">
        <v>2309</v>
      </c>
      <c r="O7" s="1035" t="s">
        <v>2310</v>
      </c>
      <c r="P7" s="964" t="s">
        <v>2311</v>
      </c>
      <c r="Q7" s="332"/>
      <c r="R7" s="1037" t="s">
        <v>2312</v>
      </c>
      <c r="S7" s="967" t="s">
        <v>2313</v>
      </c>
      <c r="T7" s="963" t="s">
        <v>2314</v>
      </c>
    </row>
    <row r="8" spans="1:20" ht="14.25">
      <c r="A8" s="958"/>
      <c r="B8" s="965"/>
      <c r="C8" s="965"/>
      <c r="D8" s="958"/>
      <c r="E8" s="958"/>
      <c r="F8" s="958"/>
      <c r="G8" s="969"/>
      <c r="H8" s="958"/>
      <c r="I8" s="958"/>
      <c r="J8" s="958"/>
      <c r="K8" s="958"/>
      <c r="L8" s="958"/>
      <c r="M8" s="958"/>
      <c r="N8" s="965"/>
      <c r="O8" s="1036"/>
      <c r="P8" s="965"/>
      <c r="Q8" s="332"/>
      <c r="R8" s="1037"/>
      <c r="S8" s="967"/>
      <c r="T8" s="963"/>
    </row>
    <row r="9" spans="1:20" ht="33">
      <c r="A9" s="333" t="s">
        <v>10</v>
      </c>
      <c r="B9" s="334" t="s">
        <v>12</v>
      </c>
      <c r="C9" s="335" t="s">
        <v>4</v>
      </c>
      <c r="D9" s="336">
        <v>1</v>
      </c>
      <c r="E9" s="336"/>
      <c r="F9" s="336"/>
      <c r="G9" s="336"/>
      <c r="H9" s="336">
        <v>271134529</v>
      </c>
      <c r="I9" s="336"/>
      <c r="J9" s="336"/>
      <c r="K9" s="336">
        <v>271134529</v>
      </c>
      <c r="L9" s="419">
        <f>L10+L351+L362+L402+L406+L425+L445+L448+L449+L451</f>
        <v>304975279.00000006</v>
      </c>
      <c r="M9" s="419" t="e">
        <f>M10+M351+M362+M402+M406+M425+M445+M448+M449+M451</f>
        <v>#VALUE!</v>
      </c>
      <c r="N9" s="419" t="e">
        <f>N10+N351+N362+N402+N406+N425+N445+N448+N449+N451</f>
        <v>#VALUE!</v>
      </c>
      <c r="O9" s="337">
        <f>O10+O351+O362+O402+O406+O425+O445+O448+O449+O451</f>
        <v>-444412.76999999996</v>
      </c>
      <c r="P9" s="419" t="e">
        <f>N9+O9</f>
        <v>#VALUE!</v>
      </c>
      <c r="Q9" s="11" t="s">
        <v>243</v>
      </c>
      <c r="R9" s="478"/>
      <c r="S9" s="339"/>
    </row>
    <row r="10" spans="1:20" ht="33">
      <c r="A10" s="333" t="s">
        <v>2152</v>
      </c>
      <c r="B10" s="334" t="s">
        <v>2</v>
      </c>
      <c r="C10" s="335" t="s">
        <v>4</v>
      </c>
      <c r="D10" s="336">
        <v>1</v>
      </c>
      <c r="E10" s="336"/>
      <c r="F10" s="336"/>
      <c r="G10" s="336"/>
      <c r="H10" s="336">
        <v>211367142.78999999</v>
      </c>
      <c r="I10" s="336"/>
      <c r="J10" s="336"/>
      <c r="K10" s="336">
        <v>211367142.78999999</v>
      </c>
      <c r="L10" s="419">
        <f>L11+L37+L123+L163+L192+L212+L229+L307+L341</f>
        <v>232868088.52999997</v>
      </c>
      <c r="M10" s="419" t="e">
        <f>M11+M37+M123+M163+M192+M212+M229+M307+M341</f>
        <v>#VALUE!</v>
      </c>
      <c r="N10" s="419" t="e">
        <f>N11+N37+N123+N163+N192+N212+N229+N307+N341</f>
        <v>#VALUE!</v>
      </c>
      <c r="O10" s="337">
        <f>O11+O37+O123+O163+O192+O212+O229+O307+O341</f>
        <v>-444412.76999999996</v>
      </c>
      <c r="P10" s="231" t="s">
        <v>242</v>
      </c>
      <c r="Q10" s="11" t="s">
        <v>243</v>
      </c>
      <c r="R10" s="478"/>
      <c r="S10" s="339"/>
    </row>
    <row r="11" spans="1:20" ht="33">
      <c r="A11" s="406" t="s">
        <v>2153</v>
      </c>
      <c r="B11" s="407" t="s">
        <v>244</v>
      </c>
      <c r="C11" s="408" t="s">
        <v>4</v>
      </c>
      <c r="D11" s="409">
        <v>1</v>
      </c>
      <c r="E11" s="409"/>
      <c r="F11" s="409"/>
      <c r="G11" s="409"/>
      <c r="H11" s="409">
        <v>58934657.579999998</v>
      </c>
      <c r="I11" s="409"/>
      <c r="J11" s="409"/>
      <c r="K11" s="409">
        <v>58934657.579999998</v>
      </c>
      <c r="L11" s="411">
        <f>SUM(L12:L36)</f>
        <v>61233815.539999984</v>
      </c>
      <c r="M11" s="411" t="e">
        <f>SUM(M12:M36)</f>
        <v>#VALUE!</v>
      </c>
      <c r="N11" s="411" t="e">
        <f>SUM(N12:N36)</f>
        <v>#VALUE!</v>
      </c>
      <c r="O11" s="441">
        <f>SUM(O12:O36)</f>
        <v>0</v>
      </c>
      <c r="P11" s="288" t="s">
        <v>242</v>
      </c>
      <c r="Q11" s="11" t="s">
        <v>243</v>
      </c>
      <c r="R11" s="478"/>
      <c r="S11" s="339"/>
    </row>
    <row r="12" spans="1:20" ht="33">
      <c r="A12" s="333" t="s">
        <v>2154</v>
      </c>
      <c r="B12" s="334" t="s">
        <v>245</v>
      </c>
      <c r="C12" s="335" t="s">
        <v>6</v>
      </c>
      <c r="D12" s="336">
        <v>720.24</v>
      </c>
      <c r="E12" s="336">
        <v>720.24</v>
      </c>
      <c r="F12" s="336">
        <f>估驗單!F8</f>
        <v>720.24</v>
      </c>
      <c r="G12" s="390"/>
      <c r="H12" s="336">
        <v>193.11</v>
      </c>
      <c r="I12" s="336"/>
      <c r="J12" s="336"/>
      <c r="K12" s="336">
        <v>139085.54999999999</v>
      </c>
      <c r="L12" s="336">
        <f>ROUND(E12*H12,2)</f>
        <v>139085.54999999999</v>
      </c>
      <c r="M12" s="336">
        <f>ROUND(F12*H12,2)</f>
        <v>139085.54999999999</v>
      </c>
      <c r="N12" s="390">
        <f>IF(L12-M12&lt;0+AND(L12&lt;&gt;0),M12-L12,"      ")</f>
        <v>0</v>
      </c>
      <c r="O12" s="442"/>
      <c r="P12" s="231" t="s">
        <v>242</v>
      </c>
      <c r="Q12" s="11" t="s">
        <v>243</v>
      </c>
      <c r="R12" s="474"/>
      <c r="S12" s="339"/>
    </row>
    <row r="13" spans="1:20" ht="33">
      <c r="A13" s="333" t="s">
        <v>2155</v>
      </c>
      <c r="B13" s="334" t="s">
        <v>247</v>
      </c>
      <c r="C13" s="335" t="s">
        <v>6</v>
      </c>
      <c r="D13" s="336">
        <v>4813.4399999999996</v>
      </c>
      <c r="E13" s="336">
        <v>4813.4399999999996</v>
      </c>
      <c r="F13" s="336">
        <f>估驗單!F9</f>
        <v>4813.4399999999996</v>
      </c>
      <c r="G13" s="390"/>
      <c r="H13" s="336">
        <v>1046.1600000000001</v>
      </c>
      <c r="I13" s="336"/>
      <c r="J13" s="336"/>
      <c r="K13" s="336">
        <v>5035628.3899999997</v>
      </c>
      <c r="L13" s="336">
        <f t="shared" ref="L13:L76" si="0">ROUND(E13*H13,2)</f>
        <v>5035628.3899999997</v>
      </c>
      <c r="M13" s="336">
        <f t="shared" ref="M13:M77" si="1">ROUND(F13*H13,2)</f>
        <v>5035628.3899999997</v>
      </c>
      <c r="N13" s="390">
        <f t="shared" ref="N13:N36" si="2">IF(L13-M13&lt;0+AND(L13&lt;&gt;0),M13-L13,"      ")</f>
        <v>0</v>
      </c>
      <c r="O13" s="442"/>
      <c r="P13" s="231" t="s">
        <v>242</v>
      </c>
      <c r="Q13" s="11" t="s">
        <v>243</v>
      </c>
      <c r="R13" s="474"/>
      <c r="S13" s="339"/>
    </row>
    <row r="14" spans="1:20" ht="71.25">
      <c r="A14" s="333" t="s">
        <v>2156</v>
      </c>
      <c r="B14" s="334" t="s">
        <v>249</v>
      </c>
      <c r="C14" s="335" t="s">
        <v>8</v>
      </c>
      <c r="D14" s="336">
        <v>1743</v>
      </c>
      <c r="E14" s="336">
        <v>1743</v>
      </c>
      <c r="F14" s="336">
        <f>估驗單!F10</f>
        <v>1743</v>
      </c>
      <c r="G14" s="390"/>
      <c r="H14" s="336">
        <v>6199.66</v>
      </c>
      <c r="I14" s="336"/>
      <c r="J14" s="336"/>
      <c r="K14" s="336">
        <v>10806007.380000001</v>
      </c>
      <c r="L14" s="336">
        <f t="shared" si="0"/>
        <v>10806007.380000001</v>
      </c>
      <c r="M14" s="336">
        <f t="shared" si="1"/>
        <v>10806007.380000001</v>
      </c>
      <c r="N14" s="390">
        <f t="shared" si="2"/>
        <v>0</v>
      </c>
      <c r="O14" s="442"/>
      <c r="P14" s="231" t="s">
        <v>2315</v>
      </c>
      <c r="Q14" s="11" t="s">
        <v>243</v>
      </c>
      <c r="R14" s="474"/>
      <c r="S14" s="339"/>
    </row>
    <row r="15" spans="1:20" ht="56.25">
      <c r="A15" s="333" t="s">
        <v>2157</v>
      </c>
      <c r="B15" s="334" t="s">
        <v>194</v>
      </c>
      <c r="C15" s="335" t="s">
        <v>23</v>
      </c>
      <c r="D15" s="336">
        <v>26370</v>
      </c>
      <c r="E15" s="336">
        <v>28009.56</v>
      </c>
      <c r="F15" s="336">
        <f>估驗單!F11</f>
        <v>28009.56</v>
      </c>
      <c r="G15" s="390"/>
      <c r="H15" s="336">
        <v>48.28</v>
      </c>
      <c r="I15" s="336"/>
      <c r="J15" s="336"/>
      <c r="K15" s="336">
        <v>1273143.6000000001</v>
      </c>
      <c r="L15" s="336">
        <f t="shared" si="0"/>
        <v>1352301.56</v>
      </c>
      <c r="M15" s="336">
        <f t="shared" si="1"/>
        <v>1352301.56</v>
      </c>
      <c r="N15" s="390">
        <f t="shared" si="2"/>
        <v>0</v>
      </c>
      <c r="O15" s="442"/>
      <c r="P15" s="231" t="s">
        <v>242</v>
      </c>
      <c r="Q15" s="11" t="s">
        <v>243</v>
      </c>
      <c r="R15" s="474" t="s">
        <v>2316</v>
      </c>
      <c r="S15" s="339" t="s">
        <v>2317</v>
      </c>
      <c r="T15" s="342" t="s">
        <v>2318</v>
      </c>
    </row>
    <row r="16" spans="1:20" ht="33">
      <c r="A16" s="333" t="s">
        <v>2158</v>
      </c>
      <c r="B16" s="334" t="s">
        <v>252</v>
      </c>
      <c r="C16" s="335" t="s">
        <v>6</v>
      </c>
      <c r="D16" s="336">
        <v>4726.67</v>
      </c>
      <c r="E16" s="336">
        <v>4726.67</v>
      </c>
      <c r="F16" s="336">
        <f>估驗單!F12</f>
        <v>4726.67</v>
      </c>
      <c r="G16" s="390"/>
      <c r="H16" s="336">
        <v>599.71</v>
      </c>
      <c r="I16" s="336"/>
      <c r="J16" s="336"/>
      <c r="K16" s="336">
        <v>2834631.27</v>
      </c>
      <c r="L16" s="336">
        <f t="shared" si="0"/>
        <v>2834631.27</v>
      </c>
      <c r="M16" s="336">
        <f t="shared" si="1"/>
        <v>2834631.27</v>
      </c>
      <c r="N16" s="390">
        <f t="shared" si="2"/>
        <v>0</v>
      </c>
      <c r="O16" s="442"/>
      <c r="P16" s="231" t="s">
        <v>242</v>
      </c>
      <c r="Q16" s="11" t="s">
        <v>243</v>
      </c>
      <c r="R16" s="474"/>
      <c r="S16" s="339"/>
    </row>
    <row r="17" spans="1:19" ht="33">
      <c r="A17" s="333" t="s">
        <v>2159</v>
      </c>
      <c r="B17" s="334" t="s">
        <v>255</v>
      </c>
      <c r="C17" s="335" t="s">
        <v>6</v>
      </c>
      <c r="D17" s="336">
        <v>13120</v>
      </c>
      <c r="E17" s="336">
        <v>13120</v>
      </c>
      <c r="F17" s="336">
        <f>估驗單!F13</f>
        <v>13120</v>
      </c>
      <c r="G17" s="390"/>
      <c r="H17" s="336">
        <v>104.64</v>
      </c>
      <c r="I17" s="336"/>
      <c r="J17" s="336"/>
      <c r="K17" s="336">
        <v>1372876.8</v>
      </c>
      <c r="L17" s="336">
        <f t="shared" si="0"/>
        <v>1372876.8</v>
      </c>
      <c r="M17" s="336">
        <f t="shared" si="1"/>
        <v>1372876.8</v>
      </c>
      <c r="N17" s="390">
        <f t="shared" si="2"/>
        <v>0</v>
      </c>
      <c r="O17" s="442"/>
      <c r="P17" s="231" t="s">
        <v>242</v>
      </c>
      <c r="Q17" s="11" t="s">
        <v>243</v>
      </c>
      <c r="R17" s="474"/>
      <c r="S17" s="339"/>
    </row>
    <row r="18" spans="1:19" ht="71.25">
      <c r="A18" s="333" t="s">
        <v>2160</v>
      </c>
      <c r="B18" s="334" t="s">
        <v>258</v>
      </c>
      <c r="C18" s="335" t="s">
        <v>23</v>
      </c>
      <c r="D18" s="336">
        <v>13251</v>
      </c>
      <c r="E18" s="336">
        <v>13251</v>
      </c>
      <c r="F18" s="336">
        <f>估驗單!F14</f>
        <v>4994</v>
      </c>
      <c r="G18" s="390"/>
      <c r="H18" s="336">
        <v>1027.3699999999999</v>
      </c>
      <c r="I18" s="336"/>
      <c r="J18" s="336"/>
      <c r="K18" s="336">
        <v>13613679.869999999</v>
      </c>
      <c r="L18" s="336">
        <f t="shared" si="0"/>
        <v>13613679.869999999</v>
      </c>
      <c r="M18" s="336">
        <f t="shared" si="1"/>
        <v>5130685.78</v>
      </c>
      <c r="N18" s="390" t="str">
        <f t="shared" si="2"/>
        <v xml:space="preserve">      </v>
      </c>
      <c r="O18" s="442"/>
      <c r="P18" s="231" t="s">
        <v>2319</v>
      </c>
      <c r="Q18" s="11" t="s">
        <v>243</v>
      </c>
      <c r="R18" s="474"/>
      <c r="S18" s="339"/>
    </row>
    <row r="19" spans="1:19" ht="33">
      <c r="A19" s="333" t="s">
        <v>2161</v>
      </c>
      <c r="B19" s="334" t="s">
        <v>261</v>
      </c>
      <c r="C19" s="335" t="s">
        <v>6</v>
      </c>
      <c r="D19" s="336">
        <v>4601.4399999999996</v>
      </c>
      <c r="E19" s="336">
        <v>4601.4399999999996</v>
      </c>
      <c r="F19" s="336" t="str">
        <f>估驗單!F15</f>
        <v>0_x000D_</v>
      </c>
      <c r="G19" s="390"/>
      <c r="H19" s="336">
        <v>1084.98</v>
      </c>
      <c r="I19" s="336"/>
      <c r="J19" s="336"/>
      <c r="K19" s="336">
        <v>4992470.37</v>
      </c>
      <c r="L19" s="336">
        <f t="shared" si="0"/>
        <v>4992470.37</v>
      </c>
      <c r="M19" s="336" t="e">
        <f t="shared" si="1"/>
        <v>#VALUE!</v>
      </c>
      <c r="N19" s="390" t="e">
        <f t="shared" si="2"/>
        <v>#VALUE!</v>
      </c>
      <c r="O19" s="442"/>
      <c r="P19" s="231" t="s">
        <v>242</v>
      </c>
      <c r="Q19" s="11" t="s">
        <v>243</v>
      </c>
      <c r="R19" s="474"/>
      <c r="S19" s="339"/>
    </row>
    <row r="20" spans="1:19" ht="42.75">
      <c r="A20" s="333" t="s">
        <v>2162</v>
      </c>
      <c r="B20" s="334" t="s">
        <v>264</v>
      </c>
      <c r="C20" s="335" t="s">
        <v>13</v>
      </c>
      <c r="D20" s="336">
        <v>2588.5</v>
      </c>
      <c r="E20" s="336">
        <v>2588.5</v>
      </c>
      <c r="F20" s="336">
        <f>估驗單!F16</f>
        <v>2588.5</v>
      </c>
      <c r="G20" s="390"/>
      <c r="H20" s="336">
        <v>30.45</v>
      </c>
      <c r="I20" s="336"/>
      <c r="J20" s="336"/>
      <c r="K20" s="336">
        <v>78819.83</v>
      </c>
      <c r="L20" s="336">
        <f t="shared" si="0"/>
        <v>78819.83</v>
      </c>
      <c r="M20" s="336">
        <f t="shared" si="1"/>
        <v>78819.83</v>
      </c>
      <c r="N20" s="390">
        <f t="shared" si="2"/>
        <v>0</v>
      </c>
      <c r="O20" s="442"/>
      <c r="P20" s="231" t="s">
        <v>2320</v>
      </c>
      <c r="Q20" s="11" t="s">
        <v>243</v>
      </c>
      <c r="R20" s="474"/>
      <c r="S20" s="339"/>
    </row>
    <row r="21" spans="1:19" ht="33">
      <c r="A21" s="333" t="s">
        <v>2163</v>
      </c>
      <c r="B21" s="334" t="s">
        <v>267</v>
      </c>
      <c r="C21" s="335" t="s">
        <v>13</v>
      </c>
      <c r="D21" s="336">
        <v>9177</v>
      </c>
      <c r="E21" s="336">
        <v>9177</v>
      </c>
      <c r="F21" s="336">
        <f>估驗單!F17</f>
        <v>9177</v>
      </c>
      <c r="G21" s="390"/>
      <c r="H21" s="336">
        <v>28.48</v>
      </c>
      <c r="I21" s="336"/>
      <c r="J21" s="336"/>
      <c r="K21" s="336">
        <v>261360.96</v>
      </c>
      <c r="L21" s="336">
        <f t="shared" si="0"/>
        <v>261360.96</v>
      </c>
      <c r="M21" s="336">
        <f t="shared" si="1"/>
        <v>261360.96</v>
      </c>
      <c r="N21" s="390">
        <f t="shared" si="2"/>
        <v>0</v>
      </c>
      <c r="O21" s="442"/>
      <c r="P21" s="231" t="s">
        <v>242</v>
      </c>
      <c r="Q21" s="11" t="s">
        <v>243</v>
      </c>
      <c r="R21" s="474"/>
      <c r="S21" s="339"/>
    </row>
    <row r="22" spans="1:19" ht="33">
      <c r="A22" s="333" t="s">
        <v>2164</v>
      </c>
      <c r="B22" s="334" t="s">
        <v>270</v>
      </c>
      <c r="C22" s="335" t="s">
        <v>8</v>
      </c>
      <c r="D22" s="336">
        <v>162.5</v>
      </c>
      <c r="E22" s="336">
        <v>162.5</v>
      </c>
      <c r="F22" s="336">
        <f>估驗單!F18</f>
        <v>162.5</v>
      </c>
      <c r="G22" s="390"/>
      <c r="H22" s="336">
        <v>65.400000000000006</v>
      </c>
      <c r="I22" s="336"/>
      <c r="J22" s="336"/>
      <c r="K22" s="336">
        <v>10627.5</v>
      </c>
      <c r="L22" s="336">
        <f t="shared" si="0"/>
        <v>10627.5</v>
      </c>
      <c r="M22" s="336">
        <f t="shared" si="1"/>
        <v>10627.5</v>
      </c>
      <c r="N22" s="390">
        <f t="shared" si="2"/>
        <v>0</v>
      </c>
      <c r="O22" s="442"/>
      <c r="P22" s="231" t="s">
        <v>242</v>
      </c>
      <c r="Q22" s="11" t="s">
        <v>243</v>
      </c>
      <c r="R22" s="474"/>
      <c r="S22" s="339"/>
    </row>
    <row r="23" spans="1:19" ht="33">
      <c r="A23" s="333" t="s">
        <v>2165</v>
      </c>
      <c r="B23" s="334" t="s">
        <v>273</v>
      </c>
      <c r="C23" s="335" t="s">
        <v>13</v>
      </c>
      <c r="D23" s="336">
        <v>5217.7</v>
      </c>
      <c r="E23" s="336">
        <v>5217.7</v>
      </c>
      <c r="F23" s="336">
        <f>估驗單!F19</f>
        <v>5217.7</v>
      </c>
      <c r="G23" s="390"/>
      <c r="H23" s="336">
        <v>20.190000000000001</v>
      </c>
      <c r="I23" s="336"/>
      <c r="J23" s="336"/>
      <c r="K23" s="336">
        <v>105345.36</v>
      </c>
      <c r="L23" s="336">
        <f t="shared" si="0"/>
        <v>105345.36</v>
      </c>
      <c r="M23" s="336">
        <f t="shared" si="1"/>
        <v>105345.36</v>
      </c>
      <c r="N23" s="390">
        <f t="shared" si="2"/>
        <v>0</v>
      </c>
      <c r="O23" s="442"/>
      <c r="P23" s="231" t="s">
        <v>242</v>
      </c>
      <c r="Q23" s="11" t="s">
        <v>243</v>
      </c>
      <c r="R23" s="474"/>
      <c r="S23" s="339"/>
    </row>
    <row r="24" spans="1:19" ht="33">
      <c r="A24" s="343" t="s">
        <v>2166</v>
      </c>
      <c r="B24" s="344" t="s">
        <v>276</v>
      </c>
      <c r="C24" s="345" t="s">
        <v>6</v>
      </c>
      <c r="D24" s="340">
        <v>782.66</v>
      </c>
      <c r="E24" s="340">
        <v>782.66</v>
      </c>
      <c r="F24" s="336">
        <f>估驗單!F20</f>
        <v>782.66</v>
      </c>
      <c r="G24" s="390"/>
      <c r="H24" s="340">
        <v>2286.6799999999998</v>
      </c>
      <c r="I24" s="340"/>
      <c r="J24" s="340"/>
      <c r="K24" s="340">
        <v>1789692.97</v>
      </c>
      <c r="L24" s="336">
        <f t="shared" si="0"/>
        <v>1789692.97</v>
      </c>
      <c r="M24" s="336">
        <f t="shared" si="1"/>
        <v>1789692.97</v>
      </c>
      <c r="N24" s="390">
        <f t="shared" si="2"/>
        <v>0</v>
      </c>
      <c r="O24" s="442"/>
      <c r="P24" s="346" t="s">
        <v>2321</v>
      </c>
      <c r="Q24" s="347" t="s">
        <v>243</v>
      </c>
      <c r="R24" s="377"/>
      <c r="S24" s="349"/>
    </row>
    <row r="25" spans="1:19" ht="42.75">
      <c r="A25" s="333" t="s">
        <v>2167</v>
      </c>
      <c r="B25" s="334" t="s">
        <v>279</v>
      </c>
      <c r="C25" s="335" t="s">
        <v>14</v>
      </c>
      <c r="D25" s="336">
        <v>425</v>
      </c>
      <c r="E25" s="336">
        <v>425</v>
      </c>
      <c r="F25" s="336">
        <f>估驗單!F21</f>
        <v>425</v>
      </c>
      <c r="G25" s="390"/>
      <c r="H25" s="336">
        <v>521.15</v>
      </c>
      <c r="I25" s="336"/>
      <c r="J25" s="336"/>
      <c r="K25" s="336">
        <v>221488.75</v>
      </c>
      <c r="L25" s="336">
        <f t="shared" si="0"/>
        <v>221488.75</v>
      </c>
      <c r="M25" s="336">
        <f t="shared" si="1"/>
        <v>221488.75</v>
      </c>
      <c r="N25" s="390">
        <f t="shared" si="2"/>
        <v>0</v>
      </c>
      <c r="O25" s="442"/>
      <c r="P25" s="231" t="s">
        <v>2322</v>
      </c>
      <c r="Q25" s="11" t="s">
        <v>243</v>
      </c>
      <c r="R25" s="474"/>
      <c r="S25" s="339"/>
    </row>
    <row r="26" spans="1:19" ht="33">
      <c r="A26" s="382" t="s">
        <v>2168</v>
      </c>
      <c r="B26" s="383" t="s">
        <v>282</v>
      </c>
      <c r="C26" s="384" t="s">
        <v>8</v>
      </c>
      <c r="D26" s="385">
        <v>255.5</v>
      </c>
      <c r="E26" s="385">
        <v>255.5</v>
      </c>
      <c r="F26" s="385">
        <f>估驗單!F22</f>
        <v>415.08000000000004</v>
      </c>
      <c r="G26" s="391">
        <f t="shared" ref="G26:G89" si="3">F26-E26</f>
        <v>159.58000000000004</v>
      </c>
      <c r="H26" s="385">
        <v>289.67</v>
      </c>
      <c r="I26" s="385"/>
      <c r="J26" s="385"/>
      <c r="K26" s="385">
        <v>74010.69</v>
      </c>
      <c r="L26" s="385">
        <f t="shared" si="0"/>
        <v>74010.69</v>
      </c>
      <c r="M26" s="385">
        <f t="shared" si="1"/>
        <v>120236.22</v>
      </c>
      <c r="N26" s="391">
        <f t="shared" si="2"/>
        <v>46225.53</v>
      </c>
      <c r="O26" s="443"/>
      <c r="P26" s="386" t="s">
        <v>242</v>
      </c>
      <c r="Q26" s="11" t="s">
        <v>243</v>
      </c>
      <c r="R26" s="474" t="s">
        <v>2529</v>
      </c>
      <c r="S26" s="339"/>
    </row>
    <row r="27" spans="1:19" ht="33">
      <c r="A27" s="333" t="s">
        <v>2169</v>
      </c>
      <c r="B27" s="334" t="s">
        <v>285</v>
      </c>
      <c r="C27" s="335" t="s">
        <v>286</v>
      </c>
      <c r="D27" s="336">
        <v>2204</v>
      </c>
      <c r="E27" s="336">
        <v>2204</v>
      </c>
      <c r="F27" s="336">
        <f>估驗單!F23</f>
        <v>2204</v>
      </c>
      <c r="G27" s="390"/>
      <c r="H27" s="336">
        <v>3082.11</v>
      </c>
      <c r="I27" s="336"/>
      <c r="J27" s="336"/>
      <c r="K27" s="336">
        <v>6792970.4400000004</v>
      </c>
      <c r="L27" s="336">
        <f t="shared" si="0"/>
        <v>6792970.4400000004</v>
      </c>
      <c r="M27" s="336">
        <f t="shared" si="1"/>
        <v>6792970.4400000004</v>
      </c>
      <c r="N27" s="390">
        <f t="shared" si="2"/>
        <v>0</v>
      </c>
      <c r="O27" s="442"/>
      <c r="P27" s="231" t="s">
        <v>242</v>
      </c>
      <c r="Q27" s="11" t="s">
        <v>243</v>
      </c>
      <c r="R27" s="474"/>
      <c r="S27" s="339"/>
    </row>
    <row r="28" spans="1:19" ht="33">
      <c r="A28" s="333" t="s">
        <v>2170</v>
      </c>
      <c r="B28" s="334" t="s">
        <v>289</v>
      </c>
      <c r="C28" s="335" t="s">
        <v>290</v>
      </c>
      <c r="D28" s="336">
        <v>66</v>
      </c>
      <c r="E28" s="336">
        <v>66</v>
      </c>
      <c r="F28" s="336">
        <f>估驗單!F24</f>
        <v>66</v>
      </c>
      <c r="G28" s="390"/>
      <c r="H28" s="336">
        <v>3311.26</v>
      </c>
      <c r="I28" s="336"/>
      <c r="J28" s="336"/>
      <c r="K28" s="336">
        <v>218543.16</v>
      </c>
      <c r="L28" s="336">
        <f t="shared" si="0"/>
        <v>218543.16</v>
      </c>
      <c r="M28" s="336">
        <f t="shared" si="1"/>
        <v>218543.16</v>
      </c>
      <c r="N28" s="390">
        <f t="shared" si="2"/>
        <v>0</v>
      </c>
      <c r="O28" s="442"/>
      <c r="P28" s="231" t="s">
        <v>2323</v>
      </c>
      <c r="Q28" s="11" t="s">
        <v>243</v>
      </c>
      <c r="R28" s="474"/>
      <c r="S28" s="339"/>
    </row>
    <row r="29" spans="1:19" ht="33">
      <c r="A29" s="333" t="s">
        <v>2171</v>
      </c>
      <c r="B29" s="334" t="s">
        <v>293</v>
      </c>
      <c r="C29" s="335" t="s">
        <v>0</v>
      </c>
      <c r="D29" s="336">
        <v>18</v>
      </c>
      <c r="E29" s="336">
        <v>18</v>
      </c>
      <c r="F29" s="336">
        <f>估驗單!F25</f>
        <v>18</v>
      </c>
      <c r="G29" s="390"/>
      <c r="H29" s="336">
        <v>1199.93</v>
      </c>
      <c r="I29" s="336"/>
      <c r="J29" s="336"/>
      <c r="K29" s="336">
        <v>21598.74</v>
      </c>
      <c r="L29" s="336">
        <f t="shared" si="0"/>
        <v>21598.74</v>
      </c>
      <c r="M29" s="336">
        <f t="shared" si="1"/>
        <v>21598.74</v>
      </c>
      <c r="N29" s="390">
        <f t="shared" si="2"/>
        <v>0</v>
      </c>
      <c r="O29" s="442"/>
      <c r="P29" s="231" t="s">
        <v>2323</v>
      </c>
      <c r="Q29" s="11" t="s">
        <v>243</v>
      </c>
      <c r="R29" s="474"/>
      <c r="S29" s="339"/>
    </row>
    <row r="30" spans="1:19" ht="33">
      <c r="A30" s="333" t="s">
        <v>2172</v>
      </c>
      <c r="B30" s="334" t="s">
        <v>296</v>
      </c>
      <c r="C30" s="335" t="s">
        <v>0</v>
      </c>
      <c r="D30" s="336">
        <v>4</v>
      </c>
      <c r="E30" s="336">
        <v>4</v>
      </c>
      <c r="F30" s="336">
        <f>估驗單!F26</f>
        <v>4</v>
      </c>
      <c r="G30" s="390"/>
      <c r="H30" s="336">
        <v>2999.84</v>
      </c>
      <c r="I30" s="336"/>
      <c r="J30" s="336"/>
      <c r="K30" s="336">
        <v>11999.36</v>
      </c>
      <c r="L30" s="336">
        <f t="shared" si="0"/>
        <v>11999.36</v>
      </c>
      <c r="M30" s="336">
        <f t="shared" si="1"/>
        <v>11999.36</v>
      </c>
      <c r="N30" s="390">
        <f t="shared" si="2"/>
        <v>0</v>
      </c>
      <c r="O30" s="442"/>
      <c r="P30" s="231" t="s">
        <v>2323</v>
      </c>
      <c r="Q30" s="11" t="s">
        <v>243</v>
      </c>
      <c r="R30" s="474"/>
      <c r="S30" s="339"/>
    </row>
    <row r="31" spans="1:19" ht="33">
      <c r="A31" s="333" t="s">
        <v>2173</v>
      </c>
      <c r="B31" s="334" t="s">
        <v>299</v>
      </c>
      <c r="C31" s="335" t="s">
        <v>0</v>
      </c>
      <c r="D31" s="336">
        <v>20</v>
      </c>
      <c r="E31" s="336">
        <v>20</v>
      </c>
      <c r="F31" s="336">
        <f>估驗單!F27</f>
        <v>20</v>
      </c>
      <c r="G31" s="390"/>
      <c r="H31" s="336">
        <v>2999.84</v>
      </c>
      <c r="I31" s="336"/>
      <c r="J31" s="336"/>
      <c r="K31" s="336">
        <v>59996.800000000003</v>
      </c>
      <c r="L31" s="336">
        <f t="shared" si="0"/>
        <v>59996.800000000003</v>
      </c>
      <c r="M31" s="336">
        <f t="shared" si="1"/>
        <v>59996.800000000003</v>
      </c>
      <c r="N31" s="390">
        <f t="shared" si="2"/>
        <v>0</v>
      </c>
      <c r="O31" s="442"/>
      <c r="P31" s="231" t="s">
        <v>2323</v>
      </c>
      <c r="Q31" s="11" t="s">
        <v>243</v>
      </c>
      <c r="R31" s="474"/>
      <c r="S31" s="339"/>
    </row>
    <row r="32" spans="1:19" ht="33">
      <c r="A32" s="333" t="s">
        <v>2174</v>
      </c>
      <c r="B32" s="334" t="s">
        <v>302</v>
      </c>
      <c r="C32" s="335" t="s">
        <v>0</v>
      </c>
      <c r="D32" s="336">
        <v>15</v>
      </c>
      <c r="E32" s="336">
        <v>15</v>
      </c>
      <c r="F32" s="336">
        <f>估驗單!F28</f>
        <v>15</v>
      </c>
      <c r="G32" s="390"/>
      <c r="H32" s="336">
        <v>2999.84</v>
      </c>
      <c r="I32" s="336"/>
      <c r="J32" s="336"/>
      <c r="K32" s="336">
        <v>44997.599999999999</v>
      </c>
      <c r="L32" s="336">
        <f t="shared" si="0"/>
        <v>44997.599999999999</v>
      </c>
      <c r="M32" s="336">
        <f t="shared" si="1"/>
        <v>44997.599999999999</v>
      </c>
      <c r="N32" s="390">
        <f t="shared" si="2"/>
        <v>0</v>
      </c>
      <c r="O32" s="442"/>
      <c r="P32" s="231" t="s">
        <v>2323</v>
      </c>
      <c r="Q32" s="11" t="s">
        <v>243</v>
      </c>
      <c r="R32" s="474"/>
      <c r="S32" s="339"/>
    </row>
    <row r="33" spans="1:22" ht="33">
      <c r="A33" s="333" t="s">
        <v>2175</v>
      </c>
      <c r="B33" s="334" t="s">
        <v>305</v>
      </c>
      <c r="C33" s="335" t="s">
        <v>4</v>
      </c>
      <c r="D33" s="336">
        <v>1</v>
      </c>
      <c r="E33" s="336">
        <v>1</v>
      </c>
      <c r="F33" s="336">
        <f>估驗單!F29</f>
        <v>1</v>
      </c>
      <c r="G33" s="390"/>
      <c r="H33" s="336">
        <v>399978.19</v>
      </c>
      <c r="I33" s="336"/>
      <c r="J33" s="336"/>
      <c r="K33" s="336">
        <v>399978.19</v>
      </c>
      <c r="L33" s="336">
        <f t="shared" si="0"/>
        <v>399978.19</v>
      </c>
      <c r="M33" s="336">
        <f t="shared" si="1"/>
        <v>399978.19</v>
      </c>
      <c r="N33" s="390">
        <f t="shared" si="2"/>
        <v>0</v>
      </c>
      <c r="O33" s="442"/>
      <c r="P33" s="231" t="s">
        <v>2324</v>
      </c>
      <c r="Q33" s="11" t="s">
        <v>243</v>
      </c>
      <c r="R33" s="474"/>
      <c r="S33" s="339"/>
    </row>
    <row r="34" spans="1:22" ht="33">
      <c r="A34" s="333" t="s">
        <v>2177</v>
      </c>
      <c r="B34" s="334" t="s">
        <v>31</v>
      </c>
      <c r="C34" s="335" t="s">
        <v>16</v>
      </c>
      <c r="D34" s="336">
        <v>30800</v>
      </c>
      <c r="E34" s="336">
        <v>30800</v>
      </c>
      <c r="F34" s="336">
        <f>估驗單!F30</f>
        <v>30800</v>
      </c>
      <c r="G34" s="390">
        <f t="shared" si="3"/>
        <v>0</v>
      </c>
      <c r="H34" s="336">
        <v>280</v>
      </c>
      <c r="I34" s="336"/>
      <c r="J34" s="336"/>
      <c r="K34" s="336">
        <v>8624000</v>
      </c>
      <c r="L34" s="336">
        <f t="shared" si="0"/>
        <v>8624000</v>
      </c>
      <c r="M34" s="336">
        <f t="shared" si="1"/>
        <v>8624000</v>
      </c>
      <c r="N34" s="390">
        <f t="shared" si="2"/>
        <v>0</v>
      </c>
      <c r="O34" s="442"/>
      <c r="P34" s="231" t="s">
        <v>2325</v>
      </c>
      <c r="Q34" s="11" t="s">
        <v>243</v>
      </c>
      <c r="R34" s="474"/>
      <c r="S34" s="339"/>
    </row>
    <row r="35" spans="1:22" ht="33">
      <c r="A35" s="333" t="s">
        <v>2178</v>
      </c>
      <c r="B35" s="334" t="s">
        <v>1312</v>
      </c>
      <c r="C35" s="335" t="s">
        <v>13</v>
      </c>
      <c r="D35" s="336">
        <v>2150</v>
      </c>
      <c r="E35" s="336">
        <v>2150</v>
      </c>
      <c r="F35" s="336">
        <f>估驗單!F31</f>
        <v>2150</v>
      </c>
      <c r="G35" s="390">
        <f t="shared" si="3"/>
        <v>0</v>
      </c>
      <c r="H35" s="336">
        <v>70.56</v>
      </c>
      <c r="I35" s="336"/>
      <c r="J35" s="336"/>
      <c r="K35" s="336">
        <v>151704</v>
      </c>
      <c r="L35" s="336">
        <f t="shared" si="0"/>
        <v>151704</v>
      </c>
      <c r="M35" s="336">
        <f t="shared" si="1"/>
        <v>151704</v>
      </c>
      <c r="N35" s="390">
        <f t="shared" si="2"/>
        <v>0</v>
      </c>
      <c r="O35" s="442"/>
      <c r="P35" s="231" t="s">
        <v>2326</v>
      </c>
      <c r="Q35" s="11" t="s">
        <v>243</v>
      </c>
      <c r="R35" s="474"/>
      <c r="S35" s="339"/>
    </row>
    <row r="36" spans="1:22" s="352" customFormat="1" ht="33.75">
      <c r="A36" s="343">
        <v>25</v>
      </c>
      <c r="B36" s="344" t="s">
        <v>2327</v>
      </c>
      <c r="C36" s="335" t="s">
        <v>2328</v>
      </c>
      <c r="D36" s="340">
        <v>0</v>
      </c>
      <c r="E36" s="340">
        <v>111</v>
      </c>
      <c r="F36" s="336">
        <f>估驗單!F32</f>
        <v>111</v>
      </c>
      <c r="G36" s="390">
        <f t="shared" si="3"/>
        <v>0</v>
      </c>
      <c r="H36" s="340">
        <v>0</v>
      </c>
      <c r="I36" s="340"/>
      <c r="J36" s="340">
        <v>20000</v>
      </c>
      <c r="K36" s="340">
        <v>0</v>
      </c>
      <c r="L36" s="336">
        <f>ROUND(E36*J36,2)</f>
        <v>2220000</v>
      </c>
      <c r="M36" s="336">
        <f>ROUND(F36*J36,2)</f>
        <v>2220000</v>
      </c>
      <c r="N36" s="390">
        <f t="shared" si="2"/>
        <v>0</v>
      </c>
      <c r="O36" s="442"/>
      <c r="P36" s="350" t="s">
        <v>2329</v>
      </c>
      <c r="Q36" s="347" t="s">
        <v>243</v>
      </c>
      <c r="R36" s="377" t="s">
        <v>2330</v>
      </c>
      <c r="S36" s="351" t="s">
        <v>2331</v>
      </c>
      <c r="T36" s="325" t="s">
        <v>2332</v>
      </c>
      <c r="V36" s="353" t="s">
        <v>2333</v>
      </c>
    </row>
    <row r="37" spans="1:22" ht="33">
      <c r="A37" s="406" t="s">
        <v>2180</v>
      </c>
      <c r="B37" s="407" t="s">
        <v>309</v>
      </c>
      <c r="C37" s="408" t="s">
        <v>4</v>
      </c>
      <c r="D37" s="409">
        <v>1</v>
      </c>
      <c r="E37" s="409"/>
      <c r="F37" s="409">
        <f>估驗單!F33</f>
        <v>0</v>
      </c>
      <c r="G37" s="410">
        <f t="shared" si="3"/>
        <v>0</v>
      </c>
      <c r="H37" s="409">
        <v>30807124.300000001</v>
      </c>
      <c r="I37" s="409"/>
      <c r="J37" s="409"/>
      <c r="K37" s="409">
        <v>30807124.300000001</v>
      </c>
      <c r="L37" s="409">
        <f>SUM(L38:L122)</f>
        <v>30807124.299999997</v>
      </c>
      <c r="M37" s="409">
        <f>SUM(M38:M122)</f>
        <v>30875070.43</v>
      </c>
      <c r="N37" s="409">
        <f>SUM(N38:N122)</f>
        <v>67946.13</v>
      </c>
      <c r="O37" s="454">
        <f>SUM(O38:O122)</f>
        <v>0</v>
      </c>
      <c r="P37" s="288" t="s">
        <v>242</v>
      </c>
      <c r="Q37" s="11" t="s">
        <v>243</v>
      </c>
      <c r="R37" s="478"/>
      <c r="S37" s="339"/>
    </row>
    <row r="38" spans="1:22" ht="33">
      <c r="A38" s="333" t="s">
        <v>2154</v>
      </c>
      <c r="B38" s="334" t="s">
        <v>310</v>
      </c>
      <c r="C38" s="335" t="s">
        <v>223</v>
      </c>
      <c r="D38" s="336">
        <v>1887.64</v>
      </c>
      <c r="E38" s="336">
        <v>1887.64</v>
      </c>
      <c r="F38" s="336">
        <f>估驗單!F34</f>
        <v>1887.64</v>
      </c>
      <c r="G38" s="390">
        <f t="shared" si="3"/>
        <v>0</v>
      </c>
      <c r="H38" s="336">
        <v>320.72000000000003</v>
      </c>
      <c r="I38" s="336"/>
      <c r="J38" s="336"/>
      <c r="K38" s="336">
        <v>605403.9</v>
      </c>
      <c r="L38" s="336">
        <f t="shared" si="0"/>
        <v>605403.9</v>
      </c>
      <c r="M38" s="336">
        <f t="shared" si="1"/>
        <v>605403.9</v>
      </c>
      <c r="N38" s="390">
        <f t="shared" ref="N38:N101" si="4">IF(L38-M38&lt;0+AND(L38&lt;&gt;0),M38-L38,"      ")</f>
        <v>0</v>
      </c>
      <c r="O38" s="442"/>
      <c r="P38" s="231" t="s">
        <v>242</v>
      </c>
      <c r="Q38" s="11" t="s">
        <v>243</v>
      </c>
      <c r="R38" s="474"/>
      <c r="S38" s="339"/>
    </row>
    <row r="39" spans="1:22" ht="33">
      <c r="A39" s="333" t="s">
        <v>2155</v>
      </c>
      <c r="B39" s="334" t="s">
        <v>312</v>
      </c>
      <c r="C39" s="335" t="s">
        <v>223</v>
      </c>
      <c r="D39" s="336">
        <v>402.21</v>
      </c>
      <c r="E39" s="336">
        <v>402.21</v>
      </c>
      <c r="F39" s="336">
        <f>估驗單!F35</f>
        <v>402.21</v>
      </c>
      <c r="G39" s="390">
        <f t="shared" si="3"/>
        <v>0</v>
      </c>
      <c r="H39" s="336">
        <v>346.06</v>
      </c>
      <c r="I39" s="336"/>
      <c r="J39" s="336"/>
      <c r="K39" s="336">
        <v>139188.79</v>
      </c>
      <c r="L39" s="336">
        <f t="shared" si="0"/>
        <v>139188.79</v>
      </c>
      <c r="M39" s="336">
        <f t="shared" si="1"/>
        <v>139188.79</v>
      </c>
      <c r="N39" s="390">
        <f t="shared" si="4"/>
        <v>0</v>
      </c>
      <c r="O39" s="442"/>
      <c r="P39" s="231" t="s">
        <v>242</v>
      </c>
      <c r="Q39" s="11" t="s">
        <v>243</v>
      </c>
      <c r="R39" s="474"/>
      <c r="S39" s="339"/>
    </row>
    <row r="40" spans="1:22" ht="42.75">
      <c r="A40" s="333" t="s">
        <v>2156</v>
      </c>
      <c r="B40" s="334" t="s">
        <v>192</v>
      </c>
      <c r="C40" s="335" t="s">
        <v>17</v>
      </c>
      <c r="D40" s="336">
        <v>18865.759999999998</v>
      </c>
      <c r="E40" s="336">
        <v>18865.759999999998</v>
      </c>
      <c r="F40" s="336">
        <f>估驗單!F36</f>
        <v>18865.759999999998</v>
      </c>
      <c r="G40" s="390">
        <f t="shared" si="3"/>
        <v>0</v>
      </c>
      <c r="H40" s="336">
        <v>36.4</v>
      </c>
      <c r="I40" s="336"/>
      <c r="J40" s="336"/>
      <c r="K40" s="336">
        <v>686713.66</v>
      </c>
      <c r="L40" s="336">
        <f t="shared" si="0"/>
        <v>686713.66</v>
      </c>
      <c r="M40" s="336">
        <f t="shared" si="1"/>
        <v>686713.66</v>
      </c>
      <c r="N40" s="390">
        <f t="shared" si="4"/>
        <v>0</v>
      </c>
      <c r="O40" s="442"/>
      <c r="P40" s="231" t="s">
        <v>2334</v>
      </c>
      <c r="Q40" s="11" t="s">
        <v>243</v>
      </c>
      <c r="R40" s="474"/>
      <c r="S40" s="339"/>
    </row>
    <row r="41" spans="1:22" ht="33">
      <c r="A41" s="333" t="s">
        <v>2157</v>
      </c>
      <c r="B41" s="334" t="s">
        <v>315</v>
      </c>
      <c r="C41" s="335" t="s">
        <v>6</v>
      </c>
      <c r="D41" s="336">
        <v>107.91</v>
      </c>
      <c r="E41" s="336">
        <v>107.91</v>
      </c>
      <c r="F41" s="336">
        <f>估驗單!F37</f>
        <v>107.91</v>
      </c>
      <c r="G41" s="390">
        <f t="shared" si="3"/>
        <v>0</v>
      </c>
      <c r="H41" s="336">
        <v>3114.97</v>
      </c>
      <c r="I41" s="336"/>
      <c r="J41" s="336"/>
      <c r="K41" s="336">
        <v>336136.41</v>
      </c>
      <c r="L41" s="336">
        <f t="shared" si="0"/>
        <v>336136.41</v>
      </c>
      <c r="M41" s="336">
        <f t="shared" si="1"/>
        <v>336136.41</v>
      </c>
      <c r="N41" s="390">
        <f t="shared" si="4"/>
        <v>0</v>
      </c>
      <c r="O41" s="442"/>
      <c r="P41" s="231" t="s">
        <v>242</v>
      </c>
      <c r="Q41" s="11" t="s">
        <v>243</v>
      </c>
      <c r="R41" s="474"/>
      <c r="S41" s="339"/>
    </row>
    <row r="42" spans="1:22" ht="33">
      <c r="A42" s="333" t="s">
        <v>2158</v>
      </c>
      <c r="B42" s="334" t="s">
        <v>24</v>
      </c>
      <c r="C42" s="335" t="s">
        <v>6</v>
      </c>
      <c r="D42" s="336">
        <v>564.01</v>
      </c>
      <c r="E42" s="336">
        <v>564.01</v>
      </c>
      <c r="F42" s="336">
        <f>估驗單!F38</f>
        <v>564.01</v>
      </c>
      <c r="G42" s="390">
        <f t="shared" si="3"/>
        <v>0</v>
      </c>
      <c r="H42" s="336">
        <v>3320.96</v>
      </c>
      <c r="I42" s="336"/>
      <c r="J42" s="336"/>
      <c r="K42" s="336">
        <v>1873054.65</v>
      </c>
      <c r="L42" s="336">
        <f t="shared" si="0"/>
        <v>1873054.65</v>
      </c>
      <c r="M42" s="336">
        <f t="shared" si="1"/>
        <v>1873054.65</v>
      </c>
      <c r="N42" s="390">
        <f t="shared" si="4"/>
        <v>0</v>
      </c>
      <c r="O42" s="442"/>
      <c r="P42" s="231" t="s">
        <v>242</v>
      </c>
      <c r="Q42" s="11" t="s">
        <v>243</v>
      </c>
      <c r="R42" s="474"/>
      <c r="S42" s="339"/>
    </row>
    <row r="43" spans="1:22" ht="85.5">
      <c r="A43" s="333" t="s">
        <v>2159</v>
      </c>
      <c r="B43" s="334" t="s">
        <v>193</v>
      </c>
      <c r="C43" s="335" t="s">
        <v>13</v>
      </c>
      <c r="D43" s="336">
        <v>1926.87</v>
      </c>
      <c r="E43" s="336">
        <v>1926.87</v>
      </c>
      <c r="F43" s="336">
        <f>估驗單!F39</f>
        <v>1926.87</v>
      </c>
      <c r="G43" s="390">
        <f t="shared" si="3"/>
        <v>0</v>
      </c>
      <c r="H43" s="336">
        <v>533.61</v>
      </c>
      <c r="I43" s="336"/>
      <c r="J43" s="336"/>
      <c r="K43" s="336">
        <v>1028197.1</v>
      </c>
      <c r="L43" s="336">
        <f t="shared" si="0"/>
        <v>1028197.1</v>
      </c>
      <c r="M43" s="336">
        <f t="shared" si="1"/>
        <v>1028197.1</v>
      </c>
      <c r="N43" s="390">
        <f t="shared" si="4"/>
        <v>0</v>
      </c>
      <c r="O43" s="442"/>
      <c r="P43" s="231" t="s">
        <v>2335</v>
      </c>
      <c r="Q43" s="11" t="s">
        <v>243</v>
      </c>
      <c r="R43" s="474"/>
      <c r="S43" s="339"/>
    </row>
    <row r="44" spans="1:22" ht="57">
      <c r="A44" s="333" t="s">
        <v>2160</v>
      </c>
      <c r="B44" s="334" t="s">
        <v>319</v>
      </c>
      <c r="C44" s="335" t="s">
        <v>13</v>
      </c>
      <c r="D44" s="336">
        <v>301.33</v>
      </c>
      <c r="E44" s="336">
        <v>301.33</v>
      </c>
      <c r="F44" s="336">
        <f>估驗單!F40</f>
        <v>301.33</v>
      </c>
      <c r="G44" s="390">
        <f t="shared" si="3"/>
        <v>0</v>
      </c>
      <c r="H44" s="336">
        <v>1299.82</v>
      </c>
      <c r="I44" s="336"/>
      <c r="J44" s="336"/>
      <c r="K44" s="336">
        <v>391674.76</v>
      </c>
      <c r="L44" s="336">
        <f t="shared" si="0"/>
        <v>391674.76</v>
      </c>
      <c r="M44" s="336">
        <f t="shared" si="1"/>
        <v>391674.76</v>
      </c>
      <c r="N44" s="390">
        <f t="shared" si="4"/>
        <v>0</v>
      </c>
      <c r="O44" s="442"/>
      <c r="P44" s="231" t="s">
        <v>2336</v>
      </c>
      <c r="Q44" s="11" t="s">
        <v>243</v>
      </c>
      <c r="R44" s="474"/>
      <c r="S44" s="339"/>
    </row>
    <row r="45" spans="1:22" ht="57">
      <c r="A45" s="333" t="s">
        <v>2161</v>
      </c>
      <c r="B45" s="334" t="s">
        <v>321</v>
      </c>
      <c r="C45" s="335" t="s">
        <v>17</v>
      </c>
      <c r="D45" s="336">
        <v>5991.34</v>
      </c>
      <c r="E45" s="336">
        <v>5991.34</v>
      </c>
      <c r="F45" s="336">
        <f>估驗單!F41</f>
        <v>5991.34</v>
      </c>
      <c r="G45" s="390">
        <f t="shared" si="3"/>
        <v>0</v>
      </c>
      <c r="H45" s="336">
        <v>60</v>
      </c>
      <c r="I45" s="336"/>
      <c r="J45" s="336"/>
      <c r="K45" s="336">
        <v>359480.4</v>
      </c>
      <c r="L45" s="336">
        <f t="shared" si="0"/>
        <v>359480.4</v>
      </c>
      <c r="M45" s="336">
        <f t="shared" si="1"/>
        <v>359480.4</v>
      </c>
      <c r="N45" s="390">
        <f t="shared" si="4"/>
        <v>0</v>
      </c>
      <c r="O45" s="442"/>
      <c r="P45" s="231" t="s">
        <v>2337</v>
      </c>
      <c r="Q45" s="11" t="s">
        <v>243</v>
      </c>
      <c r="R45" s="474"/>
      <c r="S45" s="339"/>
    </row>
    <row r="46" spans="1:22" ht="33">
      <c r="A46" s="333" t="s">
        <v>2162</v>
      </c>
      <c r="B46" s="334" t="s">
        <v>323</v>
      </c>
      <c r="C46" s="335" t="s">
        <v>17</v>
      </c>
      <c r="D46" s="336">
        <v>5991.34</v>
      </c>
      <c r="E46" s="336">
        <v>5991.34</v>
      </c>
      <c r="F46" s="336">
        <f>估驗單!F42</f>
        <v>5991.34</v>
      </c>
      <c r="G46" s="390">
        <f t="shared" si="3"/>
        <v>0</v>
      </c>
      <c r="H46" s="336">
        <v>31.9</v>
      </c>
      <c r="I46" s="336"/>
      <c r="J46" s="336"/>
      <c r="K46" s="336">
        <v>191123.75</v>
      </c>
      <c r="L46" s="336">
        <f t="shared" si="0"/>
        <v>191123.75</v>
      </c>
      <c r="M46" s="336">
        <f t="shared" si="1"/>
        <v>191123.75</v>
      </c>
      <c r="N46" s="390">
        <f t="shared" si="4"/>
        <v>0</v>
      </c>
      <c r="O46" s="442"/>
      <c r="P46" s="231" t="s">
        <v>242</v>
      </c>
      <c r="Q46" s="11" t="s">
        <v>243</v>
      </c>
      <c r="R46" s="474"/>
      <c r="S46" s="339"/>
    </row>
    <row r="47" spans="1:22" ht="57">
      <c r="A47" s="333" t="s">
        <v>2163</v>
      </c>
      <c r="B47" s="334" t="s">
        <v>325</v>
      </c>
      <c r="C47" s="335" t="s">
        <v>17</v>
      </c>
      <c r="D47" s="336">
        <v>1180.03</v>
      </c>
      <c r="E47" s="336">
        <v>1180.03</v>
      </c>
      <c r="F47" s="336">
        <f>估驗單!F43</f>
        <v>1180.03</v>
      </c>
      <c r="G47" s="390">
        <f t="shared" si="3"/>
        <v>0</v>
      </c>
      <c r="H47" s="336">
        <v>107.3</v>
      </c>
      <c r="I47" s="336"/>
      <c r="J47" s="336"/>
      <c r="K47" s="336">
        <v>126617.22</v>
      </c>
      <c r="L47" s="336">
        <f t="shared" si="0"/>
        <v>126617.22</v>
      </c>
      <c r="M47" s="336">
        <f t="shared" si="1"/>
        <v>126617.22</v>
      </c>
      <c r="N47" s="390">
        <f t="shared" si="4"/>
        <v>0</v>
      </c>
      <c r="O47" s="442"/>
      <c r="P47" s="231" t="s">
        <v>2337</v>
      </c>
      <c r="Q47" s="11" t="s">
        <v>243</v>
      </c>
      <c r="R47" s="474"/>
      <c r="S47" s="339"/>
    </row>
    <row r="48" spans="1:22" ht="33">
      <c r="A48" s="333" t="s">
        <v>2164</v>
      </c>
      <c r="B48" s="334" t="s">
        <v>327</v>
      </c>
      <c r="C48" s="335" t="s">
        <v>13</v>
      </c>
      <c r="D48" s="336">
        <v>3879.21</v>
      </c>
      <c r="E48" s="336">
        <v>3879.21</v>
      </c>
      <c r="F48" s="336">
        <f>估驗單!F44</f>
        <v>3879.21</v>
      </c>
      <c r="G48" s="390">
        <f t="shared" si="3"/>
        <v>0</v>
      </c>
      <c r="H48" s="336">
        <v>3092.69</v>
      </c>
      <c r="I48" s="336"/>
      <c r="J48" s="336"/>
      <c r="K48" s="336">
        <v>11997193.970000001</v>
      </c>
      <c r="L48" s="336">
        <f t="shared" si="0"/>
        <v>11997193.970000001</v>
      </c>
      <c r="M48" s="336">
        <f t="shared" si="1"/>
        <v>11997193.970000001</v>
      </c>
      <c r="N48" s="390">
        <f t="shared" si="4"/>
        <v>0</v>
      </c>
      <c r="O48" s="442"/>
      <c r="P48" s="231" t="s">
        <v>242</v>
      </c>
      <c r="Q48" s="11" t="s">
        <v>243</v>
      </c>
      <c r="R48" s="474"/>
      <c r="S48" s="339"/>
    </row>
    <row r="49" spans="1:19" ht="33">
      <c r="A49" s="333" t="s">
        <v>2165</v>
      </c>
      <c r="B49" s="334" t="s">
        <v>329</v>
      </c>
      <c r="C49" s="335" t="s">
        <v>13</v>
      </c>
      <c r="D49" s="336">
        <v>462.9</v>
      </c>
      <c r="E49" s="336">
        <v>462.9</v>
      </c>
      <c r="F49" s="336">
        <f>估驗單!F45</f>
        <v>462.9</v>
      </c>
      <c r="G49" s="390">
        <f t="shared" si="3"/>
        <v>0</v>
      </c>
      <c r="H49" s="336">
        <v>3961.37</v>
      </c>
      <c r="I49" s="336"/>
      <c r="J49" s="336"/>
      <c r="K49" s="336">
        <v>1833718.17</v>
      </c>
      <c r="L49" s="336">
        <f t="shared" si="0"/>
        <v>1833718.17</v>
      </c>
      <c r="M49" s="336">
        <f t="shared" si="1"/>
        <v>1833718.17</v>
      </c>
      <c r="N49" s="390">
        <f t="shared" si="4"/>
        <v>0</v>
      </c>
      <c r="O49" s="442"/>
      <c r="P49" s="231" t="s">
        <v>242</v>
      </c>
      <c r="Q49" s="11" t="s">
        <v>243</v>
      </c>
      <c r="R49" s="474"/>
      <c r="S49" s="339"/>
    </row>
    <row r="50" spans="1:19" ht="33">
      <c r="A50" s="382" t="s">
        <v>2166</v>
      </c>
      <c r="B50" s="383" t="s">
        <v>331</v>
      </c>
      <c r="C50" s="384" t="s">
        <v>13</v>
      </c>
      <c r="D50" s="385">
        <v>5.09</v>
      </c>
      <c r="E50" s="385">
        <v>5.09</v>
      </c>
      <c r="F50" s="385">
        <f>估驗單!F46</f>
        <v>5.09</v>
      </c>
      <c r="G50" s="391">
        <f t="shared" si="3"/>
        <v>0</v>
      </c>
      <c r="H50" s="385">
        <v>3965.59</v>
      </c>
      <c r="I50" s="385"/>
      <c r="J50" s="385"/>
      <c r="K50" s="385">
        <v>20184.849999999999</v>
      </c>
      <c r="L50" s="385">
        <f t="shared" si="0"/>
        <v>20184.849999999999</v>
      </c>
      <c r="M50" s="385">
        <f t="shared" si="1"/>
        <v>20184.849999999999</v>
      </c>
      <c r="N50" s="391">
        <f t="shared" si="4"/>
        <v>0</v>
      </c>
      <c r="O50" s="443"/>
      <c r="P50" s="386" t="s">
        <v>242</v>
      </c>
      <c r="Q50" s="11" t="s">
        <v>243</v>
      </c>
      <c r="R50" s="474" t="s">
        <v>2530</v>
      </c>
      <c r="S50" s="339"/>
    </row>
    <row r="51" spans="1:19" ht="33">
      <c r="A51" s="333" t="s">
        <v>2167</v>
      </c>
      <c r="B51" s="334" t="s">
        <v>333</v>
      </c>
      <c r="C51" s="335" t="s">
        <v>13</v>
      </c>
      <c r="D51" s="336">
        <v>18.760000000000002</v>
      </c>
      <c r="E51" s="336">
        <v>18.760000000000002</v>
      </c>
      <c r="F51" s="336">
        <f>估驗單!F47</f>
        <v>18.760000000000002</v>
      </c>
      <c r="G51" s="390">
        <f t="shared" si="3"/>
        <v>0</v>
      </c>
      <c r="H51" s="336">
        <v>3391.22</v>
      </c>
      <c r="I51" s="336"/>
      <c r="J51" s="336"/>
      <c r="K51" s="336">
        <v>63619.29</v>
      </c>
      <c r="L51" s="336">
        <f t="shared" si="0"/>
        <v>63619.29</v>
      </c>
      <c r="M51" s="336">
        <f t="shared" si="1"/>
        <v>63619.29</v>
      </c>
      <c r="N51" s="390">
        <f t="shared" si="4"/>
        <v>0</v>
      </c>
      <c r="O51" s="442"/>
      <c r="P51" s="231" t="s">
        <v>242</v>
      </c>
      <c r="Q51" s="11" t="s">
        <v>243</v>
      </c>
      <c r="R51" s="474"/>
      <c r="S51" s="339"/>
    </row>
    <row r="52" spans="1:19" ht="33">
      <c r="A52" s="333" t="s">
        <v>2168</v>
      </c>
      <c r="B52" s="334" t="s">
        <v>335</v>
      </c>
      <c r="C52" s="335" t="s">
        <v>13</v>
      </c>
      <c r="D52" s="336">
        <v>118.92</v>
      </c>
      <c r="E52" s="336">
        <v>118.92</v>
      </c>
      <c r="F52" s="336">
        <f>估驗單!F48</f>
        <v>118.92</v>
      </c>
      <c r="G52" s="390">
        <f t="shared" si="3"/>
        <v>0</v>
      </c>
      <c r="H52" s="336">
        <v>773.85</v>
      </c>
      <c r="I52" s="336"/>
      <c r="J52" s="336"/>
      <c r="K52" s="336">
        <v>92026.240000000005</v>
      </c>
      <c r="L52" s="336">
        <f t="shared" si="0"/>
        <v>92026.240000000005</v>
      </c>
      <c r="M52" s="336">
        <f t="shared" si="1"/>
        <v>92026.240000000005</v>
      </c>
      <c r="N52" s="390">
        <f t="shared" si="4"/>
        <v>0</v>
      </c>
      <c r="O52" s="442"/>
      <c r="P52" s="231" t="s">
        <v>242</v>
      </c>
      <c r="Q52" s="11" t="s">
        <v>243</v>
      </c>
      <c r="R52" s="474"/>
      <c r="S52" s="339"/>
    </row>
    <row r="53" spans="1:19" ht="33">
      <c r="A53" s="333" t="s">
        <v>2169</v>
      </c>
      <c r="B53" s="334" t="s">
        <v>337</v>
      </c>
      <c r="C53" s="335" t="s">
        <v>13</v>
      </c>
      <c r="D53" s="336">
        <v>173.3</v>
      </c>
      <c r="E53" s="336">
        <v>173.3</v>
      </c>
      <c r="F53" s="336">
        <f>估驗單!F49</f>
        <v>173.3</v>
      </c>
      <c r="G53" s="390">
        <f t="shared" si="3"/>
        <v>0</v>
      </c>
      <c r="H53" s="336">
        <v>948.34</v>
      </c>
      <c r="I53" s="336"/>
      <c r="J53" s="336"/>
      <c r="K53" s="336">
        <v>164347.32</v>
      </c>
      <c r="L53" s="336">
        <f t="shared" si="0"/>
        <v>164347.32</v>
      </c>
      <c r="M53" s="336">
        <f t="shared" si="1"/>
        <v>164347.32</v>
      </c>
      <c r="N53" s="390">
        <f t="shared" si="4"/>
        <v>0</v>
      </c>
      <c r="O53" s="442"/>
      <c r="P53" s="231" t="s">
        <v>242</v>
      </c>
      <c r="Q53" s="11" t="s">
        <v>243</v>
      </c>
      <c r="R53" s="474"/>
      <c r="S53" s="339"/>
    </row>
    <row r="54" spans="1:19" ht="33">
      <c r="A54" s="333" t="s">
        <v>2170</v>
      </c>
      <c r="B54" s="334" t="s">
        <v>339</v>
      </c>
      <c r="C54" s="335" t="s">
        <v>0</v>
      </c>
      <c r="D54" s="336">
        <v>1</v>
      </c>
      <c r="E54" s="336">
        <v>1</v>
      </c>
      <c r="F54" s="336">
        <f>估驗單!F50</f>
        <v>1</v>
      </c>
      <c r="G54" s="390">
        <f t="shared" si="3"/>
        <v>0</v>
      </c>
      <c r="H54" s="336">
        <v>144378.63</v>
      </c>
      <c r="I54" s="336"/>
      <c r="J54" s="336"/>
      <c r="K54" s="336">
        <v>144378.63</v>
      </c>
      <c r="L54" s="336">
        <f t="shared" si="0"/>
        <v>144378.63</v>
      </c>
      <c r="M54" s="336">
        <f t="shared" si="1"/>
        <v>144378.63</v>
      </c>
      <c r="N54" s="390">
        <f t="shared" si="4"/>
        <v>0</v>
      </c>
      <c r="O54" s="442"/>
      <c r="P54" s="231" t="s">
        <v>242</v>
      </c>
      <c r="Q54" s="11" t="s">
        <v>243</v>
      </c>
      <c r="R54" s="474"/>
      <c r="S54" s="339"/>
    </row>
    <row r="55" spans="1:19" ht="33">
      <c r="A55" s="333" t="s">
        <v>2171</v>
      </c>
      <c r="B55" s="334" t="s">
        <v>341</v>
      </c>
      <c r="C55" s="335" t="s">
        <v>223</v>
      </c>
      <c r="D55" s="336">
        <v>156.68</v>
      </c>
      <c r="E55" s="336">
        <v>156.68</v>
      </c>
      <c r="F55" s="336">
        <f>估驗單!F51</f>
        <v>156.68</v>
      </c>
      <c r="G55" s="390">
        <f t="shared" si="3"/>
        <v>0</v>
      </c>
      <c r="H55" s="336">
        <v>145.21</v>
      </c>
      <c r="I55" s="336"/>
      <c r="J55" s="336"/>
      <c r="K55" s="336">
        <v>22751.5</v>
      </c>
      <c r="L55" s="336">
        <f t="shared" si="0"/>
        <v>22751.5</v>
      </c>
      <c r="M55" s="336">
        <f t="shared" si="1"/>
        <v>22751.5</v>
      </c>
      <c r="N55" s="390">
        <f t="shared" si="4"/>
        <v>0</v>
      </c>
      <c r="O55" s="442"/>
      <c r="P55" s="231" t="s">
        <v>242</v>
      </c>
      <c r="Q55" s="11" t="s">
        <v>243</v>
      </c>
      <c r="R55" s="474"/>
      <c r="S55" s="339"/>
    </row>
    <row r="56" spans="1:19" ht="33">
      <c r="A56" s="333" t="s">
        <v>2172</v>
      </c>
      <c r="B56" s="334" t="s">
        <v>343</v>
      </c>
      <c r="C56" s="335" t="s">
        <v>8</v>
      </c>
      <c r="D56" s="336">
        <v>689.86</v>
      </c>
      <c r="E56" s="336">
        <v>689.86</v>
      </c>
      <c r="F56" s="336">
        <f>估驗單!F52</f>
        <v>689.86</v>
      </c>
      <c r="G56" s="390">
        <f t="shared" si="3"/>
        <v>0</v>
      </c>
      <c r="H56" s="336">
        <v>2755.78</v>
      </c>
      <c r="I56" s="336"/>
      <c r="J56" s="336"/>
      <c r="K56" s="336">
        <v>1901102.39</v>
      </c>
      <c r="L56" s="336">
        <f t="shared" si="0"/>
        <v>1901102.39</v>
      </c>
      <c r="M56" s="336">
        <f t="shared" si="1"/>
        <v>1901102.39</v>
      </c>
      <c r="N56" s="390">
        <f t="shared" si="4"/>
        <v>0</v>
      </c>
      <c r="O56" s="442"/>
      <c r="P56" s="231" t="s">
        <v>2321</v>
      </c>
      <c r="Q56" s="11" t="s">
        <v>243</v>
      </c>
      <c r="R56" s="474"/>
      <c r="S56" s="339"/>
    </row>
    <row r="57" spans="1:19" ht="33">
      <c r="A57" s="333" t="s">
        <v>2173</v>
      </c>
      <c r="B57" s="334" t="s">
        <v>345</v>
      </c>
      <c r="C57" s="335" t="s">
        <v>8</v>
      </c>
      <c r="D57" s="336">
        <v>12.91</v>
      </c>
      <c r="E57" s="336">
        <v>12.91</v>
      </c>
      <c r="F57" s="336">
        <f>估驗單!F53</f>
        <v>12.91</v>
      </c>
      <c r="G57" s="390">
        <f t="shared" si="3"/>
        <v>0</v>
      </c>
      <c r="H57" s="336">
        <v>576.77</v>
      </c>
      <c r="I57" s="336"/>
      <c r="J57" s="336"/>
      <c r="K57" s="336">
        <v>7446.1</v>
      </c>
      <c r="L57" s="336">
        <f t="shared" si="0"/>
        <v>7446.1</v>
      </c>
      <c r="M57" s="336">
        <f t="shared" si="1"/>
        <v>7446.1</v>
      </c>
      <c r="N57" s="390">
        <f t="shared" si="4"/>
        <v>0</v>
      </c>
      <c r="O57" s="442"/>
      <c r="P57" s="231" t="s">
        <v>2321</v>
      </c>
      <c r="Q57" s="11" t="s">
        <v>243</v>
      </c>
      <c r="R57" s="474"/>
      <c r="S57" s="339"/>
    </row>
    <row r="58" spans="1:19" ht="33">
      <c r="A58" s="333" t="s">
        <v>2174</v>
      </c>
      <c r="B58" s="334" t="s">
        <v>347</v>
      </c>
      <c r="C58" s="335" t="s">
        <v>8</v>
      </c>
      <c r="D58" s="336">
        <v>56.09</v>
      </c>
      <c r="E58" s="336">
        <v>56.09</v>
      </c>
      <c r="F58" s="336">
        <f>估驗單!F54</f>
        <v>56.09</v>
      </c>
      <c r="G58" s="390">
        <f t="shared" si="3"/>
        <v>0</v>
      </c>
      <c r="H58" s="336">
        <v>615.30999999999995</v>
      </c>
      <c r="I58" s="336"/>
      <c r="J58" s="336"/>
      <c r="K58" s="336">
        <v>34512.74</v>
      </c>
      <c r="L58" s="336">
        <f t="shared" si="0"/>
        <v>34512.74</v>
      </c>
      <c r="M58" s="336">
        <f t="shared" si="1"/>
        <v>34512.74</v>
      </c>
      <c r="N58" s="390">
        <f t="shared" si="4"/>
        <v>0</v>
      </c>
      <c r="O58" s="442"/>
      <c r="P58" s="231" t="s">
        <v>242</v>
      </c>
      <c r="Q58" s="11" t="s">
        <v>243</v>
      </c>
      <c r="R58" s="474"/>
      <c r="S58" s="339"/>
    </row>
    <row r="59" spans="1:19" ht="33">
      <c r="A59" s="333" t="s">
        <v>2175</v>
      </c>
      <c r="B59" s="334" t="s">
        <v>349</v>
      </c>
      <c r="C59" s="335" t="s">
        <v>8</v>
      </c>
      <c r="D59" s="336">
        <v>656.91</v>
      </c>
      <c r="E59" s="336">
        <v>656.91</v>
      </c>
      <c r="F59" s="336">
        <f>估驗單!F55</f>
        <v>656.91</v>
      </c>
      <c r="G59" s="390">
        <f t="shared" si="3"/>
        <v>0</v>
      </c>
      <c r="H59" s="336">
        <v>685.27</v>
      </c>
      <c r="I59" s="336"/>
      <c r="J59" s="336"/>
      <c r="K59" s="336">
        <v>450160.72</v>
      </c>
      <c r="L59" s="336">
        <f t="shared" si="0"/>
        <v>450160.72</v>
      </c>
      <c r="M59" s="336">
        <f t="shared" si="1"/>
        <v>450160.72</v>
      </c>
      <c r="N59" s="390">
        <f t="shared" si="4"/>
        <v>0</v>
      </c>
      <c r="O59" s="442"/>
      <c r="P59" s="231" t="s">
        <v>2321</v>
      </c>
      <c r="Q59" s="11" t="s">
        <v>243</v>
      </c>
      <c r="R59" s="474"/>
      <c r="S59" s="339"/>
    </row>
    <row r="60" spans="1:19" ht="33">
      <c r="A60" s="333" t="s">
        <v>2177</v>
      </c>
      <c r="B60" s="334" t="s">
        <v>351</v>
      </c>
      <c r="C60" s="335" t="s">
        <v>8</v>
      </c>
      <c r="D60" s="336">
        <v>1254.1300000000001</v>
      </c>
      <c r="E60" s="336">
        <v>1254.1300000000001</v>
      </c>
      <c r="F60" s="336">
        <f>估驗單!F56</f>
        <v>1254.1300000000001</v>
      </c>
      <c r="G60" s="390">
        <f t="shared" si="3"/>
        <v>0</v>
      </c>
      <c r="H60" s="336">
        <v>699.69</v>
      </c>
      <c r="I60" s="336"/>
      <c r="J60" s="336"/>
      <c r="K60" s="336">
        <v>877502.22</v>
      </c>
      <c r="L60" s="336">
        <f t="shared" si="0"/>
        <v>877502.22</v>
      </c>
      <c r="M60" s="336">
        <f t="shared" si="1"/>
        <v>877502.22</v>
      </c>
      <c r="N60" s="390">
        <f t="shared" si="4"/>
        <v>0</v>
      </c>
      <c r="O60" s="442"/>
      <c r="P60" s="231" t="s">
        <v>2321</v>
      </c>
      <c r="Q60" s="11" t="s">
        <v>243</v>
      </c>
      <c r="R60" s="474"/>
      <c r="S60" s="339"/>
    </row>
    <row r="61" spans="1:19" ht="33">
      <c r="A61" s="333" t="s">
        <v>2178</v>
      </c>
      <c r="B61" s="334" t="s">
        <v>353</v>
      </c>
      <c r="C61" s="335" t="s">
        <v>8</v>
      </c>
      <c r="D61" s="336">
        <v>44.64</v>
      </c>
      <c r="E61" s="336">
        <v>44.64</v>
      </c>
      <c r="F61" s="336">
        <f>估驗單!F57</f>
        <v>44.64</v>
      </c>
      <c r="G61" s="390">
        <f t="shared" si="3"/>
        <v>0</v>
      </c>
      <c r="H61" s="336">
        <v>1199.27</v>
      </c>
      <c r="I61" s="336"/>
      <c r="J61" s="336"/>
      <c r="K61" s="336">
        <v>53535.41</v>
      </c>
      <c r="L61" s="336">
        <f t="shared" si="0"/>
        <v>53535.41</v>
      </c>
      <c r="M61" s="336">
        <f t="shared" si="1"/>
        <v>53535.41</v>
      </c>
      <c r="N61" s="390">
        <f t="shared" si="4"/>
        <v>0</v>
      </c>
      <c r="O61" s="442"/>
      <c r="P61" s="231" t="s">
        <v>2321</v>
      </c>
      <c r="Q61" s="11" t="s">
        <v>243</v>
      </c>
      <c r="R61" s="474"/>
      <c r="S61" s="339"/>
    </row>
    <row r="62" spans="1:19" ht="33">
      <c r="A62" s="333" t="s">
        <v>2179</v>
      </c>
      <c r="B62" s="334" t="s">
        <v>355</v>
      </c>
      <c r="C62" s="335" t="s">
        <v>8</v>
      </c>
      <c r="D62" s="336">
        <v>142.26</v>
      </c>
      <c r="E62" s="336">
        <v>142.26</v>
      </c>
      <c r="F62" s="336">
        <f>估驗單!F58</f>
        <v>142.26</v>
      </c>
      <c r="G62" s="390">
        <f t="shared" si="3"/>
        <v>0</v>
      </c>
      <c r="H62" s="336">
        <v>57.68</v>
      </c>
      <c r="I62" s="336"/>
      <c r="J62" s="336"/>
      <c r="K62" s="336">
        <v>8205.56</v>
      </c>
      <c r="L62" s="336">
        <f t="shared" si="0"/>
        <v>8205.56</v>
      </c>
      <c r="M62" s="336">
        <f t="shared" si="1"/>
        <v>8205.56</v>
      </c>
      <c r="N62" s="390">
        <f t="shared" si="4"/>
        <v>0</v>
      </c>
      <c r="O62" s="442"/>
      <c r="P62" s="231" t="s">
        <v>2321</v>
      </c>
      <c r="Q62" s="11" t="s">
        <v>243</v>
      </c>
      <c r="R62" s="474"/>
      <c r="S62" s="339"/>
    </row>
    <row r="63" spans="1:19" ht="33">
      <c r="A63" s="333" t="s">
        <v>2181</v>
      </c>
      <c r="B63" s="334" t="s">
        <v>357</v>
      </c>
      <c r="C63" s="335" t="s">
        <v>8</v>
      </c>
      <c r="D63" s="336">
        <v>8.5</v>
      </c>
      <c r="E63" s="336">
        <v>8.5</v>
      </c>
      <c r="F63" s="336">
        <f>估驗單!F59</f>
        <v>8.5</v>
      </c>
      <c r="G63" s="390">
        <f t="shared" si="3"/>
        <v>0</v>
      </c>
      <c r="H63" s="336">
        <v>138.84</v>
      </c>
      <c r="I63" s="336"/>
      <c r="J63" s="336"/>
      <c r="K63" s="336">
        <v>1180.1400000000001</v>
      </c>
      <c r="L63" s="336">
        <f t="shared" si="0"/>
        <v>1180.1400000000001</v>
      </c>
      <c r="M63" s="336">
        <f t="shared" si="1"/>
        <v>1180.1400000000001</v>
      </c>
      <c r="N63" s="390">
        <f t="shared" si="4"/>
        <v>0</v>
      </c>
      <c r="O63" s="442"/>
      <c r="P63" s="231" t="s">
        <v>242</v>
      </c>
      <c r="Q63" s="11" t="s">
        <v>243</v>
      </c>
      <c r="R63" s="474"/>
      <c r="S63" s="339"/>
    </row>
    <row r="64" spans="1:19" ht="33">
      <c r="A64" s="333" t="s">
        <v>2182</v>
      </c>
      <c r="B64" s="334" t="s">
        <v>359</v>
      </c>
      <c r="C64" s="335" t="s">
        <v>13</v>
      </c>
      <c r="D64" s="336">
        <v>20.48</v>
      </c>
      <c r="E64" s="336">
        <v>20.48</v>
      </c>
      <c r="F64" s="336">
        <f>估驗單!F60</f>
        <v>20.48</v>
      </c>
      <c r="G64" s="390">
        <f t="shared" si="3"/>
        <v>0</v>
      </c>
      <c r="H64" s="336">
        <v>2145.31</v>
      </c>
      <c r="I64" s="336"/>
      <c r="J64" s="336"/>
      <c r="K64" s="336">
        <v>43935.95</v>
      </c>
      <c r="L64" s="336">
        <f t="shared" si="0"/>
        <v>43935.95</v>
      </c>
      <c r="M64" s="336">
        <f t="shared" si="1"/>
        <v>43935.95</v>
      </c>
      <c r="N64" s="390">
        <f t="shared" si="4"/>
        <v>0</v>
      </c>
      <c r="O64" s="442"/>
      <c r="P64" s="231" t="s">
        <v>2321</v>
      </c>
      <c r="Q64" s="11" t="s">
        <v>243</v>
      </c>
      <c r="R64" s="474"/>
      <c r="S64" s="339"/>
    </row>
    <row r="65" spans="1:19" ht="33">
      <c r="A65" s="333" t="s">
        <v>2183</v>
      </c>
      <c r="B65" s="334" t="s">
        <v>361</v>
      </c>
      <c r="C65" s="335" t="s">
        <v>8</v>
      </c>
      <c r="D65" s="336">
        <v>56.1</v>
      </c>
      <c r="E65" s="336">
        <v>56.1</v>
      </c>
      <c r="F65" s="336">
        <f>估驗單!F61</f>
        <v>56.1</v>
      </c>
      <c r="G65" s="390">
        <f t="shared" si="3"/>
        <v>0</v>
      </c>
      <c r="H65" s="336">
        <v>511.36</v>
      </c>
      <c r="I65" s="336"/>
      <c r="J65" s="336"/>
      <c r="K65" s="336">
        <v>28687.3</v>
      </c>
      <c r="L65" s="336">
        <f t="shared" si="0"/>
        <v>28687.3</v>
      </c>
      <c r="M65" s="336">
        <f t="shared" si="1"/>
        <v>28687.3</v>
      </c>
      <c r="N65" s="390">
        <f t="shared" si="4"/>
        <v>0</v>
      </c>
      <c r="O65" s="442"/>
      <c r="P65" s="231" t="s">
        <v>242</v>
      </c>
      <c r="Q65" s="11" t="s">
        <v>243</v>
      </c>
      <c r="R65" s="474"/>
      <c r="S65" s="339"/>
    </row>
    <row r="66" spans="1:19" ht="33">
      <c r="A66" s="333" t="s">
        <v>2184</v>
      </c>
      <c r="B66" s="334" t="s">
        <v>363</v>
      </c>
      <c r="C66" s="335" t="s">
        <v>8</v>
      </c>
      <c r="D66" s="336">
        <v>16.600000000000001</v>
      </c>
      <c r="E66" s="336">
        <v>16.600000000000001</v>
      </c>
      <c r="F66" s="336">
        <f>估驗單!F62</f>
        <v>16.600000000000001</v>
      </c>
      <c r="G66" s="390">
        <f t="shared" si="3"/>
        <v>0</v>
      </c>
      <c r="H66" s="336">
        <v>829.1</v>
      </c>
      <c r="I66" s="336"/>
      <c r="J66" s="336"/>
      <c r="K66" s="336">
        <v>13763.06</v>
      </c>
      <c r="L66" s="336">
        <f t="shared" si="0"/>
        <v>13763.06</v>
      </c>
      <c r="M66" s="336">
        <f t="shared" si="1"/>
        <v>13763.06</v>
      </c>
      <c r="N66" s="390">
        <f t="shared" si="4"/>
        <v>0</v>
      </c>
      <c r="O66" s="442"/>
      <c r="P66" s="231" t="s">
        <v>242</v>
      </c>
      <c r="Q66" s="11" t="s">
        <v>243</v>
      </c>
      <c r="R66" s="474"/>
      <c r="S66" s="339"/>
    </row>
    <row r="67" spans="1:19" ht="33">
      <c r="A67" s="333" t="s">
        <v>2185</v>
      </c>
      <c r="B67" s="334" t="s">
        <v>365</v>
      </c>
      <c r="C67" s="335" t="s">
        <v>8</v>
      </c>
      <c r="D67" s="336">
        <v>2</v>
      </c>
      <c r="E67" s="336">
        <v>2</v>
      </c>
      <c r="F67" s="336">
        <f>估驗單!F63</f>
        <v>2</v>
      </c>
      <c r="G67" s="390">
        <f t="shared" si="3"/>
        <v>0</v>
      </c>
      <c r="H67" s="336">
        <v>443.91</v>
      </c>
      <c r="I67" s="336"/>
      <c r="J67" s="336"/>
      <c r="K67" s="336">
        <v>887.82</v>
      </c>
      <c r="L67" s="336">
        <f t="shared" si="0"/>
        <v>887.82</v>
      </c>
      <c r="M67" s="336">
        <f t="shared" si="1"/>
        <v>887.82</v>
      </c>
      <c r="N67" s="390">
        <f t="shared" si="4"/>
        <v>0</v>
      </c>
      <c r="O67" s="442"/>
      <c r="P67" s="231" t="s">
        <v>242</v>
      </c>
      <c r="Q67" s="11" t="s">
        <v>243</v>
      </c>
      <c r="R67" s="474"/>
      <c r="S67" s="339"/>
    </row>
    <row r="68" spans="1:19" ht="33">
      <c r="A68" s="333" t="s">
        <v>2186</v>
      </c>
      <c r="B68" s="334" t="s">
        <v>367</v>
      </c>
      <c r="C68" s="335" t="s">
        <v>0</v>
      </c>
      <c r="D68" s="336">
        <v>7</v>
      </c>
      <c r="E68" s="336">
        <v>7</v>
      </c>
      <c r="F68" s="336">
        <f>估驗單!F64</f>
        <v>7</v>
      </c>
      <c r="G68" s="390">
        <f t="shared" si="3"/>
        <v>0</v>
      </c>
      <c r="H68" s="336">
        <v>26450.3</v>
      </c>
      <c r="I68" s="336"/>
      <c r="J68" s="336"/>
      <c r="K68" s="336">
        <v>185152.1</v>
      </c>
      <c r="L68" s="336">
        <f t="shared" si="0"/>
        <v>185152.1</v>
      </c>
      <c r="M68" s="336">
        <f t="shared" si="1"/>
        <v>185152.1</v>
      </c>
      <c r="N68" s="390">
        <f t="shared" si="4"/>
        <v>0</v>
      </c>
      <c r="O68" s="442"/>
      <c r="P68" s="231" t="s">
        <v>242</v>
      </c>
      <c r="Q68" s="11" t="s">
        <v>243</v>
      </c>
      <c r="R68" s="474"/>
      <c r="S68" s="339"/>
    </row>
    <row r="69" spans="1:19" ht="33">
      <c r="A69" s="333" t="s">
        <v>2187</v>
      </c>
      <c r="B69" s="334" t="s">
        <v>369</v>
      </c>
      <c r="C69" s="335" t="s">
        <v>8</v>
      </c>
      <c r="D69" s="336">
        <v>19.2</v>
      </c>
      <c r="E69" s="336">
        <v>19.2</v>
      </c>
      <c r="F69" s="336">
        <f>估驗單!F65</f>
        <v>19.2</v>
      </c>
      <c r="G69" s="390">
        <f t="shared" si="3"/>
        <v>0</v>
      </c>
      <c r="H69" s="336">
        <v>443.91</v>
      </c>
      <c r="I69" s="336"/>
      <c r="J69" s="336"/>
      <c r="K69" s="336">
        <v>8523.07</v>
      </c>
      <c r="L69" s="336">
        <f t="shared" si="0"/>
        <v>8523.07</v>
      </c>
      <c r="M69" s="336">
        <f t="shared" si="1"/>
        <v>8523.07</v>
      </c>
      <c r="N69" s="390">
        <f t="shared" si="4"/>
        <v>0</v>
      </c>
      <c r="O69" s="442"/>
      <c r="P69" s="231" t="s">
        <v>2321</v>
      </c>
      <c r="Q69" s="11" t="s">
        <v>243</v>
      </c>
      <c r="R69" s="474"/>
      <c r="S69" s="339"/>
    </row>
    <row r="70" spans="1:19" ht="33">
      <c r="A70" s="333" t="s">
        <v>2188</v>
      </c>
      <c r="B70" s="334" t="s">
        <v>372</v>
      </c>
      <c r="C70" s="335" t="s">
        <v>0</v>
      </c>
      <c r="D70" s="336">
        <v>2</v>
      </c>
      <c r="E70" s="336">
        <v>2</v>
      </c>
      <c r="F70" s="336">
        <f>估驗單!F66</f>
        <v>2</v>
      </c>
      <c r="G70" s="390">
        <f t="shared" si="3"/>
        <v>0</v>
      </c>
      <c r="H70" s="336">
        <v>23899.56</v>
      </c>
      <c r="I70" s="336"/>
      <c r="J70" s="336"/>
      <c r="K70" s="336">
        <v>47799.12</v>
      </c>
      <c r="L70" s="336">
        <f t="shared" si="0"/>
        <v>47799.12</v>
      </c>
      <c r="M70" s="336">
        <f t="shared" si="1"/>
        <v>47799.12</v>
      </c>
      <c r="N70" s="390">
        <f t="shared" si="4"/>
        <v>0</v>
      </c>
      <c r="O70" s="442"/>
      <c r="P70" s="231" t="s">
        <v>242</v>
      </c>
      <c r="Q70" s="11" t="s">
        <v>243</v>
      </c>
      <c r="R70" s="474"/>
      <c r="S70" s="339"/>
    </row>
    <row r="71" spans="1:19" ht="33">
      <c r="A71" s="333" t="s">
        <v>2189</v>
      </c>
      <c r="B71" s="334" t="s">
        <v>374</v>
      </c>
      <c r="C71" s="335" t="s">
        <v>0</v>
      </c>
      <c r="D71" s="336">
        <v>8</v>
      </c>
      <c r="E71" s="336">
        <v>8</v>
      </c>
      <c r="F71" s="336">
        <f>估驗單!F67</f>
        <v>8</v>
      </c>
      <c r="G71" s="390">
        <f t="shared" si="3"/>
        <v>0</v>
      </c>
      <c r="H71" s="336">
        <v>25125.57</v>
      </c>
      <c r="I71" s="336"/>
      <c r="J71" s="336"/>
      <c r="K71" s="336">
        <v>201004.56</v>
      </c>
      <c r="L71" s="336">
        <f t="shared" si="0"/>
        <v>201004.56</v>
      </c>
      <c r="M71" s="336">
        <f t="shared" si="1"/>
        <v>201004.56</v>
      </c>
      <c r="N71" s="390">
        <f t="shared" si="4"/>
        <v>0</v>
      </c>
      <c r="O71" s="442"/>
      <c r="P71" s="231" t="s">
        <v>2321</v>
      </c>
      <c r="Q71" s="11" t="s">
        <v>243</v>
      </c>
      <c r="R71" s="474"/>
      <c r="S71" s="339"/>
    </row>
    <row r="72" spans="1:19" ht="33">
      <c r="A72" s="333" t="s">
        <v>2190</v>
      </c>
      <c r="B72" s="334" t="s">
        <v>376</v>
      </c>
      <c r="C72" s="335" t="s">
        <v>0</v>
      </c>
      <c r="D72" s="336">
        <v>3</v>
      </c>
      <c r="E72" s="336">
        <v>3</v>
      </c>
      <c r="F72" s="336">
        <f>估驗單!F68</f>
        <v>3</v>
      </c>
      <c r="G72" s="390">
        <f t="shared" si="3"/>
        <v>0</v>
      </c>
      <c r="H72" s="336">
        <v>24022.04</v>
      </c>
      <c r="I72" s="336"/>
      <c r="J72" s="336"/>
      <c r="K72" s="336">
        <v>72066.12</v>
      </c>
      <c r="L72" s="336">
        <f t="shared" si="0"/>
        <v>72066.12</v>
      </c>
      <c r="M72" s="336">
        <f t="shared" si="1"/>
        <v>72066.12</v>
      </c>
      <c r="N72" s="390">
        <f t="shared" si="4"/>
        <v>0</v>
      </c>
      <c r="O72" s="442"/>
      <c r="P72" s="231" t="s">
        <v>242</v>
      </c>
      <c r="Q72" s="11" t="s">
        <v>243</v>
      </c>
      <c r="R72" s="474"/>
      <c r="S72" s="339"/>
    </row>
    <row r="73" spans="1:19" ht="33">
      <c r="A73" s="333" t="s">
        <v>2191</v>
      </c>
      <c r="B73" s="334" t="s">
        <v>378</v>
      </c>
      <c r="C73" s="335" t="s">
        <v>8</v>
      </c>
      <c r="D73" s="336">
        <v>30.1</v>
      </c>
      <c r="E73" s="336">
        <v>30.1</v>
      </c>
      <c r="F73" s="336">
        <f>估驗單!F69</f>
        <v>30.1</v>
      </c>
      <c r="G73" s="390">
        <f t="shared" si="3"/>
        <v>0</v>
      </c>
      <c r="H73" s="336">
        <v>545.1</v>
      </c>
      <c r="I73" s="336"/>
      <c r="J73" s="336"/>
      <c r="K73" s="336">
        <v>16407.509999999998</v>
      </c>
      <c r="L73" s="336">
        <f t="shared" si="0"/>
        <v>16407.509999999998</v>
      </c>
      <c r="M73" s="336">
        <f t="shared" si="1"/>
        <v>16407.509999999998</v>
      </c>
      <c r="N73" s="390">
        <f t="shared" si="4"/>
        <v>0</v>
      </c>
      <c r="O73" s="442"/>
      <c r="P73" s="231" t="s">
        <v>2321</v>
      </c>
      <c r="Q73" s="11" t="s">
        <v>243</v>
      </c>
      <c r="R73" s="474"/>
      <c r="S73" s="339"/>
    </row>
    <row r="74" spans="1:19" ht="33">
      <c r="A74" s="382" t="s">
        <v>2192</v>
      </c>
      <c r="B74" s="383" t="s">
        <v>380</v>
      </c>
      <c r="C74" s="384" t="s">
        <v>8</v>
      </c>
      <c r="D74" s="385">
        <v>31.2</v>
      </c>
      <c r="E74" s="385">
        <v>31.2</v>
      </c>
      <c r="F74" s="385">
        <f>估驗單!F70</f>
        <v>35.200000000000003</v>
      </c>
      <c r="G74" s="391">
        <f t="shared" si="3"/>
        <v>4.0000000000000036</v>
      </c>
      <c r="H74" s="385">
        <v>8355.11</v>
      </c>
      <c r="I74" s="385"/>
      <c r="J74" s="385"/>
      <c r="K74" s="385">
        <v>260679.43</v>
      </c>
      <c r="L74" s="385">
        <f t="shared" si="0"/>
        <v>260679.43</v>
      </c>
      <c r="M74" s="385">
        <f t="shared" si="1"/>
        <v>294099.87</v>
      </c>
      <c r="N74" s="391">
        <f t="shared" si="4"/>
        <v>33420.44</v>
      </c>
      <c r="O74" s="443"/>
      <c r="P74" s="386" t="s">
        <v>242</v>
      </c>
      <c r="Q74" s="11" t="s">
        <v>243</v>
      </c>
      <c r="R74" s="474"/>
      <c r="S74" s="339"/>
    </row>
    <row r="75" spans="1:19" ht="33">
      <c r="A75" s="382" t="s">
        <v>2193</v>
      </c>
      <c r="B75" s="383" t="s">
        <v>383</v>
      </c>
      <c r="C75" s="384" t="s">
        <v>8</v>
      </c>
      <c r="D75" s="385">
        <v>17.899999999999999</v>
      </c>
      <c r="E75" s="385">
        <v>17.899999999999999</v>
      </c>
      <c r="F75" s="385">
        <f>估驗單!F71</f>
        <v>24.3</v>
      </c>
      <c r="G75" s="391">
        <f t="shared" si="3"/>
        <v>6.4000000000000021</v>
      </c>
      <c r="H75" s="385">
        <v>5394.64</v>
      </c>
      <c r="I75" s="385"/>
      <c r="J75" s="385"/>
      <c r="K75" s="385">
        <v>96564.06</v>
      </c>
      <c r="L75" s="385">
        <f t="shared" si="0"/>
        <v>96564.06</v>
      </c>
      <c r="M75" s="385">
        <f t="shared" si="1"/>
        <v>131089.75</v>
      </c>
      <c r="N75" s="391">
        <f t="shared" si="4"/>
        <v>34525.69</v>
      </c>
      <c r="O75" s="443"/>
      <c r="P75" s="386" t="s">
        <v>242</v>
      </c>
      <c r="Q75" s="11" t="s">
        <v>243</v>
      </c>
      <c r="R75" s="474"/>
      <c r="S75" s="339"/>
    </row>
    <row r="76" spans="1:19" ht="33">
      <c r="A76" s="333" t="s">
        <v>2194</v>
      </c>
      <c r="B76" s="334" t="s">
        <v>386</v>
      </c>
      <c r="C76" s="335" t="s">
        <v>8</v>
      </c>
      <c r="D76" s="336">
        <v>19.600000000000001</v>
      </c>
      <c r="E76" s="336">
        <v>19.600000000000001</v>
      </c>
      <c r="F76" s="336">
        <f>估驗單!F72</f>
        <v>19.600000000000001</v>
      </c>
      <c r="G76" s="390">
        <f t="shared" si="3"/>
        <v>0</v>
      </c>
      <c r="H76" s="336">
        <v>432.57</v>
      </c>
      <c r="I76" s="336"/>
      <c r="J76" s="336"/>
      <c r="K76" s="336">
        <v>8478.3700000000008</v>
      </c>
      <c r="L76" s="336">
        <f t="shared" si="0"/>
        <v>8478.3700000000008</v>
      </c>
      <c r="M76" s="336">
        <f t="shared" si="1"/>
        <v>8478.3700000000008</v>
      </c>
      <c r="N76" s="390">
        <f t="shared" si="4"/>
        <v>0</v>
      </c>
      <c r="O76" s="442"/>
      <c r="P76" s="231" t="s">
        <v>242</v>
      </c>
      <c r="Q76" s="11" t="s">
        <v>243</v>
      </c>
      <c r="R76" s="474"/>
      <c r="S76" s="339"/>
    </row>
    <row r="77" spans="1:19" ht="33">
      <c r="A77" s="333" t="s">
        <v>2195</v>
      </c>
      <c r="B77" s="334" t="s">
        <v>389</v>
      </c>
      <c r="C77" s="335" t="s">
        <v>8</v>
      </c>
      <c r="D77" s="336">
        <v>24.9</v>
      </c>
      <c r="E77" s="336">
        <v>24.9</v>
      </c>
      <c r="F77" s="336">
        <f>估驗單!F73</f>
        <v>24.9</v>
      </c>
      <c r="G77" s="390">
        <f t="shared" si="3"/>
        <v>0</v>
      </c>
      <c r="H77" s="336">
        <v>1224.22</v>
      </c>
      <c r="I77" s="336"/>
      <c r="J77" s="336"/>
      <c r="K77" s="336">
        <v>30483.08</v>
      </c>
      <c r="L77" s="336">
        <f t="shared" ref="L77:L122" si="5">ROUND(E77*H77,2)</f>
        <v>30483.08</v>
      </c>
      <c r="M77" s="336">
        <f t="shared" si="1"/>
        <v>30483.08</v>
      </c>
      <c r="N77" s="390">
        <f t="shared" si="4"/>
        <v>0</v>
      </c>
      <c r="O77" s="442"/>
      <c r="P77" s="231" t="s">
        <v>242</v>
      </c>
      <c r="Q77" s="11" t="s">
        <v>243</v>
      </c>
      <c r="R77" s="474"/>
      <c r="S77" s="339"/>
    </row>
    <row r="78" spans="1:19" ht="33">
      <c r="A78" s="333" t="s">
        <v>2196</v>
      </c>
      <c r="B78" s="334" t="s">
        <v>392</v>
      </c>
      <c r="C78" s="335" t="s">
        <v>8</v>
      </c>
      <c r="D78" s="336">
        <v>3.5</v>
      </c>
      <c r="E78" s="336">
        <v>3.5</v>
      </c>
      <c r="F78" s="336">
        <f>估驗單!F74</f>
        <v>3.5</v>
      </c>
      <c r="G78" s="390">
        <f t="shared" si="3"/>
        <v>0</v>
      </c>
      <c r="H78" s="336">
        <v>1148.6300000000001</v>
      </c>
      <c r="I78" s="336"/>
      <c r="J78" s="336"/>
      <c r="K78" s="336">
        <v>4020.21</v>
      </c>
      <c r="L78" s="336">
        <f t="shared" si="5"/>
        <v>4020.21</v>
      </c>
      <c r="M78" s="336">
        <f t="shared" ref="M78:M122" si="6">ROUND(F78*H78,2)</f>
        <v>4020.21</v>
      </c>
      <c r="N78" s="390">
        <f t="shared" si="4"/>
        <v>0</v>
      </c>
      <c r="O78" s="442"/>
      <c r="P78" s="231" t="s">
        <v>242</v>
      </c>
      <c r="Q78" s="11" t="s">
        <v>243</v>
      </c>
      <c r="R78" s="474"/>
      <c r="S78" s="339"/>
    </row>
    <row r="79" spans="1:19" ht="33">
      <c r="A79" s="333" t="s">
        <v>2197</v>
      </c>
      <c r="B79" s="334" t="s">
        <v>395</v>
      </c>
      <c r="C79" s="335" t="s">
        <v>0</v>
      </c>
      <c r="D79" s="336">
        <v>1</v>
      </c>
      <c r="E79" s="336">
        <v>1</v>
      </c>
      <c r="F79" s="336">
        <f>估驗單!F75</f>
        <v>1</v>
      </c>
      <c r="G79" s="390">
        <f t="shared" si="3"/>
        <v>0</v>
      </c>
      <c r="H79" s="336">
        <v>5698.63</v>
      </c>
      <c r="I79" s="336"/>
      <c r="J79" s="336"/>
      <c r="K79" s="336">
        <v>5698.63</v>
      </c>
      <c r="L79" s="336">
        <f t="shared" si="5"/>
        <v>5698.63</v>
      </c>
      <c r="M79" s="336">
        <f t="shared" si="6"/>
        <v>5698.63</v>
      </c>
      <c r="N79" s="390">
        <f t="shared" si="4"/>
        <v>0</v>
      </c>
      <c r="O79" s="442"/>
      <c r="P79" s="231" t="s">
        <v>242</v>
      </c>
      <c r="Q79" s="11" t="s">
        <v>243</v>
      </c>
      <c r="R79" s="474"/>
      <c r="S79" s="339"/>
    </row>
    <row r="80" spans="1:19" ht="33">
      <c r="A80" s="333" t="s">
        <v>2198</v>
      </c>
      <c r="B80" s="334" t="s">
        <v>398</v>
      </c>
      <c r="C80" s="335" t="s">
        <v>0</v>
      </c>
      <c r="D80" s="336">
        <v>1</v>
      </c>
      <c r="E80" s="336">
        <v>1</v>
      </c>
      <c r="F80" s="336">
        <f>估驗單!F76</f>
        <v>1</v>
      </c>
      <c r="G80" s="390">
        <f t="shared" si="3"/>
        <v>0</v>
      </c>
      <c r="H80" s="336">
        <v>5963.22</v>
      </c>
      <c r="I80" s="336"/>
      <c r="J80" s="336"/>
      <c r="K80" s="336">
        <v>5963.22</v>
      </c>
      <c r="L80" s="336">
        <f t="shared" si="5"/>
        <v>5963.22</v>
      </c>
      <c r="M80" s="336">
        <f t="shared" si="6"/>
        <v>5963.22</v>
      </c>
      <c r="N80" s="390">
        <f t="shared" si="4"/>
        <v>0</v>
      </c>
      <c r="O80" s="442"/>
      <c r="P80" s="231" t="s">
        <v>242</v>
      </c>
      <c r="Q80" s="11" t="s">
        <v>243</v>
      </c>
      <c r="R80" s="474"/>
      <c r="S80" s="339"/>
    </row>
    <row r="81" spans="1:19" ht="33">
      <c r="A81" s="333" t="s">
        <v>2199</v>
      </c>
      <c r="B81" s="334" t="s">
        <v>401</v>
      </c>
      <c r="C81" s="335" t="s">
        <v>0</v>
      </c>
      <c r="D81" s="336">
        <v>1</v>
      </c>
      <c r="E81" s="336">
        <v>1</v>
      </c>
      <c r="F81" s="336">
        <f>估驗單!F77</f>
        <v>1</v>
      </c>
      <c r="G81" s="390">
        <f t="shared" si="3"/>
        <v>0</v>
      </c>
      <c r="H81" s="336">
        <v>1421.11</v>
      </c>
      <c r="I81" s="336"/>
      <c r="J81" s="336"/>
      <c r="K81" s="336">
        <v>1421.11</v>
      </c>
      <c r="L81" s="336">
        <f t="shared" si="5"/>
        <v>1421.11</v>
      </c>
      <c r="M81" s="336">
        <f t="shared" si="6"/>
        <v>1421.11</v>
      </c>
      <c r="N81" s="390">
        <f t="shared" si="4"/>
        <v>0</v>
      </c>
      <c r="O81" s="442"/>
      <c r="P81" s="231" t="s">
        <v>242</v>
      </c>
      <c r="Q81" s="11" t="s">
        <v>243</v>
      </c>
      <c r="R81" s="474"/>
      <c r="S81" s="339"/>
    </row>
    <row r="82" spans="1:19" ht="33">
      <c r="A82" s="333" t="s">
        <v>2200</v>
      </c>
      <c r="B82" s="334" t="s">
        <v>404</v>
      </c>
      <c r="C82" s="335" t="s">
        <v>0</v>
      </c>
      <c r="D82" s="336">
        <v>1</v>
      </c>
      <c r="E82" s="336">
        <v>1</v>
      </c>
      <c r="F82" s="336">
        <f>估驗單!F78</f>
        <v>1</v>
      </c>
      <c r="G82" s="390">
        <f t="shared" si="3"/>
        <v>0</v>
      </c>
      <c r="H82" s="336">
        <v>4031.83</v>
      </c>
      <c r="I82" s="336"/>
      <c r="J82" s="336"/>
      <c r="K82" s="336">
        <v>4031.83</v>
      </c>
      <c r="L82" s="336">
        <f t="shared" si="5"/>
        <v>4031.83</v>
      </c>
      <c r="M82" s="336">
        <f t="shared" si="6"/>
        <v>4031.83</v>
      </c>
      <c r="N82" s="390">
        <f t="shared" si="4"/>
        <v>0</v>
      </c>
      <c r="O82" s="442"/>
      <c r="P82" s="231" t="s">
        <v>242</v>
      </c>
      <c r="Q82" s="11" t="s">
        <v>243</v>
      </c>
      <c r="R82" s="474"/>
      <c r="S82" s="339"/>
    </row>
    <row r="83" spans="1:19" ht="33">
      <c r="A83" s="333" t="s">
        <v>2201</v>
      </c>
      <c r="B83" s="334" t="s">
        <v>407</v>
      </c>
      <c r="C83" s="335" t="s">
        <v>0</v>
      </c>
      <c r="D83" s="336">
        <v>1</v>
      </c>
      <c r="E83" s="336">
        <v>1</v>
      </c>
      <c r="F83" s="336">
        <f>估驗單!F79</f>
        <v>1</v>
      </c>
      <c r="G83" s="390">
        <f t="shared" si="3"/>
        <v>0</v>
      </c>
      <c r="H83" s="336">
        <v>3313.67</v>
      </c>
      <c r="I83" s="336"/>
      <c r="J83" s="336"/>
      <c r="K83" s="336">
        <v>3313.67</v>
      </c>
      <c r="L83" s="336">
        <f t="shared" si="5"/>
        <v>3313.67</v>
      </c>
      <c r="M83" s="336">
        <f t="shared" si="6"/>
        <v>3313.67</v>
      </c>
      <c r="N83" s="390">
        <f t="shared" si="4"/>
        <v>0</v>
      </c>
      <c r="O83" s="442"/>
      <c r="P83" s="231" t="s">
        <v>242</v>
      </c>
      <c r="Q83" s="11" t="s">
        <v>243</v>
      </c>
      <c r="R83" s="474"/>
      <c r="S83" s="339"/>
    </row>
    <row r="84" spans="1:19" ht="33">
      <c r="A84" s="333" t="s">
        <v>2202</v>
      </c>
      <c r="B84" s="334" t="s">
        <v>410</v>
      </c>
      <c r="C84" s="335" t="s">
        <v>8</v>
      </c>
      <c r="D84" s="336">
        <v>149.5</v>
      </c>
      <c r="E84" s="336">
        <v>149.5</v>
      </c>
      <c r="F84" s="336">
        <f>估驗單!F80</f>
        <v>149.5</v>
      </c>
      <c r="G84" s="390">
        <f t="shared" si="3"/>
        <v>0</v>
      </c>
      <c r="H84" s="336">
        <v>1975.94</v>
      </c>
      <c r="I84" s="336"/>
      <c r="J84" s="336"/>
      <c r="K84" s="336">
        <v>295403.03000000003</v>
      </c>
      <c r="L84" s="336">
        <f t="shared" si="5"/>
        <v>295403.03000000003</v>
      </c>
      <c r="M84" s="336">
        <f t="shared" si="6"/>
        <v>295403.03000000003</v>
      </c>
      <c r="N84" s="390">
        <f t="shared" si="4"/>
        <v>0</v>
      </c>
      <c r="O84" s="442"/>
      <c r="P84" s="231" t="s">
        <v>242</v>
      </c>
      <c r="Q84" s="11" t="s">
        <v>243</v>
      </c>
      <c r="R84" s="474"/>
      <c r="S84" s="339"/>
    </row>
    <row r="85" spans="1:19" ht="33">
      <c r="A85" s="333" t="s">
        <v>2203</v>
      </c>
      <c r="B85" s="334" t="s">
        <v>413</v>
      </c>
      <c r="C85" s="335" t="s">
        <v>8</v>
      </c>
      <c r="D85" s="336">
        <v>39.299999999999997</v>
      </c>
      <c r="E85" s="336">
        <v>39.299999999999997</v>
      </c>
      <c r="F85" s="336">
        <f>估驗單!F81</f>
        <v>39.299999999999997</v>
      </c>
      <c r="G85" s="390">
        <f t="shared" si="3"/>
        <v>0</v>
      </c>
      <c r="H85" s="336">
        <v>4874.2299999999996</v>
      </c>
      <c r="I85" s="336"/>
      <c r="J85" s="336"/>
      <c r="K85" s="336">
        <v>191557.24</v>
      </c>
      <c r="L85" s="336">
        <f t="shared" si="5"/>
        <v>191557.24</v>
      </c>
      <c r="M85" s="336">
        <f t="shared" si="6"/>
        <v>191557.24</v>
      </c>
      <c r="N85" s="390">
        <f t="shared" si="4"/>
        <v>0</v>
      </c>
      <c r="O85" s="442"/>
      <c r="P85" s="231" t="s">
        <v>242</v>
      </c>
      <c r="Q85" s="11" t="s">
        <v>243</v>
      </c>
      <c r="R85" s="474"/>
      <c r="S85" s="339"/>
    </row>
    <row r="86" spans="1:19" ht="33">
      <c r="A86" s="333" t="s">
        <v>2204</v>
      </c>
      <c r="B86" s="334" t="s">
        <v>416</v>
      </c>
      <c r="C86" s="335" t="s">
        <v>8</v>
      </c>
      <c r="D86" s="336">
        <v>51.3</v>
      </c>
      <c r="E86" s="336">
        <v>51.3</v>
      </c>
      <c r="F86" s="336">
        <f>估驗單!F82</f>
        <v>51.3</v>
      </c>
      <c r="G86" s="390">
        <f t="shared" si="3"/>
        <v>0</v>
      </c>
      <c r="H86" s="336">
        <v>2938.96</v>
      </c>
      <c r="I86" s="336"/>
      <c r="J86" s="336"/>
      <c r="K86" s="336">
        <v>150768.65</v>
      </c>
      <c r="L86" s="336">
        <f t="shared" si="5"/>
        <v>150768.65</v>
      </c>
      <c r="M86" s="336">
        <f t="shared" si="6"/>
        <v>150768.65</v>
      </c>
      <c r="N86" s="390">
        <f t="shared" si="4"/>
        <v>0</v>
      </c>
      <c r="O86" s="442"/>
      <c r="P86" s="231" t="s">
        <v>242</v>
      </c>
      <c r="Q86" s="11" t="s">
        <v>243</v>
      </c>
      <c r="R86" s="474"/>
      <c r="S86" s="339"/>
    </row>
    <row r="87" spans="1:19" ht="33">
      <c r="A87" s="333" t="s">
        <v>2205</v>
      </c>
      <c r="B87" s="334" t="s">
        <v>419</v>
      </c>
      <c r="C87" s="335" t="s">
        <v>0</v>
      </c>
      <c r="D87" s="336">
        <v>1</v>
      </c>
      <c r="E87" s="336">
        <v>1</v>
      </c>
      <c r="F87" s="336">
        <f>估驗單!F83</f>
        <v>1</v>
      </c>
      <c r="G87" s="390">
        <f t="shared" si="3"/>
        <v>0</v>
      </c>
      <c r="H87" s="336">
        <v>23029.53</v>
      </c>
      <c r="I87" s="336"/>
      <c r="J87" s="336"/>
      <c r="K87" s="336">
        <v>23029.53</v>
      </c>
      <c r="L87" s="336">
        <f t="shared" si="5"/>
        <v>23029.53</v>
      </c>
      <c r="M87" s="336">
        <f t="shared" si="6"/>
        <v>23029.53</v>
      </c>
      <c r="N87" s="390">
        <f t="shared" si="4"/>
        <v>0</v>
      </c>
      <c r="O87" s="442"/>
      <c r="P87" s="231" t="s">
        <v>2321</v>
      </c>
      <c r="Q87" s="11" t="s">
        <v>243</v>
      </c>
      <c r="R87" s="474"/>
      <c r="S87" s="339"/>
    </row>
    <row r="88" spans="1:19" ht="33">
      <c r="A88" s="333" t="s">
        <v>2206</v>
      </c>
      <c r="B88" s="334" t="s">
        <v>422</v>
      </c>
      <c r="C88" s="335" t="s">
        <v>0</v>
      </c>
      <c r="D88" s="336">
        <v>2</v>
      </c>
      <c r="E88" s="336">
        <v>2</v>
      </c>
      <c r="F88" s="336">
        <f>估驗單!F84</f>
        <v>2</v>
      </c>
      <c r="G88" s="390">
        <f t="shared" si="3"/>
        <v>0</v>
      </c>
      <c r="H88" s="336">
        <v>18604.87</v>
      </c>
      <c r="I88" s="336"/>
      <c r="J88" s="336"/>
      <c r="K88" s="336">
        <v>37209.74</v>
      </c>
      <c r="L88" s="336">
        <f t="shared" si="5"/>
        <v>37209.74</v>
      </c>
      <c r="M88" s="336">
        <f t="shared" si="6"/>
        <v>37209.74</v>
      </c>
      <c r="N88" s="390">
        <f t="shared" si="4"/>
        <v>0</v>
      </c>
      <c r="O88" s="442"/>
      <c r="P88" s="231" t="s">
        <v>2321</v>
      </c>
      <c r="Q88" s="11" t="s">
        <v>243</v>
      </c>
      <c r="R88" s="474"/>
      <c r="S88" s="339"/>
    </row>
    <row r="89" spans="1:19" ht="33">
      <c r="A89" s="333" t="s">
        <v>2207</v>
      </c>
      <c r="B89" s="334" t="s">
        <v>425</v>
      </c>
      <c r="C89" s="335" t="s">
        <v>0</v>
      </c>
      <c r="D89" s="336">
        <v>1</v>
      </c>
      <c r="E89" s="336">
        <v>1</v>
      </c>
      <c r="F89" s="336">
        <f>估驗單!F85</f>
        <v>1</v>
      </c>
      <c r="G89" s="390">
        <f t="shared" si="3"/>
        <v>0</v>
      </c>
      <c r="H89" s="336">
        <v>18604.87</v>
      </c>
      <c r="I89" s="336"/>
      <c r="J89" s="336"/>
      <c r="K89" s="336">
        <v>18604.87</v>
      </c>
      <c r="L89" s="336">
        <f t="shared" si="5"/>
        <v>18604.87</v>
      </c>
      <c r="M89" s="336">
        <f t="shared" si="6"/>
        <v>18604.87</v>
      </c>
      <c r="N89" s="390">
        <f t="shared" si="4"/>
        <v>0</v>
      </c>
      <c r="O89" s="442"/>
      <c r="P89" s="231" t="s">
        <v>242</v>
      </c>
      <c r="Q89" s="11" t="s">
        <v>243</v>
      </c>
      <c r="R89" s="474"/>
      <c r="S89" s="339"/>
    </row>
    <row r="90" spans="1:19" ht="33">
      <c r="A90" s="333" t="s">
        <v>2208</v>
      </c>
      <c r="B90" s="334" t="s">
        <v>428</v>
      </c>
      <c r="C90" s="335" t="s">
        <v>0</v>
      </c>
      <c r="D90" s="336">
        <v>2</v>
      </c>
      <c r="E90" s="336">
        <v>2</v>
      </c>
      <c r="F90" s="336">
        <f>估驗單!F86</f>
        <v>2</v>
      </c>
      <c r="G90" s="390">
        <f t="shared" ref="G90:G153" si="7">F90-E90</f>
        <v>0</v>
      </c>
      <c r="H90" s="336">
        <v>11654.82</v>
      </c>
      <c r="I90" s="336"/>
      <c r="J90" s="336"/>
      <c r="K90" s="336">
        <v>23309.64</v>
      </c>
      <c r="L90" s="336">
        <f t="shared" si="5"/>
        <v>23309.64</v>
      </c>
      <c r="M90" s="336">
        <f t="shared" si="6"/>
        <v>23309.64</v>
      </c>
      <c r="N90" s="390">
        <f t="shared" si="4"/>
        <v>0</v>
      </c>
      <c r="O90" s="442"/>
      <c r="P90" s="231" t="s">
        <v>242</v>
      </c>
      <c r="Q90" s="11" t="s">
        <v>243</v>
      </c>
      <c r="R90" s="474"/>
      <c r="S90" s="339"/>
    </row>
    <row r="91" spans="1:19" ht="33">
      <c r="A91" s="333" t="s">
        <v>2209</v>
      </c>
      <c r="B91" s="334" t="s">
        <v>431</v>
      </c>
      <c r="C91" s="335" t="s">
        <v>0</v>
      </c>
      <c r="D91" s="336">
        <v>2</v>
      </c>
      <c r="E91" s="336">
        <v>2</v>
      </c>
      <c r="F91" s="336">
        <f>估驗單!F87</f>
        <v>2</v>
      </c>
      <c r="G91" s="390">
        <f t="shared" si="7"/>
        <v>0</v>
      </c>
      <c r="H91" s="336">
        <v>25107.48</v>
      </c>
      <c r="I91" s="336"/>
      <c r="J91" s="336"/>
      <c r="K91" s="336">
        <v>50214.96</v>
      </c>
      <c r="L91" s="336">
        <f t="shared" si="5"/>
        <v>50214.96</v>
      </c>
      <c r="M91" s="336">
        <f t="shared" si="6"/>
        <v>50214.96</v>
      </c>
      <c r="N91" s="390">
        <f t="shared" si="4"/>
        <v>0</v>
      </c>
      <c r="O91" s="442"/>
      <c r="P91" s="231" t="s">
        <v>242</v>
      </c>
      <c r="Q91" s="11" t="s">
        <v>243</v>
      </c>
      <c r="R91" s="474"/>
      <c r="S91" s="339"/>
    </row>
    <row r="92" spans="1:19" ht="33">
      <c r="A92" s="333" t="s">
        <v>2210</v>
      </c>
      <c r="B92" s="334" t="s">
        <v>434</v>
      </c>
      <c r="C92" s="335" t="s">
        <v>0</v>
      </c>
      <c r="D92" s="336">
        <v>1</v>
      </c>
      <c r="E92" s="336">
        <v>1</v>
      </c>
      <c r="F92" s="336">
        <f>估驗單!F88</f>
        <v>1</v>
      </c>
      <c r="G92" s="390">
        <f t="shared" si="7"/>
        <v>0</v>
      </c>
      <c r="H92" s="336">
        <v>22415.66</v>
      </c>
      <c r="I92" s="336"/>
      <c r="J92" s="336"/>
      <c r="K92" s="336">
        <v>22415.66</v>
      </c>
      <c r="L92" s="336">
        <f t="shared" si="5"/>
        <v>22415.66</v>
      </c>
      <c r="M92" s="336">
        <f t="shared" si="6"/>
        <v>22415.66</v>
      </c>
      <c r="N92" s="390">
        <f t="shared" si="4"/>
        <v>0</v>
      </c>
      <c r="O92" s="442"/>
      <c r="P92" s="231" t="s">
        <v>242</v>
      </c>
      <c r="Q92" s="11" t="s">
        <v>243</v>
      </c>
      <c r="R92" s="474"/>
      <c r="S92" s="339"/>
    </row>
    <row r="93" spans="1:19" ht="33">
      <c r="A93" s="333" t="s">
        <v>2211</v>
      </c>
      <c r="B93" s="334" t="s">
        <v>437</v>
      </c>
      <c r="C93" s="335" t="s">
        <v>0</v>
      </c>
      <c r="D93" s="336">
        <v>1</v>
      </c>
      <c r="E93" s="336">
        <v>1</v>
      </c>
      <c r="F93" s="336">
        <f>估驗單!F89</f>
        <v>1</v>
      </c>
      <c r="G93" s="390">
        <f t="shared" si="7"/>
        <v>0</v>
      </c>
      <c r="H93" s="336">
        <v>21723.54</v>
      </c>
      <c r="I93" s="336"/>
      <c r="J93" s="336"/>
      <c r="K93" s="336">
        <v>21723.54</v>
      </c>
      <c r="L93" s="336">
        <f t="shared" si="5"/>
        <v>21723.54</v>
      </c>
      <c r="M93" s="336">
        <f t="shared" si="6"/>
        <v>21723.54</v>
      </c>
      <c r="N93" s="390">
        <f t="shared" si="4"/>
        <v>0</v>
      </c>
      <c r="O93" s="442"/>
      <c r="P93" s="231" t="s">
        <v>242</v>
      </c>
      <c r="Q93" s="11" t="s">
        <v>243</v>
      </c>
      <c r="R93" s="474"/>
      <c r="S93" s="339"/>
    </row>
    <row r="94" spans="1:19" ht="33">
      <c r="A94" s="333" t="s">
        <v>2212</v>
      </c>
      <c r="B94" s="334" t="s">
        <v>440</v>
      </c>
      <c r="C94" s="335" t="s">
        <v>0</v>
      </c>
      <c r="D94" s="336">
        <v>1</v>
      </c>
      <c r="E94" s="336">
        <v>1</v>
      </c>
      <c r="F94" s="336">
        <f>估驗單!F90</f>
        <v>1</v>
      </c>
      <c r="G94" s="390">
        <f t="shared" si="7"/>
        <v>0</v>
      </c>
      <c r="H94" s="336">
        <v>22646.36</v>
      </c>
      <c r="I94" s="336"/>
      <c r="J94" s="336"/>
      <c r="K94" s="336">
        <v>22646.36</v>
      </c>
      <c r="L94" s="336">
        <f t="shared" si="5"/>
        <v>22646.36</v>
      </c>
      <c r="M94" s="336">
        <f t="shared" si="6"/>
        <v>22646.36</v>
      </c>
      <c r="N94" s="390">
        <f t="shared" si="4"/>
        <v>0</v>
      </c>
      <c r="O94" s="442"/>
      <c r="P94" s="231" t="s">
        <v>242</v>
      </c>
      <c r="Q94" s="11" t="s">
        <v>243</v>
      </c>
      <c r="R94" s="474"/>
      <c r="S94" s="339"/>
    </row>
    <row r="95" spans="1:19" ht="33">
      <c r="A95" s="333" t="s">
        <v>2213</v>
      </c>
      <c r="B95" s="334" t="s">
        <v>443</v>
      </c>
      <c r="C95" s="335" t="s">
        <v>0</v>
      </c>
      <c r="D95" s="336">
        <v>4</v>
      </c>
      <c r="E95" s="336">
        <v>4</v>
      </c>
      <c r="F95" s="336">
        <f>估驗單!F91</f>
        <v>4</v>
      </c>
      <c r="G95" s="390">
        <f t="shared" si="7"/>
        <v>0</v>
      </c>
      <c r="H95" s="336">
        <v>17340.05</v>
      </c>
      <c r="I95" s="336"/>
      <c r="J95" s="336"/>
      <c r="K95" s="336">
        <v>69360.2</v>
      </c>
      <c r="L95" s="336">
        <f t="shared" si="5"/>
        <v>69360.2</v>
      </c>
      <c r="M95" s="336">
        <f t="shared" si="6"/>
        <v>69360.2</v>
      </c>
      <c r="N95" s="390">
        <f t="shared" si="4"/>
        <v>0</v>
      </c>
      <c r="O95" s="442"/>
      <c r="P95" s="231" t="s">
        <v>242</v>
      </c>
      <c r="Q95" s="11" t="s">
        <v>243</v>
      </c>
      <c r="R95" s="474"/>
      <c r="S95" s="339"/>
    </row>
    <row r="96" spans="1:19" ht="33">
      <c r="A96" s="333" t="s">
        <v>2214</v>
      </c>
      <c r="B96" s="334" t="s">
        <v>446</v>
      </c>
      <c r="C96" s="335" t="s">
        <v>0</v>
      </c>
      <c r="D96" s="336">
        <v>6</v>
      </c>
      <c r="E96" s="336">
        <v>6</v>
      </c>
      <c r="F96" s="336">
        <f>估驗單!F92</f>
        <v>6</v>
      </c>
      <c r="G96" s="390">
        <f t="shared" si="7"/>
        <v>0</v>
      </c>
      <c r="H96" s="336">
        <v>17340.05</v>
      </c>
      <c r="I96" s="336"/>
      <c r="J96" s="336"/>
      <c r="K96" s="336">
        <v>104040.3</v>
      </c>
      <c r="L96" s="336">
        <f t="shared" si="5"/>
        <v>104040.3</v>
      </c>
      <c r="M96" s="336">
        <f t="shared" si="6"/>
        <v>104040.3</v>
      </c>
      <c r="N96" s="390">
        <f t="shared" si="4"/>
        <v>0</v>
      </c>
      <c r="O96" s="442"/>
      <c r="P96" s="231" t="s">
        <v>242</v>
      </c>
      <c r="Q96" s="11" t="s">
        <v>243</v>
      </c>
      <c r="R96" s="474"/>
      <c r="S96" s="339"/>
    </row>
    <row r="97" spans="1:19" ht="33">
      <c r="A97" s="333" t="s">
        <v>2215</v>
      </c>
      <c r="B97" s="334" t="s">
        <v>449</v>
      </c>
      <c r="C97" s="335" t="s">
        <v>0</v>
      </c>
      <c r="D97" s="336">
        <v>1</v>
      </c>
      <c r="E97" s="336">
        <v>1</v>
      </c>
      <c r="F97" s="336">
        <f>估驗單!F93</f>
        <v>1</v>
      </c>
      <c r="G97" s="390">
        <f t="shared" si="7"/>
        <v>0</v>
      </c>
      <c r="H97" s="336">
        <v>17496.650000000001</v>
      </c>
      <c r="I97" s="336"/>
      <c r="J97" s="336"/>
      <c r="K97" s="336">
        <v>17496.650000000001</v>
      </c>
      <c r="L97" s="336">
        <f t="shared" si="5"/>
        <v>17496.650000000001</v>
      </c>
      <c r="M97" s="336">
        <f t="shared" si="6"/>
        <v>17496.650000000001</v>
      </c>
      <c r="N97" s="390">
        <f t="shared" si="4"/>
        <v>0</v>
      </c>
      <c r="O97" s="442"/>
      <c r="P97" s="231" t="s">
        <v>242</v>
      </c>
      <c r="Q97" s="11" t="s">
        <v>243</v>
      </c>
      <c r="R97" s="474"/>
      <c r="S97" s="339"/>
    </row>
    <row r="98" spans="1:19" ht="33">
      <c r="A98" s="333" t="s">
        <v>2216</v>
      </c>
      <c r="B98" s="334" t="s">
        <v>452</v>
      </c>
      <c r="C98" s="335" t="s">
        <v>0</v>
      </c>
      <c r="D98" s="336">
        <v>1</v>
      </c>
      <c r="E98" s="336">
        <v>1</v>
      </c>
      <c r="F98" s="336">
        <f>估驗單!F94</f>
        <v>1</v>
      </c>
      <c r="G98" s="390">
        <f t="shared" si="7"/>
        <v>0</v>
      </c>
      <c r="H98" s="336">
        <v>1501.66</v>
      </c>
      <c r="I98" s="336"/>
      <c r="J98" s="336"/>
      <c r="K98" s="336">
        <v>1501.66</v>
      </c>
      <c r="L98" s="336">
        <f t="shared" si="5"/>
        <v>1501.66</v>
      </c>
      <c r="M98" s="336">
        <f t="shared" si="6"/>
        <v>1501.66</v>
      </c>
      <c r="N98" s="390">
        <f t="shared" si="4"/>
        <v>0</v>
      </c>
      <c r="O98" s="442"/>
      <c r="P98" s="231" t="s">
        <v>242</v>
      </c>
      <c r="Q98" s="11" t="s">
        <v>243</v>
      </c>
      <c r="R98" s="474"/>
      <c r="S98" s="339"/>
    </row>
    <row r="99" spans="1:19" ht="33">
      <c r="A99" s="333" t="s">
        <v>2217</v>
      </c>
      <c r="B99" s="334" t="s">
        <v>455</v>
      </c>
      <c r="C99" s="335" t="s">
        <v>0</v>
      </c>
      <c r="D99" s="336">
        <v>1</v>
      </c>
      <c r="E99" s="336">
        <v>1</v>
      </c>
      <c r="F99" s="336">
        <f>估驗單!F95</f>
        <v>1</v>
      </c>
      <c r="G99" s="390">
        <f t="shared" si="7"/>
        <v>0</v>
      </c>
      <c r="H99" s="336">
        <v>1240.05</v>
      </c>
      <c r="I99" s="336"/>
      <c r="J99" s="336"/>
      <c r="K99" s="336">
        <v>1240.05</v>
      </c>
      <c r="L99" s="336">
        <f t="shared" si="5"/>
        <v>1240.05</v>
      </c>
      <c r="M99" s="336">
        <f t="shared" si="6"/>
        <v>1240.05</v>
      </c>
      <c r="N99" s="390">
        <f t="shared" si="4"/>
        <v>0</v>
      </c>
      <c r="O99" s="442"/>
      <c r="P99" s="231" t="s">
        <v>242</v>
      </c>
      <c r="Q99" s="11" t="s">
        <v>243</v>
      </c>
      <c r="R99" s="474"/>
      <c r="S99" s="339"/>
    </row>
    <row r="100" spans="1:19" ht="33">
      <c r="A100" s="333" t="s">
        <v>2218</v>
      </c>
      <c r="B100" s="334" t="s">
        <v>458</v>
      </c>
      <c r="C100" s="335" t="s">
        <v>0</v>
      </c>
      <c r="D100" s="336">
        <v>1</v>
      </c>
      <c r="E100" s="336">
        <v>1</v>
      </c>
      <c r="F100" s="336">
        <f>估驗單!F96</f>
        <v>1</v>
      </c>
      <c r="G100" s="390">
        <f t="shared" si="7"/>
        <v>0</v>
      </c>
      <c r="H100" s="336">
        <v>1470.75</v>
      </c>
      <c r="I100" s="336"/>
      <c r="J100" s="336"/>
      <c r="K100" s="336">
        <v>1470.75</v>
      </c>
      <c r="L100" s="336">
        <f t="shared" si="5"/>
        <v>1470.75</v>
      </c>
      <c r="M100" s="336">
        <f t="shared" si="6"/>
        <v>1470.75</v>
      </c>
      <c r="N100" s="390">
        <f t="shared" si="4"/>
        <v>0</v>
      </c>
      <c r="O100" s="442"/>
      <c r="P100" s="231" t="s">
        <v>242</v>
      </c>
      <c r="Q100" s="11" t="s">
        <v>243</v>
      </c>
      <c r="R100" s="474"/>
      <c r="S100" s="339"/>
    </row>
    <row r="101" spans="1:19" ht="33">
      <c r="A101" s="333" t="s">
        <v>2219</v>
      </c>
      <c r="B101" s="334" t="s">
        <v>461</v>
      </c>
      <c r="C101" s="335" t="s">
        <v>0</v>
      </c>
      <c r="D101" s="336">
        <v>1</v>
      </c>
      <c r="E101" s="336">
        <v>1</v>
      </c>
      <c r="F101" s="336">
        <f>估驗單!F97</f>
        <v>1</v>
      </c>
      <c r="G101" s="390">
        <f t="shared" si="7"/>
        <v>0</v>
      </c>
      <c r="H101" s="336">
        <v>1326.56</v>
      </c>
      <c r="I101" s="336"/>
      <c r="J101" s="336"/>
      <c r="K101" s="336">
        <v>1326.56</v>
      </c>
      <c r="L101" s="336">
        <f t="shared" si="5"/>
        <v>1326.56</v>
      </c>
      <c r="M101" s="336">
        <f t="shared" si="6"/>
        <v>1326.56</v>
      </c>
      <c r="N101" s="390">
        <f t="shared" si="4"/>
        <v>0</v>
      </c>
      <c r="O101" s="442"/>
      <c r="P101" s="231" t="s">
        <v>242</v>
      </c>
      <c r="Q101" s="11" t="s">
        <v>243</v>
      </c>
      <c r="R101" s="474"/>
      <c r="S101" s="339"/>
    </row>
    <row r="102" spans="1:19" ht="33">
      <c r="A102" s="333" t="s">
        <v>2220</v>
      </c>
      <c r="B102" s="334" t="s">
        <v>464</v>
      </c>
      <c r="C102" s="335" t="s">
        <v>0</v>
      </c>
      <c r="D102" s="336">
        <v>3</v>
      </c>
      <c r="E102" s="336">
        <v>3</v>
      </c>
      <c r="F102" s="336">
        <f>估驗單!F98</f>
        <v>3</v>
      </c>
      <c r="G102" s="390">
        <f t="shared" si="7"/>
        <v>0</v>
      </c>
      <c r="H102" s="336">
        <v>331.64</v>
      </c>
      <c r="I102" s="336"/>
      <c r="J102" s="336"/>
      <c r="K102" s="336">
        <v>994.92</v>
      </c>
      <c r="L102" s="336">
        <f t="shared" si="5"/>
        <v>994.92</v>
      </c>
      <c r="M102" s="336">
        <f t="shared" si="6"/>
        <v>994.92</v>
      </c>
      <c r="N102" s="390">
        <f t="shared" ref="N102:N122" si="8">IF(L102-M102&lt;0+AND(L102&lt;&gt;0),M102-L102,"      ")</f>
        <v>0</v>
      </c>
      <c r="O102" s="442"/>
      <c r="P102" s="231" t="s">
        <v>242</v>
      </c>
      <c r="Q102" s="11" t="s">
        <v>243</v>
      </c>
      <c r="R102" s="474"/>
      <c r="S102" s="339"/>
    </row>
    <row r="103" spans="1:19" ht="33">
      <c r="A103" s="333" t="s">
        <v>2221</v>
      </c>
      <c r="B103" s="334" t="s">
        <v>467</v>
      </c>
      <c r="C103" s="335" t="s">
        <v>0</v>
      </c>
      <c r="D103" s="336">
        <v>7</v>
      </c>
      <c r="E103" s="336">
        <v>7</v>
      </c>
      <c r="F103" s="336">
        <f>估驗單!F99</f>
        <v>7</v>
      </c>
      <c r="G103" s="390">
        <f t="shared" si="7"/>
        <v>0</v>
      </c>
      <c r="H103" s="336">
        <v>952.18</v>
      </c>
      <c r="I103" s="336"/>
      <c r="J103" s="336"/>
      <c r="K103" s="336">
        <v>6665.26</v>
      </c>
      <c r="L103" s="336">
        <f t="shared" si="5"/>
        <v>6665.26</v>
      </c>
      <c r="M103" s="336">
        <f t="shared" si="6"/>
        <v>6665.26</v>
      </c>
      <c r="N103" s="390">
        <f t="shared" si="8"/>
        <v>0</v>
      </c>
      <c r="O103" s="442"/>
      <c r="P103" s="231" t="s">
        <v>242</v>
      </c>
      <c r="Q103" s="11" t="s">
        <v>243</v>
      </c>
      <c r="R103" s="474"/>
      <c r="S103" s="339"/>
    </row>
    <row r="104" spans="1:19" ht="33">
      <c r="A104" s="333" t="s">
        <v>2222</v>
      </c>
      <c r="B104" s="334" t="s">
        <v>470</v>
      </c>
      <c r="C104" s="335" t="s">
        <v>0</v>
      </c>
      <c r="D104" s="336">
        <v>1</v>
      </c>
      <c r="E104" s="336">
        <v>1</v>
      </c>
      <c r="F104" s="336">
        <f>估驗單!F100</f>
        <v>1</v>
      </c>
      <c r="G104" s="390">
        <f t="shared" si="7"/>
        <v>0</v>
      </c>
      <c r="H104" s="336">
        <v>272825.21000000002</v>
      </c>
      <c r="I104" s="336"/>
      <c r="J104" s="336"/>
      <c r="K104" s="336">
        <v>272825.21000000002</v>
      </c>
      <c r="L104" s="336">
        <f t="shared" si="5"/>
        <v>272825.21000000002</v>
      </c>
      <c r="M104" s="336">
        <f t="shared" si="6"/>
        <v>272825.21000000002</v>
      </c>
      <c r="N104" s="390">
        <f t="shared" si="8"/>
        <v>0</v>
      </c>
      <c r="O104" s="442"/>
      <c r="P104" s="231" t="s">
        <v>242</v>
      </c>
      <c r="Q104" s="11" t="s">
        <v>243</v>
      </c>
      <c r="R104" s="474"/>
      <c r="S104" s="339"/>
    </row>
    <row r="105" spans="1:19" ht="33">
      <c r="A105" s="333" t="s">
        <v>2223</v>
      </c>
      <c r="B105" s="334" t="s">
        <v>473</v>
      </c>
      <c r="C105" s="335" t="s">
        <v>13</v>
      </c>
      <c r="D105" s="336">
        <v>759.43</v>
      </c>
      <c r="E105" s="336">
        <v>759.43</v>
      </c>
      <c r="F105" s="336">
        <f>估驗單!F101</f>
        <v>759.43</v>
      </c>
      <c r="G105" s="390">
        <f t="shared" si="7"/>
        <v>0</v>
      </c>
      <c r="H105" s="336">
        <v>647.65</v>
      </c>
      <c r="I105" s="336"/>
      <c r="J105" s="336"/>
      <c r="K105" s="336">
        <v>491844.84</v>
      </c>
      <c r="L105" s="336">
        <f t="shared" si="5"/>
        <v>491844.84</v>
      </c>
      <c r="M105" s="336">
        <f t="shared" si="6"/>
        <v>491844.84</v>
      </c>
      <c r="N105" s="390">
        <f t="shared" si="8"/>
        <v>0</v>
      </c>
      <c r="O105" s="442"/>
      <c r="P105" s="231" t="s">
        <v>242</v>
      </c>
      <c r="Q105" s="11" t="s">
        <v>243</v>
      </c>
      <c r="R105" s="474"/>
      <c r="S105" s="339"/>
    </row>
    <row r="106" spans="1:19" ht="33">
      <c r="A106" s="333" t="s">
        <v>2224</v>
      </c>
      <c r="B106" s="334" t="s">
        <v>476</v>
      </c>
      <c r="C106" s="335" t="s">
        <v>15</v>
      </c>
      <c r="D106" s="336">
        <v>1</v>
      </c>
      <c r="E106" s="336">
        <v>1</v>
      </c>
      <c r="F106" s="336">
        <f>估驗單!F102</f>
        <v>1</v>
      </c>
      <c r="G106" s="390">
        <f t="shared" si="7"/>
        <v>0</v>
      </c>
      <c r="H106" s="336">
        <v>10412.73</v>
      </c>
      <c r="I106" s="336"/>
      <c r="J106" s="336"/>
      <c r="K106" s="336">
        <v>10412.73</v>
      </c>
      <c r="L106" s="336">
        <f t="shared" si="5"/>
        <v>10412.73</v>
      </c>
      <c r="M106" s="336">
        <f t="shared" si="6"/>
        <v>10412.73</v>
      </c>
      <c r="N106" s="390">
        <f t="shared" si="8"/>
        <v>0</v>
      </c>
      <c r="O106" s="442"/>
      <c r="P106" s="231" t="s">
        <v>2321</v>
      </c>
      <c r="Q106" s="11" t="s">
        <v>243</v>
      </c>
      <c r="R106" s="474"/>
      <c r="S106" s="339"/>
    </row>
    <row r="107" spans="1:19" ht="33">
      <c r="A107" s="333" t="s">
        <v>2225</v>
      </c>
      <c r="B107" s="334" t="s">
        <v>479</v>
      </c>
      <c r="C107" s="335" t="s">
        <v>15</v>
      </c>
      <c r="D107" s="336">
        <v>3</v>
      </c>
      <c r="E107" s="336">
        <v>3</v>
      </c>
      <c r="F107" s="336">
        <f>估驗單!F103</f>
        <v>3</v>
      </c>
      <c r="G107" s="390">
        <f t="shared" si="7"/>
        <v>0</v>
      </c>
      <c r="H107" s="336">
        <v>4575.03</v>
      </c>
      <c r="I107" s="336"/>
      <c r="J107" s="336"/>
      <c r="K107" s="336">
        <v>13725.09</v>
      </c>
      <c r="L107" s="336">
        <f t="shared" si="5"/>
        <v>13725.09</v>
      </c>
      <c r="M107" s="336">
        <f t="shared" si="6"/>
        <v>13725.09</v>
      </c>
      <c r="N107" s="390">
        <f t="shared" si="8"/>
        <v>0</v>
      </c>
      <c r="O107" s="442"/>
      <c r="P107" s="231" t="s">
        <v>2338</v>
      </c>
      <c r="Q107" s="11" t="s">
        <v>243</v>
      </c>
      <c r="R107" s="474"/>
      <c r="S107" s="339"/>
    </row>
    <row r="108" spans="1:19" ht="33">
      <c r="A108" s="382" t="s">
        <v>2226</v>
      </c>
      <c r="B108" s="383" t="s">
        <v>482</v>
      </c>
      <c r="C108" s="384" t="s">
        <v>483</v>
      </c>
      <c r="D108" s="385">
        <v>88.17</v>
      </c>
      <c r="E108" s="385">
        <v>88.17</v>
      </c>
      <c r="F108" s="385">
        <f>估驗單!F104</f>
        <v>88.17</v>
      </c>
      <c r="G108" s="391">
        <f t="shared" si="7"/>
        <v>0</v>
      </c>
      <c r="H108" s="385">
        <v>15299.17</v>
      </c>
      <c r="I108" s="385"/>
      <c r="J108" s="385"/>
      <c r="K108" s="385">
        <v>1348927.82</v>
      </c>
      <c r="L108" s="385">
        <f t="shared" si="5"/>
        <v>1348927.82</v>
      </c>
      <c r="M108" s="385">
        <f t="shared" si="6"/>
        <v>1348927.82</v>
      </c>
      <c r="N108" s="391">
        <f t="shared" si="8"/>
        <v>0</v>
      </c>
      <c r="O108" s="443"/>
      <c r="P108" s="386" t="s">
        <v>2339</v>
      </c>
      <c r="Q108" s="11" t="s">
        <v>243</v>
      </c>
      <c r="R108" s="474"/>
      <c r="S108" s="339"/>
    </row>
    <row r="109" spans="1:19" ht="33">
      <c r="A109" s="333" t="s">
        <v>2227</v>
      </c>
      <c r="B109" s="334" t="s">
        <v>486</v>
      </c>
      <c r="C109" s="335" t="s">
        <v>0</v>
      </c>
      <c r="D109" s="336">
        <v>25</v>
      </c>
      <c r="E109" s="336">
        <v>25</v>
      </c>
      <c r="F109" s="336">
        <f>估驗單!F105</f>
        <v>25</v>
      </c>
      <c r="G109" s="390">
        <f t="shared" si="7"/>
        <v>0</v>
      </c>
      <c r="H109" s="336">
        <v>4498.3100000000004</v>
      </c>
      <c r="I109" s="336"/>
      <c r="J109" s="336"/>
      <c r="K109" s="336">
        <v>112457.75</v>
      </c>
      <c r="L109" s="336">
        <f t="shared" si="5"/>
        <v>112457.75</v>
      </c>
      <c r="M109" s="336">
        <f t="shared" si="6"/>
        <v>112457.75</v>
      </c>
      <c r="N109" s="390">
        <f t="shared" si="8"/>
        <v>0</v>
      </c>
      <c r="O109" s="442"/>
      <c r="P109" s="231" t="s">
        <v>242</v>
      </c>
      <c r="Q109" s="11" t="s">
        <v>243</v>
      </c>
      <c r="R109" s="474"/>
      <c r="S109" s="339"/>
    </row>
    <row r="110" spans="1:19" ht="33">
      <c r="A110" s="333" t="s">
        <v>2228</v>
      </c>
      <c r="B110" s="334" t="s">
        <v>489</v>
      </c>
      <c r="C110" s="335" t="s">
        <v>0</v>
      </c>
      <c r="D110" s="336">
        <v>13</v>
      </c>
      <c r="E110" s="336">
        <v>13</v>
      </c>
      <c r="F110" s="336">
        <f>估驗單!F106</f>
        <v>13</v>
      </c>
      <c r="G110" s="390">
        <f t="shared" si="7"/>
        <v>0</v>
      </c>
      <c r="H110" s="336">
        <v>3353.5</v>
      </c>
      <c r="I110" s="336"/>
      <c r="J110" s="336"/>
      <c r="K110" s="336">
        <v>43595.5</v>
      </c>
      <c r="L110" s="336">
        <f t="shared" si="5"/>
        <v>43595.5</v>
      </c>
      <c r="M110" s="336">
        <f t="shared" si="6"/>
        <v>43595.5</v>
      </c>
      <c r="N110" s="390">
        <f t="shared" si="8"/>
        <v>0</v>
      </c>
      <c r="O110" s="442"/>
      <c r="P110" s="231" t="s">
        <v>242</v>
      </c>
      <c r="Q110" s="11" t="s">
        <v>243</v>
      </c>
      <c r="R110" s="474"/>
      <c r="S110" s="339"/>
    </row>
    <row r="111" spans="1:19" ht="33">
      <c r="A111" s="333" t="s">
        <v>2229</v>
      </c>
      <c r="B111" s="334" t="s">
        <v>492</v>
      </c>
      <c r="C111" s="335" t="s">
        <v>8</v>
      </c>
      <c r="D111" s="336">
        <v>9.8000000000000007</v>
      </c>
      <c r="E111" s="336">
        <v>9.8000000000000007</v>
      </c>
      <c r="F111" s="336">
        <f>估驗單!F107</f>
        <v>9.8000000000000007</v>
      </c>
      <c r="G111" s="390">
        <f t="shared" si="7"/>
        <v>0</v>
      </c>
      <c r="H111" s="336">
        <v>9873.85</v>
      </c>
      <c r="I111" s="336"/>
      <c r="J111" s="336"/>
      <c r="K111" s="336">
        <v>96763.73</v>
      </c>
      <c r="L111" s="336">
        <f t="shared" si="5"/>
        <v>96763.73</v>
      </c>
      <c r="M111" s="336">
        <f t="shared" si="6"/>
        <v>96763.73</v>
      </c>
      <c r="N111" s="390">
        <f t="shared" si="8"/>
        <v>0</v>
      </c>
      <c r="O111" s="442"/>
      <c r="P111" s="231" t="s">
        <v>242</v>
      </c>
      <c r="Q111" s="11" t="s">
        <v>243</v>
      </c>
      <c r="R111" s="474"/>
      <c r="S111" s="339"/>
    </row>
    <row r="112" spans="1:19" ht="33">
      <c r="A112" s="333" t="s">
        <v>2230</v>
      </c>
      <c r="B112" s="334" t="s">
        <v>495</v>
      </c>
      <c r="C112" s="335" t="s">
        <v>8</v>
      </c>
      <c r="D112" s="336">
        <v>6.2</v>
      </c>
      <c r="E112" s="336">
        <v>6.2</v>
      </c>
      <c r="F112" s="336">
        <f>估驗單!F108</f>
        <v>6.2</v>
      </c>
      <c r="G112" s="390">
        <f t="shared" si="7"/>
        <v>0</v>
      </c>
      <c r="H112" s="336">
        <v>6554</v>
      </c>
      <c r="I112" s="336"/>
      <c r="J112" s="336"/>
      <c r="K112" s="336">
        <v>40634.800000000003</v>
      </c>
      <c r="L112" s="336">
        <f t="shared" si="5"/>
        <v>40634.800000000003</v>
      </c>
      <c r="M112" s="336">
        <f t="shared" si="6"/>
        <v>40634.800000000003</v>
      </c>
      <c r="N112" s="390">
        <f t="shared" si="8"/>
        <v>0</v>
      </c>
      <c r="O112" s="442"/>
      <c r="P112" s="231" t="s">
        <v>242</v>
      </c>
      <c r="Q112" s="11" t="s">
        <v>243</v>
      </c>
      <c r="R112" s="474"/>
      <c r="S112" s="339"/>
    </row>
    <row r="113" spans="1:20" ht="33">
      <c r="A113" s="333" t="s">
        <v>2231</v>
      </c>
      <c r="B113" s="334" t="s">
        <v>498</v>
      </c>
      <c r="C113" s="335" t="s">
        <v>8</v>
      </c>
      <c r="D113" s="336">
        <v>3.3</v>
      </c>
      <c r="E113" s="336">
        <v>3.3</v>
      </c>
      <c r="F113" s="336">
        <f>估驗單!F109</f>
        <v>3.3</v>
      </c>
      <c r="G113" s="390">
        <f t="shared" si="7"/>
        <v>0</v>
      </c>
      <c r="H113" s="336">
        <v>8390.27</v>
      </c>
      <c r="I113" s="336"/>
      <c r="J113" s="336"/>
      <c r="K113" s="336">
        <v>27687.89</v>
      </c>
      <c r="L113" s="336">
        <f t="shared" si="5"/>
        <v>27687.89</v>
      </c>
      <c r="M113" s="336">
        <f t="shared" si="6"/>
        <v>27687.89</v>
      </c>
      <c r="N113" s="390">
        <f t="shared" si="8"/>
        <v>0</v>
      </c>
      <c r="O113" s="442"/>
      <c r="P113" s="231" t="s">
        <v>242</v>
      </c>
      <c r="Q113" s="11" t="s">
        <v>243</v>
      </c>
      <c r="R113" s="474"/>
      <c r="S113" s="339"/>
    </row>
    <row r="114" spans="1:20" ht="33">
      <c r="A114" s="333" t="s">
        <v>2232</v>
      </c>
      <c r="B114" s="334" t="s">
        <v>501</v>
      </c>
      <c r="C114" s="335" t="s">
        <v>8</v>
      </c>
      <c r="D114" s="336">
        <v>40.6</v>
      </c>
      <c r="E114" s="336">
        <v>40.6</v>
      </c>
      <c r="F114" s="336">
        <f>估驗單!F110</f>
        <v>40.6</v>
      </c>
      <c r="G114" s="390">
        <f t="shared" si="7"/>
        <v>0</v>
      </c>
      <c r="H114" s="336">
        <v>671.95</v>
      </c>
      <c r="I114" s="336"/>
      <c r="J114" s="336"/>
      <c r="K114" s="336">
        <v>27281.17</v>
      </c>
      <c r="L114" s="336">
        <f t="shared" si="5"/>
        <v>27281.17</v>
      </c>
      <c r="M114" s="336">
        <f t="shared" si="6"/>
        <v>27281.17</v>
      </c>
      <c r="N114" s="390">
        <f t="shared" si="8"/>
        <v>0</v>
      </c>
      <c r="O114" s="442"/>
      <c r="P114" s="231" t="s">
        <v>2321</v>
      </c>
      <c r="Q114" s="11" t="s">
        <v>243</v>
      </c>
      <c r="R114" s="474"/>
      <c r="S114" s="339"/>
    </row>
    <row r="115" spans="1:20" ht="33">
      <c r="A115" s="333" t="s">
        <v>2233</v>
      </c>
      <c r="B115" s="334" t="s">
        <v>504</v>
      </c>
      <c r="C115" s="335" t="s">
        <v>8</v>
      </c>
      <c r="D115" s="336">
        <v>176.7</v>
      </c>
      <c r="E115" s="336">
        <v>176.7</v>
      </c>
      <c r="F115" s="336">
        <f>估驗單!F111</f>
        <v>176.7</v>
      </c>
      <c r="G115" s="390">
        <f t="shared" si="7"/>
        <v>0</v>
      </c>
      <c r="H115" s="336">
        <v>658.27</v>
      </c>
      <c r="I115" s="336"/>
      <c r="J115" s="336"/>
      <c r="K115" s="336">
        <v>116316.31</v>
      </c>
      <c r="L115" s="336">
        <f t="shared" si="5"/>
        <v>116316.31</v>
      </c>
      <c r="M115" s="336">
        <f t="shared" si="6"/>
        <v>116316.31</v>
      </c>
      <c r="N115" s="390">
        <f t="shared" si="8"/>
        <v>0</v>
      </c>
      <c r="O115" s="442"/>
      <c r="P115" s="231" t="s">
        <v>242</v>
      </c>
      <c r="Q115" s="11" t="s">
        <v>243</v>
      </c>
      <c r="R115" s="474"/>
      <c r="S115" s="339"/>
    </row>
    <row r="116" spans="1:20" ht="33">
      <c r="A116" s="333" t="s">
        <v>2234</v>
      </c>
      <c r="B116" s="334" t="s">
        <v>507</v>
      </c>
      <c r="C116" s="335" t="s">
        <v>8</v>
      </c>
      <c r="D116" s="336">
        <v>251.7</v>
      </c>
      <c r="E116" s="336">
        <v>251.7</v>
      </c>
      <c r="F116" s="336">
        <f>估驗單!F112</f>
        <v>251.7</v>
      </c>
      <c r="G116" s="390">
        <f t="shared" si="7"/>
        <v>0</v>
      </c>
      <c r="H116" s="336">
        <v>730.37</v>
      </c>
      <c r="I116" s="336"/>
      <c r="J116" s="336"/>
      <c r="K116" s="336">
        <v>183834.13</v>
      </c>
      <c r="L116" s="336">
        <f t="shared" si="5"/>
        <v>183834.13</v>
      </c>
      <c r="M116" s="336">
        <f t="shared" si="6"/>
        <v>183834.13</v>
      </c>
      <c r="N116" s="390">
        <f t="shared" si="8"/>
        <v>0</v>
      </c>
      <c r="O116" s="442"/>
      <c r="P116" s="231" t="s">
        <v>242</v>
      </c>
      <c r="Q116" s="11" t="s">
        <v>243</v>
      </c>
      <c r="R116" s="474"/>
      <c r="S116" s="339"/>
    </row>
    <row r="117" spans="1:20" ht="33">
      <c r="A117" s="333" t="s">
        <v>2235</v>
      </c>
      <c r="B117" s="334" t="s">
        <v>510</v>
      </c>
      <c r="C117" s="335" t="s">
        <v>8</v>
      </c>
      <c r="D117" s="336">
        <v>6.8</v>
      </c>
      <c r="E117" s="336">
        <v>6.8</v>
      </c>
      <c r="F117" s="336">
        <f>估驗單!F113</f>
        <v>6.8</v>
      </c>
      <c r="G117" s="390">
        <f t="shared" si="7"/>
        <v>0</v>
      </c>
      <c r="H117" s="336">
        <v>406.38</v>
      </c>
      <c r="I117" s="336"/>
      <c r="J117" s="336"/>
      <c r="K117" s="336">
        <v>2763.38</v>
      </c>
      <c r="L117" s="336">
        <f t="shared" si="5"/>
        <v>2763.38</v>
      </c>
      <c r="M117" s="336">
        <f t="shared" si="6"/>
        <v>2763.38</v>
      </c>
      <c r="N117" s="390">
        <f t="shared" si="8"/>
        <v>0</v>
      </c>
      <c r="O117" s="442"/>
      <c r="P117" s="231" t="s">
        <v>242</v>
      </c>
      <c r="Q117" s="11" t="s">
        <v>243</v>
      </c>
      <c r="R117" s="474"/>
      <c r="S117" s="339"/>
    </row>
    <row r="118" spans="1:20" ht="33">
      <c r="A118" s="333" t="s">
        <v>2236</v>
      </c>
      <c r="B118" s="334" t="s">
        <v>513</v>
      </c>
      <c r="C118" s="335" t="s">
        <v>8</v>
      </c>
      <c r="D118" s="336">
        <v>44.2</v>
      </c>
      <c r="E118" s="336">
        <v>44.2</v>
      </c>
      <c r="F118" s="336">
        <f>估驗單!F114</f>
        <v>44.2</v>
      </c>
      <c r="G118" s="390">
        <f t="shared" si="7"/>
        <v>0</v>
      </c>
      <c r="H118" s="336">
        <v>457.88</v>
      </c>
      <c r="I118" s="336"/>
      <c r="J118" s="336"/>
      <c r="K118" s="336">
        <v>20238.3</v>
      </c>
      <c r="L118" s="336">
        <f t="shared" si="5"/>
        <v>20238.3</v>
      </c>
      <c r="M118" s="336">
        <f t="shared" si="6"/>
        <v>20238.3</v>
      </c>
      <c r="N118" s="390">
        <f t="shared" si="8"/>
        <v>0</v>
      </c>
      <c r="O118" s="442"/>
      <c r="P118" s="231" t="s">
        <v>2321</v>
      </c>
      <c r="Q118" s="11" t="s">
        <v>243</v>
      </c>
      <c r="R118" s="474"/>
      <c r="S118" s="339"/>
    </row>
    <row r="119" spans="1:20" ht="33">
      <c r="A119" s="333" t="s">
        <v>2237</v>
      </c>
      <c r="B119" s="334" t="s">
        <v>516</v>
      </c>
      <c r="C119" s="335" t="s">
        <v>8</v>
      </c>
      <c r="D119" s="336">
        <v>10.7</v>
      </c>
      <c r="E119" s="336">
        <v>10.7</v>
      </c>
      <c r="F119" s="336">
        <f>估驗單!F115</f>
        <v>10.7</v>
      </c>
      <c r="G119" s="390">
        <f t="shared" si="7"/>
        <v>0</v>
      </c>
      <c r="H119" s="336">
        <v>499.08</v>
      </c>
      <c r="I119" s="336"/>
      <c r="J119" s="336"/>
      <c r="K119" s="336">
        <v>5340.16</v>
      </c>
      <c r="L119" s="336">
        <f t="shared" si="5"/>
        <v>5340.16</v>
      </c>
      <c r="M119" s="336">
        <f t="shared" si="6"/>
        <v>5340.16</v>
      </c>
      <c r="N119" s="390">
        <f t="shared" si="8"/>
        <v>0</v>
      </c>
      <c r="O119" s="442"/>
      <c r="P119" s="231" t="s">
        <v>2321</v>
      </c>
      <c r="Q119" s="11" t="s">
        <v>243</v>
      </c>
      <c r="R119" s="474"/>
      <c r="S119" s="339"/>
    </row>
    <row r="120" spans="1:20" ht="33">
      <c r="A120" s="333" t="s">
        <v>2238</v>
      </c>
      <c r="B120" s="334" t="s">
        <v>519</v>
      </c>
      <c r="C120" s="335" t="s">
        <v>8</v>
      </c>
      <c r="D120" s="336">
        <v>62.5</v>
      </c>
      <c r="E120" s="336">
        <v>62.5</v>
      </c>
      <c r="F120" s="336">
        <f>估驗單!F116</f>
        <v>62.5</v>
      </c>
      <c r="G120" s="390">
        <f t="shared" si="7"/>
        <v>0</v>
      </c>
      <c r="H120" s="336">
        <v>545.82000000000005</v>
      </c>
      <c r="I120" s="336"/>
      <c r="J120" s="336"/>
      <c r="K120" s="336">
        <v>34113.75</v>
      </c>
      <c r="L120" s="336">
        <f t="shared" si="5"/>
        <v>34113.75</v>
      </c>
      <c r="M120" s="336">
        <f t="shared" si="6"/>
        <v>34113.75</v>
      </c>
      <c r="N120" s="390">
        <f t="shared" si="8"/>
        <v>0</v>
      </c>
      <c r="O120" s="442"/>
      <c r="P120" s="231" t="s">
        <v>2321</v>
      </c>
      <c r="Q120" s="11" t="s">
        <v>243</v>
      </c>
      <c r="R120" s="474"/>
      <c r="S120" s="339"/>
    </row>
    <row r="121" spans="1:20" ht="57">
      <c r="A121" s="333" t="s">
        <v>2239</v>
      </c>
      <c r="B121" s="334" t="s">
        <v>522</v>
      </c>
      <c r="C121" s="335" t="s">
        <v>8</v>
      </c>
      <c r="D121" s="336">
        <v>84.8</v>
      </c>
      <c r="E121" s="336">
        <v>84.8</v>
      </c>
      <c r="F121" s="336">
        <f>估驗單!F117</f>
        <v>84.8</v>
      </c>
      <c r="G121" s="390">
        <f t="shared" si="7"/>
        <v>0</v>
      </c>
      <c r="H121" s="336">
        <v>7340.02</v>
      </c>
      <c r="I121" s="336"/>
      <c r="J121" s="336"/>
      <c r="K121" s="336">
        <v>622433.69999999995</v>
      </c>
      <c r="L121" s="336">
        <f t="shared" si="5"/>
        <v>622433.69999999995</v>
      </c>
      <c r="M121" s="336">
        <f t="shared" si="6"/>
        <v>622433.69999999995</v>
      </c>
      <c r="N121" s="390">
        <f t="shared" si="8"/>
        <v>0</v>
      </c>
      <c r="O121" s="442"/>
      <c r="P121" s="231" t="s">
        <v>2336</v>
      </c>
      <c r="Q121" s="11" t="s">
        <v>243</v>
      </c>
      <c r="R121" s="474"/>
      <c r="S121" s="339"/>
    </row>
    <row r="122" spans="1:20" ht="33">
      <c r="A122" s="333" t="s">
        <v>2240</v>
      </c>
      <c r="B122" s="334" t="s">
        <v>525</v>
      </c>
      <c r="C122" s="335" t="s">
        <v>0</v>
      </c>
      <c r="D122" s="336">
        <v>2</v>
      </c>
      <c r="E122" s="336">
        <v>2</v>
      </c>
      <c r="F122" s="336">
        <f>估驗單!F118</f>
        <v>2</v>
      </c>
      <c r="G122" s="390">
        <f t="shared" si="7"/>
        <v>0</v>
      </c>
      <c r="H122" s="336">
        <v>913306.18</v>
      </c>
      <c r="I122" s="336"/>
      <c r="J122" s="336"/>
      <c r="K122" s="336">
        <v>1826612.36</v>
      </c>
      <c r="L122" s="336">
        <f t="shared" si="5"/>
        <v>1826612.36</v>
      </c>
      <c r="M122" s="336">
        <f t="shared" si="6"/>
        <v>1826612.36</v>
      </c>
      <c r="N122" s="390">
        <f t="shared" si="8"/>
        <v>0</v>
      </c>
      <c r="O122" s="442"/>
      <c r="P122" s="231" t="s">
        <v>2321</v>
      </c>
      <c r="Q122" s="11" t="s">
        <v>243</v>
      </c>
      <c r="R122" s="474"/>
      <c r="S122" s="339"/>
    </row>
    <row r="123" spans="1:20" ht="33">
      <c r="A123" s="406" t="s">
        <v>2241</v>
      </c>
      <c r="B123" s="407" t="s">
        <v>527</v>
      </c>
      <c r="C123" s="408" t="s">
        <v>4</v>
      </c>
      <c r="D123" s="409">
        <v>1</v>
      </c>
      <c r="E123" s="409"/>
      <c r="F123" s="409">
        <f>估驗單!F119</f>
        <v>0</v>
      </c>
      <c r="G123" s="410">
        <f t="shared" si="7"/>
        <v>0</v>
      </c>
      <c r="H123" s="409">
        <v>42128482.740000002</v>
      </c>
      <c r="I123" s="409"/>
      <c r="J123" s="409"/>
      <c r="K123" s="409">
        <v>42128482.740000002</v>
      </c>
      <c r="L123" s="409">
        <f>SUM(L124:L162)</f>
        <v>45369259.610000014</v>
      </c>
      <c r="M123" s="409">
        <f>SUM(M124:M162)</f>
        <v>45442982.900000013</v>
      </c>
      <c r="N123" s="409">
        <f>SUM(N124:N162)</f>
        <v>240343.79999999976</v>
      </c>
      <c r="O123" s="409">
        <f>SUM(O124:O162)</f>
        <v>0</v>
      </c>
      <c r="P123" s="288" t="s">
        <v>242</v>
      </c>
      <c r="Q123" s="11" t="s">
        <v>243</v>
      </c>
      <c r="R123" s="478"/>
      <c r="S123" s="339"/>
    </row>
    <row r="124" spans="1:20" ht="33.75">
      <c r="A124" s="333" t="s">
        <v>2154</v>
      </c>
      <c r="B124" s="334" t="s">
        <v>310</v>
      </c>
      <c r="C124" s="335" t="s">
        <v>223</v>
      </c>
      <c r="D124" s="336">
        <v>185.59</v>
      </c>
      <c r="E124" s="336">
        <v>928.51</v>
      </c>
      <c r="F124" s="336">
        <f>估驗單!F120</f>
        <v>928.51</v>
      </c>
      <c r="G124" s="390">
        <f t="shared" si="7"/>
        <v>0</v>
      </c>
      <c r="H124" s="336">
        <v>320.72000000000003</v>
      </c>
      <c r="I124" s="336"/>
      <c r="J124" s="336"/>
      <c r="K124" s="336">
        <v>59522.42</v>
      </c>
      <c r="L124" s="336">
        <f t="shared" ref="L124:L160" si="9">ROUND(E124*H124,2)</f>
        <v>297791.73</v>
      </c>
      <c r="M124" s="336">
        <f>ROUND(F124*H124,2)</f>
        <v>297791.73</v>
      </c>
      <c r="N124" s="390">
        <f t="shared" ref="N124:N162" si="10">IF(L124-M124&lt;0+AND(L124&lt;&gt;0),M124-L124,"      ")</f>
        <v>0</v>
      </c>
      <c r="O124" s="442"/>
      <c r="P124" s="231" t="s">
        <v>242</v>
      </c>
      <c r="Q124" s="11" t="s">
        <v>243</v>
      </c>
      <c r="R124" s="474" t="s">
        <v>2316</v>
      </c>
      <c r="S124" s="339" t="s">
        <v>2340</v>
      </c>
      <c r="T124" s="342" t="s">
        <v>2341</v>
      </c>
    </row>
    <row r="125" spans="1:20" ht="33">
      <c r="A125" s="333" t="s">
        <v>2155</v>
      </c>
      <c r="B125" s="334" t="s">
        <v>315</v>
      </c>
      <c r="C125" s="335" t="s">
        <v>6</v>
      </c>
      <c r="D125" s="336">
        <v>26.33</v>
      </c>
      <c r="E125" s="336">
        <v>26.33</v>
      </c>
      <c r="F125" s="336">
        <f>估驗單!F121</f>
        <v>26.33</v>
      </c>
      <c r="G125" s="390">
        <f t="shared" si="7"/>
        <v>0</v>
      </c>
      <c r="H125" s="336">
        <v>3114.97</v>
      </c>
      <c r="I125" s="336"/>
      <c r="J125" s="336"/>
      <c r="K125" s="336">
        <v>82017.16</v>
      </c>
      <c r="L125" s="336">
        <f t="shared" si="9"/>
        <v>82017.16</v>
      </c>
      <c r="M125" s="336">
        <f t="shared" ref="M125:M160" si="11">ROUND(F125*H125,2)</f>
        <v>82017.16</v>
      </c>
      <c r="N125" s="390">
        <f t="shared" si="10"/>
        <v>0</v>
      </c>
      <c r="O125" s="442"/>
      <c r="P125" s="231" t="s">
        <v>242</v>
      </c>
      <c r="Q125" s="11" t="s">
        <v>243</v>
      </c>
      <c r="R125" s="474"/>
      <c r="S125" s="339"/>
    </row>
    <row r="126" spans="1:20" ht="33">
      <c r="A126" s="333" t="s">
        <v>2156</v>
      </c>
      <c r="B126" s="334" t="s">
        <v>24</v>
      </c>
      <c r="C126" s="335" t="s">
        <v>6</v>
      </c>
      <c r="D126" s="336">
        <v>36.86</v>
      </c>
      <c r="E126" s="336">
        <v>36.86</v>
      </c>
      <c r="F126" s="336">
        <f>估驗單!F122</f>
        <v>36.86</v>
      </c>
      <c r="G126" s="390">
        <f t="shared" si="7"/>
        <v>0</v>
      </c>
      <c r="H126" s="336">
        <v>3320.96</v>
      </c>
      <c r="I126" s="336"/>
      <c r="J126" s="336"/>
      <c r="K126" s="336">
        <v>122410.59</v>
      </c>
      <c r="L126" s="336">
        <f t="shared" si="9"/>
        <v>122410.59</v>
      </c>
      <c r="M126" s="336">
        <f t="shared" si="11"/>
        <v>122410.59</v>
      </c>
      <c r="N126" s="390">
        <f t="shared" si="10"/>
        <v>0</v>
      </c>
      <c r="O126" s="442"/>
      <c r="P126" s="231" t="s">
        <v>242</v>
      </c>
      <c r="Q126" s="11" t="s">
        <v>243</v>
      </c>
      <c r="R126" s="474"/>
      <c r="S126" s="339"/>
    </row>
    <row r="127" spans="1:20" ht="33">
      <c r="A127" s="333" t="s">
        <v>2157</v>
      </c>
      <c r="B127" s="334" t="s">
        <v>528</v>
      </c>
      <c r="C127" s="335" t="s">
        <v>6</v>
      </c>
      <c r="D127" s="336">
        <v>654.83000000000004</v>
      </c>
      <c r="E127" s="336">
        <v>654.83000000000004</v>
      </c>
      <c r="F127" s="336">
        <f>估驗單!F123</f>
        <v>654.83000000000004</v>
      </c>
      <c r="G127" s="390">
        <f t="shared" si="7"/>
        <v>0</v>
      </c>
      <c r="H127" s="336">
        <v>3643.53</v>
      </c>
      <c r="I127" s="336"/>
      <c r="J127" s="336"/>
      <c r="K127" s="336">
        <v>2385892.75</v>
      </c>
      <c r="L127" s="336">
        <f t="shared" si="9"/>
        <v>2385892.75</v>
      </c>
      <c r="M127" s="336">
        <f t="shared" si="11"/>
        <v>2385892.75</v>
      </c>
      <c r="N127" s="390">
        <f t="shared" si="10"/>
        <v>0</v>
      </c>
      <c r="O127" s="442"/>
      <c r="P127" s="231" t="s">
        <v>242</v>
      </c>
      <c r="Q127" s="11" t="s">
        <v>243</v>
      </c>
      <c r="R127" s="474"/>
      <c r="S127" s="339"/>
    </row>
    <row r="128" spans="1:20" ht="42.75">
      <c r="A128" s="333" t="s">
        <v>2158</v>
      </c>
      <c r="B128" s="334" t="s">
        <v>192</v>
      </c>
      <c r="C128" s="335" t="s">
        <v>17</v>
      </c>
      <c r="D128" s="336">
        <v>6240.88</v>
      </c>
      <c r="E128" s="336">
        <v>6240.88</v>
      </c>
      <c r="F128" s="336">
        <f>估驗單!F124</f>
        <v>6240.88</v>
      </c>
      <c r="G128" s="390">
        <f t="shared" si="7"/>
        <v>0</v>
      </c>
      <c r="H128" s="336">
        <v>36.4</v>
      </c>
      <c r="I128" s="336"/>
      <c r="J128" s="336"/>
      <c r="K128" s="336">
        <v>227168.03</v>
      </c>
      <c r="L128" s="336">
        <f t="shared" si="9"/>
        <v>227168.03</v>
      </c>
      <c r="M128" s="336">
        <f t="shared" si="11"/>
        <v>227168.03</v>
      </c>
      <c r="N128" s="390">
        <f t="shared" si="10"/>
        <v>0</v>
      </c>
      <c r="O128" s="442"/>
      <c r="P128" s="231" t="s">
        <v>2334</v>
      </c>
      <c r="Q128" s="11" t="s">
        <v>243</v>
      </c>
      <c r="R128" s="474"/>
      <c r="S128" s="339"/>
    </row>
    <row r="129" spans="1:19" ht="42.75">
      <c r="A129" s="333" t="s">
        <v>2159</v>
      </c>
      <c r="B129" s="334" t="s">
        <v>530</v>
      </c>
      <c r="C129" s="335" t="s">
        <v>17</v>
      </c>
      <c r="D129" s="336">
        <v>102796.95</v>
      </c>
      <c r="E129" s="336">
        <v>102796.95</v>
      </c>
      <c r="F129" s="336">
        <f>估驗單!F125</f>
        <v>102796.95</v>
      </c>
      <c r="G129" s="390">
        <f t="shared" si="7"/>
        <v>0</v>
      </c>
      <c r="H129" s="336">
        <v>38.71</v>
      </c>
      <c r="I129" s="336"/>
      <c r="J129" s="336"/>
      <c r="K129" s="336">
        <v>3979269.93</v>
      </c>
      <c r="L129" s="336">
        <f t="shared" si="9"/>
        <v>3979269.93</v>
      </c>
      <c r="M129" s="336">
        <f t="shared" si="11"/>
        <v>3979269.93</v>
      </c>
      <c r="N129" s="390">
        <f t="shared" si="10"/>
        <v>0</v>
      </c>
      <c r="O129" s="442"/>
      <c r="P129" s="231" t="s">
        <v>2334</v>
      </c>
      <c r="Q129" s="11" t="s">
        <v>243</v>
      </c>
      <c r="R129" s="474"/>
      <c r="S129" s="339"/>
    </row>
    <row r="130" spans="1:19" ht="57">
      <c r="A130" s="333" t="s">
        <v>2160</v>
      </c>
      <c r="B130" s="334" t="s">
        <v>532</v>
      </c>
      <c r="C130" s="335" t="s">
        <v>13</v>
      </c>
      <c r="D130" s="336">
        <v>223.3</v>
      </c>
      <c r="E130" s="336">
        <v>223.3</v>
      </c>
      <c r="F130" s="336">
        <f>估驗單!F126</f>
        <v>223.3</v>
      </c>
      <c r="G130" s="390">
        <f t="shared" si="7"/>
        <v>0</v>
      </c>
      <c r="H130" s="336">
        <v>1154.9100000000001</v>
      </c>
      <c r="I130" s="336"/>
      <c r="J130" s="336"/>
      <c r="K130" s="336">
        <v>257891.4</v>
      </c>
      <c r="L130" s="336">
        <f t="shared" si="9"/>
        <v>257891.4</v>
      </c>
      <c r="M130" s="336">
        <f t="shared" si="11"/>
        <v>257891.4</v>
      </c>
      <c r="N130" s="390">
        <f t="shared" si="10"/>
        <v>0</v>
      </c>
      <c r="O130" s="442"/>
      <c r="P130" s="231" t="s">
        <v>2342</v>
      </c>
      <c r="Q130" s="11" t="s">
        <v>243</v>
      </c>
      <c r="R130" s="474"/>
      <c r="S130" s="339"/>
    </row>
    <row r="131" spans="1:19" ht="128.25">
      <c r="A131" s="382" t="s">
        <v>2161</v>
      </c>
      <c r="B131" s="383" t="s">
        <v>534</v>
      </c>
      <c r="C131" s="384" t="s">
        <v>13</v>
      </c>
      <c r="D131" s="385">
        <v>450.04</v>
      </c>
      <c r="E131" s="385">
        <v>450.04</v>
      </c>
      <c r="F131" s="385">
        <f>估驗單!F127</f>
        <v>484.31400000000008</v>
      </c>
      <c r="G131" s="391">
        <f t="shared" si="7"/>
        <v>34.274000000000058</v>
      </c>
      <c r="H131" s="385">
        <v>982.93</v>
      </c>
      <c r="I131" s="385"/>
      <c r="J131" s="385"/>
      <c r="K131" s="385">
        <v>442357.82</v>
      </c>
      <c r="L131" s="385">
        <f t="shared" si="9"/>
        <v>442357.82</v>
      </c>
      <c r="M131" s="385">
        <f t="shared" si="11"/>
        <v>476046.76</v>
      </c>
      <c r="N131" s="391">
        <f t="shared" si="10"/>
        <v>33688.94</v>
      </c>
      <c r="O131" s="443"/>
      <c r="P131" s="386" t="s">
        <v>2343</v>
      </c>
      <c r="Q131" s="11" t="s">
        <v>243</v>
      </c>
      <c r="R131" s="474"/>
      <c r="S131" s="339"/>
    </row>
    <row r="132" spans="1:19" ht="85.5">
      <c r="A132" s="382" t="s">
        <v>2162</v>
      </c>
      <c r="B132" s="383" t="s">
        <v>536</v>
      </c>
      <c r="C132" s="384" t="s">
        <v>13</v>
      </c>
      <c r="D132" s="385">
        <v>28.27</v>
      </c>
      <c r="E132" s="385">
        <v>28.27</v>
      </c>
      <c r="F132" s="385">
        <f>估驗單!F128</f>
        <v>42.534999999999997</v>
      </c>
      <c r="G132" s="391">
        <f t="shared" si="7"/>
        <v>14.264999999999997</v>
      </c>
      <c r="H132" s="385">
        <v>804.75</v>
      </c>
      <c r="I132" s="385"/>
      <c r="J132" s="385"/>
      <c r="K132" s="385">
        <v>22750.28</v>
      </c>
      <c r="L132" s="385">
        <f t="shared" si="9"/>
        <v>22750.28</v>
      </c>
      <c r="M132" s="385">
        <f t="shared" si="11"/>
        <v>34230.04</v>
      </c>
      <c r="N132" s="391">
        <f t="shared" si="10"/>
        <v>11479.760000000002</v>
      </c>
      <c r="O132" s="443"/>
      <c r="P132" s="386" t="s">
        <v>2344</v>
      </c>
      <c r="Q132" s="11" t="s">
        <v>243</v>
      </c>
      <c r="R132" s="474"/>
      <c r="S132" s="339"/>
    </row>
    <row r="133" spans="1:19" ht="33">
      <c r="A133" s="333" t="s">
        <v>2163</v>
      </c>
      <c r="B133" s="334" t="s">
        <v>538</v>
      </c>
      <c r="C133" s="335" t="s">
        <v>539</v>
      </c>
      <c r="D133" s="336">
        <v>25655</v>
      </c>
      <c r="E133" s="336">
        <v>25655</v>
      </c>
      <c r="F133" s="336">
        <f>估驗單!F129</f>
        <v>25655</v>
      </c>
      <c r="G133" s="390">
        <f t="shared" si="7"/>
        <v>0</v>
      </c>
      <c r="H133" s="336">
        <v>75</v>
      </c>
      <c r="I133" s="336"/>
      <c r="J133" s="336"/>
      <c r="K133" s="336">
        <v>1924125</v>
      </c>
      <c r="L133" s="336">
        <f t="shared" si="9"/>
        <v>1924125</v>
      </c>
      <c r="M133" s="336">
        <f t="shared" si="11"/>
        <v>1924125</v>
      </c>
      <c r="N133" s="390">
        <f t="shared" si="10"/>
        <v>0</v>
      </c>
      <c r="O133" s="442"/>
      <c r="P133" s="231" t="s">
        <v>242</v>
      </c>
      <c r="Q133" s="11" t="s">
        <v>243</v>
      </c>
      <c r="R133" s="474"/>
      <c r="S133" s="339"/>
    </row>
    <row r="134" spans="1:19" ht="57">
      <c r="A134" s="333" t="s">
        <v>2164</v>
      </c>
      <c r="B134" s="334" t="s">
        <v>321</v>
      </c>
      <c r="C134" s="335" t="s">
        <v>17</v>
      </c>
      <c r="D134" s="336">
        <v>3691</v>
      </c>
      <c r="E134" s="336">
        <v>3691</v>
      </c>
      <c r="F134" s="336">
        <f>估驗單!F130</f>
        <v>3691</v>
      </c>
      <c r="G134" s="390">
        <f t="shared" si="7"/>
        <v>0</v>
      </c>
      <c r="H134" s="336">
        <v>60</v>
      </c>
      <c r="I134" s="336"/>
      <c r="J134" s="336"/>
      <c r="K134" s="336">
        <v>221460</v>
      </c>
      <c r="L134" s="336">
        <f t="shared" si="9"/>
        <v>221460</v>
      </c>
      <c r="M134" s="336">
        <f t="shared" si="11"/>
        <v>221460</v>
      </c>
      <c r="N134" s="390">
        <f t="shared" si="10"/>
        <v>0</v>
      </c>
      <c r="O134" s="442"/>
      <c r="P134" s="231" t="s">
        <v>2337</v>
      </c>
      <c r="Q134" s="11" t="s">
        <v>243</v>
      </c>
      <c r="R134" s="474"/>
      <c r="S134" s="339"/>
    </row>
    <row r="135" spans="1:19" ht="33">
      <c r="A135" s="333" t="s">
        <v>2165</v>
      </c>
      <c r="B135" s="334" t="s">
        <v>323</v>
      </c>
      <c r="C135" s="335" t="s">
        <v>17</v>
      </c>
      <c r="D135" s="336">
        <v>3691</v>
      </c>
      <c r="E135" s="336">
        <v>3691</v>
      </c>
      <c r="F135" s="336">
        <f>估驗單!F131</f>
        <v>3691</v>
      </c>
      <c r="G135" s="390">
        <f t="shared" si="7"/>
        <v>0</v>
      </c>
      <c r="H135" s="336">
        <v>31.9</v>
      </c>
      <c r="I135" s="336"/>
      <c r="J135" s="336"/>
      <c r="K135" s="336">
        <v>117742.9</v>
      </c>
      <c r="L135" s="336">
        <f t="shared" si="9"/>
        <v>117742.9</v>
      </c>
      <c r="M135" s="336">
        <f t="shared" si="11"/>
        <v>117742.9</v>
      </c>
      <c r="N135" s="390">
        <f t="shared" si="10"/>
        <v>0</v>
      </c>
      <c r="O135" s="442"/>
      <c r="P135" s="231" t="s">
        <v>242</v>
      </c>
      <c r="Q135" s="11" t="s">
        <v>243</v>
      </c>
      <c r="R135" s="474"/>
      <c r="S135" s="339"/>
    </row>
    <row r="136" spans="1:19" ht="33">
      <c r="A136" s="333" t="s">
        <v>2166</v>
      </c>
      <c r="B136" s="334" t="s">
        <v>542</v>
      </c>
      <c r="C136" s="335" t="s">
        <v>17</v>
      </c>
      <c r="D136" s="336">
        <v>2162</v>
      </c>
      <c r="E136" s="336">
        <v>2162</v>
      </c>
      <c r="F136" s="336">
        <f>估驗單!F132</f>
        <v>2162</v>
      </c>
      <c r="G136" s="390">
        <f t="shared" si="7"/>
        <v>0</v>
      </c>
      <c r="H136" s="336">
        <v>278.08</v>
      </c>
      <c r="I136" s="336"/>
      <c r="J136" s="336"/>
      <c r="K136" s="336">
        <v>601208.96</v>
      </c>
      <c r="L136" s="336">
        <f t="shared" si="9"/>
        <v>601208.96</v>
      </c>
      <c r="M136" s="336">
        <f t="shared" si="11"/>
        <v>601208.96</v>
      </c>
      <c r="N136" s="390">
        <f t="shared" si="10"/>
        <v>0</v>
      </c>
      <c r="O136" s="442"/>
      <c r="P136" s="231" t="s">
        <v>242</v>
      </c>
      <c r="Q136" s="11" t="s">
        <v>243</v>
      </c>
      <c r="R136" s="474"/>
      <c r="S136" s="339"/>
    </row>
    <row r="137" spans="1:19" ht="33">
      <c r="A137" s="333" t="s">
        <v>2167</v>
      </c>
      <c r="B137" s="334" t="s">
        <v>544</v>
      </c>
      <c r="C137" s="335" t="s">
        <v>13</v>
      </c>
      <c r="D137" s="336">
        <v>99.7</v>
      </c>
      <c r="E137" s="336">
        <v>99.7</v>
      </c>
      <c r="F137" s="336">
        <f>估驗單!F133</f>
        <v>99.7</v>
      </c>
      <c r="G137" s="390">
        <f t="shared" si="7"/>
        <v>0</v>
      </c>
      <c r="H137" s="336">
        <v>1399.92</v>
      </c>
      <c r="I137" s="336"/>
      <c r="J137" s="336"/>
      <c r="K137" s="336">
        <v>139572.01999999999</v>
      </c>
      <c r="L137" s="336">
        <f t="shared" si="9"/>
        <v>139572.01999999999</v>
      </c>
      <c r="M137" s="336">
        <f t="shared" si="11"/>
        <v>139572.01999999999</v>
      </c>
      <c r="N137" s="390">
        <f t="shared" si="10"/>
        <v>0</v>
      </c>
      <c r="O137" s="442"/>
      <c r="P137" s="231" t="s">
        <v>2321</v>
      </c>
      <c r="Q137" s="11" t="s">
        <v>243</v>
      </c>
      <c r="R137" s="474"/>
      <c r="S137" s="339"/>
    </row>
    <row r="138" spans="1:19" ht="57">
      <c r="A138" s="382" t="s">
        <v>2168</v>
      </c>
      <c r="B138" s="383" t="s">
        <v>325</v>
      </c>
      <c r="C138" s="384" t="s">
        <v>17</v>
      </c>
      <c r="D138" s="385">
        <v>95900</v>
      </c>
      <c r="E138" s="385">
        <v>95900</v>
      </c>
      <c r="F138" s="385">
        <f>估驗單!F134</f>
        <v>96604.35</v>
      </c>
      <c r="G138" s="391">
        <f t="shared" si="7"/>
        <v>704.35000000000582</v>
      </c>
      <c r="H138" s="385">
        <v>107.3</v>
      </c>
      <c r="I138" s="385"/>
      <c r="J138" s="385"/>
      <c r="K138" s="385">
        <v>10290070</v>
      </c>
      <c r="L138" s="385">
        <f t="shared" si="9"/>
        <v>10290070</v>
      </c>
      <c r="M138" s="385">
        <f t="shared" si="11"/>
        <v>10365646.76</v>
      </c>
      <c r="N138" s="391">
        <f t="shared" si="10"/>
        <v>75576.759999999776</v>
      </c>
      <c r="O138" s="443"/>
      <c r="P138" s="386" t="s">
        <v>2337</v>
      </c>
      <c r="Q138" s="11" t="s">
        <v>243</v>
      </c>
      <c r="R138" s="474"/>
      <c r="S138" s="339"/>
    </row>
    <row r="139" spans="1:19" ht="42.75">
      <c r="A139" s="333" t="s">
        <v>2169</v>
      </c>
      <c r="B139" s="334" t="s">
        <v>222</v>
      </c>
      <c r="C139" s="335" t="s">
        <v>13</v>
      </c>
      <c r="D139" s="336">
        <v>438.86</v>
      </c>
      <c r="E139" s="336">
        <v>438.86</v>
      </c>
      <c r="F139" s="336">
        <f>估驗單!F135</f>
        <v>611.66</v>
      </c>
      <c r="G139" s="390">
        <f t="shared" si="7"/>
        <v>172.79999999999995</v>
      </c>
      <c r="H139" s="336">
        <v>692.12</v>
      </c>
      <c r="I139" s="336"/>
      <c r="J139" s="336"/>
      <c r="K139" s="336">
        <v>303743.78000000003</v>
      </c>
      <c r="L139" s="336">
        <f t="shared" si="9"/>
        <v>303743.78000000003</v>
      </c>
      <c r="M139" s="336">
        <f t="shared" si="11"/>
        <v>423342.12</v>
      </c>
      <c r="N139" s="390">
        <f t="shared" si="10"/>
        <v>119598.33999999997</v>
      </c>
      <c r="O139" s="442"/>
      <c r="P139" s="231" t="s">
        <v>2345</v>
      </c>
      <c r="Q139" s="11" t="s">
        <v>243</v>
      </c>
      <c r="R139" s="474"/>
      <c r="S139" s="339"/>
    </row>
    <row r="140" spans="1:19" ht="33">
      <c r="A140" s="333" t="s">
        <v>2170</v>
      </c>
      <c r="B140" s="334" t="s">
        <v>194</v>
      </c>
      <c r="C140" s="335" t="s">
        <v>23</v>
      </c>
      <c r="D140" s="336">
        <v>342.71</v>
      </c>
      <c r="E140" s="336">
        <v>342.71</v>
      </c>
      <c r="F140" s="336">
        <f>估驗單!F136</f>
        <v>342.71</v>
      </c>
      <c r="G140" s="390">
        <f t="shared" si="7"/>
        <v>0</v>
      </c>
      <c r="H140" s="336">
        <v>48.28</v>
      </c>
      <c r="I140" s="336"/>
      <c r="J140" s="336"/>
      <c r="K140" s="336">
        <v>16546.04</v>
      </c>
      <c r="L140" s="336">
        <f t="shared" si="9"/>
        <v>16546.04</v>
      </c>
      <c r="M140" s="336">
        <f t="shared" si="11"/>
        <v>16546.04</v>
      </c>
      <c r="N140" s="390">
        <f t="shared" si="10"/>
        <v>0</v>
      </c>
      <c r="O140" s="442"/>
      <c r="P140" s="231" t="s">
        <v>242</v>
      </c>
      <c r="Q140" s="11" t="s">
        <v>243</v>
      </c>
      <c r="R140" s="474"/>
      <c r="S140" s="339"/>
    </row>
    <row r="141" spans="1:19" ht="33">
      <c r="A141" s="333" t="s">
        <v>2171</v>
      </c>
      <c r="B141" s="334" t="s">
        <v>205</v>
      </c>
      <c r="C141" s="335" t="s">
        <v>23</v>
      </c>
      <c r="D141" s="336">
        <v>231.09</v>
      </c>
      <c r="E141" s="336">
        <v>231.09</v>
      </c>
      <c r="F141" s="336">
        <f>估驗單!F137</f>
        <v>0</v>
      </c>
      <c r="G141" s="390">
        <f t="shared" si="7"/>
        <v>-231.09</v>
      </c>
      <c r="H141" s="336">
        <v>721.02</v>
      </c>
      <c r="I141" s="336"/>
      <c r="J141" s="336"/>
      <c r="K141" s="336">
        <v>166620.51</v>
      </c>
      <c r="L141" s="336">
        <f t="shared" si="9"/>
        <v>166620.51</v>
      </c>
      <c r="M141" s="336">
        <f t="shared" si="11"/>
        <v>0</v>
      </c>
      <c r="N141" s="390" t="str">
        <f t="shared" si="10"/>
        <v xml:space="preserve">      </v>
      </c>
      <c r="O141" s="442"/>
      <c r="P141" s="231" t="s">
        <v>242</v>
      </c>
      <c r="Q141" s="11" t="s">
        <v>243</v>
      </c>
      <c r="R141" s="474"/>
      <c r="S141" s="339"/>
    </row>
    <row r="142" spans="1:19" ht="33">
      <c r="A142" s="333" t="s">
        <v>2172</v>
      </c>
      <c r="B142" s="334" t="s">
        <v>548</v>
      </c>
      <c r="C142" s="335" t="s">
        <v>13</v>
      </c>
      <c r="D142" s="336">
        <v>27956</v>
      </c>
      <c r="E142" s="336">
        <v>27956</v>
      </c>
      <c r="F142" s="336">
        <f>估驗單!F138</f>
        <v>27956</v>
      </c>
      <c r="G142" s="390">
        <f t="shared" si="7"/>
        <v>0</v>
      </c>
      <c r="H142" s="336">
        <v>28</v>
      </c>
      <c r="I142" s="336"/>
      <c r="J142" s="336"/>
      <c r="K142" s="336">
        <v>782768</v>
      </c>
      <c r="L142" s="336">
        <f t="shared" si="9"/>
        <v>782768</v>
      </c>
      <c r="M142" s="336">
        <f t="shared" si="11"/>
        <v>782768</v>
      </c>
      <c r="N142" s="390">
        <f t="shared" si="10"/>
        <v>0</v>
      </c>
      <c r="O142" s="442"/>
      <c r="P142" s="231" t="s">
        <v>2321</v>
      </c>
      <c r="Q142" s="11" t="s">
        <v>243</v>
      </c>
      <c r="R142" s="474"/>
      <c r="S142" s="339"/>
    </row>
    <row r="143" spans="1:19" ht="42.75">
      <c r="A143" s="333" t="s">
        <v>2173</v>
      </c>
      <c r="B143" s="334" t="s">
        <v>2242</v>
      </c>
      <c r="C143" s="335" t="s">
        <v>8</v>
      </c>
      <c r="D143" s="336">
        <v>322</v>
      </c>
      <c r="E143" s="336">
        <v>322</v>
      </c>
      <c r="F143" s="336">
        <f>估驗單!F139</f>
        <v>322</v>
      </c>
      <c r="G143" s="390">
        <f t="shared" si="7"/>
        <v>0</v>
      </c>
      <c r="H143" s="336">
        <v>19011.37</v>
      </c>
      <c r="I143" s="336"/>
      <c r="J143" s="336"/>
      <c r="K143" s="336">
        <v>6121661.1399999997</v>
      </c>
      <c r="L143" s="336">
        <f t="shared" si="9"/>
        <v>6121661.1399999997</v>
      </c>
      <c r="M143" s="336">
        <f t="shared" si="11"/>
        <v>6121661.1399999997</v>
      </c>
      <c r="N143" s="390">
        <f t="shared" si="10"/>
        <v>0</v>
      </c>
      <c r="O143" s="442"/>
      <c r="P143" s="231" t="s">
        <v>2334</v>
      </c>
      <c r="Q143" s="11" t="s">
        <v>243</v>
      </c>
      <c r="R143" s="474"/>
      <c r="S143" s="339"/>
    </row>
    <row r="144" spans="1:19" ht="33">
      <c r="A144" s="333" t="s">
        <v>2174</v>
      </c>
      <c r="B144" s="334" t="s">
        <v>552</v>
      </c>
      <c r="C144" s="335" t="s">
        <v>13</v>
      </c>
      <c r="D144" s="336">
        <v>100</v>
      </c>
      <c r="E144" s="336">
        <v>100</v>
      </c>
      <c r="F144" s="336">
        <f>估驗單!F140</f>
        <v>100</v>
      </c>
      <c r="G144" s="390">
        <f t="shared" si="7"/>
        <v>0</v>
      </c>
      <c r="H144" s="336">
        <v>373.08</v>
      </c>
      <c r="I144" s="336"/>
      <c r="J144" s="336"/>
      <c r="K144" s="336">
        <v>37308</v>
      </c>
      <c r="L144" s="336">
        <f t="shared" si="9"/>
        <v>37308</v>
      </c>
      <c r="M144" s="336">
        <f t="shared" si="11"/>
        <v>37308</v>
      </c>
      <c r="N144" s="390">
        <f t="shared" si="10"/>
        <v>0</v>
      </c>
      <c r="O144" s="442"/>
      <c r="P144" s="231" t="s">
        <v>242</v>
      </c>
      <c r="Q144" s="11" t="s">
        <v>243</v>
      </c>
      <c r="R144" s="474"/>
      <c r="S144" s="339"/>
    </row>
    <row r="145" spans="1:19" ht="33">
      <c r="A145" s="333" t="s">
        <v>2175</v>
      </c>
      <c r="B145" s="334" t="s">
        <v>554</v>
      </c>
      <c r="C145" s="335" t="s">
        <v>13</v>
      </c>
      <c r="D145" s="336">
        <v>83</v>
      </c>
      <c r="E145" s="336">
        <v>83</v>
      </c>
      <c r="F145" s="336">
        <f>估驗單!F141</f>
        <v>83</v>
      </c>
      <c r="G145" s="390">
        <f t="shared" si="7"/>
        <v>0</v>
      </c>
      <c r="H145" s="336">
        <v>616.49</v>
      </c>
      <c r="I145" s="336"/>
      <c r="J145" s="336"/>
      <c r="K145" s="336">
        <v>51168.67</v>
      </c>
      <c r="L145" s="336">
        <f t="shared" si="9"/>
        <v>51168.67</v>
      </c>
      <c r="M145" s="336">
        <f t="shared" si="11"/>
        <v>51168.67</v>
      </c>
      <c r="N145" s="390">
        <f t="shared" si="10"/>
        <v>0</v>
      </c>
      <c r="O145" s="442"/>
      <c r="P145" s="231" t="s">
        <v>242</v>
      </c>
      <c r="Q145" s="11" t="s">
        <v>243</v>
      </c>
      <c r="R145" s="474"/>
      <c r="S145" s="339"/>
    </row>
    <row r="146" spans="1:19" ht="33">
      <c r="A146" s="333" t="s">
        <v>2177</v>
      </c>
      <c r="B146" s="334" t="s">
        <v>556</v>
      </c>
      <c r="C146" s="335" t="s">
        <v>13</v>
      </c>
      <c r="D146" s="336">
        <v>2.1</v>
      </c>
      <c r="E146" s="336">
        <v>2.1</v>
      </c>
      <c r="F146" s="336">
        <f>估驗單!F142</f>
        <v>2.1</v>
      </c>
      <c r="G146" s="390">
        <f t="shared" si="7"/>
        <v>0</v>
      </c>
      <c r="H146" s="336">
        <v>1874.26</v>
      </c>
      <c r="I146" s="336"/>
      <c r="J146" s="336"/>
      <c r="K146" s="336">
        <v>3935.95</v>
      </c>
      <c r="L146" s="336">
        <f t="shared" si="9"/>
        <v>3935.95</v>
      </c>
      <c r="M146" s="336">
        <f t="shared" si="11"/>
        <v>3935.95</v>
      </c>
      <c r="N146" s="390">
        <f t="shared" si="10"/>
        <v>0</v>
      </c>
      <c r="O146" s="442"/>
      <c r="P146" s="231" t="s">
        <v>242</v>
      </c>
      <c r="Q146" s="11" t="s">
        <v>243</v>
      </c>
      <c r="R146" s="474"/>
      <c r="S146" s="339"/>
    </row>
    <row r="147" spans="1:19" ht="33">
      <c r="A147" s="333" t="s">
        <v>2178</v>
      </c>
      <c r="B147" s="334" t="s">
        <v>558</v>
      </c>
      <c r="C147" s="335" t="s">
        <v>8</v>
      </c>
      <c r="D147" s="336">
        <v>62</v>
      </c>
      <c r="E147" s="336">
        <v>62</v>
      </c>
      <c r="F147" s="336">
        <f>估驗單!F143</f>
        <v>62</v>
      </c>
      <c r="G147" s="390">
        <f t="shared" si="7"/>
        <v>0</v>
      </c>
      <c r="H147" s="336">
        <v>2388.4299999999998</v>
      </c>
      <c r="I147" s="336"/>
      <c r="J147" s="336"/>
      <c r="K147" s="336">
        <v>148082.66</v>
      </c>
      <c r="L147" s="336">
        <f t="shared" si="9"/>
        <v>148082.66</v>
      </c>
      <c r="M147" s="336">
        <f t="shared" si="11"/>
        <v>148082.66</v>
      </c>
      <c r="N147" s="390">
        <f t="shared" si="10"/>
        <v>0</v>
      </c>
      <c r="O147" s="442"/>
      <c r="P147" s="231" t="s">
        <v>2321</v>
      </c>
      <c r="Q147" s="11" t="s">
        <v>243</v>
      </c>
      <c r="R147" s="474"/>
      <c r="S147" s="339"/>
    </row>
    <row r="148" spans="1:19" ht="33">
      <c r="A148" s="333" t="s">
        <v>2179</v>
      </c>
      <c r="B148" s="334" t="s">
        <v>560</v>
      </c>
      <c r="C148" s="335" t="s">
        <v>8</v>
      </c>
      <c r="D148" s="336">
        <v>33</v>
      </c>
      <c r="E148" s="336">
        <v>33</v>
      </c>
      <c r="F148" s="336">
        <f>估驗單!F144</f>
        <v>33</v>
      </c>
      <c r="G148" s="390">
        <f t="shared" si="7"/>
        <v>0</v>
      </c>
      <c r="H148" s="336">
        <v>12777.68</v>
      </c>
      <c r="I148" s="336"/>
      <c r="J148" s="336"/>
      <c r="K148" s="336">
        <v>421663.44</v>
      </c>
      <c r="L148" s="336">
        <f t="shared" si="9"/>
        <v>421663.44</v>
      </c>
      <c r="M148" s="336">
        <f t="shared" si="11"/>
        <v>421663.44</v>
      </c>
      <c r="N148" s="390">
        <f t="shared" si="10"/>
        <v>0</v>
      </c>
      <c r="O148" s="442"/>
      <c r="P148" s="231" t="s">
        <v>2321</v>
      </c>
      <c r="Q148" s="11" t="s">
        <v>243</v>
      </c>
      <c r="R148" s="474"/>
      <c r="S148" s="339"/>
    </row>
    <row r="149" spans="1:19" ht="33">
      <c r="A149" s="333" t="s">
        <v>2181</v>
      </c>
      <c r="B149" s="334" t="s">
        <v>562</v>
      </c>
      <c r="C149" s="335" t="s">
        <v>8</v>
      </c>
      <c r="D149" s="336">
        <v>32.6</v>
      </c>
      <c r="E149" s="336">
        <v>32.6</v>
      </c>
      <c r="F149" s="336">
        <f>估驗單!F145</f>
        <v>32.6</v>
      </c>
      <c r="G149" s="390">
        <f t="shared" si="7"/>
        <v>0</v>
      </c>
      <c r="H149" s="336">
        <v>71914.34</v>
      </c>
      <c r="I149" s="336"/>
      <c r="J149" s="336"/>
      <c r="K149" s="336">
        <v>2344407.48</v>
      </c>
      <c r="L149" s="336">
        <f t="shared" si="9"/>
        <v>2344407.48</v>
      </c>
      <c r="M149" s="336">
        <f t="shared" si="11"/>
        <v>2344407.48</v>
      </c>
      <c r="N149" s="390">
        <f t="shared" si="10"/>
        <v>0</v>
      </c>
      <c r="O149" s="442"/>
      <c r="P149" s="231" t="s">
        <v>2321</v>
      </c>
      <c r="Q149" s="11" t="s">
        <v>243</v>
      </c>
      <c r="R149" s="474"/>
      <c r="S149" s="339"/>
    </row>
    <row r="150" spans="1:19" ht="33">
      <c r="A150" s="333" t="s">
        <v>2182</v>
      </c>
      <c r="B150" s="334" t="s">
        <v>564</v>
      </c>
      <c r="C150" s="335" t="s">
        <v>8</v>
      </c>
      <c r="D150" s="336">
        <v>32.6</v>
      </c>
      <c r="E150" s="336">
        <v>32.6</v>
      </c>
      <c r="F150" s="336">
        <f>估驗單!F146</f>
        <v>32.6</v>
      </c>
      <c r="G150" s="390">
        <f t="shared" si="7"/>
        <v>0</v>
      </c>
      <c r="H150" s="336">
        <v>189793.78</v>
      </c>
      <c r="I150" s="336"/>
      <c r="J150" s="336"/>
      <c r="K150" s="336">
        <v>6187277.2300000004</v>
      </c>
      <c r="L150" s="336">
        <f t="shared" si="9"/>
        <v>6187277.2300000004</v>
      </c>
      <c r="M150" s="336">
        <f t="shared" si="11"/>
        <v>6187277.2300000004</v>
      </c>
      <c r="N150" s="390">
        <f t="shared" si="10"/>
        <v>0</v>
      </c>
      <c r="O150" s="442"/>
      <c r="P150" s="231" t="s">
        <v>2321</v>
      </c>
      <c r="Q150" s="11" t="s">
        <v>243</v>
      </c>
      <c r="R150" s="474"/>
      <c r="S150" s="339"/>
    </row>
    <row r="151" spans="1:19" ht="33">
      <c r="A151" s="333" t="s">
        <v>2183</v>
      </c>
      <c r="B151" s="334" t="s">
        <v>567</v>
      </c>
      <c r="C151" s="335" t="s">
        <v>0</v>
      </c>
      <c r="D151" s="336">
        <v>1</v>
      </c>
      <c r="E151" s="336">
        <v>1</v>
      </c>
      <c r="F151" s="336">
        <f>估驗單!F147</f>
        <v>1</v>
      </c>
      <c r="G151" s="390">
        <f t="shared" si="7"/>
        <v>0</v>
      </c>
      <c r="H151" s="336">
        <v>78208.240000000005</v>
      </c>
      <c r="I151" s="336"/>
      <c r="J151" s="336"/>
      <c r="K151" s="336">
        <v>78208.240000000005</v>
      </c>
      <c r="L151" s="336">
        <f t="shared" si="9"/>
        <v>78208.240000000005</v>
      </c>
      <c r="M151" s="336">
        <f t="shared" si="11"/>
        <v>78208.240000000005</v>
      </c>
      <c r="N151" s="390">
        <f t="shared" si="10"/>
        <v>0</v>
      </c>
      <c r="O151" s="442"/>
      <c r="P151" s="231" t="s">
        <v>2321</v>
      </c>
      <c r="Q151" s="11" t="s">
        <v>243</v>
      </c>
      <c r="R151" s="474"/>
      <c r="S151" s="339"/>
    </row>
    <row r="152" spans="1:19" ht="33">
      <c r="A152" s="333" t="s">
        <v>2184</v>
      </c>
      <c r="B152" s="334" t="s">
        <v>570</v>
      </c>
      <c r="C152" s="335" t="s">
        <v>8</v>
      </c>
      <c r="D152" s="336">
        <v>9.6</v>
      </c>
      <c r="E152" s="336">
        <v>9.6</v>
      </c>
      <c r="F152" s="336">
        <f>估驗單!F148</f>
        <v>9.6</v>
      </c>
      <c r="G152" s="390">
        <f t="shared" si="7"/>
        <v>0</v>
      </c>
      <c r="H152" s="336">
        <v>4213.4799999999996</v>
      </c>
      <c r="I152" s="336"/>
      <c r="J152" s="336"/>
      <c r="K152" s="336">
        <v>40449.410000000003</v>
      </c>
      <c r="L152" s="336">
        <f t="shared" si="9"/>
        <v>40449.410000000003</v>
      </c>
      <c r="M152" s="336">
        <f t="shared" si="11"/>
        <v>40449.410000000003</v>
      </c>
      <c r="N152" s="390">
        <f t="shared" si="10"/>
        <v>0</v>
      </c>
      <c r="O152" s="442"/>
      <c r="P152" s="231" t="s">
        <v>2321</v>
      </c>
      <c r="Q152" s="11" t="s">
        <v>243</v>
      </c>
      <c r="R152" s="474"/>
      <c r="S152" s="339"/>
    </row>
    <row r="153" spans="1:19" ht="33">
      <c r="A153" s="333" t="s">
        <v>2185</v>
      </c>
      <c r="B153" s="334" t="s">
        <v>573</v>
      </c>
      <c r="C153" s="335" t="s">
        <v>0</v>
      </c>
      <c r="D153" s="336">
        <v>1</v>
      </c>
      <c r="E153" s="336">
        <v>1</v>
      </c>
      <c r="F153" s="336">
        <f>估驗單!F149</f>
        <v>1</v>
      </c>
      <c r="G153" s="390">
        <f t="shared" si="7"/>
        <v>0</v>
      </c>
      <c r="H153" s="336">
        <v>2005.23</v>
      </c>
      <c r="I153" s="336"/>
      <c r="J153" s="336"/>
      <c r="K153" s="336">
        <v>2005.23</v>
      </c>
      <c r="L153" s="336">
        <f t="shared" si="9"/>
        <v>2005.23</v>
      </c>
      <c r="M153" s="336">
        <f t="shared" si="11"/>
        <v>2005.23</v>
      </c>
      <c r="N153" s="390">
        <f t="shared" si="10"/>
        <v>0</v>
      </c>
      <c r="O153" s="442"/>
      <c r="P153" s="231" t="s">
        <v>242</v>
      </c>
      <c r="Q153" s="11" t="s">
        <v>243</v>
      </c>
      <c r="R153" s="474"/>
      <c r="S153" s="339"/>
    </row>
    <row r="154" spans="1:19" ht="33">
      <c r="A154" s="333" t="s">
        <v>2186</v>
      </c>
      <c r="B154" s="334" t="s">
        <v>576</v>
      </c>
      <c r="C154" s="335" t="s">
        <v>8</v>
      </c>
      <c r="D154" s="336">
        <v>32.6</v>
      </c>
      <c r="E154" s="336">
        <v>32.6</v>
      </c>
      <c r="F154" s="336">
        <f>估驗單!F150</f>
        <v>32.6</v>
      </c>
      <c r="G154" s="390">
        <f t="shared" ref="G154:G217" si="12">F154-E154</f>
        <v>0</v>
      </c>
      <c r="H154" s="336">
        <v>21727.78</v>
      </c>
      <c r="I154" s="336"/>
      <c r="J154" s="336"/>
      <c r="K154" s="336">
        <v>708325.63</v>
      </c>
      <c r="L154" s="336">
        <f t="shared" si="9"/>
        <v>708325.63</v>
      </c>
      <c r="M154" s="336">
        <f t="shared" si="11"/>
        <v>708325.63</v>
      </c>
      <c r="N154" s="390">
        <f t="shared" si="10"/>
        <v>0</v>
      </c>
      <c r="O154" s="442"/>
      <c r="P154" s="231" t="s">
        <v>2321</v>
      </c>
      <c r="Q154" s="11" t="s">
        <v>243</v>
      </c>
      <c r="R154" s="474"/>
      <c r="S154" s="339"/>
    </row>
    <row r="155" spans="1:19" ht="33">
      <c r="A155" s="333" t="s">
        <v>2187</v>
      </c>
      <c r="B155" s="334" t="s">
        <v>579</v>
      </c>
      <c r="C155" s="335" t="s">
        <v>8</v>
      </c>
      <c r="D155" s="336">
        <v>32.6</v>
      </c>
      <c r="E155" s="336">
        <v>32.6</v>
      </c>
      <c r="F155" s="336">
        <f>估驗單!F151</f>
        <v>32.6</v>
      </c>
      <c r="G155" s="390">
        <f t="shared" si="12"/>
        <v>0</v>
      </c>
      <c r="H155" s="336">
        <v>15955.67</v>
      </c>
      <c r="I155" s="336"/>
      <c r="J155" s="336"/>
      <c r="K155" s="336">
        <v>520154.84</v>
      </c>
      <c r="L155" s="336">
        <f t="shared" si="9"/>
        <v>520154.84</v>
      </c>
      <c r="M155" s="336">
        <f t="shared" si="11"/>
        <v>520154.84</v>
      </c>
      <c r="N155" s="390">
        <f t="shared" si="10"/>
        <v>0</v>
      </c>
      <c r="O155" s="442"/>
      <c r="P155" s="231" t="s">
        <v>2321</v>
      </c>
      <c r="Q155" s="11" t="s">
        <v>243</v>
      </c>
      <c r="R155" s="474"/>
      <c r="S155" s="339"/>
    </row>
    <row r="156" spans="1:19" ht="33">
      <c r="A156" s="333" t="s">
        <v>2188</v>
      </c>
      <c r="B156" s="334" t="s">
        <v>582</v>
      </c>
      <c r="C156" s="335" t="s">
        <v>583</v>
      </c>
      <c r="D156" s="336">
        <v>4</v>
      </c>
      <c r="E156" s="336">
        <v>4</v>
      </c>
      <c r="F156" s="336">
        <f>估驗單!F152</f>
        <v>4</v>
      </c>
      <c r="G156" s="390">
        <f t="shared" si="12"/>
        <v>0</v>
      </c>
      <c r="H156" s="336">
        <v>299.98</v>
      </c>
      <c r="I156" s="336"/>
      <c r="J156" s="336"/>
      <c r="K156" s="336">
        <v>1199.92</v>
      </c>
      <c r="L156" s="336">
        <f t="shared" si="9"/>
        <v>1199.92</v>
      </c>
      <c r="M156" s="336">
        <f t="shared" si="11"/>
        <v>1199.92</v>
      </c>
      <c r="N156" s="390">
        <f t="shared" si="10"/>
        <v>0</v>
      </c>
      <c r="O156" s="442"/>
      <c r="P156" s="231" t="s">
        <v>242</v>
      </c>
      <c r="Q156" s="11" t="s">
        <v>243</v>
      </c>
      <c r="R156" s="474"/>
      <c r="S156" s="339"/>
    </row>
    <row r="157" spans="1:19" ht="33">
      <c r="A157" s="343" t="s">
        <v>2189</v>
      </c>
      <c r="B157" s="344" t="s">
        <v>2346</v>
      </c>
      <c r="C157" s="345" t="s">
        <v>8</v>
      </c>
      <c r="D157" s="340">
        <v>4.8</v>
      </c>
      <c r="E157" s="340">
        <v>4.8</v>
      </c>
      <c r="F157" s="336">
        <f>估驗單!F153</f>
        <v>4.8</v>
      </c>
      <c r="G157" s="390">
        <f t="shared" si="12"/>
        <v>0</v>
      </c>
      <c r="H157" s="340">
        <v>119.99</v>
      </c>
      <c r="I157" s="340"/>
      <c r="J157" s="340"/>
      <c r="K157" s="340">
        <v>575.95000000000005</v>
      </c>
      <c r="L157" s="336">
        <f t="shared" si="9"/>
        <v>575.95000000000005</v>
      </c>
      <c r="M157" s="336">
        <f t="shared" si="11"/>
        <v>575.95000000000005</v>
      </c>
      <c r="N157" s="390">
        <f t="shared" si="10"/>
        <v>0</v>
      </c>
      <c r="O157" s="442"/>
      <c r="P157" s="346" t="s">
        <v>2321</v>
      </c>
      <c r="Q157" s="347" t="s">
        <v>243</v>
      </c>
      <c r="R157" s="474"/>
      <c r="S157" s="322"/>
    </row>
    <row r="158" spans="1:19" ht="33">
      <c r="A158" s="333" t="s">
        <v>2190</v>
      </c>
      <c r="B158" s="334" t="s">
        <v>589</v>
      </c>
      <c r="C158" s="335" t="s">
        <v>0</v>
      </c>
      <c r="D158" s="336">
        <v>1</v>
      </c>
      <c r="E158" s="336">
        <v>1</v>
      </c>
      <c r="F158" s="336">
        <f>估驗單!F154</f>
        <v>1</v>
      </c>
      <c r="G158" s="390">
        <f t="shared" si="12"/>
        <v>0</v>
      </c>
      <c r="H158" s="336">
        <v>849172.02</v>
      </c>
      <c r="I158" s="336"/>
      <c r="J158" s="336"/>
      <c r="K158" s="336">
        <v>849172.02</v>
      </c>
      <c r="L158" s="336">
        <f t="shared" si="9"/>
        <v>849172.02</v>
      </c>
      <c r="M158" s="336">
        <f t="shared" si="11"/>
        <v>849172.02</v>
      </c>
      <c r="N158" s="390">
        <f t="shared" si="10"/>
        <v>0</v>
      </c>
      <c r="O158" s="442"/>
      <c r="P158" s="231" t="s">
        <v>242</v>
      </c>
      <c r="Q158" s="11" t="s">
        <v>243</v>
      </c>
      <c r="R158" s="474"/>
      <c r="S158" s="339"/>
    </row>
    <row r="159" spans="1:19" ht="33">
      <c r="A159" s="333" t="s">
        <v>2191</v>
      </c>
      <c r="B159" s="334" t="s">
        <v>592</v>
      </c>
      <c r="C159" s="335" t="s">
        <v>0</v>
      </c>
      <c r="D159" s="336">
        <v>1</v>
      </c>
      <c r="E159" s="336">
        <v>1</v>
      </c>
      <c r="F159" s="336">
        <f>估驗單!F155</f>
        <v>1</v>
      </c>
      <c r="G159" s="390">
        <f t="shared" si="12"/>
        <v>0</v>
      </c>
      <c r="H159" s="336">
        <v>2066157.04</v>
      </c>
      <c r="I159" s="336"/>
      <c r="J159" s="336"/>
      <c r="K159" s="336">
        <v>2066157.04</v>
      </c>
      <c r="L159" s="336">
        <f t="shared" si="9"/>
        <v>2066157.04</v>
      </c>
      <c r="M159" s="336">
        <f t="shared" si="11"/>
        <v>2066157.04</v>
      </c>
      <c r="N159" s="390">
        <f t="shared" si="10"/>
        <v>0</v>
      </c>
      <c r="O159" s="442"/>
      <c r="P159" s="231" t="s">
        <v>242</v>
      </c>
      <c r="Q159" s="11" t="s">
        <v>243</v>
      </c>
      <c r="R159" s="474"/>
      <c r="S159" s="339"/>
    </row>
    <row r="160" spans="1:19" ht="33">
      <c r="A160" s="333" t="s">
        <v>2192</v>
      </c>
      <c r="B160" s="334" t="s">
        <v>1360</v>
      </c>
      <c r="C160" s="335" t="s">
        <v>606</v>
      </c>
      <c r="D160" s="336">
        <v>2</v>
      </c>
      <c r="E160" s="336">
        <v>2</v>
      </c>
      <c r="F160" s="336">
        <f>估驗單!F156</f>
        <v>2</v>
      </c>
      <c r="G160" s="390">
        <f t="shared" si="12"/>
        <v>0</v>
      </c>
      <c r="H160" s="336">
        <v>201796.15</v>
      </c>
      <c r="I160" s="336"/>
      <c r="J160" s="336"/>
      <c r="K160" s="336">
        <v>403592.3</v>
      </c>
      <c r="L160" s="336">
        <f t="shared" si="9"/>
        <v>403592.3</v>
      </c>
      <c r="M160" s="336">
        <f t="shared" si="11"/>
        <v>403592.3</v>
      </c>
      <c r="N160" s="390">
        <f t="shared" si="10"/>
        <v>0</v>
      </c>
      <c r="O160" s="442"/>
      <c r="P160" s="231" t="s">
        <v>242</v>
      </c>
      <c r="Q160" s="11" t="s">
        <v>243</v>
      </c>
      <c r="R160" s="474"/>
      <c r="S160" s="339"/>
    </row>
    <row r="161" spans="1:22" s="356" customFormat="1" ht="33.75">
      <c r="A161" s="412">
        <v>38</v>
      </c>
      <c r="B161" s="413" t="s">
        <v>2347</v>
      </c>
      <c r="C161" s="414" t="s">
        <v>2348</v>
      </c>
      <c r="D161" s="415">
        <v>0</v>
      </c>
      <c r="E161" s="415">
        <v>96850</v>
      </c>
      <c r="F161" s="385">
        <f>估驗單!F157</f>
        <v>96850</v>
      </c>
      <c r="G161" s="391">
        <f t="shared" si="12"/>
        <v>0</v>
      </c>
      <c r="H161" s="415">
        <v>0</v>
      </c>
      <c r="I161" s="415"/>
      <c r="J161" s="415">
        <v>16.21</v>
      </c>
      <c r="K161" s="415">
        <f>D161*H161</f>
        <v>0</v>
      </c>
      <c r="L161" s="385">
        <f>ROUND(E161*J161,2)</f>
        <v>1569938.5</v>
      </c>
      <c r="M161" s="385">
        <f>ROUND(F161*J161,2)</f>
        <v>1569938.5</v>
      </c>
      <c r="N161" s="391">
        <f t="shared" si="10"/>
        <v>0</v>
      </c>
      <c r="O161" s="443"/>
      <c r="P161" s="416" t="s">
        <v>2475</v>
      </c>
      <c r="Q161" s="347"/>
      <c r="R161" s="479" t="s">
        <v>2349</v>
      </c>
      <c r="S161" s="349" t="s">
        <v>2350</v>
      </c>
      <c r="T161" s="325" t="s">
        <v>2351</v>
      </c>
    </row>
    <row r="162" spans="1:22" s="359" customFormat="1" ht="33.75">
      <c r="A162" s="343">
        <v>39</v>
      </c>
      <c r="B162" s="344" t="s">
        <v>2352</v>
      </c>
      <c r="C162" s="345" t="s">
        <v>2353</v>
      </c>
      <c r="D162" s="340">
        <v>0</v>
      </c>
      <c r="E162" s="340">
        <v>18</v>
      </c>
      <c r="F162" s="336">
        <f>估驗單!F158</f>
        <v>18</v>
      </c>
      <c r="G162" s="390">
        <f t="shared" si="12"/>
        <v>0</v>
      </c>
      <c r="H162" s="340">
        <v>0</v>
      </c>
      <c r="I162" s="340"/>
      <c r="J162" s="340">
        <v>79587.17</v>
      </c>
      <c r="K162" s="340">
        <f>H162*D162</f>
        <v>0</v>
      </c>
      <c r="L162" s="336">
        <f>ROUND(E162*J162,2)</f>
        <v>1432569.06</v>
      </c>
      <c r="M162" s="336">
        <f>ROUND(F162*J162,2)</f>
        <v>1432569.06</v>
      </c>
      <c r="N162" s="390">
        <f t="shared" si="10"/>
        <v>0</v>
      </c>
      <c r="O162" s="442"/>
      <c r="P162" s="346"/>
      <c r="Q162" s="357"/>
      <c r="R162" s="479" t="s">
        <v>2354</v>
      </c>
      <c r="S162" s="349" t="s">
        <v>2355</v>
      </c>
      <c r="T162" s="358" t="s">
        <v>2356</v>
      </c>
      <c r="V162" s="359" t="s">
        <v>2357</v>
      </c>
    </row>
    <row r="163" spans="1:22" ht="33">
      <c r="A163" s="406" t="s">
        <v>2243</v>
      </c>
      <c r="B163" s="407" t="s">
        <v>594</v>
      </c>
      <c r="C163" s="408" t="s">
        <v>4</v>
      </c>
      <c r="D163" s="409">
        <v>1</v>
      </c>
      <c r="E163" s="409"/>
      <c r="F163" s="409">
        <f>估驗單!F159</f>
        <v>0</v>
      </c>
      <c r="G163" s="410">
        <f t="shared" si="12"/>
        <v>0</v>
      </c>
      <c r="H163" s="409">
        <v>26327393.170000002</v>
      </c>
      <c r="I163" s="409"/>
      <c r="J163" s="409"/>
      <c r="K163" s="448">
        <f>SUM(K164:K191)</f>
        <v>26327393.170000002</v>
      </c>
      <c r="L163" s="448">
        <f>SUM(L164:L191)</f>
        <v>31723888.269999996</v>
      </c>
      <c r="M163" s="448">
        <f>SUM(M164:M191)</f>
        <v>35058442.640000001</v>
      </c>
      <c r="N163" s="448">
        <f>SUM(N164:N191)</f>
        <v>3573708.53</v>
      </c>
      <c r="O163" s="452">
        <f>SUM(O164:O191)</f>
        <v>0</v>
      </c>
      <c r="P163" s="288" t="s">
        <v>242</v>
      </c>
      <c r="Q163" s="11" t="s">
        <v>243</v>
      </c>
      <c r="R163" s="478"/>
      <c r="S163" s="339"/>
    </row>
    <row r="164" spans="1:22" ht="33">
      <c r="A164" s="333" t="s">
        <v>2154</v>
      </c>
      <c r="B164" s="334" t="s">
        <v>315</v>
      </c>
      <c r="C164" s="335" t="s">
        <v>6</v>
      </c>
      <c r="D164" s="336">
        <v>22</v>
      </c>
      <c r="E164" s="336">
        <v>22</v>
      </c>
      <c r="F164" s="336">
        <f>估驗單!F160</f>
        <v>22</v>
      </c>
      <c r="G164" s="390">
        <f t="shared" si="12"/>
        <v>0</v>
      </c>
      <c r="H164" s="336">
        <v>3114.97</v>
      </c>
      <c r="I164" s="336"/>
      <c r="J164" s="336"/>
      <c r="K164" s="336">
        <v>68529.34</v>
      </c>
      <c r="L164" s="336">
        <f>ROUND(E164*H164,2)</f>
        <v>68529.34</v>
      </c>
      <c r="M164" s="336">
        <f>ROUND(F164*H164,2)</f>
        <v>68529.34</v>
      </c>
      <c r="N164" s="390">
        <f t="shared" ref="N164:N191" si="13">IF(L164-M164&lt;0+AND(L164&lt;&gt;0),M164-L164,"      ")</f>
        <v>0</v>
      </c>
      <c r="O164" s="442"/>
      <c r="P164" s="231" t="s">
        <v>242</v>
      </c>
      <c r="Q164" s="11" t="s">
        <v>243</v>
      </c>
      <c r="R164" s="474"/>
      <c r="S164" s="339"/>
    </row>
    <row r="165" spans="1:22" ht="33">
      <c r="A165" s="382" t="s">
        <v>2155</v>
      </c>
      <c r="B165" s="383" t="s">
        <v>24</v>
      </c>
      <c r="C165" s="384" t="s">
        <v>6</v>
      </c>
      <c r="D165" s="385">
        <v>302</v>
      </c>
      <c r="E165" s="385">
        <v>302</v>
      </c>
      <c r="F165" s="385">
        <f>估驗單!F161</f>
        <v>302</v>
      </c>
      <c r="G165" s="417">
        <f t="shared" si="12"/>
        <v>0</v>
      </c>
      <c r="H165" s="385">
        <v>3320.96</v>
      </c>
      <c r="I165" s="385"/>
      <c r="J165" s="385"/>
      <c r="K165" s="385">
        <v>1002929.92</v>
      </c>
      <c r="L165" s="385">
        <f t="shared" ref="L165:L226" si="14">ROUND(E165*H165,2)</f>
        <v>1002929.92</v>
      </c>
      <c r="M165" s="385">
        <f t="shared" ref="M165:M226" si="15">ROUND(F165*H165,2)</f>
        <v>1002929.92</v>
      </c>
      <c r="N165" s="391">
        <f t="shared" si="13"/>
        <v>0</v>
      </c>
      <c r="O165" s="405">
        <f>M165-L165</f>
        <v>0</v>
      </c>
      <c r="P165" s="447" t="s">
        <v>2495</v>
      </c>
      <c r="Q165" s="11" t="s">
        <v>243</v>
      </c>
      <c r="R165" s="478"/>
      <c r="S165" s="339"/>
    </row>
    <row r="166" spans="1:22" ht="33">
      <c r="A166" s="333" t="s">
        <v>2156</v>
      </c>
      <c r="B166" s="334" t="s">
        <v>528</v>
      </c>
      <c r="C166" s="335" t="s">
        <v>6</v>
      </c>
      <c r="D166" s="336">
        <v>766</v>
      </c>
      <c r="E166" s="336">
        <v>0</v>
      </c>
      <c r="F166" s="336">
        <f>估驗單!F162</f>
        <v>0</v>
      </c>
      <c r="G166" s="390">
        <f t="shared" si="12"/>
        <v>0</v>
      </c>
      <c r="H166" s="340">
        <v>3643.53</v>
      </c>
      <c r="I166" s="336"/>
      <c r="J166" s="340"/>
      <c r="K166" s="340">
        <f>D166*H166</f>
        <v>2790943.98</v>
      </c>
      <c r="L166" s="336">
        <f t="shared" si="14"/>
        <v>0</v>
      </c>
      <c r="M166" s="336">
        <f t="shared" si="15"/>
        <v>0</v>
      </c>
      <c r="N166" s="390" t="str">
        <f t="shared" si="13"/>
        <v xml:space="preserve">      </v>
      </c>
      <c r="O166" s="442"/>
      <c r="P166" s="231" t="s">
        <v>242</v>
      </c>
      <c r="Q166" s="11" t="s">
        <v>243</v>
      </c>
      <c r="R166" s="474" t="s">
        <v>2358</v>
      </c>
      <c r="S166" s="339"/>
      <c r="T166" s="358" t="s">
        <v>2356</v>
      </c>
    </row>
    <row r="167" spans="1:22" ht="33">
      <c r="A167" s="382" t="s">
        <v>2157</v>
      </c>
      <c r="B167" s="383" t="s">
        <v>595</v>
      </c>
      <c r="C167" s="384" t="s">
        <v>6</v>
      </c>
      <c r="D167" s="385">
        <v>1090</v>
      </c>
      <c r="E167" s="385">
        <v>1090</v>
      </c>
      <c r="F167" s="385">
        <f>估驗單!F163</f>
        <v>1501.8982857142857</v>
      </c>
      <c r="G167" s="391">
        <f t="shared" si="12"/>
        <v>411.89828571428575</v>
      </c>
      <c r="H167" s="385">
        <v>199.99</v>
      </c>
      <c r="I167" s="385"/>
      <c r="J167" s="385"/>
      <c r="K167" s="385">
        <v>217989.1</v>
      </c>
      <c r="L167" s="385">
        <f t="shared" si="14"/>
        <v>217989.1</v>
      </c>
      <c r="M167" s="385">
        <f t="shared" si="15"/>
        <v>300364.64</v>
      </c>
      <c r="N167" s="391">
        <f t="shared" si="13"/>
        <v>82375.540000000008</v>
      </c>
      <c r="O167" s="443"/>
      <c r="P167" s="386" t="s">
        <v>242</v>
      </c>
      <c r="Q167" s="11" t="s">
        <v>243</v>
      </c>
      <c r="R167" s="474"/>
      <c r="S167" s="339"/>
    </row>
    <row r="168" spans="1:22" ht="128.25">
      <c r="A168" s="382" t="s">
        <v>2158</v>
      </c>
      <c r="B168" s="383" t="s">
        <v>534</v>
      </c>
      <c r="C168" s="384" t="s">
        <v>13</v>
      </c>
      <c r="D168" s="385">
        <v>1203</v>
      </c>
      <c r="E168" s="385">
        <v>1203</v>
      </c>
      <c r="F168" s="385">
        <f>估驗單!F164</f>
        <v>1274.9890000000003</v>
      </c>
      <c r="G168" s="391">
        <f t="shared" si="12"/>
        <v>71.98900000000026</v>
      </c>
      <c r="H168" s="385">
        <v>982.93</v>
      </c>
      <c r="I168" s="385"/>
      <c r="J168" s="385"/>
      <c r="K168" s="385">
        <v>1182464.79</v>
      </c>
      <c r="L168" s="385">
        <f t="shared" si="14"/>
        <v>1182464.79</v>
      </c>
      <c r="M168" s="385">
        <f t="shared" si="15"/>
        <v>1253224.94</v>
      </c>
      <c r="N168" s="391">
        <f t="shared" si="13"/>
        <v>70760.149999999907</v>
      </c>
      <c r="O168" s="443"/>
      <c r="P168" s="386" t="s">
        <v>2343</v>
      </c>
      <c r="Q168" s="11" t="s">
        <v>243</v>
      </c>
      <c r="R168" s="474"/>
      <c r="S168" s="339"/>
    </row>
    <row r="169" spans="1:22" ht="85.5">
      <c r="A169" s="382" t="s">
        <v>2159</v>
      </c>
      <c r="B169" s="383" t="s">
        <v>536</v>
      </c>
      <c r="C169" s="384" t="s">
        <v>13</v>
      </c>
      <c r="D169" s="385">
        <v>393</v>
      </c>
      <c r="E169" s="385">
        <v>393</v>
      </c>
      <c r="F169" s="385">
        <f>估驗單!F165</f>
        <v>821.92359999999985</v>
      </c>
      <c r="G169" s="391">
        <f t="shared" si="12"/>
        <v>428.92359999999985</v>
      </c>
      <c r="H169" s="385">
        <v>804.75</v>
      </c>
      <c r="I169" s="385"/>
      <c r="J169" s="385"/>
      <c r="K169" s="385">
        <v>316266.75</v>
      </c>
      <c r="L169" s="385">
        <f t="shared" si="14"/>
        <v>316266.75</v>
      </c>
      <c r="M169" s="385">
        <f t="shared" si="15"/>
        <v>661443.02</v>
      </c>
      <c r="N169" s="391">
        <f t="shared" si="13"/>
        <v>345176.27</v>
      </c>
      <c r="O169" s="443"/>
      <c r="P169" s="386" t="s">
        <v>2344</v>
      </c>
      <c r="Q169" s="11" t="s">
        <v>243</v>
      </c>
      <c r="R169" s="474"/>
      <c r="S169" s="339"/>
    </row>
    <row r="170" spans="1:22" ht="42.75">
      <c r="A170" s="382" t="s">
        <v>2160</v>
      </c>
      <c r="B170" s="383" t="s">
        <v>192</v>
      </c>
      <c r="C170" s="384" t="s">
        <v>17</v>
      </c>
      <c r="D170" s="385">
        <v>13138</v>
      </c>
      <c r="E170" s="385">
        <v>13138</v>
      </c>
      <c r="F170" s="385">
        <f>估驗單!F166</f>
        <v>35217.512975700003</v>
      </c>
      <c r="G170" s="391">
        <f t="shared" si="12"/>
        <v>22079.512975700003</v>
      </c>
      <c r="H170" s="385">
        <v>36.4</v>
      </c>
      <c r="I170" s="385"/>
      <c r="J170" s="385"/>
      <c r="K170" s="385">
        <v>478223.2</v>
      </c>
      <c r="L170" s="385">
        <f t="shared" si="14"/>
        <v>478223.2</v>
      </c>
      <c r="M170" s="385">
        <f t="shared" si="15"/>
        <v>1281917.47</v>
      </c>
      <c r="N170" s="391">
        <f t="shared" si="13"/>
        <v>803694.27</v>
      </c>
      <c r="O170" s="443"/>
      <c r="P170" s="386" t="s">
        <v>2334</v>
      </c>
      <c r="Q170" s="11" t="s">
        <v>243</v>
      </c>
      <c r="R170" s="474"/>
      <c r="S170" s="339"/>
    </row>
    <row r="171" spans="1:22" ht="42.75">
      <c r="A171" s="382" t="s">
        <v>2161</v>
      </c>
      <c r="B171" s="383" t="s">
        <v>530</v>
      </c>
      <c r="C171" s="384" t="s">
        <v>17</v>
      </c>
      <c r="D171" s="385">
        <v>15589</v>
      </c>
      <c r="E171" s="385">
        <v>15589</v>
      </c>
      <c r="F171" s="385">
        <f>估驗單!F167</f>
        <v>25125.1749375</v>
      </c>
      <c r="G171" s="391">
        <f t="shared" si="12"/>
        <v>9536.1749374999999</v>
      </c>
      <c r="H171" s="385">
        <v>38.71</v>
      </c>
      <c r="I171" s="385"/>
      <c r="J171" s="385"/>
      <c r="K171" s="385">
        <v>603450.18999999994</v>
      </c>
      <c r="L171" s="385">
        <f t="shared" si="14"/>
        <v>603450.18999999994</v>
      </c>
      <c r="M171" s="385">
        <f t="shared" si="15"/>
        <v>972595.52</v>
      </c>
      <c r="N171" s="391">
        <f t="shared" si="13"/>
        <v>369145.33000000007</v>
      </c>
      <c r="O171" s="443"/>
      <c r="P171" s="386" t="s">
        <v>2334</v>
      </c>
      <c r="Q171" s="11" t="s">
        <v>243</v>
      </c>
      <c r="R171" s="474"/>
      <c r="S171" s="339"/>
    </row>
    <row r="172" spans="1:22" ht="42.75">
      <c r="A172" s="343" t="s">
        <v>2162</v>
      </c>
      <c r="B172" s="344" t="s">
        <v>597</v>
      </c>
      <c r="C172" s="345" t="s">
        <v>13</v>
      </c>
      <c r="D172" s="340">
        <v>776</v>
      </c>
      <c r="E172" s="340">
        <v>776</v>
      </c>
      <c r="F172" s="336">
        <f>估驗單!F168</f>
        <v>776</v>
      </c>
      <c r="G172" s="390">
        <f t="shared" si="12"/>
        <v>0</v>
      </c>
      <c r="H172" s="340">
        <v>2510.64</v>
      </c>
      <c r="I172" s="340"/>
      <c r="J172" s="340"/>
      <c r="K172" s="340">
        <v>1948256.64</v>
      </c>
      <c r="L172" s="336">
        <f t="shared" si="14"/>
        <v>1948256.64</v>
      </c>
      <c r="M172" s="336">
        <f t="shared" si="15"/>
        <v>1948256.64</v>
      </c>
      <c r="N172" s="390">
        <f t="shared" si="13"/>
        <v>0</v>
      </c>
      <c r="O172" s="442"/>
      <c r="P172" s="346" t="s">
        <v>2359</v>
      </c>
      <c r="Q172" s="347" t="s">
        <v>243</v>
      </c>
      <c r="R172" s="474"/>
      <c r="S172" s="349"/>
    </row>
    <row r="173" spans="1:22" ht="33">
      <c r="A173" s="382" t="s">
        <v>2163</v>
      </c>
      <c r="B173" s="383" t="s">
        <v>599</v>
      </c>
      <c r="C173" s="384" t="s">
        <v>223</v>
      </c>
      <c r="D173" s="385">
        <v>235</v>
      </c>
      <c r="E173" s="385">
        <v>235</v>
      </c>
      <c r="F173" s="385">
        <f>估驗單!F169</f>
        <v>251.85</v>
      </c>
      <c r="G173" s="391">
        <f t="shared" si="12"/>
        <v>16.849999999999994</v>
      </c>
      <c r="H173" s="385">
        <v>3297.86</v>
      </c>
      <c r="I173" s="385"/>
      <c r="J173" s="385"/>
      <c r="K173" s="385">
        <v>774997.1</v>
      </c>
      <c r="L173" s="385">
        <f t="shared" si="14"/>
        <v>774997.1</v>
      </c>
      <c r="M173" s="385">
        <f t="shared" si="15"/>
        <v>830566.04</v>
      </c>
      <c r="N173" s="391">
        <f t="shared" si="13"/>
        <v>55568.940000000061</v>
      </c>
      <c r="O173" s="443"/>
      <c r="P173" s="386" t="s">
        <v>2321</v>
      </c>
      <c r="Q173" s="11" t="s">
        <v>243</v>
      </c>
      <c r="R173" s="474"/>
      <c r="S173" s="339"/>
    </row>
    <row r="174" spans="1:22" ht="33">
      <c r="A174" s="382" t="s">
        <v>2164</v>
      </c>
      <c r="B174" s="383" t="s">
        <v>601</v>
      </c>
      <c r="C174" s="384" t="s">
        <v>13</v>
      </c>
      <c r="D174" s="385">
        <v>102</v>
      </c>
      <c r="E174" s="385">
        <v>102</v>
      </c>
      <c r="F174" s="385">
        <f>估驗單!F170</f>
        <v>173.82</v>
      </c>
      <c r="G174" s="391">
        <f t="shared" si="12"/>
        <v>71.819999999999993</v>
      </c>
      <c r="H174" s="385">
        <v>2952.01</v>
      </c>
      <c r="I174" s="385"/>
      <c r="J174" s="385"/>
      <c r="K174" s="385">
        <v>301105.02</v>
      </c>
      <c r="L174" s="385">
        <f t="shared" si="14"/>
        <v>301105.02</v>
      </c>
      <c r="M174" s="385">
        <f t="shared" si="15"/>
        <v>513118.38</v>
      </c>
      <c r="N174" s="391">
        <f t="shared" si="13"/>
        <v>212013.36</v>
      </c>
      <c r="O174" s="443"/>
      <c r="P174" s="386" t="s">
        <v>2321</v>
      </c>
      <c r="Q174" s="11" t="s">
        <v>243</v>
      </c>
      <c r="R174" s="474"/>
      <c r="S174" s="339"/>
    </row>
    <row r="175" spans="1:22" ht="33">
      <c r="A175" s="382" t="s">
        <v>2165</v>
      </c>
      <c r="B175" s="464" t="s">
        <v>603</v>
      </c>
      <c r="C175" s="384" t="s">
        <v>13</v>
      </c>
      <c r="D175" s="385">
        <v>400</v>
      </c>
      <c r="E175" s="385">
        <v>400</v>
      </c>
      <c r="F175" s="385">
        <f>估驗單!F171</f>
        <v>400</v>
      </c>
      <c r="G175" s="391">
        <f t="shared" si="12"/>
        <v>0</v>
      </c>
      <c r="H175" s="385">
        <v>1454.49</v>
      </c>
      <c r="I175" s="385"/>
      <c r="J175" s="385"/>
      <c r="K175" s="385">
        <v>581796</v>
      </c>
      <c r="L175" s="385">
        <f t="shared" si="14"/>
        <v>581796</v>
      </c>
      <c r="M175" s="385">
        <f t="shared" si="15"/>
        <v>581796</v>
      </c>
      <c r="N175" s="391">
        <f t="shared" si="13"/>
        <v>0</v>
      </c>
      <c r="O175" s="443"/>
      <c r="P175" s="386" t="s">
        <v>242</v>
      </c>
      <c r="Q175" s="11" t="s">
        <v>243</v>
      </c>
      <c r="R175" s="474"/>
      <c r="S175" s="339"/>
    </row>
    <row r="176" spans="1:22" ht="33">
      <c r="A176" s="333" t="s">
        <v>2166</v>
      </c>
      <c r="B176" s="334" t="s">
        <v>605</v>
      </c>
      <c r="C176" s="335" t="s">
        <v>606</v>
      </c>
      <c r="D176" s="336">
        <v>333</v>
      </c>
      <c r="E176" s="336">
        <v>333</v>
      </c>
      <c r="F176" s="336">
        <f>估驗單!F172</f>
        <v>333</v>
      </c>
      <c r="G176" s="390">
        <f t="shared" si="12"/>
        <v>0</v>
      </c>
      <c r="H176" s="336">
        <v>434.98</v>
      </c>
      <c r="I176" s="336"/>
      <c r="J176" s="336"/>
      <c r="K176" s="336">
        <v>144848.34</v>
      </c>
      <c r="L176" s="336">
        <f t="shared" si="14"/>
        <v>144848.34</v>
      </c>
      <c r="M176" s="336">
        <f t="shared" si="15"/>
        <v>144848.34</v>
      </c>
      <c r="N176" s="390">
        <f t="shared" si="13"/>
        <v>0</v>
      </c>
      <c r="O176" s="442"/>
      <c r="P176" s="231" t="s">
        <v>242</v>
      </c>
      <c r="Q176" s="11" t="s">
        <v>243</v>
      </c>
      <c r="R176" s="474"/>
      <c r="S176" s="339"/>
    </row>
    <row r="177" spans="1:22" ht="33">
      <c r="A177" s="333" t="s">
        <v>2167</v>
      </c>
      <c r="B177" s="334" t="s">
        <v>608</v>
      </c>
      <c r="C177" s="335" t="s">
        <v>13</v>
      </c>
      <c r="D177" s="336">
        <v>1702</v>
      </c>
      <c r="E177" s="336">
        <v>1702</v>
      </c>
      <c r="F177" s="336">
        <f>估驗單!F173</f>
        <v>1702</v>
      </c>
      <c r="G177" s="390">
        <f t="shared" si="12"/>
        <v>0</v>
      </c>
      <c r="H177" s="336">
        <v>885.76</v>
      </c>
      <c r="I177" s="336"/>
      <c r="J177" s="336"/>
      <c r="K177" s="336">
        <v>1507563.52</v>
      </c>
      <c r="L177" s="336">
        <f t="shared" si="14"/>
        <v>1507563.52</v>
      </c>
      <c r="M177" s="336">
        <f t="shared" si="15"/>
        <v>1507563.52</v>
      </c>
      <c r="N177" s="390">
        <f t="shared" si="13"/>
        <v>0</v>
      </c>
      <c r="O177" s="442"/>
      <c r="P177" s="231" t="s">
        <v>2321</v>
      </c>
      <c r="Q177" s="11" t="s">
        <v>243</v>
      </c>
      <c r="R177" s="474"/>
      <c r="S177" s="339"/>
    </row>
    <row r="178" spans="1:22" ht="33">
      <c r="A178" s="382" t="s">
        <v>2168</v>
      </c>
      <c r="B178" s="383" t="s">
        <v>357</v>
      </c>
      <c r="C178" s="384" t="s">
        <v>8</v>
      </c>
      <c r="D178" s="385">
        <v>49</v>
      </c>
      <c r="E178" s="385">
        <v>49</v>
      </c>
      <c r="F178" s="385">
        <f>估驗單!F174</f>
        <v>49</v>
      </c>
      <c r="G178" s="391">
        <f t="shared" si="12"/>
        <v>0</v>
      </c>
      <c r="H178" s="385">
        <v>138.84</v>
      </c>
      <c r="I178" s="385"/>
      <c r="J178" s="385"/>
      <c r="K178" s="385">
        <v>6803.16</v>
      </c>
      <c r="L178" s="385">
        <f t="shared" si="14"/>
        <v>6803.16</v>
      </c>
      <c r="M178" s="385">
        <f t="shared" si="15"/>
        <v>6803.16</v>
      </c>
      <c r="N178" s="391">
        <f t="shared" si="13"/>
        <v>0</v>
      </c>
      <c r="O178" s="443"/>
      <c r="P178" s="386" t="s">
        <v>242</v>
      </c>
      <c r="Q178" s="11" t="s">
        <v>243</v>
      </c>
      <c r="R178" s="474"/>
      <c r="S178" s="339"/>
    </row>
    <row r="179" spans="1:22" ht="33">
      <c r="A179" s="382" t="s">
        <v>2169</v>
      </c>
      <c r="B179" s="383" t="s">
        <v>611</v>
      </c>
      <c r="C179" s="384" t="s">
        <v>8</v>
      </c>
      <c r="D179" s="385">
        <v>85</v>
      </c>
      <c r="E179" s="385">
        <v>85</v>
      </c>
      <c r="F179" s="385">
        <f>估驗單!F175</f>
        <v>85</v>
      </c>
      <c r="G179" s="391">
        <f t="shared" si="12"/>
        <v>0</v>
      </c>
      <c r="H179" s="385">
        <v>326.27999999999997</v>
      </c>
      <c r="I179" s="385"/>
      <c r="J179" s="385"/>
      <c r="K179" s="385">
        <v>27733.8</v>
      </c>
      <c r="L179" s="385">
        <f t="shared" si="14"/>
        <v>27733.8</v>
      </c>
      <c r="M179" s="385">
        <f t="shared" si="15"/>
        <v>27733.8</v>
      </c>
      <c r="N179" s="391">
        <f t="shared" si="13"/>
        <v>0</v>
      </c>
      <c r="O179" s="443"/>
      <c r="P179" s="386" t="s">
        <v>242</v>
      </c>
      <c r="Q179" s="11" t="s">
        <v>243</v>
      </c>
      <c r="R179" s="474"/>
      <c r="S179" s="339"/>
    </row>
    <row r="180" spans="1:22" ht="42.75">
      <c r="A180" s="333" t="s">
        <v>2170</v>
      </c>
      <c r="B180" s="334" t="s">
        <v>222</v>
      </c>
      <c r="C180" s="335" t="s">
        <v>13</v>
      </c>
      <c r="D180" s="336">
        <v>385</v>
      </c>
      <c r="E180" s="336">
        <v>385</v>
      </c>
      <c r="F180" s="336">
        <f>估驗單!F176</f>
        <v>2005</v>
      </c>
      <c r="G180" s="390">
        <f t="shared" si="12"/>
        <v>1620</v>
      </c>
      <c r="H180" s="336">
        <v>692.12</v>
      </c>
      <c r="I180" s="336"/>
      <c r="J180" s="336"/>
      <c r="K180" s="336">
        <v>266466.2</v>
      </c>
      <c r="L180" s="336">
        <f t="shared" si="14"/>
        <v>266466.2</v>
      </c>
      <c r="M180" s="336">
        <f t="shared" si="15"/>
        <v>1387700.6</v>
      </c>
      <c r="N180" s="390">
        <f t="shared" si="13"/>
        <v>1121234.4000000001</v>
      </c>
      <c r="O180" s="442"/>
      <c r="P180" s="231" t="s">
        <v>2345</v>
      </c>
      <c r="Q180" s="11" t="s">
        <v>243</v>
      </c>
      <c r="R180" s="474"/>
      <c r="S180" s="339"/>
    </row>
    <row r="181" spans="1:22" ht="85.5">
      <c r="A181" s="333" t="s">
        <v>2171</v>
      </c>
      <c r="B181" s="334" t="s">
        <v>615</v>
      </c>
      <c r="C181" s="335" t="s">
        <v>8</v>
      </c>
      <c r="D181" s="336">
        <v>0</v>
      </c>
      <c r="E181" s="336">
        <v>0</v>
      </c>
      <c r="F181" s="336">
        <f>估驗單!F177</f>
        <v>0</v>
      </c>
      <c r="G181" s="390">
        <f t="shared" si="12"/>
        <v>0</v>
      </c>
      <c r="H181" s="336">
        <v>1706.44</v>
      </c>
      <c r="I181" s="336"/>
      <c r="J181" s="336"/>
      <c r="K181" s="336">
        <v>0</v>
      </c>
      <c r="L181" s="336">
        <f t="shared" si="14"/>
        <v>0</v>
      </c>
      <c r="M181" s="336">
        <f t="shared" si="15"/>
        <v>0</v>
      </c>
      <c r="N181" s="390" t="str">
        <f t="shared" si="13"/>
        <v xml:space="preserve">      </v>
      </c>
      <c r="O181" s="442"/>
      <c r="P181" s="231" t="s">
        <v>2360</v>
      </c>
      <c r="Q181" s="11" t="s">
        <v>243</v>
      </c>
      <c r="R181" s="474"/>
      <c r="S181" s="339"/>
    </row>
    <row r="182" spans="1:22" ht="33">
      <c r="A182" s="333" t="s">
        <v>2172</v>
      </c>
      <c r="B182" s="334" t="s">
        <v>618</v>
      </c>
      <c r="C182" s="335" t="s">
        <v>23</v>
      </c>
      <c r="D182" s="336">
        <v>1070.5</v>
      </c>
      <c r="E182" s="336">
        <v>1070.5</v>
      </c>
      <c r="F182" s="336">
        <f>估驗單!F178</f>
        <v>1070.5</v>
      </c>
      <c r="G182" s="390">
        <f t="shared" si="12"/>
        <v>0</v>
      </c>
      <c r="H182" s="336">
        <v>49</v>
      </c>
      <c r="I182" s="336"/>
      <c r="J182" s="336"/>
      <c r="K182" s="336">
        <v>52454.5</v>
      </c>
      <c r="L182" s="336">
        <f t="shared" si="14"/>
        <v>52454.5</v>
      </c>
      <c r="M182" s="336">
        <f t="shared" si="15"/>
        <v>52454.5</v>
      </c>
      <c r="N182" s="390">
        <f t="shared" si="13"/>
        <v>0</v>
      </c>
      <c r="O182" s="442"/>
      <c r="P182" s="231" t="s">
        <v>242</v>
      </c>
      <c r="Q182" s="11" t="s">
        <v>243</v>
      </c>
      <c r="R182" s="474"/>
      <c r="S182" s="339"/>
    </row>
    <row r="183" spans="1:22" ht="33">
      <c r="A183" s="333" t="s">
        <v>2173</v>
      </c>
      <c r="B183" s="334" t="s">
        <v>621</v>
      </c>
      <c r="C183" s="335" t="s">
        <v>19</v>
      </c>
      <c r="D183" s="336">
        <v>2</v>
      </c>
      <c r="E183" s="336">
        <v>2</v>
      </c>
      <c r="F183" s="336">
        <f>估驗單!F179</f>
        <v>2</v>
      </c>
      <c r="G183" s="390">
        <f t="shared" si="12"/>
        <v>0</v>
      </c>
      <c r="H183" s="336">
        <v>5349708.26</v>
      </c>
      <c r="I183" s="336"/>
      <c r="J183" s="336"/>
      <c r="K183" s="336">
        <v>10699416.52</v>
      </c>
      <c r="L183" s="336">
        <f t="shared" si="14"/>
        <v>10699416.52</v>
      </c>
      <c r="M183" s="336">
        <f t="shared" si="15"/>
        <v>10699416.52</v>
      </c>
      <c r="N183" s="390">
        <f t="shared" si="13"/>
        <v>0</v>
      </c>
      <c r="O183" s="442"/>
      <c r="P183" s="231" t="s">
        <v>242</v>
      </c>
      <c r="Q183" s="11" t="s">
        <v>243</v>
      </c>
      <c r="R183" s="474"/>
      <c r="S183" s="339"/>
    </row>
    <row r="184" spans="1:22" ht="42.75">
      <c r="A184" s="333" t="s">
        <v>2174</v>
      </c>
      <c r="B184" s="334" t="s">
        <v>1368</v>
      </c>
      <c r="C184" s="335" t="s">
        <v>8</v>
      </c>
      <c r="D184" s="336">
        <v>571.08000000000004</v>
      </c>
      <c r="E184" s="336">
        <v>571.08000000000004</v>
      </c>
      <c r="F184" s="336">
        <f>估驗單!F180</f>
        <v>571.08000000000004</v>
      </c>
      <c r="G184" s="390">
        <f t="shared" si="12"/>
        <v>0</v>
      </c>
      <c r="H184" s="336">
        <v>5456.33</v>
      </c>
      <c r="I184" s="336"/>
      <c r="J184" s="336"/>
      <c r="K184" s="336">
        <v>3116000.94</v>
      </c>
      <c r="L184" s="336">
        <f t="shared" si="14"/>
        <v>3116000.94</v>
      </c>
      <c r="M184" s="336">
        <f t="shared" si="15"/>
        <v>3116000.94</v>
      </c>
      <c r="N184" s="390">
        <f t="shared" si="13"/>
        <v>0</v>
      </c>
      <c r="O184" s="442"/>
      <c r="P184" s="231" t="s">
        <v>242</v>
      </c>
      <c r="Q184" s="11" t="s">
        <v>243</v>
      </c>
      <c r="R184" s="474"/>
      <c r="S184" s="339"/>
    </row>
    <row r="185" spans="1:22" ht="33">
      <c r="A185" s="333" t="s">
        <v>2175</v>
      </c>
      <c r="B185" s="334" t="s">
        <v>1370</v>
      </c>
      <c r="C185" s="335" t="s">
        <v>6</v>
      </c>
      <c r="D185" s="336">
        <v>161.38999999999999</v>
      </c>
      <c r="E185" s="336">
        <v>161.38999999999999</v>
      </c>
      <c r="F185" s="336">
        <f>估驗單!F181</f>
        <v>0</v>
      </c>
      <c r="G185" s="390">
        <f t="shared" si="12"/>
        <v>-161.38999999999999</v>
      </c>
      <c r="H185" s="336">
        <v>1481.84</v>
      </c>
      <c r="I185" s="336"/>
      <c r="J185" s="336"/>
      <c r="K185" s="336">
        <v>239154.16</v>
      </c>
      <c r="L185" s="336">
        <f t="shared" si="14"/>
        <v>239154.16</v>
      </c>
      <c r="M185" s="336">
        <f t="shared" si="15"/>
        <v>0</v>
      </c>
      <c r="N185" s="390" t="str">
        <f t="shared" si="13"/>
        <v xml:space="preserve">      </v>
      </c>
      <c r="O185" s="442"/>
      <c r="P185" s="231" t="s">
        <v>242</v>
      </c>
      <c r="Q185" s="11" t="s">
        <v>243</v>
      </c>
      <c r="R185" s="474"/>
      <c r="S185" s="339"/>
    </row>
    <row r="186" spans="1:22" s="352" customFormat="1" ht="33.75">
      <c r="A186" s="412">
        <v>24</v>
      </c>
      <c r="B186" s="413" t="s">
        <v>1372</v>
      </c>
      <c r="C186" s="414" t="s">
        <v>13</v>
      </c>
      <c r="D186" s="415">
        <v>0</v>
      </c>
      <c r="E186" s="415">
        <v>634.14</v>
      </c>
      <c r="F186" s="385">
        <f>估驗單!F182</f>
        <v>776.79333333333329</v>
      </c>
      <c r="G186" s="391">
        <f t="shared" si="12"/>
        <v>142.65333333333331</v>
      </c>
      <c r="H186" s="415">
        <v>0</v>
      </c>
      <c r="I186" s="415"/>
      <c r="J186" s="415">
        <v>3120.65</v>
      </c>
      <c r="K186" s="415">
        <f>D186*H186</f>
        <v>0</v>
      </c>
      <c r="L186" s="385">
        <f>ROUND(E186*J186,2)</f>
        <v>1978928.99</v>
      </c>
      <c r="M186" s="385">
        <f>ROUND(F186*J186,2)</f>
        <v>2424100.12</v>
      </c>
      <c r="N186" s="391">
        <f t="shared" si="13"/>
        <v>445171.13000000012</v>
      </c>
      <c r="O186" s="443"/>
      <c r="P186" s="350" t="s">
        <v>2361</v>
      </c>
      <c r="Q186" s="347" t="s">
        <v>243</v>
      </c>
      <c r="R186" s="377" t="s">
        <v>2362</v>
      </c>
      <c r="S186" s="360" t="s">
        <v>2363</v>
      </c>
      <c r="T186" s="325" t="s">
        <v>2364</v>
      </c>
      <c r="V186" s="361"/>
    </row>
    <row r="187" spans="1:22" s="363" customFormat="1" ht="33.75">
      <c r="A187" s="412">
        <v>25</v>
      </c>
      <c r="B187" s="413" t="s">
        <v>2346</v>
      </c>
      <c r="C187" s="414" t="s">
        <v>8</v>
      </c>
      <c r="D187" s="415">
        <v>0</v>
      </c>
      <c r="E187" s="415">
        <f>295*0.7+76*0.75+40*2</f>
        <v>343.5</v>
      </c>
      <c r="F187" s="385">
        <f>估驗單!F183</f>
        <v>343.5</v>
      </c>
      <c r="G187" s="391">
        <f t="shared" si="12"/>
        <v>0</v>
      </c>
      <c r="H187" s="415">
        <v>119.99</v>
      </c>
      <c r="I187" s="415"/>
      <c r="J187" s="415"/>
      <c r="K187" s="415">
        <v>0</v>
      </c>
      <c r="L187" s="385">
        <f t="shared" si="14"/>
        <v>41216.57</v>
      </c>
      <c r="M187" s="385">
        <f t="shared" si="15"/>
        <v>41216.57</v>
      </c>
      <c r="N187" s="391">
        <f t="shared" si="13"/>
        <v>0</v>
      </c>
      <c r="O187" s="443"/>
      <c r="P187" s="346" t="s">
        <v>2321</v>
      </c>
      <c r="Q187" s="347" t="s">
        <v>243</v>
      </c>
      <c r="R187" s="474" t="s">
        <v>2365</v>
      </c>
      <c r="S187" s="322" t="s">
        <v>2366</v>
      </c>
      <c r="T187" s="362" t="s">
        <v>2356</v>
      </c>
    </row>
    <row r="188" spans="1:22" s="363" customFormat="1" ht="33.75">
      <c r="A188" s="412">
        <v>26</v>
      </c>
      <c r="B188" s="413" t="s">
        <v>2367</v>
      </c>
      <c r="C188" s="414" t="s">
        <v>2368</v>
      </c>
      <c r="D188" s="415">
        <v>0</v>
      </c>
      <c r="E188" s="415">
        <f>295+76+80</f>
        <v>451</v>
      </c>
      <c r="F188" s="385">
        <f>估驗單!F184</f>
        <v>451</v>
      </c>
      <c r="G188" s="391">
        <f t="shared" si="12"/>
        <v>0</v>
      </c>
      <c r="H188" s="415">
        <v>0</v>
      </c>
      <c r="I188" s="415"/>
      <c r="J188" s="415">
        <v>324.97000000000003</v>
      </c>
      <c r="K188" s="415">
        <v>0</v>
      </c>
      <c r="L188" s="385">
        <f>ROUND(E188*J188,2)</f>
        <v>146561.47</v>
      </c>
      <c r="M188" s="385">
        <f>ROUND(F188*J188,2)</f>
        <v>146561.47</v>
      </c>
      <c r="N188" s="391">
        <f t="shared" si="13"/>
        <v>0</v>
      </c>
      <c r="O188" s="443"/>
      <c r="P188" s="346" t="s">
        <v>2369</v>
      </c>
      <c r="Q188" s="347"/>
      <c r="R188" s="474" t="s">
        <v>2365</v>
      </c>
      <c r="S188" s="322" t="s">
        <v>2370</v>
      </c>
      <c r="T188" s="362" t="s">
        <v>2356</v>
      </c>
    </row>
    <row r="189" spans="1:22" ht="57">
      <c r="A189" s="333">
        <v>28</v>
      </c>
      <c r="B189" s="334" t="s">
        <v>1377</v>
      </c>
      <c r="C189" s="335" t="s">
        <v>6</v>
      </c>
      <c r="D189" s="336">
        <v>0</v>
      </c>
      <c r="E189" s="336">
        <v>1513</v>
      </c>
      <c r="F189" s="336">
        <f>估驗單!F185</f>
        <v>1513</v>
      </c>
      <c r="G189" s="390">
        <f t="shared" si="12"/>
        <v>0</v>
      </c>
      <c r="H189" s="336"/>
      <c r="I189" s="336"/>
      <c r="J189" s="336">
        <v>926.62</v>
      </c>
      <c r="K189" s="336">
        <f>H189*D189</f>
        <v>0</v>
      </c>
      <c r="L189" s="336">
        <f>ROUND(E189*J189,2)</f>
        <v>1401976.06</v>
      </c>
      <c r="M189" s="336">
        <f>ROUND(F189*J189,2)</f>
        <v>1401976.06</v>
      </c>
      <c r="N189" s="390">
        <f t="shared" si="13"/>
        <v>0</v>
      </c>
      <c r="O189" s="442"/>
      <c r="P189" s="231" t="s">
        <v>2371</v>
      </c>
      <c r="Q189" s="11" t="s">
        <v>243</v>
      </c>
      <c r="R189" s="479" t="s">
        <v>2372</v>
      </c>
      <c r="S189" s="365" t="s">
        <v>2373</v>
      </c>
      <c r="T189" s="325" t="s">
        <v>2374</v>
      </c>
      <c r="V189" s="82">
        <f>(1.5*1.5*0.45*0.45)^(1/2)*(295+57.3)*0.15</f>
        <v>35.670375000000007</v>
      </c>
    </row>
    <row r="190" spans="1:22" s="368" customFormat="1" ht="156.75">
      <c r="A190" s="382">
        <v>29</v>
      </c>
      <c r="B190" s="383" t="s">
        <v>2375</v>
      </c>
      <c r="C190" s="384" t="s">
        <v>6</v>
      </c>
      <c r="D190" s="385">
        <v>0</v>
      </c>
      <c r="E190" s="385">
        <v>1177.9000000000001</v>
      </c>
      <c r="F190" s="385">
        <f>估驗單!F186</f>
        <v>1177.9000000000001</v>
      </c>
      <c r="G190" s="391">
        <f t="shared" si="12"/>
        <v>0</v>
      </c>
      <c r="H190" s="385">
        <v>0</v>
      </c>
      <c r="I190" s="385"/>
      <c r="J190" s="385">
        <v>3832.9</v>
      </c>
      <c r="K190" s="385">
        <f>D190*H190</f>
        <v>0</v>
      </c>
      <c r="L190" s="385">
        <f>ROUND(E190*J190,2)</f>
        <v>4514772.91</v>
      </c>
      <c r="M190" s="385">
        <f>ROUND(F190*J190,2)</f>
        <v>4514772.91</v>
      </c>
      <c r="N190" s="391">
        <f t="shared" si="13"/>
        <v>0</v>
      </c>
      <c r="O190" s="443"/>
      <c r="P190" s="386" t="s">
        <v>2376</v>
      </c>
      <c r="Q190" s="11" t="s">
        <v>243</v>
      </c>
      <c r="R190" s="474" t="s">
        <v>2377</v>
      </c>
      <c r="S190" s="366" t="s">
        <v>2378</v>
      </c>
      <c r="T190" s="367" t="s">
        <v>2379</v>
      </c>
      <c r="V190" s="369" t="s">
        <v>2380</v>
      </c>
    </row>
    <row r="191" spans="1:22" s="368" customFormat="1" ht="42.75">
      <c r="A191" s="333">
        <v>30</v>
      </c>
      <c r="B191" s="334" t="s">
        <v>1380</v>
      </c>
      <c r="C191" s="335" t="s">
        <v>13</v>
      </c>
      <c r="D191" s="336">
        <v>0</v>
      </c>
      <c r="E191" s="336">
        <v>442.5</v>
      </c>
      <c r="F191" s="336">
        <f>估驗單!F187</f>
        <v>734.29600000000005</v>
      </c>
      <c r="G191" s="390">
        <f t="shared" si="12"/>
        <v>291.79600000000005</v>
      </c>
      <c r="H191" s="336">
        <v>234.99</v>
      </c>
      <c r="I191" s="336"/>
      <c r="J191" s="336"/>
      <c r="K191" s="336">
        <f>H191*D191</f>
        <v>0</v>
      </c>
      <c r="L191" s="336">
        <f t="shared" si="14"/>
        <v>103983.08</v>
      </c>
      <c r="M191" s="336">
        <f t="shared" si="15"/>
        <v>172552.22</v>
      </c>
      <c r="N191" s="390">
        <f t="shared" si="13"/>
        <v>68569.14</v>
      </c>
      <c r="O191" s="442"/>
      <c r="P191" s="231" t="s">
        <v>2381</v>
      </c>
      <c r="Q191" s="11"/>
      <c r="R191" s="474" t="s">
        <v>2382</v>
      </c>
      <c r="S191" s="370" t="s">
        <v>2383</v>
      </c>
      <c r="T191" s="325" t="s">
        <v>2384</v>
      </c>
      <c r="V191" s="369"/>
    </row>
    <row r="192" spans="1:22" ht="33">
      <c r="A192" s="406" t="s">
        <v>2244</v>
      </c>
      <c r="B192" s="407" t="s">
        <v>623</v>
      </c>
      <c r="C192" s="408" t="s">
        <v>4</v>
      </c>
      <c r="D192" s="409">
        <v>1</v>
      </c>
      <c r="E192" s="409"/>
      <c r="F192" s="409">
        <f>估驗單!F188</f>
        <v>0</v>
      </c>
      <c r="G192" s="410">
        <f t="shared" si="12"/>
        <v>0</v>
      </c>
      <c r="H192" s="409">
        <v>27512956.199999999</v>
      </c>
      <c r="I192" s="409"/>
      <c r="J192" s="409"/>
      <c r="K192" s="409">
        <v>27512956.199999999</v>
      </c>
      <c r="L192" s="409">
        <f>SUM(L193:L211)</f>
        <v>28004421.200000003</v>
      </c>
      <c r="M192" s="409">
        <f>SUM(M193:M211)</f>
        <v>33518571.399999999</v>
      </c>
      <c r="N192" s="409">
        <f>SUM(N193:N211)</f>
        <v>5987095.5399999991</v>
      </c>
      <c r="O192" s="452">
        <f>SUM(O193:O211)</f>
        <v>-444412.76999999996</v>
      </c>
      <c r="P192" s="288" t="s">
        <v>242</v>
      </c>
      <c r="Q192" s="11" t="s">
        <v>243</v>
      </c>
      <c r="R192" s="478"/>
      <c r="S192" s="339"/>
    </row>
    <row r="193" spans="1:19" ht="33">
      <c r="A193" s="333" t="s">
        <v>2154</v>
      </c>
      <c r="B193" s="334" t="s">
        <v>315</v>
      </c>
      <c r="C193" s="335" t="s">
        <v>6</v>
      </c>
      <c r="D193" s="336">
        <v>252</v>
      </c>
      <c r="E193" s="336">
        <v>252</v>
      </c>
      <c r="F193" s="336">
        <f>估驗單!F189</f>
        <v>109.33</v>
      </c>
      <c r="G193" s="418">
        <f t="shared" si="12"/>
        <v>-142.67000000000002</v>
      </c>
      <c r="H193" s="336">
        <v>3114.97</v>
      </c>
      <c r="I193" s="336"/>
      <c r="J193" s="336"/>
      <c r="K193" s="336">
        <v>784972.44</v>
      </c>
      <c r="L193" s="336">
        <f t="shared" si="14"/>
        <v>784972.44</v>
      </c>
      <c r="M193" s="336">
        <f t="shared" si="15"/>
        <v>340559.67</v>
      </c>
      <c r="N193" s="390" t="str">
        <f t="shared" ref="N193:N211" si="16">IF(L193-M193&lt;0+AND(L193&lt;&gt;0),M193-L193,"      ")</f>
        <v xml:space="preserve">      </v>
      </c>
      <c r="O193" s="453">
        <f>M193-L193</f>
        <v>-444412.76999999996</v>
      </c>
      <c r="P193" s="234" t="s">
        <v>2477</v>
      </c>
      <c r="Q193" s="11" t="s">
        <v>243</v>
      </c>
      <c r="R193" s="474"/>
      <c r="S193" s="339"/>
    </row>
    <row r="194" spans="1:19" ht="33">
      <c r="A194" s="333" t="s">
        <v>2155</v>
      </c>
      <c r="B194" s="334" t="s">
        <v>24</v>
      </c>
      <c r="C194" s="335" t="s">
        <v>6</v>
      </c>
      <c r="D194" s="336">
        <v>2490</v>
      </c>
      <c r="E194" s="336">
        <v>2490</v>
      </c>
      <c r="F194" s="336">
        <f>估驗單!F190</f>
        <v>2490</v>
      </c>
      <c r="G194" s="390">
        <f t="shared" si="12"/>
        <v>0</v>
      </c>
      <c r="H194" s="336">
        <v>3320.96</v>
      </c>
      <c r="I194" s="336"/>
      <c r="J194" s="336"/>
      <c r="K194" s="336">
        <v>8269190.4000000004</v>
      </c>
      <c r="L194" s="336">
        <f t="shared" si="14"/>
        <v>8269190.4000000004</v>
      </c>
      <c r="M194" s="336">
        <f t="shared" si="15"/>
        <v>8269190.4000000004</v>
      </c>
      <c r="N194" s="390">
        <f t="shared" si="16"/>
        <v>0</v>
      </c>
      <c r="O194" s="442"/>
      <c r="P194" s="231" t="s">
        <v>242</v>
      </c>
      <c r="Q194" s="11" t="s">
        <v>243</v>
      </c>
      <c r="R194" s="474"/>
      <c r="S194" s="339"/>
    </row>
    <row r="195" spans="1:19" ht="33">
      <c r="A195" s="333" t="s">
        <v>2156</v>
      </c>
      <c r="B195" s="334" t="s">
        <v>624</v>
      </c>
      <c r="C195" s="335" t="s">
        <v>6</v>
      </c>
      <c r="D195" s="336">
        <v>998</v>
      </c>
      <c r="E195" s="336">
        <v>998</v>
      </c>
      <c r="F195" s="336">
        <f>估驗單!F191</f>
        <v>998</v>
      </c>
      <c r="G195" s="390">
        <f t="shared" si="12"/>
        <v>0</v>
      </c>
      <c r="H195" s="336">
        <v>1749.16</v>
      </c>
      <c r="I195" s="336"/>
      <c r="J195" s="336"/>
      <c r="K195" s="336">
        <v>1745661.68</v>
      </c>
      <c r="L195" s="336">
        <f t="shared" si="14"/>
        <v>1745661.68</v>
      </c>
      <c r="M195" s="336">
        <f t="shared" si="15"/>
        <v>1745661.68</v>
      </c>
      <c r="N195" s="390">
        <f t="shared" si="16"/>
        <v>0</v>
      </c>
      <c r="O195" s="442"/>
      <c r="P195" s="231" t="s">
        <v>242</v>
      </c>
      <c r="Q195" s="11" t="s">
        <v>243</v>
      </c>
      <c r="R195" s="474"/>
      <c r="S195" s="339"/>
    </row>
    <row r="196" spans="1:19" ht="33">
      <c r="A196" s="333" t="s">
        <v>2157</v>
      </c>
      <c r="B196" s="334" t="s">
        <v>595</v>
      </c>
      <c r="C196" s="335" t="s">
        <v>6</v>
      </c>
      <c r="D196" s="336">
        <v>3740</v>
      </c>
      <c r="E196" s="336">
        <v>3740</v>
      </c>
      <c r="F196" s="336">
        <f>估驗單!F192</f>
        <v>3597.33</v>
      </c>
      <c r="G196" s="390">
        <f t="shared" si="12"/>
        <v>-142.67000000000007</v>
      </c>
      <c r="H196" s="336">
        <v>199.99</v>
      </c>
      <c r="I196" s="336"/>
      <c r="J196" s="336"/>
      <c r="K196" s="336">
        <v>747962.6</v>
      </c>
      <c r="L196" s="336">
        <f t="shared" si="14"/>
        <v>747962.6</v>
      </c>
      <c r="M196" s="336">
        <f t="shared" si="15"/>
        <v>719430.03</v>
      </c>
      <c r="N196" s="390" t="str">
        <f t="shared" si="16"/>
        <v xml:space="preserve">      </v>
      </c>
      <c r="O196" s="442"/>
      <c r="P196" s="231" t="s">
        <v>242</v>
      </c>
      <c r="Q196" s="11" t="s">
        <v>243</v>
      </c>
      <c r="R196" s="474"/>
      <c r="S196" s="339"/>
    </row>
    <row r="197" spans="1:19" s="325" customFormat="1" ht="128.25">
      <c r="A197" s="333" t="s">
        <v>2158</v>
      </c>
      <c r="B197" s="334" t="s">
        <v>534</v>
      </c>
      <c r="C197" s="335" t="s">
        <v>13</v>
      </c>
      <c r="D197" s="336">
        <v>3740</v>
      </c>
      <c r="E197" s="336">
        <v>4240</v>
      </c>
      <c r="F197" s="336">
        <f>估驗單!F193</f>
        <v>4949.6072000000013</v>
      </c>
      <c r="G197" s="390">
        <f t="shared" si="12"/>
        <v>709.60720000000128</v>
      </c>
      <c r="H197" s="336">
        <v>982.93</v>
      </c>
      <c r="I197" s="336"/>
      <c r="J197" s="336"/>
      <c r="K197" s="336">
        <v>3676158.2</v>
      </c>
      <c r="L197" s="336">
        <f t="shared" si="14"/>
        <v>4167623.2</v>
      </c>
      <c r="M197" s="336">
        <f t="shared" si="15"/>
        <v>4865117.41</v>
      </c>
      <c r="N197" s="390">
        <f t="shared" si="16"/>
        <v>697494.21</v>
      </c>
      <c r="O197" s="442"/>
      <c r="P197" s="231" t="s">
        <v>2343</v>
      </c>
      <c r="Q197" s="11" t="s">
        <v>243</v>
      </c>
      <c r="R197" s="474"/>
      <c r="S197" s="360"/>
    </row>
    <row r="198" spans="1:19" s="325" customFormat="1" ht="42.75">
      <c r="A198" s="333" t="s">
        <v>2159</v>
      </c>
      <c r="B198" s="334" t="s">
        <v>626</v>
      </c>
      <c r="C198" s="335" t="s">
        <v>13</v>
      </c>
      <c r="D198" s="336">
        <v>38</v>
      </c>
      <c r="E198" s="336">
        <v>38</v>
      </c>
      <c r="F198" s="336">
        <f>估驗單!F194</f>
        <v>49.359999999999992</v>
      </c>
      <c r="G198" s="390">
        <f t="shared" si="12"/>
        <v>11.359999999999992</v>
      </c>
      <c r="H198" s="336">
        <v>698.28</v>
      </c>
      <c r="I198" s="336"/>
      <c r="J198" s="336"/>
      <c r="K198" s="336">
        <v>26534.639999999999</v>
      </c>
      <c r="L198" s="336">
        <f t="shared" si="14"/>
        <v>26534.639999999999</v>
      </c>
      <c r="M198" s="336">
        <f t="shared" si="15"/>
        <v>34467.1</v>
      </c>
      <c r="N198" s="390">
        <f t="shared" si="16"/>
        <v>7932.4599999999991</v>
      </c>
      <c r="O198" s="442"/>
      <c r="P198" s="231" t="s">
        <v>2385</v>
      </c>
      <c r="Q198" s="11" t="s">
        <v>243</v>
      </c>
      <c r="R198" s="474"/>
      <c r="S198" s="339"/>
    </row>
    <row r="199" spans="1:19" s="325" customFormat="1" ht="85.5">
      <c r="A199" s="333" t="s">
        <v>2160</v>
      </c>
      <c r="B199" s="334" t="s">
        <v>536</v>
      </c>
      <c r="C199" s="335" t="s">
        <v>13</v>
      </c>
      <c r="D199" s="336">
        <v>783</v>
      </c>
      <c r="E199" s="336">
        <v>783</v>
      </c>
      <c r="F199" s="336">
        <f>估驗單!F195</f>
        <v>1409.35</v>
      </c>
      <c r="G199" s="390">
        <f t="shared" si="12"/>
        <v>626.34999999999991</v>
      </c>
      <c r="H199" s="336">
        <v>804.75</v>
      </c>
      <c r="I199" s="336"/>
      <c r="J199" s="336"/>
      <c r="K199" s="336">
        <v>630119.25</v>
      </c>
      <c r="L199" s="336">
        <f t="shared" si="14"/>
        <v>630119.25</v>
      </c>
      <c r="M199" s="336">
        <f t="shared" si="15"/>
        <v>1134174.4099999999</v>
      </c>
      <c r="N199" s="390">
        <f t="shared" si="16"/>
        <v>504055.15999999992</v>
      </c>
      <c r="O199" s="442"/>
      <c r="P199" s="231" t="s">
        <v>2344</v>
      </c>
      <c r="Q199" s="11" t="s">
        <v>243</v>
      </c>
      <c r="R199" s="474"/>
      <c r="S199" s="339"/>
    </row>
    <row r="200" spans="1:19" s="325" customFormat="1" ht="85.5">
      <c r="A200" s="333" t="s">
        <v>2161</v>
      </c>
      <c r="B200" s="334" t="s">
        <v>193</v>
      </c>
      <c r="C200" s="335" t="s">
        <v>13</v>
      </c>
      <c r="D200" s="336">
        <v>300</v>
      </c>
      <c r="E200" s="336">
        <v>300</v>
      </c>
      <c r="F200" s="336">
        <f>估驗單!F196</f>
        <v>761.34</v>
      </c>
      <c r="G200" s="390">
        <f t="shared" si="12"/>
        <v>461.34000000000003</v>
      </c>
      <c r="H200" s="336">
        <v>533.61</v>
      </c>
      <c r="I200" s="336"/>
      <c r="J200" s="336"/>
      <c r="K200" s="336">
        <v>160083</v>
      </c>
      <c r="L200" s="336">
        <f t="shared" si="14"/>
        <v>160083</v>
      </c>
      <c r="M200" s="336">
        <f t="shared" si="15"/>
        <v>406258.64</v>
      </c>
      <c r="N200" s="390">
        <f t="shared" si="16"/>
        <v>246175.64</v>
      </c>
      <c r="O200" s="442"/>
      <c r="P200" s="231" t="s">
        <v>2335</v>
      </c>
      <c r="Q200" s="11" t="s">
        <v>243</v>
      </c>
      <c r="R200" s="474"/>
      <c r="S200" s="360"/>
    </row>
    <row r="201" spans="1:19" s="325" customFormat="1" ht="42.75">
      <c r="A201" s="333" t="s">
        <v>2162</v>
      </c>
      <c r="B201" s="334" t="s">
        <v>192</v>
      </c>
      <c r="C201" s="335" t="s">
        <v>17</v>
      </c>
      <c r="D201" s="336">
        <v>137462</v>
      </c>
      <c r="E201" s="336">
        <v>137462</v>
      </c>
      <c r="F201" s="336">
        <f>估驗單!F197</f>
        <v>207085.17276800002</v>
      </c>
      <c r="G201" s="390">
        <f t="shared" si="12"/>
        <v>69623.172768000019</v>
      </c>
      <c r="H201" s="336">
        <v>36.4</v>
      </c>
      <c r="I201" s="336"/>
      <c r="J201" s="336"/>
      <c r="K201" s="336">
        <v>5003616.8</v>
      </c>
      <c r="L201" s="336">
        <f t="shared" si="14"/>
        <v>5003616.8</v>
      </c>
      <c r="M201" s="336">
        <f t="shared" si="15"/>
        <v>7537900.29</v>
      </c>
      <c r="N201" s="390">
        <f t="shared" si="16"/>
        <v>2534283.4900000002</v>
      </c>
      <c r="O201" s="442"/>
      <c r="P201" s="231" t="s">
        <v>2334</v>
      </c>
      <c r="Q201" s="11" t="s">
        <v>243</v>
      </c>
      <c r="R201" s="474"/>
      <c r="S201" s="339"/>
    </row>
    <row r="202" spans="1:19" s="325" customFormat="1" ht="42.75">
      <c r="A202" s="333" t="s">
        <v>2163</v>
      </c>
      <c r="B202" s="334" t="s">
        <v>530</v>
      </c>
      <c r="C202" s="335" t="s">
        <v>17</v>
      </c>
      <c r="D202" s="336">
        <v>116638</v>
      </c>
      <c r="E202" s="336">
        <v>116638</v>
      </c>
      <c r="F202" s="336">
        <f>估驗單!F198</f>
        <v>168230.73</v>
      </c>
      <c r="G202" s="390">
        <f t="shared" si="12"/>
        <v>51592.73000000001</v>
      </c>
      <c r="H202" s="336">
        <v>38.71</v>
      </c>
      <c r="I202" s="336"/>
      <c r="J202" s="336"/>
      <c r="K202" s="336">
        <v>4515056.9800000004</v>
      </c>
      <c r="L202" s="336">
        <f t="shared" si="14"/>
        <v>4515056.9800000004</v>
      </c>
      <c r="M202" s="336">
        <f t="shared" si="15"/>
        <v>6512211.5599999996</v>
      </c>
      <c r="N202" s="390">
        <f t="shared" si="16"/>
        <v>1997154.5799999991</v>
      </c>
      <c r="O202" s="442"/>
      <c r="P202" s="231" t="s">
        <v>2334</v>
      </c>
      <c r="Q202" s="11" t="s">
        <v>243</v>
      </c>
      <c r="R202" s="474"/>
      <c r="S202" s="339"/>
    </row>
    <row r="203" spans="1:19" s="325" customFormat="1" ht="33">
      <c r="A203" s="333" t="s">
        <v>2164</v>
      </c>
      <c r="B203" s="334" t="s">
        <v>628</v>
      </c>
      <c r="C203" s="335" t="s">
        <v>8</v>
      </c>
      <c r="D203" s="336">
        <v>112</v>
      </c>
      <c r="E203" s="336">
        <v>112</v>
      </c>
      <c r="F203" s="336">
        <f>估驗單!F199</f>
        <v>112</v>
      </c>
      <c r="G203" s="418">
        <f t="shared" si="12"/>
        <v>0</v>
      </c>
      <c r="H203" s="336">
        <v>2865.8</v>
      </c>
      <c r="I203" s="336"/>
      <c r="J203" s="336"/>
      <c r="K203" s="336">
        <v>320969.59999999998</v>
      </c>
      <c r="L203" s="336">
        <f t="shared" si="14"/>
        <v>320969.59999999998</v>
      </c>
      <c r="M203" s="336">
        <f t="shared" si="15"/>
        <v>320969.59999999998</v>
      </c>
      <c r="N203" s="390">
        <f t="shared" si="16"/>
        <v>0</v>
      </c>
      <c r="O203" s="453">
        <f>M203-L203</f>
        <v>0</v>
      </c>
      <c r="P203" s="234" t="s">
        <v>2496</v>
      </c>
      <c r="Q203" s="11" t="s">
        <v>243</v>
      </c>
      <c r="R203" s="474"/>
      <c r="S203" s="339"/>
    </row>
    <row r="204" spans="1:19" s="325" customFormat="1" ht="33">
      <c r="A204" s="333" t="s">
        <v>2165</v>
      </c>
      <c r="B204" s="334" t="s">
        <v>630</v>
      </c>
      <c r="C204" s="335" t="s">
        <v>0</v>
      </c>
      <c r="D204" s="336">
        <v>47</v>
      </c>
      <c r="E204" s="336">
        <v>47</v>
      </c>
      <c r="F204" s="336">
        <f>估驗單!F200</f>
        <v>47</v>
      </c>
      <c r="G204" s="390">
        <f t="shared" si="12"/>
        <v>0</v>
      </c>
      <c r="H204" s="336">
        <v>1477.97</v>
      </c>
      <c r="I204" s="336"/>
      <c r="J204" s="336"/>
      <c r="K204" s="336">
        <v>69464.59</v>
      </c>
      <c r="L204" s="336">
        <f t="shared" si="14"/>
        <v>69464.59</v>
      </c>
      <c r="M204" s="336">
        <f t="shared" si="15"/>
        <v>69464.59</v>
      </c>
      <c r="N204" s="390">
        <f t="shared" si="16"/>
        <v>0</v>
      </c>
      <c r="O204" s="442"/>
      <c r="P204" s="231" t="s">
        <v>242</v>
      </c>
      <c r="Q204" s="11" t="s">
        <v>243</v>
      </c>
      <c r="R204" s="474"/>
      <c r="S204" s="339"/>
    </row>
    <row r="205" spans="1:19" s="325" customFormat="1" ht="42.75">
      <c r="A205" s="333" t="s">
        <v>2166</v>
      </c>
      <c r="B205" s="334" t="s">
        <v>632</v>
      </c>
      <c r="C205" s="335" t="s">
        <v>8</v>
      </c>
      <c r="D205" s="336">
        <v>148</v>
      </c>
      <c r="E205" s="336">
        <v>148</v>
      </c>
      <c r="F205" s="336">
        <f>估驗單!F201</f>
        <v>148</v>
      </c>
      <c r="G205" s="390">
        <f t="shared" si="12"/>
        <v>0</v>
      </c>
      <c r="H205" s="336">
        <v>151.71</v>
      </c>
      <c r="I205" s="336"/>
      <c r="J205" s="336"/>
      <c r="K205" s="336">
        <v>22453.08</v>
      </c>
      <c r="L205" s="336">
        <f t="shared" si="14"/>
        <v>22453.08</v>
      </c>
      <c r="M205" s="336">
        <f t="shared" si="15"/>
        <v>22453.08</v>
      </c>
      <c r="N205" s="390">
        <f t="shared" si="16"/>
        <v>0</v>
      </c>
      <c r="O205" s="442"/>
      <c r="P205" s="231" t="s">
        <v>242</v>
      </c>
      <c r="Q205" s="11" t="s">
        <v>243</v>
      </c>
      <c r="R205" s="474"/>
      <c r="S205" s="339"/>
    </row>
    <row r="206" spans="1:19" s="325" customFormat="1" ht="33">
      <c r="A206" s="333" t="s">
        <v>2167</v>
      </c>
      <c r="B206" s="334" t="s">
        <v>634</v>
      </c>
      <c r="C206" s="335" t="s">
        <v>15</v>
      </c>
      <c r="D206" s="336">
        <v>6</v>
      </c>
      <c r="E206" s="336">
        <v>6</v>
      </c>
      <c r="F206" s="336">
        <f>估驗單!F202</f>
        <v>6</v>
      </c>
      <c r="G206" s="390">
        <f t="shared" si="12"/>
        <v>0</v>
      </c>
      <c r="H206" s="336">
        <v>15778.75</v>
      </c>
      <c r="I206" s="336"/>
      <c r="J206" s="336"/>
      <c r="K206" s="336">
        <v>94672.5</v>
      </c>
      <c r="L206" s="336">
        <f t="shared" si="14"/>
        <v>94672.5</v>
      </c>
      <c r="M206" s="336">
        <f t="shared" si="15"/>
        <v>94672.5</v>
      </c>
      <c r="N206" s="390">
        <f t="shared" si="16"/>
        <v>0</v>
      </c>
      <c r="O206" s="442"/>
      <c r="P206" s="231" t="s">
        <v>242</v>
      </c>
      <c r="Q206" s="11" t="s">
        <v>243</v>
      </c>
      <c r="R206" s="474"/>
      <c r="S206" s="339"/>
    </row>
    <row r="207" spans="1:19" s="325" customFormat="1" ht="33">
      <c r="A207" s="382" t="s">
        <v>2168</v>
      </c>
      <c r="B207" s="383" t="s">
        <v>357</v>
      </c>
      <c r="C207" s="384" t="s">
        <v>8</v>
      </c>
      <c r="D207" s="385">
        <v>746</v>
      </c>
      <c r="E207" s="385">
        <v>746</v>
      </c>
      <c r="F207" s="385">
        <f>估驗單!F203</f>
        <v>746</v>
      </c>
      <c r="G207" s="417">
        <f t="shared" si="12"/>
        <v>0</v>
      </c>
      <c r="H207" s="385">
        <v>138.84</v>
      </c>
      <c r="I207" s="385"/>
      <c r="J207" s="385"/>
      <c r="K207" s="385">
        <v>103574.64</v>
      </c>
      <c r="L207" s="385">
        <f t="shared" si="14"/>
        <v>103574.64</v>
      </c>
      <c r="M207" s="385">
        <f t="shared" si="15"/>
        <v>103574.64</v>
      </c>
      <c r="N207" s="391">
        <f t="shared" si="16"/>
        <v>0</v>
      </c>
      <c r="O207" s="451">
        <f>M207-L207</f>
        <v>0</v>
      </c>
      <c r="P207" s="447" t="s">
        <v>2497</v>
      </c>
      <c r="Q207" s="11" t="s">
        <v>243</v>
      </c>
      <c r="R207" s="474"/>
      <c r="S207" s="339"/>
    </row>
    <row r="208" spans="1:19" s="325" customFormat="1" ht="33">
      <c r="A208" s="382" t="s">
        <v>2169</v>
      </c>
      <c r="B208" s="383" t="s">
        <v>611</v>
      </c>
      <c r="C208" s="384" t="s">
        <v>8</v>
      </c>
      <c r="D208" s="385">
        <v>1740</v>
      </c>
      <c r="E208" s="385">
        <v>1740</v>
      </c>
      <c r="F208" s="385">
        <f>估驗單!F204</f>
        <v>1740</v>
      </c>
      <c r="G208" s="417">
        <f t="shared" si="12"/>
        <v>0</v>
      </c>
      <c r="H208" s="385">
        <v>326.27999999999997</v>
      </c>
      <c r="I208" s="385"/>
      <c r="J208" s="385"/>
      <c r="K208" s="385">
        <v>567727.19999999995</v>
      </c>
      <c r="L208" s="385">
        <f t="shared" si="14"/>
        <v>567727.19999999995</v>
      </c>
      <c r="M208" s="385">
        <f t="shared" si="15"/>
        <v>567727.19999999995</v>
      </c>
      <c r="N208" s="391">
        <f t="shared" si="16"/>
        <v>0</v>
      </c>
      <c r="O208" s="451">
        <f>M208-L208</f>
        <v>0</v>
      </c>
      <c r="P208" s="447" t="s">
        <v>2497</v>
      </c>
      <c r="Q208" s="11" t="s">
        <v>243</v>
      </c>
      <c r="R208" s="474"/>
      <c r="S208" s="339"/>
    </row>
    <row r="209" spans="1:19" s="325" customFormat="1" ht="42.75">
      <c r="A209" s="333" t="s">
        <v>2170</v>
      </c>
      <c r="B209" s="334" t="s">
        <v>222</v>
      </c>
      <c r="C209" s="335" t="s">
        <v>13</v>
      </c>
      <c r="D209" s="336">
        <v>783</v>
      </c>
      <c r="E209" s="336">
        <v>783</v>
      </c>
      <c r="F209" s="336">
        <f>估驗單!F205</f>
        <v>783</v>
      </c>
      <c r="G209" s="390">
        <f t="shared" si="12"/>
        <v>0</v>
      </c>
      <c r="H209" s="336">
        <v>692.12</v>
      </c>
      <c r="I209" s="336"/>
      <c r="J209" s="336"/>
      <c r="K209" s="336">
        <v>541929.96</v>
      </c>
      <c r="L209" s="336">
        <f t="shared" si="14"/>
        <v>541929.96</v>
      </c>
      <c r="M209" s="336">
        <f t="shared" si="15"/>
        <v>541929.96</v>
      </c>
      <c r="N209" s="390">
        <f t="shared" si="16"/>
        <v>0</v>
      </c>
      <c r="O209" s="442"/>
      <c r="P209" s="231" t="s">
        <v>2345</v>
      </c>
      <c r="Q209" s="11" t="s">
        <v>243</v>
      </c>
      <c r="R209" s="474"/>
      <c r="S209" s="339"/>
    </row>
    <row r="210" spans="1:19" s="325" customFormat="1" ht="33">
      <c r="A210" s="333" t="s">
        <v>2171</v>
      </c>
      <c r="B210" s="334" t="s">
        <v>640</v>
      </c>
      <c r="C210" s="335" t="s">
        <v>15</v>
      </c>
      <c r="D210" s="336">
        <v>1</v>
      </c>
      <c r="E210" s="336">
        <v>1</v>
      </c>
      <c r="F210" s="336">
        <f>估驗單!F206</f>
        <v>1</v>
      </c>
      <c r="G210" s="390">
        <f t="shared" si="12"/>
        <v>0</v>
      </c>
      <c r="H210" s="336">
        <v>214228.32</v>
      </c>
      <c r="I210" s="336"/>
      <c r="J210" s="336"/>
      <c r="K210" s="336">
        <v>214228.32</v>
      </c>
      <c r="L210" s="336">
        <f t="shared" si="14"/>
        <v>214228.32</v>
      </c>
      <c r="M210" s="336">
        <f t="shared" si="15"/>
        <v>214228.32</v>
      </c>
      <c r="N210" s="390">
        <f t="shared" si="16"/>
        <v>0</v>
      </c>
      <c r="O210" s="442"/>
      <c r="P210" s="231" t="s">
        <v>242</v>
      </c>
      <c r="Q210" s="11" t="s">
        <v>243</v>
      </c>
      <c r="R210" s="474"/>
      <c r="S210" s="339"/>
    </row>
    <row r="211" spans="1:19" s="325" customFormat="1" ht="33">
      <c r="A211" s="333" t="s">
        <v>2172</v>
      </c>
      <c r="B211" s="334" t="s">
        <v>643</v>
      </c>
      <c r="C211" s="335" t="s">
        <v>5</v>
      </c>
      <c r="D211" s="336">
        <v>44</v>
      </c>
      <c r="E211" s="336">
        <v>44</v>
      </c>
      <c r="F211" s="336">
        <f>估驗單!F207</f>
        <v>44</v>
      </c>
      <c r="G211" s="390">
        <f t="shared" si="12"/>
        <v>0</v>
      </c>
      <c r="H211" s="336">
        <v>422.28</v>
      </c>
      <c r="I211" s="336"/>
      <c r="J211" s="336"/>
      <c r="K211" s="336">
        <v>18580.32</v>
      </c>
      <c r="L211" s="336">
        <f t="shared" si="14"/>
        <v>18580.32</v>
      </c>
      <c r="M211" s="336">
        <f t="shared" si="15"/>
        <v>18580.32</v>
      </c>
      <c r="N211" s="390">
        <f t="shared" si="16"/>
        <v>0</v>
      </c>
      <c r="O211" s="442"/>
      <c r="P211" s="231" t="s">
        <v>242</v>
      </c>
      <c r="Q211" s="11" t="s">
        <v>243</v>
      </c>
      <c r="R211" s="474"/>
      <c r="S211" s="339"/>
    </row>
    <row r="212" spans="1:19" s="325" customFormat="1" ht="33">
      <c r="A212" s="406" t="s">
        <v>2245</v>
      </c>
      <c r="B212" s="407" t="s">
        <v>645</v>
      </c>
      <c r="C212" s="408" t="s">
        <v>4</v>
      </c>
      <c r="D212" s="409">
        <v>1</v>
      </c>
      <c r="E212" s="409"/>
      <c r="F212" s="409"/>
      <c r="G212" s="410"/>
      <c r="H212" s="409">
        <v>11413214.08</v>
      </c>
      <c r="I212" s="409"/>
      <c r="J212" s="409"/>
      <c r="K212" s="409">
        <v>11413214.08</v>
      </c>
      <c r="L212" s="409">
        <f>SUM(L213:L228)</f>
        <v>13631722.120000003</v>
      </c>
      <c r="M212" s="409">
        <f>SUM(M213:M228)</f>
        <v>13631722.120000003</v>
      </c>
      <c r="N212" s="409">
        <f>SUM(N213:N228)</f>
        <v>0</v>
      </c>
      <c r="O212" s="452">
        <f>SUM(O213:O228)</f>
        <v>0</v>
      </c>
      <c r="P212" s="288" t="s">
        <v>242</v>
      </c>
      <c r="Q212" s="11" t="s">
        <v>243</v>
      </c>
      <c r="R212" s="478"/>
      <c r="S212" s="339"/>
    </row>
    <row r="213" spans="1:19" s="325" customFormat="1" ht="33">
      <c r="A213" s="333" t="s">
        <v>2154</v>
      </c>
      <c r="B213" s="334" t="s">
        <v>646</v>
      </c>
      <c r="C213" s="335" t="s">
        <v>6</v>
      </c>
      <c r="D213" s="336">
        <v>230</v>
      </c>
      <c r="E213" s="336">
        <v>230</v>
      </c>
      <c r="F213" s="336">
        <f>估驗單!F209</f>
        <v>230</v>
      </c>
      <c r="G213" s="390">
        <f t="shared" si="12"/>
        <v>0</v>
      </c>
      <c r="H213" s="336">
        <v>7517.15</v>
      </c>
      <c r="I213" s="336"/>
      <c r="J213" s="336"/>
      <c r="K213" s="336">
        <v>1728944.5</v>
      </c>
      <c r="L213" s="336">
        <f t="shared" si="14"/>
        <v>1728944.5</v>
      </c>
      <c r="M213" s="336">
        <f t="shared" si="15"/>
        <v>1728944.5</v>
      </c>
      <c r="N213" s="390">
        <f t="shared" ref="N213:N228" si="17">IF(L213-M213&lt;0+AND(L213&lt;&gt;0),M213-L213,"      ")</f>
        <v>0</v>
      </c>
      <c r="O213" s="442"/>
      <c r="P213" s="231" t="s">
        <v>242</v>
      </c>
      <c r="Q213" s="11" t="s">
        <v>243</v>
      </c>
      <c r="R213" s="474"/>
      <c r="S213" s="339"/>
    </row>
    <row r="214" spans="1:19" s="325" customFormat="1" ht="33">
      <c r="A214" s="333" t="s">
        <v>2155</v>
      </c>
      <c r="B214" s="334" t="s">
        <v>648</v>
      </c>
      <c r="C214" s="335" t="s">
        <v>6</v>
      </c>
      <c r="D214" s="336">
        <v>689</v>
      </c>
      <c r="E214" s="336">
        <v>689</v>
      </c>
      <c r="F214" s="336">
        <f>估驗單!F210</f>
        <v>689</v>
      </c>
      <c r="G214" s="390">
        <f t="shared" si="12"/>
        <v>0</v>
      </c>
      <c r="H214" s="336">
        <v>7496.55</v>
      </c>
      <c r="I214" s="336"/>
      <c r="J214" s="336"/>
      <c r="K214" s="336">
        <v>5165122.95</v>
      </c>
      <c r="L214" s="336">
        <f t="shared" si="14"/>
        <v>5165122.95</v>
      </c>
      <c r="M214" s="336">
        <f t="shared" si="15"/>
        <v>5165122.95</v>
      </c>
      <c r="N214" s="390">
        <f t="shared" si="17"/>
        <v>0</v>
      </c>
      <c r="O214" s="442"/>
      <c r="P214" s="231" t="s">
        <v>242</v>
      </c>
      <c r="Q214" s="11" t="s">
        <v>243</v>
      </c>
      <c r="R214" s="474"/>
      <c r="S214" s="339"/>
    </row>
    <row r="215" spans="1:19" s="325" customFormat="1" ht="33">
      <c r="A215" s="333" t="s">
        <v>2156</v>
      </c>
      <c r="B215" s="334" t="s">
        <v>650</v>
      </c>
      <c r="C215" s="335" t="s">
        <v>13</v>
      </c>
      <c r="D215" s="336">
        <v>4589</v>
      </c>
      <c r="E215" s="336">
        <v>4589</v>
      </c>
      <c r="F215" s="336">
        <f>估驗單!F211</f>
        <v>4589</v>
      </c>
      <c r="G215" s="390">
        <f t="shared" si="12"/>
        <v>0</v>
      </c>
      <c r="H215" s="336">
        <v>11.6</v>
      </c>
      <c r="I215" s="336"/>
      <c r="J215" s="336"/>
      <c r="K215" s="336">
        <v>53232.4</v>
      </c>
      <c r="L215" s="336">
        <f t="shared" si="14"/>
        <v>53232.4</v>
      </c>
      <c r="M215" s="336">
        <f t="shared" si="15"/>
        <v>53232.4</v>
      </c>
      <c r="N215" s="390">
        <f t="shared" si="17"/>
        <v>0</v>
      </c>
      <c r="O215" s="442"/>
      <c r="P215" s="231" t="s">
        <v>242</v>
      </c>
      <c r="Q215" s="11" t="s">
        <v>243</v>
      </c>
      <c r="R215" s="474"/>
      <c r="S215" s="339"/>
    </row>
    <row r="216" spans="1:19" s="325" customFormat="1" ht="33">
      <c r="A216" s="333" t="s">
        <v>2157</v>
      </c>
      <c r="B216" s="334" t="s">
        <v>652</v>
      </c>
      <c r="C216" s="335" t="s">
        <v>13</v>
      </c>
      <c r="D216" s="336">
        <v>4589</v>
      </c>
      <c r="E216" s="336">
        <v>4589</v>
      </c>
      <c r="F216" s="336">
        <f>估驗單!F212</f>
        <v>4589</v>
      </c>
      <c r="G216" s="390">
        <f t="shared" si="12"/>
        <v>0</v>
      </c>
      <c r="H216" s="336">
        <v>42.46</v>
      </c>
      <c r="I216" s="336"/>
      <c r="J216" s="336"/>
      <c r="K216" s="336">
        <v>194848.94</v>
      </c>
      <c r="L216" s="336">
        <f t="shared" si="14"/>
        <v>194848.94</v>
      </c>
      <c r="M216" s="336">
        <f t="shared" si="15"/>
        <v>194848.94</v>
      </c>
      <c r="N216" s="390">
        <f t="shared" si="17"/>
        <v>0</v>
      </c>
      <c r="O216" s="442"/>
      <c r="P216" s="231" t="s">
        <v>242</v>
      </c>
      <c r="Q216" s="11" t="s">
        <v>243</v>
      </c>
      <c r="R216" s="474"/>
      <c r="S216" s="339"/>
    </row>
    <row r="217" spans="1:19" s="325" customFormat="1" ht="33">
      <c r="A217" s="333" t="s">
        <v>2158</v>
      </c>
      <c r="B217" s="334" t="s">
        <v>204</v>
      </c>
      <c r="C217" s="335" t="s">
        <v>13</v>
      </c>
      <c r="D217" s="336">
        <v>13765</v>
      </c>
      <c r="E217" s="336">
        <v>13765</v>
      </c>
      <c r="F217" s="336">
        <f>估驗單!F213</f>
        <v>13765</v>
      </c>
      <c r="G217" s="390">
        <f t="shared" si="12"/>
        <v>0</v>
      </c>
      <c r="H217" s="336">
        <v>15.96</v>
      </c>
      <c r="I217" s="336"/>
      <c r="J217" s="336"/>
      <c r="K217" s="336">
        <v>219689.4</v>
      </c>
      <c r="L217" s="336">
        <f t="shared" si="14"/>
        <v>219689.4</v>
      </c>
      <c r="M217" s="336">
        <f t="shared" si="15"/>
        <v>219689.4</v>
      </c>
      <c r="N217" s="390">
        <f t="shared" si="17"/>
        <v>0</v>
      </c>
      <c r="O217" s="442"/>
      <c r="P217" s="231" t="s">
        <v>242</v>
      </c>
      <c r="Q217" s="11" t="s">
        <v>243</v>
      </c>
      <c r="R217" s="474"/>
      <c r="S217" s="339"/>
    </row>
    <row r="218" spans="1:19" s="325" customFormat="1" ht="33">
      <c r="A218" s="333" t="s">
        <v>2159</v>
      </c>
      <c r="B218" s="334" t="s">
        <v>315</v>
      </c>
      <c r="C218" s="335" t="s">
        <v>6</v>
      </c>
      <c r="D218" s="336">
        <v>49</v>
      </c>
      <c r="E218" s="336">
        <v>49</v>
      </c>
      <c r="F218" s="336">
        <f>估驗單!F214</f>
        <v>49</v>
      </c>
      <c r="G218" s="390">
        <f t="shared" ref="G218:G281" si="18">F218-E218</f>
        <v>0</v>
      </c>
      <c r="H218" s="336">
        <v>3114.97</v>
      </c>
      <c r="I218" s="336"/>
      <c r="J218" s="336"/>
      <c r="K218" s="336">
        <v>152633.53</v>
      </c>
      <c r="L218" s="336">
        <f t="shared" si="14"/>
        <v>152633.53</v>
      </c>
      <c r="M218" s="336">
        <f t="shared" si="15"/>
        <v>152633.53</v>
      </c>
      <c r="N218" s="390">
        <f t="shared" si="17"/>
        <v>0</v>
      </c>
      <c r="O218" s="453"/>
      <c r="P218" s="231" t="s">
        <v>242</v>
      </c>
      <c r="Q218" s="11" t="s">
        <v>243</v>
      </c>
      <c r="R218" s="474"/>
      <c r="S218" s="339"/>
    </row>
    <row r="219" spans="1:19" s="325" customFormat="1" ht="33">
      <c r="A219" s="333" t="s">
        <v>2160</v>
      </c>
      <c r="B219" s="334" t="s">
        <v>24</v>
      </c>
      <c r="C219" s="335" t="s">
        <v>6</v>
      </c>
      <c r="D219" s="336">
        <v>328</v>
      </c>
      <c r="E219" s="336">
        <v>328</v>
      </c>
      <c r="F219" s="336">
        <f>估驗單!F215</f>
        <v>328</v>
      </c>
      <c r="G219" s="390">
        <f t="shared" si="18"/>
        <v>0</v>
      </c>
      <c r="H219" s="336">
        <v>3320.96</v>
      </c>
      <c r="I219" s="336"/>
      <c r="J219" s="336"/>
      <c r="K219" s="336">
        <v>1089274.8799999999</v>
      </c>
      <c r="L219" s="336">
        <f t="shared" si="14"/>
        <v>1089274.8799999999</v>
      </c>
      <c r="M219" s="336">
        <f t="shared" si="15"/>
        <v>1089274.8799999999</v>
      </c>
      <c r="N219" s="390">
        <f t="shared" si="17"/>
        <v>0</v>
      </c>
      <c r="O219" s="442"/>
      <c r="P219" s="231" t="s">
        <v>242</v>
      </c>
      <c r="Q219" s="11" t="s">
        <v>243</v>
      </c>
      <c r="R219" s="474"/>
      <c r="S219" s="339"/>
    </row>
    <row r="220" spans="1:19" s="325" customFormat="1" ht="33">
      <c r="A220" s="333" t="s">
        <v>2161</v>
      </c>
      <c r="B220" s="334" t="s">
        <v>595</v>
      </c>
      <c r="C220" s="335" t="s">
        <v>6</v>
      </c>
      <c r="D220" s="336">
        <v>377</v>
      </c>
      <c r="E220" s="336">
        <v>377</v>
      </c>
      <c r="F220" s="336">
        <f>估驗單!F216</f>
        <v>377</v>
      </c>
      <c r="G220" s="390">
        <f t="shared" si="18"/>
        <v>0</v>
      </c>
      <c r="H220" s="336">
        <v>199.99</v>
      </c>
      <c r="I220" s="336"/>
      <c r="J220" s="336"/>
      <c r="K220" s="336">
        <v>75396.23</v>
      </c>
      <c r="L220" s="336">
        <f t="shared" si="14"/>
        <v>75396.23</v>
      </c>
      <c r="M220" s="336">
        <f t="shared" si="15"/>
        <v>75396.23</v>
      </c>
      <c r="N220" s="390">
        <f t="shared" si="17"/>
        <v>0</v>
      </c>
      <c r="O220" s="442"/>
      <c r="P220" s="231" t="s">
        <v>242</v>
      </c>
      <c r="Q220" s="11" t="s">
        <v>243</v>
      </c>
      <c r="R220" s="474"/>
      <c r="S220" s="339"/>
    </row>
    <row r="221" spans="1:19" s="325" customFormat="1" ht="42.75">
      <c r="A221" s="333" t="s">
        <v>2162</v>
      </c>
      <c r="B221" s="334" t="s">
        <v>626</v>
      </c>
      <c r="C221" s="335" t="s">
        <v>13</v>
      </c>
      <c r="D221" s="336">
        <v>867</v>
      </c>
      <c r="E221" s="336">
        <v>867</v>
      </c>
      <c r="F221" s="336">
        <f>估驗單!F217</f>
        <v>867</v>
      </c>
      <c r="G221" s="390">
        <f t="shared" si="18"/>
        <v>0</v>
      </c>
      <c r="H221" s="336">
        <v>698.28</v>
      </c>
      <c r="I221" s="336"/>
      <c r="J221" s="336"/>
      <c r="K221" s="336">
        <v>605408.76</v>
      </c>
      <c r="L221" s="336">
        <f t="shared" si="14"/>
        <v>605408.76</v>
      </c>
      <c r="M221" s="336">
        <f t="shared" si="15"/>
        <v>605408.76</v>
      </c>
      <c r="N221" s="390">
        <f t="shared" si="17"/>
        <v>0</v>
      </c>
      <c r="O221" s="442"/>
      <c r="P221" s="231" t="s">
        <v>2385</v>
      </c>
      <c r="Q221" s="11" t="s">
        <v>243</v>
      </c>
      <c r="R221" s="474"/>
      <c r="S221" s="360"/>
    </row>
    <row r="222" spans="1:19" s="325" customFormat="1" ht="85.5">
      <c r="A222" s="333" t="s">
        <v>2163</v>
      </c>
      <c r="B222" s="334" t="s">
        <v>193</v>
      </c>
      <c r="C222" s="335" t="s">
        <v>13</v>
      </c>
      <c r="D222" s="336">
        <v>1257</v>
      </c>
      <c r="E222" s="336">
        <v>1257</v>
      </c>
      <c r="F222" s="336">
        <f>估驗單!F218</f>
        <v>1257</v>
      </c>
      <c r="G222" s="390">
        <f t="shared" si="18"/>
        <v>0</v>
      </c>
      <c r="H222" s="336">
        <v>533.61</v>
      </c>
      <c r="I222" s="336"/>
      <c r="J222" s="336"/>
      <c r="K222" s="336">
        <v>670747.77</v>
      </c>
      <c r="L222" s="336">
        <f t="shared" si="14"/>
        <v>670747.77</v>
      </c>
      <c r="M222" s="336">
        <f t="shared" si="15"/>
        <v>670747.77</v>
      </c>
      <c r="N222" s="390">
        <f t="shared" si="17"/>
        <v>0</v>
      </c>
      <c r="O222" s="440"/>
      <c r="P222" s="231" t="s">
        <v>2335</v>
      </c>
      <c r="Q222" s="11" t="s">
        <v>243</v>
      </c>
      <c r="R222" s="474"/>
      <c r="S222" s="360"/>
    </row>
    <row r="223" spans="1:19" s="325" customFormat="1" ht="42.75">
      <c r="A223" s="382" t="s">
        <v>2164</v>
      </c>
      <c r="B223" s="383" t="s">
        <v>192</v>
      </c>
      <c r="C223" s="384" t="s">
        <v>17</v>
      </c>
      <c r="D223" s="385">
        <v>12810</v>
      </c>
      <c r="E223" s="385">
        <v>12810</v>
      </c>
      <c r="F223" s="385">
        <f>估驗單!F219</f>
        <v>12810</v>
      </c>
      <c r="G223" s="391">
        <f t="shared" si="18"/>
        <v>0</v>
      </c>
      <c r="H223" s="385">
        <v>36.4</v>
      </c>
      <c r="I223" s="385"/>
      <c r="J223" s="385"/>
      <c r="K223" s="385">
        <v>466284</v>
      </c>
      <c r="L223" s="385">
        <f t="shared" si="14"/>
        <v>466284</v>
      </c>
      <c r="M223" s="385">
        <f t="shared" si="15"/>
        <v>466284</v>
      </c>
      <c r="N223" s="391">
        <f t="shared" si="17"/>
        <v>0</v>
      </c>
      <c r="O223" s="443"/>
      <c r="P223" s="386" t="s">
        <v>2334</v>
      </c>
      <c r="Q223" s="11" t="s">
        <v>243</v>
      </c>
      <c r="R223" s="474"/>
      <c r="S223" s="339"/>
    </row>
    <row r="224" spans="1:19" s="325" customFormat="1" ht="57">
      <c r="A224" s="333" t="s">
        <v>2165</v>
      </c>
      <c r="B224" s="334" t="s">
        <v>655</v>
      </c>
      <c r="C224" s="335" t="s">
        <v>15</v>
      </c>
      <c r="D224" s="336">
        <v>158</v>
      </c>
      <c r="E224" s="336">
        <v>158</v>
      </c>
      <c r="F224" s="336">
        <f>估驗單!F220</f>
        <v>158</v>
      </c>
      <c r="G224" s="390">
        <f t="shared" si="18"/>
        <v>0</v>
      </c>
      <c r="H224" s="336">
        <v>3615.1</v>
      </c>
      <c r="I224" s="336"/>
      <c r="J224" s="336"/>
      <c r="K224" s="336">
        <v>571185.80000000005</v>
      </c>
      <c r="L224" s="336">
        <f t="shared" si="14"/>
        <v>571185.80000000005</v>
      </c>
      <c r="M224" s="336">
        <f t="shared" si="15"/>
        <v>571185.80000000005</v>
      </c>
      <c r="N224" s="390">
        <f t="shared" si="17"/>
        <v>0</v>
      </c>
      <c r="O224" s="442"/>
      <c r="P224" s="231" t="s">
        <v>2337</v>
      </c>
      <c r="Q224" s="11" t="s">
        <v>243</v>
      </c>
      <c r="R224" s="474"/>
      <c r="S224" s="339"/>
    </row>
    <row r="225" spans="1:22" s="325" customFormat="1" ht="57">
      <c r="A225" s="333" t="s">
        <v>2166</v>
      </c>
      <c r="B225" s="334" t="s">
        <v>657</v>
      </c>
      <c r="C225" s="335" t="s">
        <v>17</v>
      </c>
      <c r="D225" s="336">
        <v>3713</v>
      </c>
      <c r="E225" s="336">
        <v>3713</v>
      </c>
      <c r="F225" s="336">
        <f>估驗單!F221</f>
        <v>3713</v>
      </c>
      <c r="G225" s="390">
        <f t="shared" si="18"/>
        <v>0</v>
      </c>
      <c r="H225" s="336">
        <v>107.44</v>
      </c>
      <c r="I225" s="336"/>
      <c r="J225" s="336"/>
      <c r="K225" s="336">
        <v>398924.72</v>
      </c>
      <c r="L225" s="336">
        <f t="shared" si="14"/>
        <v>398924.72</v>
      </c>
      <c r="M225" s="336">
        <f t="shared" si="15"/>
        <v>398924.72</v>
      </c>
      <c r="N225" s="390">
        <f t="shared" si="17"/>
        <v>0</v>
      </c>
      <c r="O225" s="442"/>
      <c r="P225" s="231" t="s">
        <v>2337</v>
      </c>
      <c r="Q225" s="11" t="s">
        <v>243</v>
      </c>
      <c r="R225" s="474"/>
      <c r="S225" s="339"/>
    </row>
    <row r="226" spans="1:22" s="325" customFormat="1" ht="33">
      <c r="A226" s="333" t="s">
        <v>2167</v>
      </c>
      <c r="B226" s="334" t="s">
        <v>357</v>
      </c>
      <c r="C226" s="335" t="s">
        <v>8</v>
      </c>
      <c r="D226" s="336">
        <v>155</v>
      </c>
      <c r="E226" s="336">
        <v>155</v>
      </c>
      <c r="F226" s="336">
        <f>估驗單!F222</f>
        <v>155</v>
      </c>
      <c r="G226" s="390">
        <f t="shared" si="18"/>
        <v>0</v>
      </c>
      <c r="H226" s="336">
        <v>138.84</v>
      </c>
      <c r="I226" s="336"/>
      <c r="J226" s="336"/>
      <c r="K226" s="336">
        <v>21520.2</v>
      </c>
      <c r="L226" s="336">
        <f t="shared" si="14"/>
        <v>21520.2</v>
      </c>
      <c r="M226" s="336">
        <f t="shared" si="15"/>
        <v>21520.2</v>
      </c>
      <c r="N226" s="390">
        <f t="shared" si="17"/>
        <v>0</v>
      </c>
      <c r="O226" s="442"/>
      <c r="P226" s="231" t="s">
        <v>242</v>
      </c>
      <c r="Q226" s="11" t="s">
        <v>243</v>
      </c>
      <c r="R226" s="474"/>
      <c r="S226" s="339"/>
    </row>
    <row r="227" spans="1:22" s="356" customFormat="1" ht="31.5">
      <c r="A227" s="343">
        <v>15</v>
      </c>
      <c r="B227" s="344" t="s">
        <v>1497</v>
      </c>
      <c r="C227" s="345" t="s">
        <v>223</v>
      </c>
      <c r="D227" s="340">
        <v>0</v>
      </c>
      <c r="E227" s="340">
        <v>1376.7</v>
      </c>
      <c r="F227" s="336">
        <f>估驗單!F223</f>
        <v>1376.7</v>
      </c>
      <c r="G227" s="390">
        <f t="shared" si="18"/>
        <v>0</v>
      </c>
      <c r="H227" s="340">
        <v>0</v>
      </c>
      <c r="I227" s="340"/>
      <c r="J227" s="340">
        <v>1288.28</v>
      </c>
      <c r="K227" s="340">
        <f>D227*H227</f>
        <v>0</v>
      </c>
      <c r="L227" s="336">
        <f>ROUND(E227*J227,2)</f>
        <v>1773575.08</v>
      </c>
      <c r="M227" s="336">
        <f>ROUND(F227*J227,2)</f>
        <v>1773575.08</v>
      </c>
      <c r="N227" s="390">
        <f t="shared" si="17"/>
        <v>0</v>
      </c>
      <c r="O227" s="442"/>
      <c r="P227" s="346" t="s">
        <v>2387</v>
      </c>
      <c r="Q227" s="347"/>
      <c r="R227" s="479" t="s">
        <v>2388</v>
      </c>
      <c r="S227" s="349" t="s">
        <v>2389</v>
      </c>
      <c r="T227" s="325" t="s">
        <v>2390</v>
      </c>
    </row>
    <row r="228" spans="1:22" s="356" customFormat="1" ht="168.75">
      <c r="A228" s="412">
        <v>16</v>
      </c>
      <c r="B228" s="413" t="s">
        <v>2391</v>
      </c>
      <c r="C228" s="414" t="s">
        <v>2386</v>
      </c>
      <c r="D228" s="415">
        <v>0</v>
      </c>
      <c r="E228" s="420">
        <v>512.1</v>
      </c>
      <c r="F228" s="385">
        <f>估驗單!F224</f>
        <v>512.1</v>
      </c>
      <c r="G228" s="391">
        <f t="shared" si="18"/>
        <v>0</v>
      </c>
      <c r="H228" s="415">
        <v>0</v>
      </c>
      <c r="I228" s="421"/>
      <c r="J228" s="415">
        <v>868.84</v>
      </c>
      <c r="K228" s="415">
        <f>D228*H228</f>
        <v>0</v>
      </c>
      <c r="L228" s="385">
        <f>ROUND(E228*J228,2)</f>
        <v>444932.96</v>
      </c>
      <c r="M228" s="385">
        <f>ROUND(F228*J228,2)</f>
        <v>444932.96</v>
      </c>
      <c r="N228" s="391">
        <f t="shared" si="17"/>
        <v>0</v>
      </c>
      <c r="O228" s="446"/>
      <c r="P228" s="422" t="s">
        <v>2392</v>
      </c>
      <c r="Q228" s="347"/>
      <c r="R228" s="479" t="s">
        <v>2393</v>
      </c>
      <c r="S228" s="360" t="s">
        <v>2394</v>
      </c>
      <c r="T228" s="362" t="s">
        <v>2390</v>
      </c>
      <c r="V228" s="371" t="s">
        <v>2395</v>
      </c>
    </row>
    <row r="229" spans="1:22" s="325" customFormat="1" ht="33">
      <c r="A229" s="406" t="s">
        <v>2246</v>
      </c>
      <c r="B229" s="407" t="s">
        <v>660</v>
      </c>
      <c r="C229" s="408" t="s">
        <v>4</v>
      </c>
      <c r="D229" s="409">
        <v>1</v>
      </c>
      <c r="E229" s="409"/>
      <c r="F229" s="409"/>
      <c r="G229" s="410">
        <f t="shared" si="18"/>
        <v>0</v>
      </c>
      <c r="H229" s="409">
        <v>901865.78</v>
      </c>
      <c r="I229" s="409"/>
      <c r="J229" s="409"/>
      <c r="K229" s="409">
        <v>901865.78</v>
      </c>
      <c r="L229" s="411">
        <f>SUM(L230:L306)</f>
        <v>5797339.8100000005</v>
      </c>
      <c r="M229" s="411">
        <f>SUM(M230:M306)</f>
        <v>5864027.4800000004</v>
      </c>
      <c r="N229" s="411">
        <f>SUM(N230:N306)</f>
        <v>66687.67</v>
      </c>
      <c r="O229" s="445">
        <f>SUM(O230:O306)</f>
        <v>0</v>
      </c>
      <c r="P229" s="288" t="s">
        <v>242</v>
      </c>
      <c r="Q229" s="11" t="s">
        <v>243</v>
      </c>
      <c r="R229" s="478"/>
      <c r="S229" s="339"/>
      <c r="U229" s="325">
        <f>(26.4+21.4+6.8+29.6+4.8+58.5)+(52.7+6.8+48.3+5+21.2+10.7+23.9+49.8+2.3+1.4)+(43.6+11.2+9.1+20.6+77.7+67.4+13.8+49.3+17.5+24.2+1.8)+(6.5+64.1+10.9+43+11.1+9.4+10+42+1.2+20.1)</f>
        <v>924.09999999999991</v>
      </c>
      <c r="V229" s="325">
        <f>(26.4+21.4+6.8+29.6+4.8+58.5)+(52.7+6.8+48.3+5+21.2+10.7+23.9+49.8+2.3+1.4)+(43.6+11.2+9.1+20.6+77.7+67.4+13.8+49.3+17.5+24.2+1.8)+(10.9+43+11.1+9.4+10+42+1.2+20.1)</f>
        <v>853.5</v>
      </c>
    </row>
    <row r="230" spans="1:22" s="325" customFormat="1" ht="42.75">
      <c r="A230" s="333" t="s">
        <v>2154</v>
      </c>
      <c r="B230" s="334" t="s">
        <v>662</v>
      </c>
      <c r="C230" s="335" t="s">
        <v>223</v>
      </c>
      <c r="D230" s="336">
        <v>1</v>
      </c>
      <c r="E230" s="336">
        <v>1</v>
      </c>
      <c r="F230" s="336">
        <f>估驗單!F226</f>
        <v>1</v>
      </c>
      <c r="G230" s="390">
        <f t="shared" si="18"/>
        <v>0</v>
      </c>
      <c r="H230" s="336">
        <v>704.48</v>
      </c>
      <c r="I230" s="336"/>
      <c r="J230" s="336"/>
      <c r="K230" s="336">
        <v>704.48</v>
      </c>
      <c r="L230" s="336">
        <f>ROUND(E230*H230,2)</f>
        <v>704.48</v>
      </c>
      <c r="M230" s="336">
        <f>ROUND(F230*H230,2)</f>
        <v>704.48</v>
      </c>
      <c r="N230" s="390">
        <f t="shared" ref="N230:N293" si="19">IF(L230-M230&lt;0+AND(L230&lt;&gt;0),M230-L230,"      ")</f>
        <v>0</v>
      </c>
      <c r="O230" s="442"/>
      <c r="P230" s="231" t="s">
        <v>2396</v>
      </c>
      <c r="Q230" s="11" t="s">
        <v>243</v>
      </c>
      <c r="R230" s="474"/>
      <c r="S230" s="339"/>
    </row>
    <row r="231" spans="1:22" s="325" customFormat="1" ht="33">
      <c r="A231" s="333" t="s">
        <v>2155</v>
      </c>
      <c r="B231" s="334" t="s">
        <v>665</v>
      </c>
      <c r="C231" s="335" t="s">
        <v>5</v>
      </c>
      <c r="D231" s="336">
        <v>1</v>
      </c>
      <c r="E231" s="336">
        <v>1</v>
      </c>
      <c r="F231" s="336">
        <f>估驗單!F227</f>
        <v>1</v>
      </c>
      <c r="G231" s="390">
        <f t="shared" si="18"/>
        <v>0</v>
      </c>
      <c r="H231" s="336">
        <v>399.98</v>
      </c>
      <c r="I231" s="336"/>
      <c r="J231" s="336"/>
      <c r="K231" s="336">
        <v>399.98</v>
      </c>
      <c r="L231" s="336">
        <f t="shared" ref="L231:L294" si="20">ROUND(E231*H231,2)</f>
        <v>399.98</v>
      </c>
      <c r="M231" s="336">
        <f t="shared" ref="M231:M294" si="21">ROUND(F231*H231,2)</f>
        <v>399.98</v>
      </c>
      <c r="N231" s="390">
        <f t="shared" si="19"/>
        <v>0</v>
      </c>
      <c r="O231" s="442"/>
      <c r="P231" s="231" t="s">
        <v>2397</v>
      </c>
      <c r="Q231" s="11" t="s">
        <v>243</v>
      </c>
      <c r="R231" s="474"/>
      <c r="S231" s="339"/>
    </row>
    <row r="232" spans="1:22" s="325" customFormat="1" ht="33.75">
      <c r="A232" s="333" t="s">
        <v>2156</v>
      </c>
      <c r="B232" s="334" t="s">
        <v>668</v>
      </c>
      <c r="C232" s="335" t="s">
        <v>669</v>
      </c>
      <c r="D232" s="336">
        <v>1</v>
      </c>
      <c r="E232" s="336">
        <v>14</v>
      </c>
      <c r="F232" s="336">
        <f>估驗單!F228</f>
        <v>15</v>
      </c>
      <c r="G232" s="390">
        <f t="shared" si="18"/>
        <v>1</v>
      </c>
      <c r="H232" s="336">
        <v>3569.75</v>
      </c>
      <c r="I232" s="336"/>
      <c r="J232" s="336"/>
      <c r="K232" s="336">
        <v>3569.75</v>
      </c>
      <c r="L232" s="336">
        <f t="shared" si="20"/>
        <v>49976.5</v>
      </c>
      <c r="M232" s="336">
        <f t="shared" si="21"/>
        <v>53546.25</v>
      </c>
      <c r="N232" s="390">
        <f t="shared" si="19"/>
        <v>3569.75</v>
      </c>
      <c r="O232" s="442"/>
      <c r="P232" s="231" t="s">
        <v>2398</v>
      </c>
      <c r="Q232" s="11" t="s">
        <v>243</v>
      </c>
      <c r="R232" s="474" t="s">
        <v>2399</v>
      </c>
      <c r="S232" s="339"/>
      <c r="T232" s="325" t="s">
        <v>2400</v>
      </c>
    </row>
    <row r="233" spans="1:22" s="325" customFormat="1" ht="33.75">
      <c r="A233" s="333" t="s">
        <v>2157</v>
      </c>
      <c r="B233" s="334" t="s">
        <v>672</v>
      </c>
      <c r="C233" s="335" t="s">
        <v>669</v>
      </c>
      <c r="D233" s="336">
        <v>1</v>
      </c>
      <c r="E233" s="336">
        <v>2</v>
      </c>
      <c r="F233" s="336">
        <f>估驗單!F229</f>
        <v>2</v>
      </c>
      <c r="G233" s="390">
        <f t="shared" si="18"/>
        <v>0</v>
      </c>
      <c r="H233" s="336">
        <v>4082.87</v>
      </c>
      <c r="I233" s="336"/>
      <c r="J233" s="336"/>
      <c r="K233" s="336">
        <v>4082.87</v>
      </c>
      <c r="L233" s="336">
        <f t="shared" si="20"/>
        <v>8165.74</v>
      </c>
      <c r="M233" s="336">
        <f t="shared" si="21"/>
        <v>8165.74</v>
      </c>
      <c r="N233" s="390">
        <f t="shared" si="19"/>
        <v>0</v>
      </c>
      <c r="O233" s="442"/>
      <c r="P233" s="231" t="s">
        <v>2401</v>
      </c>
      <c r="Q233" s="11" t="s">
        <v>243</v>
      </c>
      <c r="R233" s="474" t="s">
        <v>2399</v>
      </c>
      <c r="S233" s="339"/>
      <c r="T233" s="325" t="s">
        <v>2400</v>
      </c>
    </row>
    <row r="234" spans="1:22" s="325" customFormat="1" ht="33.75">
      <c r="A234" s="333" t="s">
        <v>2158</v>
      </c>
      <c r="B234" s="334" t="s">
        <v>675</v>
      </c>
      <c r="C234" s="335" t="s">
        <v>669</v>
      </c>
      <c r="D234" s="336">
        <v>1</v>
      </c>
      <c r="E234" s="336">
        <v>6</v>
      </c>
      <c r="F234" s="336">
        <f>估驗單!F230</f>
        <v>9</v>
      </c>
      <c r="G234" s="390">
        <f t="shared" si="18"/>
        <v>3</v>
      </c>
      <c r="H234" s="336">
        <v>7408.14</v>
      </c>
      <c r="I234" s="336"/>
      <c r="J234" s="336"/>
      <c r="K234" s="336">
        <v>7408.14</v>
      </c>
      <c r="L234" s="336">
        <f t="shared" si="20"/>
        <v>44448.84</v>
      </c>
      <c r="M234" s="336">
        <f t="shared" si="21"/>
        <v>66673.259999999995</v>
      </c>
      <c r="N234" s="390">
        <f t="shared" si="19"/>
        <v>22224.42</v>
      </c>
      <c r="O234" s="442"/>
      <c r="P234" s="231" t="s">
        <v>2401</v>
      </c>
      <c r="Q234" s="11" t="s">
        <v>243</v>
      </c>
      <c r="R234" s="474" t="s">
        <v>2399</v>
      </c>
      <c r="S234" s="339"/>
      <c r="T234" s="325" t="s">
        <v>2400</v>
      </c>
    </row>
    <row r="235" spans="1:22" s="325" customFormat="1" ht="33.75">
      <c r="A235" s="333" t="s">
        <v>2159</v>
      </c>
      <c r="B235" s="334" t="s">
        <v>678</v>
      </c>
      <c r="C235" s="335" t="s">
        <v>669</v>
      </c>
      <c r="D235" s="336">
        <v>1</v>
      </c>
      <c r="E235" s="336">
        <v>8</v>
      </c>
      <c r="F235" s="336">
        <f>估驗單!F231</f>
        <v>8</v>
      </c>
      <c r="G235" s="390">
        <f t="shared" si="18"/>
        <v>0</v>
      </c>
      <c r="H235" s="336">
        <v>10318.74</v>
      </c>
      <c r="I235" s="336"/>
      <c r="J235" s="336"/>
      <c r="K235" s="336">
        <v>10318.74</v>
      </c>
      <c r="L235" s="336">
        <f t="shared" si="20"/>
        <v>82549.919999999998</v>
      </c>
      <c r="M235" s="336">
        <f t="shared" si="21"/>
        <v>82549.919999999998</v>
      </c>
      <c r="N235" s="390">
        <f t="shared" si="19"/>
        <v>0</v>
      </c>
      <c r="O235" s="442"/>
      <c r="P235" s="231" t="s">
        <v>2401</v>
      </c>
      <c r="Q235" s="11" t="s">
        <v>243</v>
      </c>
      <c r="R235" s="474" t="s">
        <v>2399</v>
      </c>
      <c r="S235" s="339"/>
      <c r="T235" s="325" t="s">
        <v>2400</v>
      </c>
    </row>
    <row r="236" spans="1:22" s="325" customFormat="1" ht="33.75">
      <c r="A236" s="333" t="s">
        <v>2160</v>
      </c>
      <c r="B236" s="334" t="s">
        <v>681</v>
      </c>
      <c r="C236" s="335" t="s">
        <v>669</v>
      </c>
      <c r="D236" s="336">
        <v>1</v>
      </c>
      <c r="E236" s="336">
        <v>5</v>
      </c>
      <c r="F236" s="336">
        <f>估驗單!F232</f>
        <v>5</v>
      </c>
      <c r="G236" s="390">
        <f t="shared" si="18"/>
        <v>0</v>
      </c>
      <c r="H236" s="336">
        <v>15163.34</v>
      </c>
      <c r="I236" s="336"/>
      <c r="J236" s="336"/>
      <c r="K236" s="336">
        <v>15163.34</v>
      </c>
      <c r="L236" s="336">
        <f t="shared" si="20"/>
        <v>75816.7</v>
      </c>
      <c r="M236" s="336">
        <f t="shared" si="21"/>
        <v>75816.7</v>
      </c>
      <c r="N236" s="390">
        <f t="shared" si="19"/>
        <v>0</v>
      </c>
      <c r="O236" s="442"/>
      <c r="P236" s="231" t="s">
        <v>2398</v>
      </c>
      <c r="Q236" s="11" t="s">
        <v>243</v>
      </c>
      <c r="R236" s="474" t="s">
        <v>2399</v>
      </c>
      <c r="S236" s="339"/>
      <c r="T236" s="325" t="s">
        <v>2400</v>
      </c>
    </row>
    <row r="237" spans="1:22" s="325" customFormat="1" ht="33.75">
      <c r="A237" s="333" t="s">
        <v>2161</v>
      </c>
      <c r="B237" s="334" t="s">
        <v>684</v>
      </c>
      <c r="C237" s="335" t="s">
        <v>669</v>
      </c>
      <c r="D237" s="336">
        <v>1</v>
      </c>
      <c r="E237" s="336">
        <v>3</v>
      </c>
      <c r="F237" s="336">
        <f>估驗單!F233</f>
        <v>3</v>
      </c>
      <c r="G237" s="390">
        <f t="shared" si="18"/>
        <v>0</v>
      </c>
      <c r="H237" s="336">
        <v>21801.91</v>
      </c>
      <c r="I237" s="336"/>
      <c r="J237" s="336"/>
      <c r="K237" s="336">
        <v>21801.91</v>
      </c>
      <c r="L237" s="336">
        <f t="shared" si="20"/>
        <v>65405.73</v>
      </c>
      <c r="M237" s="336">
        <f t="shared" si="21"/>
        <v>65405.73</v>
      </c>
      <c r="N237" s="390">
        <f t="shared" si="19"/>
        <v>0</v>
      </c>
      <c r="O237" s="442"/>
      <c r="P237" s="231" t="s">
        <v>2401</v>
      </c>
      <c r="Q237" s="11" t="s">
        <v>243</v>
      </c>
      <c r="R237" s="474" t="s">
        <v>2399</v>
      </c>
      <c r="S237" s="339"/>
      <c r="T237" s="325" t="s">
        <v>2400</v>
      </c>
    </row>
    <row r="238" spans="1:22" s="325" customFormat="1" ht="33.75">
      <c r="A238" s="333" t="s">
        <v>2162</v>
      </c>
      <c r="B238" s="334" t="s">
        <v>687</v>
      </c>
      <c r="C238" s="335" t="s">
        <v>669</v>
      </c>
      <c r="D238" s="336">
        <v>1</v>
      </c>
      <c r="E238" s="336">
        <v>2</v>
      </c>
      <c r="F238" s="336">
        <f>估驗單!F234</f>
        <v>2</v>
      </c>
      <c r="G238" s="390">
        <f t="shared" si="18"/>
        <v>0</v>
      </c>
      <c r="H238" s="336">
        <v>29983.23</v>
      </c>
      <c r="I238" s="336"/>
      <c r="J238" s="336"/>
      <c r="K238" s="336">
        <v>29983.23</v>
      </c>
      <c r="L238" s="336">
        <f t="shared" si="20"/>
        <v>59966.46</v>
      </c>
      <c r="M238" s="336">
        <f t="shared" si="21"/>
        <v>59966.46</v>
      </c>
      <c r="N238" s="390">
        <f t="shared" si="19"/>
        <v>0</v>
      </c>
      <c r="O238" s="442"/>
      <c r="P238" s="231" t="s">
        <v>242</v>
      </c>
      <c r="Q238" s="11" t="s">
        <v>243</v>
      </c>
      <c r="R238" s="474" t="s">
        <v>2399</v>
      </c>
      <c r="S238" s="339"/>
      <c r="T238" s="325" t="s">
        <v>2400</v>
      </c>
    </row>
    <row r="239" spans="1:22" s="325" customFormat="1" ht="33">
      <c r="A239" s="333" t="s">
        <v>2163</v>
      </c>
      <c r="B239" s="334" t="s">
        <v>690</v>
      </c>
      <c r="C239" s="335" t="s">
        <v>669</v>
      </c>
      <c r="D239" s="336">
        <v>1</v>
      </c>
      <c r="E239" s="336">
        <v>1</v>
      </c>
      <c r="F239" s="336">
        <f>估驗單!F235</f>
        <v>1</v>
      </c>
      <c r="G239" s="390">
        <f t="shared" si="18"/>
        <v>0</v>
      </c>
      <c r="H239" s="336">
        <v>28372.400000000001</v>
      </c>
      <c r="I239" s="336"/>
      <c r="J239" s="336"/>
      <c r="K239" s="336">
        <v>28372.400000000001</v>
      </c>
      <c r="L239" s="336">
        <f t="shared" si="20"/>
        <v>28372.400000000001</v>
      </c>
      <c r="M239" s="336">
        <f t="shared" si="21"/>
        <v>28372.400000000001</v>
      </c>
      <c r="N239" s="390">
        <f t="shared" si="19"/>
        <v>0</v>
      </c>
      <c r="O239" s="442"/>
      <c r="P239" s="231" t="s">
        <v>242</v>
      </c>
      <c r="Q239" s="11" t="s">
        <v>243</v>
      </c>
      <c r="R239" s="474"/>
      <c r="S239" s="339"/>
    </row>
    <row r="240" spans="1:22" s="325" customFormat="1" ht="33">
      <c r="A240" s="333" t="s">
        <v>2164</v>
      </c>
      <c r="B240" s="334" t="s">
        <v>693</v>
      </c>
      <c r="C240" s="335" t="s">
        <v>669</v>
      </c>
      <c r="D240" s="336">
        <v>1</v>
      </c>
      <c r="E240" s="336">
        <v>1</v>
      </c>
      <c r="F240" s="336">
        <f>估驗單!F236</f>
        <v>1</v>
      </c>
      <c r="G240" s="390">
        <f t="shared" si="18"/>
        <v>0</v>
      </c>
      <c r="H240" s="336">
        <v>73084.87</v>
      </c>
      <c r="I240" s="336"/>
      <c r="J240" s="336"/>
      <c r="K240" s="336">
        <v>73084.87</v>
      </c>
      <c r="L240" s="336">
        <f t="shared" si="20"/>
        <v>73084.87</v>
      </c>
      <c r="M240" s="336">
        <f t="shared" si="21"/>
        <v>73084.87</v>
      </c>
      <c r="N240" s="390">
        <f t="shared" si="19"/>
        <v>0</v>
      </c>
      <c r="O240" s="442"/>
      <c r="P240" s="231" t="s">
        <v>242</v>
      </c>
      <c r="Q240" s="11" t="s">
        <v>243</v>
      </c>
      <c r="R240" s="474"/>
      <c r="S240" s="339"/>
    </row>
    <row r="241" spans="1:19" s="325" customFormat="1" ht="57">
      <c r="A241" s="333" t="s">
        <v>2165</v>
      </c>
      <c r="B241" s="334" t="s">
        <v>696</v>
      </c>
      <c r="C241" s="335" t="s">
        <v>669</v>
      </c>
      <c r="D241" s="336">
        <v>4</v>
      </c>
      <c r="E241" s="336">
        <v>4</v>
      </c>
      <c r="F241" s="336">
        <f>估驗單!F237</f>
        <v>4</v>
      </c>
      <c r="G241" s="390">
        <f t="shared" si="18"/>
        <v>0</v>
      </c>
      <c r="H241" s="336">
        <v>22813.26</v>
      </c>
      <c r="I241" s="336"/>
      <c r="J241" s="336"/>
      <c r="K241" s="336">
        <v>91253.04</v>
      </c>
      <c r="L241" s="336">
        <f t="shared" si="20"/>
        <v>91253.04</v>
      </c>
      <c r="M241" s="336">
        <f t="shared" si="21"/>
        <v>91253.04</v>
      </c>
      <c r="N241" s="390">
        <f t="shared" si="19"/>
        <v>0</v>
      </c>
      <c r="O241" s="442"/>
      <c r="P241" s="231" t="s">
        <v>2402</v>
      </c>
      <c r="Q241" s="11" t="s">
        <v>243</v>
      </c>
      <c r="R241" s="474"/>
      <c r="S241" s="339"/>
    </row>
    <row r="242" spans="1:19" s="325" customFormat="1" ht="33">
      <c r="A242" s="333" t="s">
        <v>2166</v>
      </c>
      <c r="B242" s="334" t="s">
        <v>699</v>
      </c>
      <c r="C242" s="335" t="s">
        <v>669</v>
      </c>
      <c r="D242" s="336">
        <v>1</v>
      </c>
      <c r="E242" s="336">
        <v>1</v>
      </c>
      <c r="F242" s="336">
        <f>估驗單!F238</f>
        <v>2</v>
      </c>
      <c r="G242" s="390">
        <f t="shared" si="18"/>
        <v>1</v>
      </c>
      <c r="H242" s="336">
        <v>1079.8499999999999</v>
      </c>
      <c r="I242" s="336"/>
      <c r="J242" s="336"/>
      <c r="K242" s="336">
        <v>1079.8499999999999</v>
      </c>
      <c r="L242" s="336">
        <f t="shared" si="20"/>
        <v>1079.8499999999999</v>
      </c>
      <c r="M242" s="336">
        <f t="shared" si="21"/>
        <v>2159.6999999999998</v>
      </c>
      <c r="N242" s="390">
        <f t="shared" si="19"/>
        <v>1079.8499999999999</v>
      </c>
      <c r="O242" s="442"/>
      <c r="P242" s="231" t="s">
        <v>2403</v>
      </c>
      <c r="Q242" s="11" t="s">
        <v>243</v>
      </c>
      <c r="R242" s="474"/>
      <c r="S242" s="339"/>
    </row>
    <row r="243" spans="1:19" s="325" customFormat="1" ht="33">
      <c r="A243" s="333" t="s">
        <v>2167</v>
      </c>
      <c r="B243" s="334" t="s">
        <v>702</v>
      </c>
      <c r="C243" s="335" t="s">
        <v>669</v>
      </c>
      <c r="D243" s="336">
        <v>1</v>
      </c>
      <c r="E243" s="336">
        <v>1</v>
      </c>
      <c r="F243" s="336">
        <f>估驗單!F239</f>
        <v>7</v>
      </c>
      <c r="G243" s="390">
        <f t="shared" si="18"/>
        <v>6</v>
      </c>
      <c r="H243" s="336">
        <v>1963.19</v>
      </c>
      <c r="I243" s="336"/>
      <c r="J243" s="336"/>
      <c r="K243" s="336">
        <v>1963.19</v>
      </c>
      <c r="L243" s="336">
        <f t="shared" si="20"/>
        <v>1963.19</v>
      </c>
      <c r="M243" s="336">
        <f t="shared" si="21"/>
        <v>13742.33</v>
      </c>
      <c r="N243" s="390">
        <f t="shared" si="19"/>
        <v>11779.14</v>
      </c>
      <c r="O243" s="442"/>
      <c r="P243" s="231"/>
      <c r="Q243" s="11" t="s">
        <v>243</v>
      </c>
      <c r="R243" s="474"/>
      <c r="S243" s="339"/>
    </row>
    <row r="244" spans="1:19" s="325" customFormat="1" ht="33">
      <c r="A244" s="333" t="s">
        <v>2168</v>
      </c>
      <c r="B244" s="334" t="s">
        <v>705</v>
      </c>
      <c r="C244" s="335" t="s">
        <v>669</v>
      </c>
      <c r="D244" s="336">
        <v>1</v>
      </c>
      <c r="E244" s="336">
        <v>1</v>
      </c>
      <c r="F244" s="336">
        <f>估驗單!F240</f>
        <v>3</v>
      </c>
      <c r="G244" s="390">
        <f t="shared" si="18"/>
        <v>2</v>
      </c>
      <c r="H244" s="336">
        <v>2216.48</v>
      </c>
      <c r="I244" s="336"/>
      <c r="J244" s="336"/>
      <c r="K244" s="336">
        <v>2216.48</v>
      </c>
      <c r="L244" s="336">
        <f t="shared" si="20"/>
        <v>2216.48</v>
      </c>
      <c r="M244" s="336">
        <f t="shared" si="21"/>
        <v>6649.44</v>
      </c>
      <c r="N244" s="390">
        <f t="shared" si="19"/>
        <v>4432.9599999999991</v>
      </c>
      <c r="O244" s="442"/>
      <c r="P244" s="231" t="s">
        <v>242</v>
      </c>
      <c r="Q244" s="11" t="s">
        <v>243</v>
      </c>
      <c r="R244" s="474"/>
      <c r="S244" s="339"/>
    </row>
    <row r="245" spans="1:19" s="325" customFormat="1" ht="33">
      <c r="A245" s="333" t="s">
        <v>2169</v>
      </c>
      <c r="B245" s="334" t="s">
        <v>708</v>
      </c>
      <c r="C245" s="335" t="s">
        <v>669</v>
      </c>
      <c r="D245" s="336">
        <v>1</v>
      </c>
      <c r="E245" s="336">
        <v>1</v>
      </c>
      <c r="F245" s="336">
        <f>估驗單!F241</f>
        <v>6</v>
      </c>
      <c r="G245" s="390">
        <f t="shared" si="18"/>
        <v>5</v>
      </c>
      <c r="H245" s="336">
        <v>4720.3100000000004</v>
      </c>
      <c r="I245" s="336"/>
      <c r="J245" s="336"/>
      <c r="K245" s="336">
        <v>4720.3100000000004</v>
      </c>
      <c r="L245" s="336">
        <f t="shared" si="20"/>
        <v>4720.3100000000004</v>
      </c>
      <c r="M245" s="336">
        <f t="shared" si="21"/>
        <v>28321.86</v>
      </c>
      <c r="N245" s="390">
        <f t="shared" si="19"/>
        <v>23601.55</v>
      </c>
      <c r="O245" s="442"/>
      <c r="P245" s="231" t="s">
        <v>242</v>
      </c>
      <c r="Q245" s="11" t="s">
        <v>243</v>
      </c>
      <c r="R245" s="474"/>
      <c r="S245" s="339"/>
    </row>
    <row r="246" spans="1:19" s="325" customFormat="1" ht="42.75">
      <c r="A246" s="333" t="s">
        <v>2170</v>
      </c>
      <c r="B246" s="334" t="s">
        <v>147</v>
      </c>
      <c r="C246" s="335" t="s">
        <v>8</v>
      </c>
      <c r="D246" s="336">
        <v>162</v>
      </c>
      <c r="E246" s="336">
        <v>162</v>
      </c>
      <c r="F246" s="336">
        <f>估驗單!F242</f>
        <v>162</v>
      </c>
      <c r="G246" s="390">
        <f t="shared" si="18"/>
        <v>0</v>
      </c>
      <c r="H246" s="336">
        <v>1859.79</v>
      </c>
      <c r="I246" s="336"/>
      <c r="J246" s="336"/>
      <c r="K246" s="336">
        <v>301285.98</v>
      </c>
      <c r="L246" s="336">
        <f t="shared" si="20"/>
        <v>301285.98</v>
      </c>
      <c r="M246" s="336">
        <f t="shared" si="21"/>
        <v>301285.98</v>
      </c>
      <c r="N246" s="390">
        <f t="shared" si="19"/>
        <v>0</v>
      </c>
      <c r="O246" s="442"/>
      <c r="P246" s="231" t="s">
        <v>2404</v>
      </c>
      <c r="Q246" s="11" t="s">
        <v>243</v>
      </c>
      <c r="R246" s="474"/>
      <c r="S246" s="339"/>
    </row>
    <row r="247" spans="1:19" s="325" customFormat="1" ht="33">
      <c r="A247" s="333" t="s">
        <v>2171</v>
      </c>
      <c r="B247" s="334" t="s">
        <v>713</v>
      </c>
      <c r="C247" s="335" t="s">
        <v>15</v>
      </c>
      <c r="D247" s="336">
        <v>1</v>
      </c>
      <c r="E247" s="336">
        <v>1</v>
      </c>
      <c r="F247" s="336">
        <f>估驗單!F243</f>
        <v>1</v>
      </c>
      <c r="G247" s="390">
        <f t="shared" si="18"/>
        <v>0</v>
      </c>
      <c r="H247" s="336">
        <v>10254.44</v>
      </c>
      <c r="I247" s="336"/>
      <c r="J247" s="336"/>
      <c r="K247" s="336">
        <v>10254.44</v>
      </c>
      <c r="L247" s="336">
        <f t="shared" si="20"/>
        <v>10254.44</v>
      </c>
      <c r="M247" s="336">
        <f t="shared" si="21"/>
        <v>10254.44</v>
      </c>
      <c r="N247" s="390">
        <f t="shared" si="19"/>
        <v>0</v>
      </c>
      <c r="O247" s="442"/>
      <c r="P247" s="231" t="s">
        <v>2405</v>
      </c>
      <c r="Q247" s="11" t="s">
        <v>243</v>
      </c>
      <c r="R247" s="474"/>
      <c r="S247" s="339"/>
    </row>
    <row r="248" spans="1:19" s="325" customFormat="1" ht="33">
      <c r="A248" s="333" t="s">
        <v>2172</v>
      </c>
      <c r="B248" s="334" t="s">
        <v>716</v>
      </c>
      <c r="C248" s="335" t="s">
        <v>15</v>
      </c>
      <c r="D248" s="336">
        <v>268</v>
      </c>
      <c r="E248" s="336">
        <v>268</v>
      </c>
      <c r="F248" s="336">
        <f>估驗單!F244</f>
        <v>268</v>
      </c>
      <c r="G248" s="390">
        <f t="shared" si="18"/>
        <v>0</v>
      </c>
      <c r="H248" s="336">
        <v>40</v>
      </c>
      <c r="I248" s="336"/>
      <c r="J248" s="336"/>
      <c r="K248" s="336">
        <v>10720</v>
      </c>
      <c r="L248" s="336">
        <f t="shared" si="20"/>
        <v>10720</v>
      </c>
      <c r="M248" s="336">
        <f t="shared" si="21"/>
        <v>10720</v>
      </c>
      <c r="N248" s="390">
        <f t="shared" si="19"/>
        <v>0</v>
      </c>
      <c r="O248" s="442"/>
      <c r="P248" s="231" t="s">
        <v>2406</v>
      </c>
      <c r="Q248" s="11" t="s">
        <v>243</v>
      </c>
      <c r="R248" s="474"/>
      <c r="S248" s="339"/>
    </row>
    <row r="249" spans="1:19" s="325" customFormat="1" ht="42.75">
      <c r="A249" s="333" t="s">
        <v>2173</v>
      </c>
      <c r="B249" s="334" t="s">
        <v>719</v>
      </c>
      <c r="C249" s="335" t="s">
        <v>7</v>
      </c>
      <c r="D249" s="336">
        <v>1340</v>
      </c>
      <c r="E249" s="336">
        <v>1340</v>
      </c>
      <c r="F249" s="336">
        <f>估驗單!F245</f>
        <v>1340</v>
      </c>
      <c r="G249" s="390">
        <f t="shared" si="18"/>
        <v>0</v>
      </c>
      <c r="H249" s="336">
        <v>35</v>
      </c>
      <c r="I249" s="336"/>
      <c r="J249" s="336"/>
      <c r="K249" s="336">
        <v>46900</v>
      </c>
      <c r="L249" s="336">
        <f t="shared" si="20"/>
        <v>46900</v>
      </c>
      <c r="M249" s="336">
        <f t="shared" si="21"/>
        <v>46900</v>
      </c>
      <c r="N249" s="390">
        <f t="shared" si="19"/>
        <v>0</v>
      </c>
      <c r="O249" s="442"/>
      <c r="P249" s="231" t="s">
        <v>2407</v>
      </c>
      <c r="Q249" s="11" t="s">
        <v>243</v>
      </c>
      <c r="R249" s="474"/>
      <c r="S249" s="339"/>
    </row>
    <row r="250" spans="1:19" s="325" customFormat="1" ht="33">
      <c r="A250" s="333" t="s">
        <v>2174</v>
      </c>
      <c r="B250" s="334" t="s">
        <v>722</v>
      </c>
      <c r="C250" s="335" t="s">
        <v>8</v>
      </c>
      <c r="D250" s="336">
        <v>1</v>
      </c>
      <c r="E250" s="336">
        <v>1</v>
      </c>
      <c r="F250" s="336">
        <f>估驗單!F246</f>
        <v>1</v>
      </c>
      <c r="G250" s="390">
        <f t="shared" si="18"/>
        <v>0</v>
      </c>
      <c r="H250" s="336">
        <v>10</v>
      </c>
      <c r="I250" s="336"/>
      <c r="J250" s="336"/>
      <c r="K250" s="336">
        <v>10</v>
      </c>
      <c r="L250" s="336">
        <f t="shared" si="20"/>
        <v>10</v>
      </c>
      <c r="M250" s="336">
        <f t="shared" si="21"/>
        <v>10</v>
      </c>
      <c r="N250" s="390">
        <f t="shared" si="19"/>
        <v>0</v>
      </c>
      <c r="O250" s="442"/>
      <c r="P250" s="231" t="s">
        <v>242</v>
      </c>
      <c r="Q250" s="11" t="s">
        <v>243</v>
      </c>
      <c r="R250" s="474"/>
      <c r="S250" s="339"/>
    </row>
    <row r="251" spans="1:19" s="325" customFormat="1" ht="33">
      <c r="A251" s="333" t="s">
        <v>2175</v>
      </c>
      <c r="B251" s="334" t="s">
        <v>725</v>
      </c>
      <c r="C251" s="335" t="s">
        <v>13</v>
      </c>
      <c r="D251" s="336">
        <v>1</v>
      </c>
      <c r="E251" s="336">
        <v>1</v>
      </c>
      <c r="F251" s="336">
        <f>估驗單!F247</f>
        <v>1</v>
      </c>
      <c r="G251" s="390">
        <f t="shared" si="18"/>
        <v>0</v>
      </c>
      <c r="H251" s="336">
        <v>530.97</v>
      </c>
      <c r="I251" s="336"/>
      <c r="J251" s="336"/>
      <c r="K251" s="336">
        <v>530.97</v>
      </c>
      <c r="L251" s="336">
        <f t="shared" si="20"/>
        <v>530.97</v>
      </c>
      <c r="M251" s="336">
        <f t="shared" si="21"/>
        <v>530.97</v>
      </c>
      <c r="N251" s="390">
        <f t="shared" si="19"/>
        <v>0</v>
      </c>
      <c r="O251" s="442"/>
      <c r="P251" s="231" t="s">
        <v>2408</v>
      </c>
      <c r="Q251" s="11" t="s">
        <v>243</v>
      </c>
      <c r="R251" s="474"/>
      <c r="S251" s="339"/>
    </row>
    <row r="252" spans="1:19" s="325" customFormat="1" ht="33">
      <c r="A252" s="333" t="s">
        <v>2177</v>
      </c>
      <c r="B252" s="334" t="s">
        <v>728</v>
      </c>
      <c r="C252" s="335" t="s">
        <v>6</v>
      </c>
      <c r="D252" s="336">
        <v>11.31</v>
      </c>
      <c r="E252" s="336">
        <v>11.31</v>
      </c>
      <c r="F252" s="336">
        <f>估驗單!F248</f>
        <v>11.31</v>
      </c>
      <c r="G252" s="390">
        <f t="shared" si="18"/>
        <v>0</v>
      </c>
      <c r="H252" s="336">
        <v>3386.34</v>
      </c>
      <c r="I252" s="336"/>
      <c r="J252" s="336"/>
      <c r="K252" s="336">
        <v>38299.51</v>
      </c>
      <c r="L252" s="336">
        <f t="shared" si="20"/>
        <v>38299.51</v>
      </c>
      <c r="M252" s="336">
        <f t="shared" si="21"/>
        <v>38299.51</v>
      </c>
      <c r="N252" s="390">
        <f t="shared" si="19"/>
        <v>0</v>
      </c>
      <c r="O252" s="442"/>
      <c r="P252" s="231" t="s">
        <v>242</v>
      </c>
      <c r="Q252" s="11" t="s">
        <v>243</v>
      </c>
      <c r="R252" s="474"/>
      <c r="S252" s="339"/>
    </row>
    <row r="253" spans="1:19" s="325" customFormat="1" ht="33">
      <c r="A253" s="333" t="s">
        <v>2178</v>
      </c>
      <c r="B253" s="334" t="s">
        <v>731</v>
      </c>
      <c r="C253" s="335" t="s">
        <v>4</v>
      </c>
      <c r="D253" s="336">
        <v>1</v>
      </c>
      <c r="E253" s="336">
        <v>1</v>
      </c>
      <c r="F253" s="336">
        <f>估驗單!F249</f>
        <v>1</v>
      </c>
      <c r="G253" s="390">
        <f t="shared" si="18"/>
        <v>0</v>
      </c>
      <c r="H253" s="336">
        <v>107994.11</v>
      </c>
      <c r="I253" s="336"/>
      <c r="J253" s="336"/>
      <c r="K253" s="336">
        <v>107994.11</v>
      </c>
      <c r="L253" s="336">
        <f t="shared" si="20"/>
        <v>107994.11</v>
      </c>
      <c r="M253" s="336">
        <f t="shared" si="21"/>
        <v>107994.11</v>
      </c>
      <c r="N253" s="390">
        <f t="shared" si="19"/>
        <v>0</v>
      </c>
      <c r="O253" s="442"/>
      <c r="P253" s="231" t="s">
        <v>2409</v>
      </c>
      <c r="Q253" s="11" t="s">
        <v>243</v>
      </c>
      <c r="R253" s="474"/>
      <c r="S253" s="339"/>
    </row>
    <row r="254" spans="1:19" s="325" customFormat="1" ht="33">
      <c r="A254" s="333" t="s">
        <v>2179</v>
      </c>
      <c r="B254" s="334" t="s">
        <v>734</v>
      </c>
      <c r="C254" s="335" t="s">
        <v>13</v>
      </c>
      <c r="D254" s="336">
        <v>1</v>
      </c>
      <c r="E254" s="336">
        <v>1</v>
      </c>
      <c r="F254" s="336">
        <f>估驗單!F250</f>
        <v>1</v>
      </c>
      <c r="G254" s="390">
        <f t="shared" si="18"/>
        <v>0</v>
      </c>
      <c r="H254" s="336">
        <v>499.97</v>
      </c>
      <c r="I254" s="336"/>
      <c r="J254" s="336"/>
      <c r="K254" s="336">
        <v>499.97</v>
      </c>
      <c r="L254" s="336">
        <f t="shared" si="20"/>
        <v>499.97</v>
      </c>
      <c r="M254" s="336">
        <f t="shared" si="21"/>
        <v>499.97</v>
      </c>
      <c r="N254" s="390">
        <f t="shared" si="19"/>
        <v>0</v>
      </c>
      <c r="O254" s="442"/>
      <c r="P254" s="231" t="s">
        <v>2321</v>
      </c>
      <c r="Q254" s="11" t="s">
        <v>243</v>
      </c>
      <c r="R254" s="474"/>
      <c r="S254" s="339"/>
    </row>
    <row r="255" spans="1:19" s="325" customFormat="1" ht="42.75">
      <c r="A255" s="333" t="s">
        <v>2181</v>
      </c>
      <c r="B255" s="334" t="s">
        <v>737</v>
      </c>
      <c r="C255" s="335" t="s">
        <v>669</v>
      </c>
      <c r="D255" s="336">
        <v>1</v>
      </c>
      <c r="E255" s="336">
        <v>1</v>
      </c>
      <c r="F255" s="336">
        <f>估驗單!F251</f>
        <v>1</v>
      </c>
      <c r="G255" s="390">
        <f t="shared" si="18"/>
        <v>0</v>
      </c>
      <c r="H255" s="336">
        <v>10067.84</v>
      </c>
      <c r="I255" s="336"/>
      <c r="J255" s="336"/>
      <c r="K255" s="336">
        <v>10067.84</v>
      </c>
      <c r="L255" s="336">
        <f t="shared" si="20"/>
        <v>10067.84</v>
      </c>
      <c r="M255" s="336">
        <f t="shared" si="21"/>
        <v>10067.84</v>
      </c>
      <c r="N255" s="390">
        <f t="shared" si="19"/>
        <v>0</v>
      </c>
      <c r="O255" s="442"/>
      <c r="P255" s="231" t="s">
        <v>2321</v>
      </c>
      <c r="Q255" s="11" t="s">
        <v>243</v>
      </c>
      <c r="R255" s="474"/>
      <c r="S255" s="339"/>
    </row>
    <row r="256" spans="1:19" s="325" customFormat="1" ht="33">
      <c r="A256" s="333" t="s">
        <v>2182</v>
      </c>
      <c r="B256" s="334" t="s">
        <v>740</v>
      </c>
      <c r="C256" s="335" t="s">
        <v>669</v>
      </c>
      <c r="D256" s="336">
        <v>1</v>
      </c>
      <c r="E256" s="336">
        <v>1</v>
      </c>
      <c r="F256" s="336">
        <f>估驗單!F252</f>
        <v>1</v>
      </c>
      <c r="G256" s="390">
        <f t="shared" si="18"/>
        <v>0</v>
      </c>
      <c r="H256" s="336">
        <v>6487.57</v>
      </c>
      <c r="I256" s="336"/>
      <c r="J256" s="336"/>
      <c r="K256" s="336">
        <v>6487.57</v>
      </c>
      <c r="L256" s="336">
        <f t="shared" si="20"/>
        <v>6487.57</v>
      </c>
      <c r="M256" s="336">
        <f t="shared" si="21"/>
        <v>6487.57</v>
      </c>
      <c r="N256" s="390">
        <f t="shared" si="19"/>
        <v>0</v>
      </c>
      <c r="O256" s="442"/>
      <c r="P256" s="231" t="s">
        <v>2321</v>
      </c>
      <c r="Q256" s="11" t="s">
        <v>243</v>
      </c>
      <c r="R256" s="474"/>
      <c r="S256" s="339"/>
    </row>
    <row r="257" spans="1:19" s="325" customFormat="1" ht="42.75">
      <c r="A257" s="333" t="s">
        <v>2183</v>
      </c>
      <c r="B257" s="334" t="s">
        <v>743</v>
      </c>
      <c r="C257" s="335" t="s">
        <v>669</v>
      </c>
      <c r="D257" s="336">
        <v>1</v>
      </c>
      <c r="E257" s="336">
        <v>1</v>
      </c>
      <c r="F257" s="336">
        <f>估驗單!F253</f>
        <v>1</v>
      </c>
      <c r="G257" s="390">
        <f t="shared" si="18"/>
        <v>0</v>
      </c>
      <c r="H257" s="336">
        <v>8473.2999999999993</v>
      </c>
      <c r="I257" s="336"/>
      <c r="J257" s="336"/>
      <c r="K257" s="336">
        <v>8473.2999999999993</v>
      </c>
      <c r="L257" s="336">
        <f t="shared" si="20"/>
        <v>8473.2999999999993</v>
      </c>
      <c r="M257" s="336">
        <f t="shared" si="21"/>
        <v>8473.2999999999993</v>
      </c>
      <c r="N257" s="390">
        <f t="shared" si="19"/>
        <v>0</v>
      </c>
      <c r="O257" s="442"/>
      <c r="P257" s="231" t="s">
        <v>2321</v>
      </c>
      <c r="Q257" s="11" t="s">
        <v>243</v>
      </c>
      <c r="R257" s="474"/>
      <c r="S257" s="339"/>
    </row>
    <row r="258" spans="1:19" s="325" customFormat="1" ht="42.75">
      <c r="A258" s="333" t="s">
        <v>2184</v>
      </c>
      <c r="B258" s="334" t="s">
        <v>746</v>
      </c>
      <c r="C258" s="335" t="s">
        <v>669</v>
      </c>
      <c r="D258" s="336">
        <v>1</v>
      </c>
      <c r="E258" s="336">
        <v>1</v>
      </c>
      <c r="F258" s="336">
        <f>估驗單!F254</f>
        <v>1</v>
      </c>
      <c r="G258" s="390">
        <f t="shared" si="18"/>
        <v>0</v>
      </c>
      <c r="H258" s="336">
        <v>17742.79</v>
      </c>
      <c r="I258" s="336"/>
      <c r="J258" s="336"/>
      <c r="K258" s="336">
        <v>17742.79</v>
      </c>
      <c r="L258" s="336">
        <f t="shared" si="20"/>
        <v>17742.79</v>
      </c>
      <c r="M258" s="336">
        <f t="shared" si="21"/>
        <v>17742.79</v>
      </c>
      <c r="N258" s="390">
        <f t="shared" si="19"/>
        <v>0</v>
      </c>
      <c r="O258" s="442"/>
      <c r="P258" s="231" t="s">
        <v>2321</v>
      </c>
      <c r="Q258" s="11" t="s">
        <v>243</v>
      </c>
      <c r="R258" s="474"/>
      <c r="S258" s="339"/>
    </row>
    <row r="259" spans="1:19" s="325" customFormat="1" ht="42.75">
      <c r="A259" s="333" t="s">
        <v>2185</v>
      </c>
      <c r="B259" s="334" t="s">
        <v>749</v>
      </c>
      <c r="C259" s="335" t="s">
        <v>669</v>
      </c>
      <c r="D259" s="336">
        <v>1</v>
      </c>
      <c r="E259" s="336">
        <v>1</v>
      </c>
      <c r="F259" s="336">
        <f>估驗單!F255</f>
        <v>1</v>
      </c>
      <c r="G259" s="390">
        <f t="shared" si="18"/>
        <v>0</v>
      </c>
      <c r="H259" s="336">
        <v>5164.09</v>
      </c>
      <c r="I259" s="336"/>
      <c r="J259" s="336"/>
      <c r="K259" s="336">
        <v>5164.09</v>
      </c>
      <c r="L259" s="336">
        <f t="shared" si="20"/>
        <v>5164.09</v>
      </c>
      <c r="M259" s="336">
        <f t="shared" si="21"/>
        <v>5164.09</v>
      </c>
      <c r="N259" s="390">
        <f t="shared" si="19"/>
        <v>0</v>
      </c>
      <c r="O259" s="442"/>
      <c r="P259" s="231" t="s">
        <v>2321</v>
      </c>
      <c r="Q259" s="11" t="s">
        <v>243</v>
      </c>
      <c r="R259" s="474"/>
      <c r="S259" s="339"/>
    </row>
    <row r="260" spans="1:19" s="325" customFormat="1" ht="42.75">
      <c r="A260" s="333" t="s">
        <v>2186</v>
      </c>
      <c r="B260" s="334" t="s">
        <v>752</v>
      </c>
      <c r="C260" s="335" t="s">
        <v>669</v>
      </c>
      <c r="D260" s="336">
        <v>1</v>
      </c>
      <c r="E260" s="336">
        <v>1</v>
      </c>
      <c r="F260" s="336">
        <f>估驗單!F256</f>
        <v>1</v>
      </c>
      <c r="G260" s="390">
        <f t="shared" si="18"/>
        <v>0</v>
      </c>
      <c r="H260" s="336">
        <v>5164.09</v>
      </c>
      <c r="I260" s="336"/>
      <c r="J260" s="336"/>
      <c r="K260" s="336">
        <v>5164.09</v>
      </c>
      <c r="L260" s="336">
        <f t="shared" si="20"/>
        <v>5164.09</v>
      </c>
      <c r="M260" s="336">
        <f t="shared" si="21"/>
        <v>5164.09</v>
      </c>
      <c r="N260" s="390">
        <f t="shared" si="19"/>
        <v>0</v>
      </c>
      <c r="O260" s="442"/>
      <c r="P260" s="231" t="s">
        <v>2321</v>
      </c>
      <c r="Q260" s="11" t="s">
        <v>243</v>
      </c>
      <c r="R260" s="474"/>
      <c r="S260" s="339"/>
    </row>
    <row r="261" spans="1:19" s="325" customFormat="1" ht="42.75">
      <c r="A261" s="333" t="s">
        <v>2187</v>
      </c>
      <c r="B261" s="334" t="s">
        <v>755</v>
      </c>
      <c r="C261" s="335" t="s">
        <v>669</v>
      </c>
      <c r="D261" s="336">
        <v>1</v>
      </c>
      <c r="E261" s="336">
        <v>1</v>
      </c>
      <c r="F261" s="336">
        <f>估驗單!F257</f>
        <v>1</v>
      </c>
      <c r="G261" s="390">
        <f t="shared" si="18"/>
        <v>0</v>
      </c>
      <c r="H261" s="336">
        <v>5730.56</v>
      </c>
      <c r="I261" s="336"/>
      <c r="J261" s="336"/>
      <c r="K261" s="336">
        <v>5730.56</v>
      </c>
      <c r="L261" s="336">
        <f t="shared" si="20"/>
        <v>5730.56</v>
      </c>
      <c r="M261" s="336">
        <f t="shared" si="21"/>
        <v>5730.56</v>
      </c>
      <c r="N261" s="390">
        <f t="shared" si="19"/>
        <v>0</v>
      </c>
      <c r="O261" s="442"/>
      <c r="P261" s="231" t="s">
        <v>2321</v>
      </c>
      <c r="Q261" s="11" t="s">
        <v>243</v>
      </c>
      <c r="R261" s="474"/>
      <c r="S261" s="339"/>
    </row>
    <row r="262" spans="1:19" s="325" customFormat="1" ht="42.75">
      <c r="A262" s="333" t="s">
        <v>2188</v>
      </c>
      <c r="B262" s="334" t="s">
        <v>758</v>
      </c>
      <c r="C262" s="335" t="s">
        <v>669</v>
      </c>
      <c r="D262" s="336">
        <v>1</v>
      </c>
      <c r="E262" s="336">
        <v>1</v>
      </c>
      <c r="F262" s="336">
        <f>估驗單!F258</f>
        <v>1</v>
      </c>
      <c r="G262" s="390">
        <f t="shared" si="18"/>
        <v>0</v>
      </c>
      <c r="H262" s="336">
        <v>7081</v>
      </c>
      <c r="I262" s="336"/>
      <c r="J262" s="336"/>
      <c r="K262" s="336">
        <v>7081</v>
      </c>
      <c r="L262" s="336">
        <f t="shared" si="20"/>
        <v>7081</v>
      </c>
      <c r="M262" s="336">
        <f t="shared" si="21"/>
        <v>7081</v>
      </c>
      <c r="N262" s="390">
        <f t="shared" si="19"/>
        <v>0</v>
      </c>
      <c r="O262" s="442"/>
      <c r="P262" s="231" t="s">
        <v>2321</v>
      </c>
      <c r="Q262" s="11" t="s">
        <v>243</v>
      </c>
      <c r="R262" s="474"/>
      <c r="S262" s="339"/>
    </row>
    <row r="263" spans="1:19" s="325" customFormat="1" ht="42.75">
      <c r="A263" s="333" t="s">
        <v>2189</v>
      </c>
      <c r="B263" s="334" t="s">
        <v>761</v>
      </c>
      <c r="C263" s="335" t="s">
        <v>669</v>
      </c>
      <c r="D263" s="336">
        <v>1</v>
      </c>
      <c r="E263" s="336">
        <v>1</v>
      </c>
      <c r="F263" s="336">
        <f>估驗單!F259</f>
        <v>1</v>
      </c>
      <c r="G263" s="390">
        <f t="shared" si="18"/>
        <v>0</v>
      </c>
      <c r="H263" s="336">
        <v>4752.1099999999997</v>
      </c>
      <c r="I263" s="336"/>
      <c r="J263" s="336"/>
      <c r="K263" s="336">
        <v>4752.1099999999997</v>
      </c>
      <c r="L263" s="336">
        <f t="shared" si="20"/>
        <v>4752.1099999999997</v>
      </c>
      <c r="M263" s="336">
        <f t="shared" si="21"/>
        <v>4752.1099999999997</v>
      </c>
      <c r="N263" s="390">
        <f t="shared" si="19"/>
        <v>0</v>
      </c>
      <c r="O263" s="442"/>
      <c r="P263" s="231" t="s">
        <v>2321</v>
      </c>
      <c r="Q263" s="11" t="s">
        <v>243</v>
      </c>
      <c r="R263" s="474"/>
      <c r="S263" s="339"/>
    </row>
    <row r="264" spans="1:19" s="325" customFormat="1" ht="42.75">
      <c r="A264" s="333" t="s">
        <v>2190</v>
      </c>
      <c r="B264" s="334" t="s">
        <v>764</v>
      </c>
      <c r="C264" s="335" t="s">
        <v>669</v>
      </c>
      <c r="D264" s="336">
        <v>1</v>
      </c>
      <c r="E264" s="336">
        <v>1</v>
      </c>
      <c r="F264" s="336">
        <f>估驗單!F260</f>
        <v>1</v>
      </c>
      <c r="G264" s="390">
        <f t="shared" si="18"/>
        <v>0</v>
      </c>
      <c r="H264" s="336">
        <v>14691.08</v>
      </c>
      <c r="I264" s="336"/>
      <c r="J264" s="336"/>
      <c r="K264" s="336">
        <v>14691.08</v>
      </c>
      <c r="L264" s="336">
        <f t="shared" si="20"/>
        <v>14691.08</v>
      </c>
      <c r="M264" s="336">
        <f t="shared" si="21"/>
        <v>14691.08</v>
      </c>
      <c r="N264" s="390">
        <f t="shared" si="19"/>
        <v>0</v>
      </c>
      <c r="O264" s="442"/>
      <c r="P264" s="231" t="s">
        <v>2321</v>
      </c>
      <c r="Q264" s="11" t="s">
        <v>243</v>
      </c>
      <c r="R264" s="474"/>
      <c r="S264" s="339"/>
    </row>
    <row r="265" spans="1:19" s="325" customFormat="1" ht="33">
      <c r="A265" s="333" t="s">
        <v>2191</v>
      </c>
      <c r="B265" s="334" t="s">
        <v>767</v>
      </c>
      <c r="C265" s="335" t="s">
        <v>669</v>
      </c>
      <c r="D265" s="336">
        <v>1</v>
      </c>
      <c r="E265" s="336">
        <v>1</v>
      </c>
      <c r="F265" s="336">
        <f>估驗單!F261</f>
        <v>1</v>
      </c>
      <c r="G265" s="390">
        <f t="shared" si="18"/>
        <v>0</v>
      </c>
      <c r="H265" s="336">
        <v>224.3</v>
      </c>
      <c r="I265" s="336"/>
      <c r="J265" s="336"/>
      <c r="K265" s="336">
        <v>224.3</v>
      </c>
      <c r="L265" s="336">
        <f t="shared" si="20"/>
        <v>224.3</v>
      </c>
      <c r="M265" s="336">
        <f t="shared" si="21"/>
        <v>224.3</v>
      </c>
      <c r="N265" s="390">
        <f t="shared" si="19"/>
        <v>0</v>
      </c>
      <c r="O265" s="442"/>
      <c r="P265" s="231" t="s">
        <v>2321</v>
      </c>
      <c r="Q265" s="11" t="s">
        <v>243</v>
      </c>
      <c r="R265" s="474"/>
      <c r="S265" s="339"/>
    </row>
    <row r="266" spans="1:19" s="325" customFormat="1" ht="33">
      <c r="A266" s="333" t="s">
        <v>2192</v>
      </c>
      <c r="B266" s="334" t="s">
        <v>770</v>
      </c>
      <c r="C266" s="335" t="s">
        <v>669</v>
      </c>
      <c r="D266" s="336">
        <v>1</v>
      </c>
      <c r="E266" s="336">
        <v>1</v>
      </c>
      <c r="F266" s="336">
        <f>估驗單!F262</f>
        <v>1</v>
      </c>
      <c r="G266" s="390">
        <f t="shared" si="18"/>
        <v>0</v>
      </c>
      <c r="H266" s="336">
        <v>275.64</v>
      </c>
      <c r="I266" s="336"/>
      <c r="J266" s="336"/>
      <c r="K266" s="336">
        <v>275.64</v>
      </c>
      <c r="L266" s="336">
        <f t="shared" si="20"/>
        <v>275.64</v>
      </c>
      <c r="M266" s="336">
        <f t="shared" si="21"/>
        <v>275.64</v>
      </c>
      <c r="N266" s="390">
        <f t="shared" si="19"/>
        <v>0</v>
      </c>
      <c r="O266" s="442"/>
      <c r="P266" s="231" t="s">
        <v>2321</v>
      </c>
      <c r="Q266" s="11" t="s">
        <v>243</v>
      </c>
      <c r="R266" s="474"/>
      <c r="S266" s="339"/>
    </row>
    <row r="267" spans="1:19" s="325" customFormat="1" ht="33">
      <c r="A267" s="333" t="s">
        <v>2193</v>
      </c>
      <c r="B267" s="334" t="s">
        <v>773</v>
      </c>
      <c r="C267" s="335" t="s">
        <v>669</v>
      </c>
      <c r="D267" s="336">
        <v>1</v>
      </c>
      <c r="E267" s="336">
        <v>1</v>
      </c>
      <c r="F267" s="336">
        <f>估驗單!F263</f>
        <v>1</v>
      </c>
      <c r="G267" s="390">
        <f t="shared" si="18"/>
        <v>0</v>
      </c>
      <c r="H267" s="336">
        <v>283.52999999999997</v>
      </c>
      <c r="I267" s="336"/>
      <c r="J267" s="336"/>
      <c r="K267" s="336">
        <v>283.52999999999997</v>
      </c>
      <c r="L267" s="336">
        <f t="shared" si="20"/>
        <v>283.52999999999997</v>
      </c>
      <c r="M267" s="336">
        <f t="shared" si="21"/>
        <v>283.52999999999997</v>
      </c>
      <c r="N267" s="390">
        <f t="shared" si="19"/>
        <v>0</v>
      </c>
      <c r="O267" s="442"/>
      <c r="P267" s="231" t="s">
        <v>2321</v>
      </c>
      <c r="Q267" s="11" t="s">
        <v>243</v>
      </c>
      <c r="R267" s="474"/>
      <c r="S267" s="339"/>
    </row>
    <row r="268" spans="1:19" s="325" customFormat="1" ht="33">
      <c r="A268" s="333" t="s">
        <v>2194</v>
      </c>
      <c r="B268" s="334" t="s">
        <v>776</v>
      </c>
      <c r="C268" s="335" t="s">
        <v>669</v>
      </c>
      <c r="D268" s="336">
        <v>1</v>
      </c>
      <c r="E268" s="336">
        <v>1</v>
      </c>
      <c r="F268" s="336">
        <f>估驗單!F264</f>
        <v>1</v>
      </c>
      <c r="G268" s="390">
        <f t="shared" si="18"/>
        <v>0</v>
      </c>
      <c r="H268" s="336">
        <v>88.95</v>
      </c>
      <c r="I268" s="336"/>
      <c r="J268" s="336"/>
      <c r="K268" s="336">
        <v>88.95</v>
      </c>
      <c r="L268" s="336">
        <f t="shared" si="20"/>
        <v>88.95</v>
      </c>
      <c r="M268" s="336">
        <f t="shared" si="21"/>
        <v>88.95</v>
      </c>
      <c r="N268" s="390">
        <f t="shared" si="19"/>
        <v>0</v>
      </c>
      <c r="O268" s="442"/>
      <c r="P268" s="231" t="s">
        <v>242</v>
      </c>
      <c r="Q268" s="11" t="s">
        <v>243</v>
      </c>
      <c r="R268" s="474"/>
      <c r="S268" s="339"/>
    </row>
    <row r="269" spans="1:19" s="325" customFormat="1" ht="33">
      <c r="A269" s="333" t="s">
        <v>2195</v>
      </c>
      <c r="B269" s="334" t="s">
        <v>779</v>
      </c>
      <c r="C269" s="335" t="s">
        <v>669</v>
      </c>
      <c r="D269" s="336">
        <v>1</v>
      </c>
      <c r="E269" s="336">
        <v>1</v>
      </c>
      <c r="F269" s="336">
        <f>估驗單!F265</f>
        <v>1</v>
      </c>
      <c r="G269" s="390">
        <f t="shared" si="18"/>
        <v>0</v>
      </c>
      <c r="H269" s="336">
        <v>123.72</v>
      </c>
      <c r="I269" s="336"/>
      <c r="J269" s="336"/>
      <c r="K269" s="336">
        <v>123.72</v>
      </c>
      <c r="L269" s="336">
        <f t="shared" si="20"/>
        <v>123.72</v>
      </c>
      <c r="M269" s="336">
        <f t="shared" si="21"/>
        <v>123.72</v>
      </c>
      <c r="N269" s="390">
        <f t="shared" si="19"/>
        <v>0</v>
      </c>
      <c r="O269" s="442"/>
      <c r="P269" s="231" t="s">
        <v>2321</v>
      </c>
      <c r="Q269" s="11" t="s">
        <v>243</v>
      </c>
      <c r="R269" s="474"/>
      <c r="S269" s="339"/>
    </row>
    <row r="270" spans="1:19" s="325" customFormat="1" ht="33">
      <c r="A270" s="333" t="s">
        <v>2196</v>
      </c>
      <c r="B270" s="334" t="s">
        <v>782</v>
      </c>
      <c r="C270" s="335" t="s">
        <v>669</v>
      </c>
      <c r="D270" s="336">
        <v>1</v>
      </c>
      <c r="E270" s="336">
        <v>1</v>
      </c>
      <c r="F270" s="336">
        <f>估驗單!F266</f>
        <v>1</v>
      </c>
      <c r="G270" s="390">
        <f t="shared" si="18"/>
        <v>0</v>
      </c>
      <c r="H270" s="336">
        <v>121.41</v>
      </c>
      <c r="I270" s="336"/>
      <c r="J270" s="336"/>
      <c r="K270" s="336">
        <v>121.41</v>
      </c>
      <c r="L270" s="336">
        <f t="shared" si="20"/>
        <v>121.41</v>
      </c>
      <c r="M270" s="336">
        <f t="shared" si="21"/>
        <v>121.41</v>
      </c>
      <c r="N270" s="390">
        <f t="shared" si="19"/>
        <v>0</v>
      </c>
      <c r="O270" s="442"/>
      <c r="P270" s="231" t="s">
        <v>242</v>
      </c>
      <c r="Q270" s="11" t="s">
        <v>243</v>
      </c>
      <c r="R270" s="474"/>
      <c r="S270" s="339"/>
    </row>
    <row r="271" spans="1:19" s="325" customFormat="1" ht="33">
      <c r="A271" s="333" t="s">
        <v>2197</v>
      </c>
      <c r="B271" s="334" t="s">
        <v>785</v>
      </c>
      <c r="C271" s="335" t="s">
        <v>669</v>
      </c>
      <c r="D271" s="336">
        <v>1</v>
      </c>
      <c r="E271" s="336">
        <v>1</v>
      </c>
      <c r="F271" s="336">
        <f>估驗單!F267</f>
        <v>1</v>
      </c>
      <c r="G271" s="390">
        <f t="shared" si="18"/>
        <v>0</v>
      </c>
      <c r="H271" s="336">
        <v>134.28</v>
      </c>
      <c r="I271" s="336"/>
      <c r="J271" s="336"/>
      <c r="K271" s="336">
        <v>134.28</v>
      </c>
      <c r="L271" s="336">
        <f t="shared" si="20"/>
        <v>134.28</v>
      </c>
      <c r="M271" s="336">
        <f t="shared" si="21"/>
        <v>134.28</v>
      </c>
      <c r="N271" s="390">
        <f t="shared" si="19"/>
        <v>0</v>
      </c>
      <c r="O271" s="442"/>
      <c r="P271" s="231" t="s">
        <v>242</v>
      </c>
      <c r="Q271" s="11" t="s">
        <v>243</v>
      </c>
      <c r="R271" s="474"/>
      <c r="S271" s="339"/>
    </row>
    <row r="272" spans="1:19" s="325" customFormat="1" ht="33">
      <c r="A272" s="333" t="s">
        <v>2198</v>
      </c>
      <c r="B272" s="334" t="s">
        <v>788</v>
      </c>
      <c r="C272" s="335" t="s">
        <v>669</v>
      </c>
      <c r="D272" s="336">
        <v>1</v>
      </c>
      <c r="E272" s="336">
        <v>1</v>
      </c>
      <c r="F272" s="336">
        <f>估驗單!F268</f>
        <v>1</v>
      </c>
      <c r="G272" s="390">
        <f t="shared" si="18"/>
        <v>0</v>
      </c>
      <c r="H272" s="336">
        <v>36.549999999999997</v>
      </c>
      <c r="I272" s="336"/>
      <c r="J272" s="336"/>
      <c r="K272" s="336">
        <v>36.549999999999997</v>
      </c>
      <c r="L272" s="336">
        <f t="shared" si="20"/>
        <v>36.549999999999997</v>
      </c>
      <c r="M272" s="336">
        <f t="shared" si="21"/>
        <v>36.549999999999997</v>
      </c>
      <c r="N272" s="390">
        <f t="shared" si="19"/>
        <v>0</v>
      </c>
      <c r="O272" s="442"/>
      <c r="P272" s="231" t="s">
        <v>2321</v>
      </c>
      <c r="Q272" s="11" t="s">
        <v>243</v>
      </c>
      <c r="R272" s="474"/>
      <c r="S272" s="339"/>
    </row>
    <row r="273" spans="1:19" s="325" customFormat="1" ht="33">
      <c r="A273" s="333" t="s">
        <v>2199</v>
      </c>
      <c r="B273" s="334" t="s">
        <v>791</v>
      </c>
      <c r="C273" s="335" t="s">
        <v>669</v>
      </c>
      <c r="D273" s="336">
        <v>1</v>
      </c>
      <c r="E273" s="336">
        <v>1</v>
      </c>
      <c r="F273" s="336">
        <f>估驗單!F269</f>
        <v>1</v>
      </c>
      <c r="G273" s="390">
        <f t="shared" si="18"/>
        <v>0</v>
      </c>
      <c r="H273" s="336">
        <v>103.76</v>
      </c>
      <c r="I273" s="336"/>
      <c r="J273" s="336"/>
      <c r="K273" s="336">
        <v>103.76</v>
      </c>
      <c r="L273" s="336">
        <f t="shared" si="20"/>
        <v>103.76</v>
      </c>
      <c r="M273" s="336">
        <f t="shared" si="21"/>
        <v>103.76</v>
      </c>
      <c r="N273" s="390">
        <f t="shared" si="19"/>
        <v>0</v>
      </c>
      <c r="O273" s="442"/>
      <c r="P273" s="231" t="s">
        <v>242</v>
      </c>
      <c r="Q273" s="11" t="s">
        <v>243</v>
      </c>
      <c r="R273" s="474"/>
      <c r="S273" s="339"/>
    </row>
    <row r="274" spans="1:19" s="325" customFormat="1" ht="33">
      <c r="A274" s="333" t="s">
        <v>2200</v>
      </c>
      <c r="B274" s="334" t="s">
        <v>794</v>
      </c>
      <c r="C274" s="335" t="s">
        <v>669</v>
      </c>
      <c r="D274" s="336">
        <v>1</v>
      </c>
      <c r="E274" s="336">
        <v>1</v>
      </c>
      <c r="F274" s="336">
        <f>估驗單!F270</f>
        <v>1</v>
      </c>
      <c r="G274" s="390">
        <f t="shared" si="18"/>
        <v>0</v>
      </c>
      <c r="H274" s="336">
        <v>140.84</v>
      </c>
      <c r="I274" s="336"/>
      <c r="J274" s="336"/>
      <c r="K274" s="336">
        <v>140.84</v>
      </c>
      <c r="L274" s="336">
        <f t="shared" si="20"/>
        <v>140.84</v>
      </c>
      <c r="M274" s="336">
        <f t="shared" si="21"/>
        <v>140.84</v>
      </c>
      <c r="N274" s="390">
        <f t="shared" si="19"/>
        <v>0</v>
      </c>
      <c r="O274" s="442"/>
      <c r="P274" s="231" t="s">
        <v>242</v>
      </c>
      <c r="Q274" s="11" t="s">
        <v>243</v>
      </c>
      <c r="R274" s="474"/>
      <c r="S274" s="339"/>
    </row>
    <row r="275" spans="1:19" s="325" customFormat="1" ht="33">
      <c r="A275" s="333" t="s">
        <v>2201</v>
      </c>
      <c r="B275" s="334" t="s">
        <v>797</v>
      </c>
      <c r="C275" s="335" t="s">
        <v>669</v>
      </c>
      <c r="D275" s="336">
        <v>1</v>
      </c>
      <c r="E275" s="336">
        <v>1</v>
      </c>
      <c r="F275" s="336">
        <f>估驗單!F271</f>
        <v>1</v>
      </c>
      <c r="G275" s="390">
        <f t="shared" si="18"/>
        <v>0</v>
      </c>
      <c r="H275" s="336">
        <v>51.75</v>
      </c>
      <c r="I275" s="336"/>
      <c r="J275" s="336"/>
      <c r="K275" s="336">
        <v>51.75</v>
      </c>
      <c r="L275" s="336">
        <f t="shared" si="20"/>
        <v>51.75</v>
      </c>
      <c r="M275" s="336">
        <f t="shared" si="21"/>
        <v>51.75</v>
      </c>
      <c r="N275" s="390">
        <f t="shared" si="19"/>
        <v>0</v>
      </c>
      <c r="O275" s="442"/>
      <c r="P275" s="231" t="s">
        <v>2321</v>
      </c>
      <c r="Q275" s="11" t="s">
        <v>243</v>
      </c>
      <c r="R275" s="474"/>
      <c r="S275" s="339"/>
    </row>
    <row r="276" spans="1:19" s="325" customFormat="1" ht="33">
      <c r="A276" s="333" t="s">
        <v>2202</v>
      </c>
      <c r="B276" s="334" t="s">
        <v>800</v>
      </c>
      <c r="C276" s="335" t="s">
        <v>669</v>
      </c>
      <c r="D276" s="336">
        <v>1</v>
      </c>
      <c r="E276" s="336">
        <v>1</v>
      </c>
      <c r="F276" s="336">
        <f>估驗單!F272</f>
        <v>1</v>
      </c>
      <c r="G276" s="390">
        <f t="shared" si="18"/>
        <v>0</v>
      </c>
      <c r="H276" s="336">
        <v>35.01</v>
      </c>
      <c r="I276" s="336"/>
      <c r="J276" s="336"/>
      <c r="K276" s="336">
        <v>35.01</v>
      </c>
      <c r="L276" s="336">
        <f t="shared" si="20"/>
        <v>35.01</v>
      </c>
      <c r="M276" s="336">
        <f t="shared" si="21"/>
        <v>35.01</v>
      </c>
      <c r="N276" s="390">
        <f t="shared" si="19"/>
        <v>0</v>
      </c>
      <c r="O276" s="442"/>
      <c r="P276" s="231" t="s">
        <v>2321</v>
      </c>
      <c r="Q276" s="11" t="s">
        <v>243</v>
      </c>
      <c r="R276" s="474"/>
      <c r="S276" s="339"/>
    </row>
    <row r="277" spans="1:19" s="325" customFormat="1" ht="33">
      <c r="A277" s="333" t="s">
        <v>2203</v>
      </c>
      <c r="B277" s="334" t="s">
        <v>803</v>
      </c>
      <c r="C277" s="335" t="s">
        <v>669</v>
      </c>
      <c r="D277" s="336">
        <v>1</v>
      </c>
      <c r="E277" s="336">
        <v>1</v>
      </c>
      <c r="F277" s="336">
        <f>估驗單!F273</f>
        <v>1</v>
      </c>
      <c r="G277" s="390">
        <f t="shared" si="18"/>
        <v>0</v>
      </c>
      <c r="H277" s="336">
        <v>58.37</v>
      </c>
      <c r="I277" s="336"/>
      <c r="J277" s="336"/>
      <c r="K277" s="336">
        <v>58.37</v>
      </c>
      <c r="L277" s="336">
        <f t="shared" si="20"/>
        <v>58.37</v>
      </c>
      <c r="M277" s="336">
        <f t="shared" si="21"/>
        <v>58.37</v>
      </c>
      <c r="N277" s="390">
        <f t="shared" si="19"/>
        <v>0</v>
      </c>
      <c r="O277" s="442"/>
      <c r="P277" s="231" t="s">
        <v>2321</v>
      </c>
      <c r="Q277" s="11" t="s">
        <v>243</v>
      </c>
      <c r="R277" s="474"/>
      <c r="S277" s="339"/>
    </row>
    <row r="278" spans="1:19" s="325" customFormat="1" ht="33">
      <c r="A278" s="333" t="s">
        <v>2204</v>
      </c>
      <c r="B278" s="334" t="s">
        <v>806</v>
      </c>
      <c r="C278" s="335" t="s">
        <v>669</v>
      </c>
      <c r="D278" s="336">
        <v>1</v>
      </c>
      <c r="E278" s="336">
        <v>1</v>
      </c>
      <c r="F278" s="336">
        <f>估驗單!F274</f>
        <v>1</v>
      </c>
      <c r="G278" s="390">
        <f t="shared" si="18"/>
        <v>0</v>
      </c>
      <c r="H278" s="336">
        <v>79.040000000000006</v>
      </c>
      <c r="I278" s="336"/>
      <c r="J278" s="336"/>
      <c r="K278" s="336">
        <v>79.040000000000006</v>
      </c>
      <c r="L278" s="336">
        <f t="shared" si="20"/>
        <v>79.040000000000006</v>
      </c>
      <c r="M278" s="336">
        <f t="shared" si="21"/>
        <v>79.040000000000006</v>
      </c>
      <c r="N278" s="390">
        <f t="shared" si="19"/>
        <v>0</v>
      </c>
      <c r="O278" s="442"/>
      <c r="P278" s="231" t="s">
        <v>2321</v>
      </c>
      <c r="Q278" s="11" t="s">
        <v>243</v>
      </c>
      <c r="R278" s="474"/>
      <c r="S278" s="339"/>
    </row>
    <row r="279" spans="1:19" s="325" customFormat="1" ht="33">
      <c r="A279" s="333" t="s">
        <v>2205</v>
      </c>
      <c r="B279" s="334" t="s">
        <v>809</v>
      </c>
      <c r="C279" s="335" t="s">
        <v>669</v>
      </c>
      <c r="D279" s="336">
        <v>1</v>
      </c>
      <c r="E279" s="336">
        <v>1</v>
      </c>
      <c r="F279" s="336">
        <f>估驗單!F275</f>
        <v>1</v>
      </c>
      <c r="G279" s="390">
        <f t="shared" si="18"/>
        <v>0</v>
      </c>
      <c r="H279" s="336">
        <v>63.59</v>
      </c>
      <c r="I279" s="336"/>
      <c r="J279" s="336"/>
      <c r="K279" s="336">
        <v>63.59</v>
      </c>
      <c r="L279" s="336">
        <f t="shared" si="20"/>
        <v>63.59</v>
      </c>
      <c r="M279" s="336">
        <f t="shared" si="21"/>
        <v>63.59</v>
      </c>
      <c r="N279" s="390">
        <f t="shared" si="19"/>
        <v>0</v>
      </c>
      <c r="O279" s="442"/>
      <c r="P279" s="231" t="s">
        <v>2321</v>
      </c>
      <c r="Q279" s="11" t="s">
        <v>243</v>
      </c>
      <c r="R279" s="474"/>
      <c r="S279" s="339"/>
    </row>
    <row r="280" spans="1:19" s="325" customFormat="1" ht="33">
      <c r="A280" s="333" t="s">
        <v>2206</v>
      </c>
      <c r="B280" s="334" t="s">
        <v>812</v>
      </c>
      <c r="C280" s="335" t="s">
        <v>669</v>
      </c>
      <c r="D280" s="336">
        <v>1</v>
      </c>
      <c r="E280" s="336">
        <v>1</v>
      </c>
      <c r="F280" s="336">
        <f>估驗單!F276</f>
        <v>1</v>
      </c>
      <c r="G280" s="390">
        <f t="shared" si="18"/>
        <v>0</v>
      </c>
      <c r="H280" s="336">
        <v>94.49</v>
      </c>
      <c r="I280" s="336"/>
      <c r="J280" s="336"/>
      <c r="K280" s="336">
        <v>94.49</v>
      </c>
      <c r="L280" s="336">
        <f t="shared" si="20"/>
        <v>94.49</v>
      </c>
      <c r="M280" s="336">
        <f t="shared" si="21"/>
        <v>94.49</v>
      </c>
      <c r="N280" s="390">
        <f t="shared" si="19"/>
        <v>0</v>
      </c>
      <c r="O280" s="442"/>
      <c r="P280" s="231" t="s">
        <v>2321</v>
      </c>
      <c r="Q280" s="11" t="s">
        <v>243</v>
      </c>
      <c r="R280" s="474"/>
      <c r="S280" s="339"/>
    </row>
    <row r="281" spans="1:19" s="325" customFormat="1" ht="33">
      <c r="A281" s="333" t="s">
        <v>2207</v>
      </c>
      <c r="B281" s="334" t="s">
        <v>815</v>
      </c>
      <c r="C281" s="335" t="s">
        <v>669</v>
      </c>
      <c r="D281" s="336">
        <v>1</v>
      </c>
      <c r="E281" s="336">
        <v>1</v>
      </c>
      <c r="F281" s="336">
        <f>估驗單!F277</f>
        <v>1</v>
      </c>
      <c r="G281" s="390">
        <f t="shared" si="18"/>
        <v>0</v>
      </c>
      <c r="H281" s="336">
        <v>73.89</v>
      </c>
      <c r="I281" s="336"/>
      <c r="J281" s="336"/>
      <c r="K281" s="336">
        <v>73.89</v>
      </c>
      <c r="L281" s="336">
        <f t="shared" si="20"/>
        <v>73.89</v>
      </c>
      <c r="M281" s="336">
        <f t="shared" si="21"/>
        <v>73.89</v>
      </c>
      <c r="N281" s="390">
        <f t="shared" si="19"/>
        <v>0</v>
      </c>
      <c r="O281" s="442"/>
      <c r="P281" s="231" t="s">
        <v>2321</v>
      </c>
      <c r="Q281" s="11" t="s">
        <v>243</v>
      </c>
      <c r="R281" s="474"/>
      <c r="S281" s="339"/>
    </row>
    <row r="282" spans="1:19" s="325" customFormat="1" ht="33">
      <c r="A282" s="333" t="s">
        <v>2208</v>
      </c>
      <c r="B282" s="334" t="s">
        <v>818</v>
      </c>
      <c r="C282" s="335" t="s">
        <v>669</v>
      </c>
      <c r="D282" s="336">
        <v>1</v>
      </c>
      <c r="E282" s="336">
        <v>1</v>
      </c>
      <c r="F282" s="336">
        <f>估驗單!F278</f>
        <v>1</v>
      </c>
      <c r="G282" s="390">
        <f t="shared" ref="G282:G345" si="22">F282-E282</f>
        <v>0</v>
      </c>
      <c r="H282" s="336">
        <v>92.43</v>
      </c>
      <c r="I282" s="336"/>
      <c r="J282" s="336"/>
      <c r="K282" s="336">
        <v>92.43</v>
      </c>
      <c r="L282" s="336">
        <f t="shared" si="20"/>
        <v>92.43</v>
      </c>
      <c r="M282" s="336">
        <f t="shared" si="21"/>
        <v>92.43</v>
      </c>
      <c r="N282" s="390">
        <f t="shared" si="19"/>
        <v>0</v>
      </c>
      <c r="O282" s="442"/>
      <c r="P282" s="231" t="s">
        <v>2321</v>
      </c>
      <c r="Q282" s="11" t="s">
        <v>243</v>
      </c>
      <c r="R282" s="474"/>
      <c r="S282" s="339"/>
    </row>
    <row r="283" spans="1:19" s="325" customFormat="1" ht="33">
      <c r="A283" s="333" t="s">
        <v>2209</v>
      </c>
      <c r="B283" s="334" t="s">
        <v>821</v>
      </c>
      <c r="C283" s="335" t="s">
        <v>669</v>
      </c>
      <c r="D283" s="336">
        <v>1</v>
      </c>
      <c r="E283" s="336">
        <v>1</v>
      </c>
      <c r="F283" s="336">
        <f>估驗單!F279</f>
        <v>1</v>
      </c>
      <c r="G283" s="390">
        <f t="shared" si="22"/>
        <v>0</v>
      </c>
      <c r="H283" s="336">
        <v>61.98</v>
      </c>
      <c r="I283" s="336"/>
      <c r="J283" s="336"/>
      <c r="K283" s="336">
        <v>61.98</v>
      </c>
      <c r="L283" s="336">
        <f t="shared" si="20"/>
        <v>61.98</v>
      </c>
      <c r="M283" s="336">
        <f t="shared" si="21"/>
        <v>61.98</v>
      </c>
      <c r="N283" s="390">
        <f t="shared" si="19"/>
        <v>0</v>
      </c>
      <c r="O283" s="442"/>
      <c r="P283" s="231" t="s">
        <v>2321</v>
      </c>
      <c r="Q283" s="11" t="s">
        <v>243</v>
      </c>
      <c r="R283" s="474"/>
      <c r="S283" s="339"/>
    </row>
    <row r="284" spans="1:19" s="325" customFormat="1" ht="33">
      <c r="A284" s="333" t="s">
        <v>2210</v>
      </c>
      <c r="B284" s="334" t="s">
        <v>824</v>
      </c>
      <c r="C284" s="335" t="s">
        <v>669</v>
      </c>
      <c r="D284" s="336">
        <v>1</v>
      </c>
      <c r="E284" s="336">
        <v>1</v>
      </c>
      <c r="F284" s="336">
        <f>估驗單!F280</f>
        <v>1</v>
      </c>
      <c r="G284" s="390">
        <f t="shared" si="22"/>
        <v>0</v>
      </c>
      <c r="H284" s="336">
        <v>154.66</v>
      </c>
      <c r="I284" s="336"/>
      <c r="J284" s="336"/>
      <c r="K284" s="336">
        <v>154.66</v>
      </c>
      <c r="L284" s="336">
        <f t="shared" si="20"/>
        <v>154.66</v>
      </c>
      <c r="M284" s="336">
        <f t="shared" si="21"/>
        <v>154.66</v>
      </c>
      <c r="N284" s="390">
        <f t="shared" si="19"/>
        <v>0</v>
      </c>
      <c r="O284" s="442"/>
      <c r="P284" s="231" t="s">
        <v>2321</v>
      </c>
      <c r="Q284" s="11" t="s">
        <v>243</v>
      </c>
      <c r="R284" s="474"/>
      <c r="S284" s="339"/>
    </row>
    <row r="285" spans="1:19" s="325" customFormat="1" ht="33">
      <c r="A285" s="333" t="s">
        <v>2211</v>
      </c>
      <c r="B285" s="334" t="s">
        <v>827</v>
      </c>
      <c r="C285" s="335" t="s">
        <v>669</v>
      </c>
      <c r="D285" s="336">
        <v>1</v>
      </c>
      <c r="E285" s="336">
        <v>1</v>
      </c>
      <c r="F285" s="336">
        <f>估驗單!F281</f>
        <v>1</v>
      </c>
      <c r="G285" s="390">
        <f t="shared" si="22"/>
        <v>0</v>
      </c>
      <c r="H285" s="336">
        <v>67.709999999999994</v>
      </c>
      <c r="I285" s="336"/>
      <c r="J285" s="336"/>
      <c r="K285" s="336">
        <v>67.709999999999994</v>
      </c>
      <c r="L285" s="336">
        <f t="shared" si="20"/>
        <v>67.709999999999994</v>
      </c>
      <c r="M285" s="336">
        <f t="shared" si="21"/>
        <v>67.709999999999994</v>
      </c>
      <c r="N285" s="390">
        <f t="shared" si="19"/>
        <v>0</v>
      </c>
      <c r="O285" s="442"/>
      <c r="P285" s="231" t="s">
        <v>2321</v>
      </c>
      <c r="Q285" s="11" t="s">
        <v>243</v>
      </c>
      <c r="R285" s="474"/>
      <c r="S285" s="339"/>
    </row>
    <row r="286" spans="1:19" s="325" customFormat="1" ht="33">
      <c r="A286" s="333" t="s">
        <v>2212</v>
      </c>
      <c r="B286" s="334" t="s">
        <v>830</v>
      </c>
      <c r="C286" s="335" t="s">
        <v>669</v>
      </c>
      <c r="D286" s="336">
        <v>1</v>
      </c>
      <c r="E286" s="336">
        <v>1</v>
      </c>
      <c r="F286" s="336">
        <f>估驗單!F282</f>
        <v>1</v>
      </c>
      <c r="G286" s="390">
        <f t="shared" si="22"/>
        <v>0</v>
      </c>
      <c r="H286" s="336">
        <v>54.25</v>
      </c>
      <c r="I286" s="336"/>
      <c r="J286" s="336"/>
      <c r="K286" s="336">
        <v>54.25</v>
      </c>
      <c r="L286" s="336">
        <f t="shared" si="20"/>
        <v>54.25</v>
      </c>
      <c r="M286" s="336">
        <f t="shared" si="21"/>
        <v>54.25</v>
      </c>
      <c r="N286" s="390">
        <f t="shared" si="19"/>
        <v>0</v>
      </c>
      <c r="O286" s="442"/>
      <c r="P286" s="231" t="s">
        <v>2321</v>
      </c>
      <c r="Q286" s="11" t="s">
        <v>243</v>
      </c>
      <c r="R286" s="474"/>
      <c r="S286" s="339"/>
    </row>
    <row r="287" spans="1:19" s="325" customFormat="1" ht="33">
      <c r="A287" s="333" t="s">
        <v>2213</v>
      </c>
      <c r="B287" s="334" t="s">
        <v>833</v>
      </c>
      <c r="C287" s="335" t="s">
        <v>669</v>
      </c>
      <c r="D287" s="336">
        <v>1</v>
      </c>
      <c r="E287" s="336">
        <v>1</v>
      </c>
      <c r="F287" s="336">
        <f>估驗單!F283</f>
        <v>1</v>
      </c>
      <c r="G287" s="390">
        <f t="shared" si="22"/>
        <v>0</v>
      </c>
      <c r="H287" s="336">
        <v>90.3</v>
      </c>
      <c r="I287" s="336"/>
      <c r="J287" s="336"/>
      <c r="K287" s="336">
        <v>90.3</v>
      </c>
      <c r="L287" s="336">
        <f t="shared" si="20"/>
        <v>90.3</v>
      </c>
      <c r="M287" s="336">
        <f t="shared" si="21"/>
        <v>90.3</v>
      </c>
      <c r="N287" s="390">
        <f t="shared" si="19"/>
        <v>0</v>
      </c>
      <c r="O287" s="442"/>
      <c r="P287" s="231" t="s">
        <v>2321</v>
      </c>
      <c r="Q287" s="11" t="s">
        <v>243</v>
      </c>
      <c r="R287" s="474"/>
      <c r="S287" s="339"/>
    </row>
    <row r="288" spans="1:19" s="325" customFormat="1" ht="33">
      <c r="A288" s="333" t="s">
        <v>2214</v>
      </c>
      <c r="B288" s="334" t="s">
        <v>836</v>
      </c>
      <c r="C288" s="335" t="s">
        <v>669</v>
      </c>
      <c r="D288" s="336">
        <v>1</v>
      </c>
      <c r="E288" s="336">
        <v>1</v>
      </c>
      <c r="F288" s="336">
        <f>估驗單!F284</f>
        <v>1</v>
      </c>
      <c r="G288" s="390">
        <f t="shared" si="22"/>
        <v>0</v>
      </c>
      <c r="H288" s="336">
        <v>67.13</v>
      </c>
      <c r="I288" s="336"/>
      <c r="J288" s="336"/>
      <c r="K288" s="336">
        <v>67.13</v>
      </c>
      <c r="L288" s="336">
        <f t="shared" si="20"/>
        <v>67.13</v>
      </c>
      <c r="M288" s="336">
        <f t="shared" si="21"/>
        <v>67.13</v>
      </c>
      <c r="N288" s="390">
        <f t="shared" si="19"/>
        <v>0</v>
      </c>
      <c r="O288" s="442"/>
      <c r="P288" s="231" t="s">
        <v>2321</v>
      </c>
      <c r="Q288" s="11" t="s">
        <v>243</v>
      </c>
      <c r="R288" s="474"/>
      <c r="S288" s="339"/>
    </row>
    <row r="289" spans="1:19" s="325" customFormat="1" ht="33">
      <c r="A289" s="333" t="s">
        <v>2215</v>
      </c>
      <c r="B289" s="334" t="s">
        <v>839</v>
      </c>
      <c r="C289" s="335" t="s">
        <v>669</v>
      </c>
      <c r="D289" s="336">
        <v>1</v>
      </c>
      <c r="E289" s="336">
        <v>1</v>
      </c>
      <c r="F289" s="336">
        <f>估驗單!F285</f>
        <v>1</v>
      </c>
      <c r="G289" s="390">
        <f t="shared" si="22"/>
        <v>0</v>
      </c>
      <c r="H289" s="336">
        <v>56.83</v>
      </c>
      <c r="I289" s="336"/>
      <c r="J289" s="336"/>
      <c r="K289" s="336">
        <v>56.83</v>
      </c>
      <c r="L289" s="336">
        <f t="shared" si="20"/>
        <v>56.83</v>
      </c>
      <c r="M289" s="336">
        <f t="shared" si="21"/>
        <v>56.83</v>
      </c>
      <c r="N289" s="390">
        <f t="shared" si="19"/>
        <v>0</v>
      </c>
      <c r="O289" s="442"/>
      <c r="P289" s="231" t="s">
        <v>2321</v>
      </c>
      <c r="Q289" s="11" t="s">
        <v>243</v>
      </c>
      <c r="R289" s="474"/>
      <c r="S289" s="339"/>
    </row>
    <row r="290" spans="1:19" s="325" customFormat="1" ht="33">
      <c r="A290" s="333" t="s">
        <v>2216</v>
      </c>
      <c r="B290" s="334" t="s">
        <v>842</v>
      </c>
      <c r="C290" s="335" t="s">
        <v>669</v>
      </c>
      <c r="D290" s="336">
        <v>1</v>
      </c>
      <c r="E290" s="336">
        <v>1</v>
      </c>
      <c r="F290" s="336">
        <f>估驗單!F286</f>
        <v>1</v>
      </c>
      <c r="G290" s="390">
        <f t="shared" si="22"/>
        <v>0</v>
      </c>
      <c r="H290" s="336">
        <v>68.67</v>
      </c>
      <c r="I290" s="336"/>
      <c r="J290" s="336"/>
      <c r="K290" s="336">
        <v>68.67</v>
      </c>
      <c r="L290" s="336">
        <f t="shared" si="20"/>
        <v>68.67</v>
      </c>
      <c r="M290" s="336">
        <f t="shared" si="21"/>
        <v>68.67</v>
      </c>
      <c r="N290" s="390">
        <f t="shared" si="19"/>
        <v>0</v>
      </c>
      <c r="O290" s="442"/>
      <c r="P290" s="231" t="s">
        <v>2321</v>
      </c>
      <c r="Q290" s="11" t="s">
        <v>243</v>
      </c>
      <c r="R290" s="474"/>
      <c r="S290" s="339"/>
    </row>
    <row r="291" spans="1:19" s="325" customFormat="1" ht="33">
      <c r="A291" s="333" t="s">
        <v>2217</v>
      </c>
      <c r="B291" s="334" t="s">
        <v>845</v>
      </c>
      <c r="C291" s="335" t="s">
        <v>669</v>
      </c>
      <c r="D291" s="336">
        <v>1</v>
      </c>
      <c r="E291" s="336">
        <v>1</v>
      </c>
      <c r="F291" s="336">
        <f>估驗單!F287</f>
        <v>1</v>
      </c>
      <c r="G291" s="390">
        <f t="shared" si="22"/>
        <v>0</v>
      </c>
      <c r="H291" s="336">
        <v>59.92</v>
      </c>
      <c r="I291" s="336"/>
      <c r="J291" s="336"/>
      <c r="K291" s="336">
        <v>59.92</v>
      </c>
      <c r="L291" s="336">
        <f t="shared" si="20"/>
        <v>59.92</v>
      </c>
      <c r="M291" s="336">
        <f t="shared" si="21"/>
        <v>59.92</v>
      </c>
      <c r="N291" s="390">
        <f t="shared" si="19"/>
        <v>0</v>
      </c>
      <c r="O291" s="442"/>
      <c r="P291" s="231" t="s">
        <v>2321</v>
      </c>
      <c r="Q291" s="11" t="s">
        <v>243</v>
      </c>
      <c r="R291" s="474"/>
      <c r="S291" s="339"/>
    </row>
    <row r="292" spans="1:19" s="325" customFormat="1" ht="33">
      <c r="A292" s="333" t="s">
        <v>2218</v>
      </c>
      <c r="B292" s="334" t="s">
        <v>848</v>
      </c>
      <c r="C292" s="335" t="s">
        <v>669</v>
      </c>
      <c r="D292" s="336">
        <v>1</v>
      </c>
      <c r="E292" s="336">
        <v>1</v>
      </c>
      <c r="F292" s="336">
        <f>估驗單!F288</f>
        <v>1</v>
      </c>
      <c r="G292" s="390">
        <f t="shared" si="22"/>
        <v>0</v>
      </c>
      <c r="H292" s="336">
        <v>58.37</v>
      </c>
      <c r="I292" s="336"/>
      <c r="J292" s="336"/>
      <c r="K292" s="336">
        <v>58.37</v>
      </c>
      <c r="L292" s="336">
        <f t="shared" si="20"/>
        <v>58.37</v>
      </c>
      <c r="M292" s="336">
        <f t="shared" si="21"/>
        <v>58.37</v>
      </c>
      <c r="N292" s="390">
        <f t="shared" si="19"/>
        <v>0</v>
      </c>
      <c r="O292" s="442"/>
      <c r="P292" s="231" t="s">
        <v>2321</v>
      </c>
      <c r="Q292" s="11" t="s">
        <v>243</v>
      </c>
      <c r="R292" s="474"/>
      <c r="S292" s="339"/>
    </row>
    <row r="293" spans="1:19" s="325" customFormat="1" ht="33">
      <c r="A293" s="333" t="s">
        <v>2219</v>
      </c>
      <c r="B293" s="334" t="s">
        <v>851</v>
      </c>
      <c r="C293" s="335" t="s">
        <v>669</v>
      </c>
      <c r="D293" s="336">
        <v>1</v>
      </c>
      <c r="E293" s="336">
        <v>1</v>
      </c>
      <c r="F293" s="336">
        <f>估驗單!F289</f>
        <v>1</v>
      </c>
      <c r="G293" s="390">
        <f t="shared" si="22"/>
        <v>0</v>
      </c>
      <c r="H293" s="336">
        <v>68.209999999999994</v>
      </c>
      <c r="I293" s="336"/>
      <c r="J293" s="336"/>
      <c r="K293" s="336">
        <v>68.209999999999994</v>
      </c>
      <c r="L293" s="336">
        <f t="shared" si="20"/>
        <v>68.209999999999994</v>
      </c>
      <c r="M293" s="336">
        <f t="shared" si="21"/>
        <v>68.209999999999994</v>
      </c>
      <c r="N293" s="390">
        <f t="shared" si="19"/>
        <v>0</v>
      </c>
      <c r="O293" s="442"/>
      <c r="P293" s="231" t="s">
        <v>2321</v>
      </c>
      <c r="Q293" s="11" t="s">
        <v>243</v>
      </c>
      <c r="R293" s="474"/>
      <c r="S293" s="339"/>
    </row>
    <row r="294" spans="1:19" s="325" customFormat="1" ht="33">
      <c r="A294" s="333" t="s">
        <v>2220</v>
      </c>
      <c r="B294" s="334" t="s">
        <v>854</v>
      </c>
      <c r="C294" s="335" t="s">
        <v>669</v>
      </c>
      <c r="D294" s="336">
        <v>1</v>
      </c>
      <c r="E294" s="336">
        <v>1</v>
      </c>
      <c r="F294" s="336">
        <f>估驗單!F290</f>
        <v>1</v>
      </c>
      <c r="G294" s="390">
        <f t="shared" si="22"/>
        <v>0</v>
      </c>
      <c r="H294" s="336">
        <v>72.33</v>
      </c>
      <c r="I294" s="336"/>
      <c r="J294" s="336"/>
      <c r="K294" s="336">
        <v>72.33</v>
      </c>
      <c r="L294" s="336">
        <f t="shared" si="20"/>
        <v>72.33</v>
      </c>
      <c r="M294" s="336">
        <f t="shared" si="21"/>
        <v>72.33</v>
      </c>
      <c r="N294" s="390">
        <f t="shared" ref="N294:N306" si="23">IF(L294-M294&lt;0+AND(L294&lt;&gt;0),M294-L294,"      ")</f>
        <v>0</v>
      </c>
      <c r="O294" s="442"/>
      <c r="P294" s="231" t="s">
        <v>2321</v>
      </c>
      <c r="Q294" s="11" t="s">
        <v>243</v>
      </c>
      <c r="R294" s="474"/>
      <c r="S294" s="339"/>
    </row>
    <row r="295" spans="1:19" ht="33">
      <c r="A295" s="333" t="s">
        <v>2221</v>
      </c>
      <c r="B295" s="334" t="s">
        <v>857</v>
      </c>
      <c r="C295" s="335" t="s">
        <v>669</v>
      </c>
      <c r="D295" s="336">
        <v>1</v>
      </c>
      <c r="E295" s="336">
        <v>1</v>
      </c>
      <c r="F295" s="336">
        <f>估驗單!F291</f>
        <v>1</v>
      </c>
      <c r="G295" s="390">
        <f t="shared" si="22"/>
        <v>0</v>
      </c>
      <c r="H295" s="336">
        <v>111.47</v>
      </c>
      <c r="I295" s="336"/>
      <c r="J295" s="336"/>
      <c r="K295" s="336">
        <v>111.47</v>
      </c>
      <c r="L295" s="336">
        <f t="shared" ref="L295:L306" si="24">ROUND(E295*H295,2)</f>
        <v>111.47</v>
      </c>
      <c r="M295" s="336">
        <f t="shared" ref="M295:M306" si="25">ROUND(F295*H295,2)</f>
        <v>111.47</v>
      </c>
      <c r="N295" s="390">
        <f t="shared" si="23"/>
        <v>0</v>
      </c>
      <c r="O295" s="442"/>
      <c r="P295" s="231" t="s">
        <v>2321</v>
      </c>
      <c r="Q295" s="11" t="s">
        <v>243</v>
      </c>
      <c r="R295" s="474"/>
      <c r="S295" s="339"/>
    </row>
    <row r="296" spans="1:19" ht="33">
      <c r="A296" s="333" t="s">
        <v>2222</v>
      </c>
      <c r="B296" s="334" t="s">
        <v>860</v>
      </c>
      <c r="C296" s="335" t="s">
        <v>669</v>
      </c>
      <c r="D296" s="336">
        <v>1</v>
      </c>
      <c r="E296" s="336">
        <v>1</v>
      </c>
      <c r="F296" s="336">
        <f>估驗單!F292</f>
        <v>1</v>
      </c>
      <c r="G296" s="390">
        <f t="shared" si="22"/>
        <v>0</v>
      </c>
      <c r="H296" s="336">
        <v>101.17</v>
      </c>
      <c r="I296" s="336"/>
      <c r="J296" s="336"/>
      <c r="K296" s="336">
        <v>101.17</v>
      </c>
      <c r="L296" s="336">
        <f t="shared" si="24"/>
        <v>101.17</v>
      </c>
      <c r="M296" s="336">
        <f t="shared" si="25"/>
        <v>101.17</v>
      </c>
      <c r="N296" s="390">
        <f t="shared" si="23"/>
        <v>0</v>
      </c>
      <c r="O296" s="442"/>
      <c r="P296" s="231" t="s">
        <v>2321</v>
      </c>
      <c r="Q296" s="11" t="s">
        <v>243</v>
      </c>
      <c r="R296" s="474"/>
      <c r="S296" s="339"/>
    </row>
    <row r="297" spans="1:19" ht="33">
      <c r="A297" s="333" t="s">
        <v>2223</v>
      </c>
      <c r="B297" s="334" t="s">
        <v>863</v>
      </c>
      <c r="C297" s="335" t="s">
        <v>669</v>
      </c>
      <c r="D297" s="336">
        <v>1</v>
      </c>
      <c r="E297" s="336">
        <v>1</v>
      </c>
      <c r="F297" s="336">
        <f>估驗單!F293</f>
        <v>1</v>
      </c>
      <c r="G297" s="390">
        <f t="shared" si="22"/>
        <v>0</v>
      </c>
      <c r="H297" s="336">
        <v>81.62</v>
      </c>
      <c r="I297" s="336"/>
      <c r="J297" s="336"/>
      <c r="K297" s="336">
        <v>81.62</v>
      </c>
      <c r="L297" s="336">
        <f t="shared" si="24"/>
        <v>81.62</v>
      </c>
      <c r="M297" s="336">
        <f t="shared" si="25"/>
        <v>81.62</v>
      </c>
      <c r="N297" s="390">
        <f t="shared" si="23"/>
        <v>0</v>
      </c>
      <c r="O297" s="442"/>
      <c r="P297" s="231" t="s">
        <v>242</v>
      </c>
      <c r="Q297" s="11" t="s">
        <v>243</v>
      </c>
      <c r="R297" s="474"/>
      <c r="S297" s="339"/>
    </row>
    <row r="298" spans="1:19" ht="33">
      <c r="A298" s="333" t="s">
        <v>2224</v>
      </c>
      <c r="B298" s="334" t="s">
        <v>866</v>
      </c>
      <c r="C298" s="335" t="s">
        <v>669</v>
      </c>
      <c r="D298" s="336">
        <v>1</v>
      </c>
      <c r="E298" s="336">
        <v>1</v>
      </c>
      <c r="F298" s="336">
        <f>估驗單!F294</f>
        <v>1</v>
      </c>
      <c r="G298" s="390">
        <f t="shared" si="22"/>
        <v>0</v>
      </c>
      <c r="H298" s="336">
        <v>79.040000000000006</v>
      </c>
      <c r="I298" s="336"/>
      <c r="J298" s="336"/>
      <c r="K298" s="336">
        <v>79.040000000000006</v>
      </c>
      <c r="L298" s="336">
        <f t="shared" si="24"/>
        <v>79.040000000000006</v>
      </c>
      <c r="M298" s="336">
        <f t="shared" si="25"/>
        <v>79.040000000000006</v>
      </c>
      <c r="N298" s="390">
        <f t="shared" si="23"/>
        <v>0</v>
      </c>
      <c r="O298" s="442"/>
      <c r="P298" s="231" t="s">
        <v>242</v>
      </c>
      <c r="Q298" s="11" t="s">
        <v>243</v>
      </c>
      <c r="R298" s="474"/>
      <c r="S298" s="339"/>
    </row>
    <row r="299" spans="1:19" ht="33">
      <c r="A299" s="333" t="s">
        <v>2225</v>
      </c>
      <c r="B299" s="334" t="s">
        <v>869</v>
      </c>
      <c r="C299" s="335" t="s">
        <v>669</v>
      </c>
      <c r="D299" s="336">
        <v>1</v>
      </c>
      <c r="E299" s="336">
        <v>1</v>
      </c>
      <c r="F299" s="336">
        <f>估驗單!F295</f>
        <v>1</v>
      </c>
      <c r="G299" s="390">
        <f t="shared" si="22"/>
        <v>0</v>
      </c>
      <c r="H299" s="336">
        <v>99.64</v>
      </c>
      <c r="I299" s="336"/>
      <c r="J299" s="336"/>
      <c r="K299" s="336">
        <v>99.64</v>
      </c>
      <c r="L299" s="336">
        <f t="shared" si="24"/>
        <v>99.64</v>
      </c>
      <c r="M299" s="336">
        <f t="shared" si="25"/>
        <v>99.64</v>
      </c>
      <c r="N299" s="390">
        <f t="shared" si="23"/>
        <v>0</v>
      </c>
      <c r="O299" s="442"/>
      <c r="P299" s="231" t="s">
        <v>242</v>
      </c>
      <c r="Q299" s="11" t="s">
        <v>243</v>
      </c>
      <c r="R299" s="474"/>
      <c r="S299" s="339"/>
    </row>
    <row r="300" spans="1:19" ht="33">
      <c r="A300" s="333" t="s">
        <v>2226</v>
      </c>
      <c r="B300" s="334" t="s">
        <v>872</v>
      </c>
      <c r="C300" s="335" t="s">
        <v>669</v>
      </c>
      <c r="D300" s="336">
        <v>1</v>
      </c>
      <c r="E300" s="336">
        <v>1</v>
      </c>
      <c r="F300" s="336">
        <f>估驗單!F296</f>
        <v>1</v>
      </c>
      <c r="G300" s="390">
        <f t="shared" si="22"/>
        <v>0</v>
      </c>
      <c r="H300" s="336">
        <v>74.92</v>
      </c>
      <c r="I300" s="336"/>
      <c r="J300" s="336"/>
      <c r="K300" s="336">
        <v>74.92</v>
      </c>
      <c r="L300" s="336">
        <f t="shared" si="24"/>
        <v>74.92</v>
      </c>
      <c r="M300" s="336">
        <f t="shared" si="25"/>
        <v>74.92</v>
      </c>
      <c r="N300" s="390">
        <f t="shared" si="23"/>
        <v>0</v>
      </c>
      <c r="O300" s="442"/>
      <c r="P300" s="231" t="s">
        <v>242</v>
      </c>
      <c r="Q300" s="11" t="s">
        <v>243</v>
      </c>
      <c r="R300" s="474"/>
      <c r="S300" s="339"/>
    </row>
    <row r="301" spans="1:19" ht="33">
      <c r="A301" s="333" t="s">
        <v>2227</v>
      </c>
      <c r="B301" s="334" t="s">
        <v>875</v>
      </c>
      <c r="C301" s="335" t="s">
        <v>669</v>
      </c>
      <c r="D301" s="336">
        <v>1</v>
      </c>
      <c r="E301" s="336">
        <v>1</v>
      </c>
      <c r="F301" s="336">
        <f>估驗單!F297</f>
        <v>1</v>
      </c>
      <c r="G301" s="390">
        <f t="shared" si="22"/>
        <v>0</v>
      </c>
      <c r="H301" s="336">
        <v>72.28</v>
      </c>
      <c r="I301" s="336"/>
      <c r="J301" s="336"/>
      <c r="K301" s="336">
        <v>72.28</v>
      </c>
      <c r="L301" s="336">
        <f t="shared" si="24"/>
        <v>72.28</v>
      </c>
      <c r="M301" s="336">
        <f t="shared" si="25"/>
        <v>72.28</v>
      </c>
      <c r="N301" s="390">
        <f t="shared" si="23"/>
        <v>0</v>
      </c>
      <c r="O301" s="442"/>
      <c r="P301" s="231" t="s">
        <v>242</v>
      </c>
      <c r="Q301" s="11" t="s">
        <v>243</v>
      </c>
      <c r="R301" s="474"/>
      <c r="S301" s="339"/>
    </row>
    <row r="302" spans="1:19" ht="33">
      <c r="A302" s="333" t="s">
        <v>2228</v>
      </c>
      <c r="B302" s="334" t="s">
        <v>878</v>
      </c>
      <c r="C302" s="335" t="s">
        <v>13</v>
      </c>
      <c r="D302" s="336">
        <v>1</v>
      </c>
      <c r="E302" s="336">
        <v>1</v>
      </c>
      <c r="F302" s="336">
        <f>估驗單!F298</f>
        <v>1</v>
      </c>
      <c r="G302" s="390">
        <f t="shared" si="22"/>
        <v>0</v>
      </c>
      <c r="H302" s="336">
        <v>43.77</v>
      </c>
      <c r="I302" s="336"/>
      <c r="J302" s="336"/>
      <c r="K302" s="336">
        <v>43.77</v>
      </c>
      <c r="L302" s="336">
        <f t="shared" si="24"/>
        <v>43.77</v>
      </c>
      <c r="M302" s="336">
        <f t="shared" si="25"/>
        <v>43.77</v>
      </c>
      <c r="N302" s="390">
        <f t="shared" si="23"/>
        <v>0</v>
      </c>
      <c r="O302" s="442"/>
      <c r="P302" s="231" t="s">
        <v>242</v>
      </c>
      <c r="Q302" s="11" t="s">
        <v>243</v>
      </c>
      <c r="R302" s="474"/>
      <c r="S302" s="339"/>
    </row>
    <row r="303" spans="1:19" ht="33">
      <c r="A303" s="333" t="s">
        <v>2229</v>
      </c>
      <c r="B303" s="334" t="s">
        <v>881</v>
      </c>
      <c r="C303" s="335" t="s">
        <v>882</v>
      </c>
      <c r="D303" s="336">
        <v>1</v>
      </c>
      <c r="E303" s="336">
        <v>1</v>
      </c>
      <c r="F303" s="336">
        <f>估驗單!F299</f>
        <v>1</v>
      </c>
      <c r="G303" s="390">
        <f t="shared" si="22"/>
        <v>0</v>
      </c>
      <c r="H303" s="336">
        <v>28.11</v>
      </c>
      <c r="I303" s="336"/>
      <c r="J303" s="336"/>
      <c r="K303" s="336">
        <v>28.11</v>
      </c>
      <c r="L303" s="336">
        <f t="shared" si="24"/>
        <v>28.11</v>
      </c>
      <c r="M303" s="336">
        <f t="shared" si="25"/>
        <v>28.11</v>
      </c>
      <c r="N303" s="390">
        <f t="shared" si="23"/>
        <v>0</v>
      </c>
      <c r="O303" s="442"/>
      <c r="P303" s="231" t="s">
        <v>242</v>
      </c>
      <c r="Q303" s="11" t="s">
        <v>243</v>
      </c>
      <c r="R303" s="474"/>
      <c r="S303" s="339"/>
    </row>
    <row r="304" spans="1:19" ht="33">
      <c r="A304" s="333" t="s">
        <v>2230</v>
      </c>
      <c r="B304" s="334" t="s">
        <v>885</v>
      </c>
      <c r="C304" s="335" t="s">
        <v>13</v>
      </c>
      <c r="D304" s="336">
        <v>1</v>
      </c>
      <c r="E304" s="336">
        <v>1</v>
      </c>
      <c r="F304" s="336">
        <f>估驗單!F300</f>
        <v>1</v>
      </c>
      <c r="G304" s="390">
        <f t="shared" si="22"/>
        <v>0</v>
      </c>
      <c r="H304" s="336">
        <v>239.86</v>
      </c>
      <c r="I304" s="336"/>
      <c r="J304" s="336"/>
      <c r="K304" s="336">
        <v>239.86</v>
      </c>
      <c r="L304" s="336">
        <f t="shared" si="24"/>
        <v>239.86</v>
      </c>
      <c r="M304" s="336">
        <f t="shared" si="25"/>
        <v>239.86</v>
      </c>
      <c r="N304" s="390">
        <f t="shared" si="23"/>
        <v>0</v>
      </c>
      <c r="O304" s="442"/>
      <c r="P304" s="231" t="s">
        <v>2410</v>
      </c>
      <c r="Q304" s="11" t="s">
        <v>243</v>
      </c>
      <c r="R304" s="474"/>
      <c r="S304" s="339"/>
    </row>
    <row r="305" spans="1:22" s="352" customFormat="1" ht="45">
      <c r="A305" s="343">
        <v>76</v>
      </c>
      <c r="B305" s="344" t="s">
        <v>2411</v>
      </c>
      <c r="C305" s="345" t="s">
        <v>2386</v>
      </c>
      <c r="D305" s="340">
        <v>0</v>
      </c>
      <c r="E305" s="340">
        <v>1305</v>
      </c>
      <c r="F305" s="336">
        <f>估驗單!F301</f>
        <v>1305</v>
      </c>
      <c r="G305" s="390">
        <f t="shared" si="22"/>
        <v>0</v>
      </c>
      <c r="H305" s="340">
        <v>0</v>
      </c>
      <c r="I305" s="340"/>
      <c r="J305" s="340">
        <v>1765.46</v>
      </c>
      <c r="K305" s="340">
        <v>0</v>
      </c>
      <c r="L305" s="336">
        <f>ROUND(E305*J305,2)</f>
        <v>2303925.2999999998</v>
      </c>
      <c r="M305" s="336">
        <f>ROUND(F305*J305,2)</f>
        <v>2303925.2999999998</v>
      </c>
      <c r="N305" s="390">
        <f t="shared" si="23"/>
        <v>0</v>
      </c>
      <c r="O305" s="442"/>
      <c r="P305" s="350" t="s">
        <v>2412</v>
      </c>
      <c r="Q305" s="347"/>
      <c r="R305" s="377" t="s">
        <v>2413</v>
      </c>
      <c r="S305" s="349" t="s">
        <v>2414</v>
      </c>
      <c r="T305" s="325" t="s">
        <v>2415</v>
      </c>
      <c r="V305" s="372" t="s">
        <v>2416</v>
      </c>
    </row>
    <row r="306" spans="1:22" s="363" customFormat="1" ht="31.5" customHeight="1">
      <c r="A306" s="343">
        <v>77</v>
      </c>
      <c r="B306" s="344" t="s">
        <v>1508</v>
      </c>
      <c r="C306" s="345" t="s">
        <v>1509</v>
      </c>
      <c r="D306" s="340">
        <v>0</v>
      </c>
      <c r="E306" s="340">
        <f>9*1702</f>
        <v>15318</v>
      </c>
      <c r="F306" s="336">
        <f>估驗單!F302</f>
        <v>15318</v>
      </c>
      <c r="G306" s="418">
        <f t="shared" si="22"/>
        <v>0</v>
      </c>
      <c r="H306" s="340">
        <v>149.99</v>
      </c>
      <c r="I306" s="340"/>
      <c r="J306" s="340"/>
      <c r="K306" s="340">
        <f>H306*D306</f>
        <v>0</v>
      </c>
      <c r="L306" s="336">
        <f t="shared" si="24"/>
        <v>2297546.8199999998</v>
      </c>
      <c r="M306" s="336">
        <f t="shared" si="25"/>
        <v>2297546.8199999998</v>
      </c>
      <c r="N306" s="390">
        <f t="shared" si="23"/>
        <v>0</v>
      </c>
      <c r="O306" s="440"/>
      <c r="P306" s="346"/>
      <c r="Q306" s="347"/>
      <c r="R306" s="474" t="s">
        <v>2417</v>
      </c>
      <c r="S306" s="322" t="s">
        <v>2418</v>
      </c>
      <c r="T306" s="325" t="s">
        <v>2400</v>
      </c>
    </row>
    <row r="307" spans="1:22" ht="33">
      <c r="A307" s="406" t="s">
        <v>2248</v>
      </c>
      <c r="B307" s="407" t="s">
        <v>888</v>
      </c>
      <c r="C307" s="408" t="s">
        <v>4</v>
      </c>
      <c r="D307" s="409">
        <v>1</v>
      </c>
      <c r="E307" s="409"/>
      <c r="F307" s="409">
        <f>估驗單!F303</f>
        <v>1</v>
      </c>
      <c r="G307" s="410">
        <f t="shared" si="22"/>
        <v>1</v>
      </c>
      <c r="H307" s="409">
        <v>5050770.37</v>
      </c>
      <c r="I307" s="409"/>
      <c r="J307" s="409"/>
      <c r="K307" s="409">
        <v>5050770.37</v>
      </c>
      <c r="L307" s="409">
        <f>SUM(L308:L340)</f>
        <v>5050770.370000001</v>
      </c>
      <c r="M307" s="409">
        <f>SUM(M308:M340)</f>
        <v>5050770.370000001</v>
      </c>
      <c r="N307" s="409">
        <f>SUM(N308:N340)</f>
        <v>0</v>
      </c>
      <c r="O307" s="444">
        <f>SUM(O308:O340)</f>
        <v>0</v>
      </c>
      <c r="P307" s="288" t="s">
        <v>242</v>
      </c>
      <c r="Q307" s="11" t="s">
        <v>243</v>
      </c>
      <c r="R307" s="478"/>
      <c r="S307" s="339"/>
    </row>
    <row r="308" spans="1:22" ht="33">
      <c r="A308" s="333" t="s">
        <v>2154</v>
      </c>
      <c r="B308" s="334" t="s">
        <v>890</v>
      </c>
      <c r="C308" s="335" t="s">
        <v>4</v>
      </c>
      <c r="D308" s="336">
        <v>1</v>
      </c>
      <c r="E308" s="336">
        <v>1</v>
      </c>
      <c r="F308" s="336">
        <f>估驗單!F304</f>
        <v>1</v>
      </c>
      <c r="G308" s="390">
        <f t="shared" si="22"/>
        <v>0</v>
      </c>
      <c r="H308" s="336">
        <v>88179.19</v>
      </c>
      <c r="I308" s="336"/>
      <c r="J308" s="336"/>
      <c r="K308" s="336">
        <v>88179.19</v>
      </c>
      <c r="L308" s="336">
        <f t="shared" ref="L308:L350" si="26">ROUND(E308*H308,2)</f>
        <v>88179.19</v>
      </c>
      <c r="M308" s="336">
        <f t="shared" ref="M308:M350" si="27">ROUND(F308*H308,2)</f>
        <v>88179.19</v>
      </c>
      <c r="N308" s="390">
        <f t="shared" ref="N308:N340" si="28">IF(L308-M308&lt;0+AND(L308&lt;&gt;0),M308-L308,"      ")</f>
        <v>0</v>
      </c>
      <c r="O308" s="442"/>
      <c r="P308" s="231" t="s">
        <v>242</v>
      </c>
      <c r="Q308" s="11" t="s">
        <v>243</v>
      </c>
      <c r="R308" s="474"/>
      <c r="S308" s="339"/>
    </row>
    <row r="309" spans="1:22" ht="33">
      <c r="A309" s="333" t="s">
        <v>2155</v>
      </c>
      <c r="B309" s="334" t="s">
        <v>893</v>
      </c>
      <c r="C309" s="335" t="s">
        <v>4</v>
      </c>
      <c r="D309" s="336">
        <v>1</v>
      </c>
      <c r="E309" s="336">
        <v>1</v>
      </c>
      <c r="F309" s="336">
        <f>估驗單!F305</f>
        <v>1</v>
      </c>
      <c r="G309" s="390">
        <f t="shared" si="22"/>
        <v>0</v>
      </c>
      <c r="H309" s="336">
        <v>149702.84</v>
      </c>
      <c r="I309" s="336"/>
      <c r="J309" s="336"/>
      <c r="K309" s="336">
        <v>149702.84</v>
      </c>
      <c r="L309" s="336">
        <f t="shared" si="26"/>
        <v>149702.84</v>
      </c>
      <c r="M309" s="336">
        <f t="shared" si="27"/>
        <v>149702.84</v>
      </c>
      <c r="N309" s="390">
        <f t="shared" si="28"/>
        <v>0</v>
      </c>
      <c r="O309" s="442"/>
      <c r="P309" s="231" t="s">
        <v>242</v>
      </c>
      <c r="Q309" s="11" t="s">
        <v>243</v>
      </c>
      <c r="R309" s="474"/>
      <c r="S309" s="339"/>
    </row>
    <row r="310" spans="1:22" ht="33">
      <c r="A310" s="333" t="s">
        <v>2156</v>
      </c>
      <c r="B310" s="334" t="s">
        <v>896</v>
      </c>
      <c r="C310" s="335" t="s">
        <v>4</v>
      </c>
      <c r="D310" s="336">
        <v>1</v>
      </c>
      <c r="E310" s="336">
        <v>1</v>
      </c>
      <c r="F310" s="336">
        <f>估驗單!F306</f>
        <v>1</v>
      </c>
      <c r="G310" s="390">
        <f t="shared" si="22"/>
        <v>0</v>
      </c>
      <c r="H310" s="336">
        <v>168290.82</v>
      </c>
      <c r="I310" s="336"/>
      <c r="J310" s="336"/>
      <c r="K310" s="336">
        <v>168290.82</v>
      </c>
      <c r="L310" s="336">
        <f t="shared" si="26"/>
        <v>168290.82</v>
      </c>
      <c r="M310" s="336">
        <f t="shared" si="27"/>
        <v>168290.82</v>
      </c>
      <c r="N310" s="390">
        <f t="shared" si="28"/>
        <v>0</v>
      </c>
      <c r="O310" s="442"/>
      <c r="P310" s="231" t="s">
        <v>242</v>
      </c>
      <c r="Q310" s="11" t="s">
        <v>243</v>
      </c>
      <c r="R310" s="474"/>
      <c r="S310" s="339"/>
    </row>
    <row r="311" spans="1:22" ht="33">
      <c r="A311" s="333" t="s">
        <v>2157</v>
      </c>
      <c r="B311" s="334" t="s">
        <v>899</v>
      </c>
      <c r="C311" s="335" t="s">
        <v>4</v>
      </c>
      <c r="D311" s="336">
        <v>1</v>
      </c>
      <c r="E311" s="336">
        <v>1</v>
      </c>
      <c r="F311" s="336">
        <f>估驗單!F307</f>
        <v>1</v>
      </c>
      <c r="G311" s="390">
        <f t="shared" si="22"/>
        <v>0</v>
      </c>
      <c r="H311" s="336">
        <v>23946.69</v>
      </c>
      <c r="I311" s="336"/>
      <c r="J311" s="336"/>
      <c r="K311" s="336">
        <v>23946.69</v>
      </c>
      <c r="L311" s="336">
        <f t="shared" si="26"/>
        <v>23946.69</v>
      </c>
      <c r="M311" s="336">
        <f t="shared" si="27"/>
        <v>23946.69</v>
      </c>
      <c r="N311" s="390">
        <f t="shared" si="28"/>
        <v>0</v>
      </c>
      <c r="O311" s="442"/>
      <c r="P311" s="231" t="s">
        <v>242</v>
      </c>
      <c r="Q311" s="11" t="s">
        <v>243</v>
      </c>
      <c r="R311" s="474"/>
      <c r="S311" s="339"/>
    </row>
    <row r="312" spans="1:22" s="325" customFormat="1" ht="42.75">
      <c r="A312" s="333" t="s">
        <v>2158</v>
      </c>
      <c r="B312" s="334" t="s">
        <v>902</v>
      </c>
      <c r="C312" s="335" t="s">
        <v>0</v>
      </c>
      <c r="D312" s="336">
        <v>11</v>
      </c>
      <c r="E312" s="336">
        <v>11</v>
      </c>
      <c r="F312" s="336">
        <f>估驗單!F308</f>
        <v>11</v>
      </c>
      <c r="G312" s="390">
        <f t="shared" si="22"/>
        <v>0</v>
      </c>
      <c r="H312" s="336">
        <v>42797.67</v>
      </c>
      <c r="I312" s="336"/>
      <c r="J312" s="336"/>
      <c r="K312" s="336">
        <v>470774.37</v>
      </c>
      <c r="L312" s="336">
        <f t="shared" si="26"/>
        <v>470774.37</v>
      </c>
      <c r="M312" s="336">
        <f t="shared" si="27"/>
        <v>470774.37</v>
      </c>
      <c r="N312" s="390">
        <f t="shared" si="28"/>
        <v>0</v>
      </c>
      <c r="O312" s="442"/>
      <c r="P312" s="231" t="s">
        <v>2419</v>
      </c>
      <c r="Q312" s="11" t="s">
        <v>243</v>
      </c>
      <c r="R312" s="474"/>
      <c r="S312" s="339"/>
    </row>
    <row r="313" spans="1:22" s="325" customFormat="1" ht="33">
      <c r="A313" s="333" t="s">
        <v>2159</v>
      </c>
      <c r="B313" s="334" t="s">
        <v>905</v>
      </c>
      <c r="C313" s="335" t="s">
        <v>0</v>
      </c>
      <c r="D313" s="336">
        <v>9</v>
      </c>
      <c r="E313" s="336">
        <v>9</v>
      </c>
      <c r="F313" s="336">
        <f>估驗單!F309</f>
        <v>9</v>
      </c>
      <c r="G313" s="390">
        <f t="shared" si="22"/>
        <v>0</v>
      </c>
      <c r="H313" s="336">
        <v>60396.71</v>
      </c>
      <c r="I313" s="336"/>
      <c r="J313" s="336"/>
      <c r="K313" s="336">
        <v>543570.39</v>
      </c>
      <c r="L313" s="336">
        <f t="shared" si="26"/>
        <v>543570.39</v>
      </c>
      <c r="M313" s="336">
        <f t="shared" si="27"/>
        <v>543570.39</v>
      </c>
      <c r="N313" s="390">
        <f t="shared" si="28"/>
        <v>0</v>
      </c>
      <c r="O313" s="442"/>
      <c r="P313" s="231" t="s">
        <v>2321</v>
      </c>
      <c r="Q313" s="11" t="s">
        <v>243</v>
      </c>
      <c r="R313" s="474"/>
      <c r="S313" s="339"/>
    </row>
    <row r="314" spans="1:22" s="325" customFormat="1" ht="33">
      <c r="A314" s="333" t="s">
        <v>2160</v>
      </c>
      <c r="B314" s="334" t="s">
        <v>908</v>
      </c>
      <c r="C314" s="335" t="s">
        <v>0</v>
      </c>
      <c r="D314" s="336">
        <v>10</v>
      </c>
      <c r="E314" s="336">
        <v>10</v>
      </c>
      <c r="F314" s="336">
        <f>估驗單!F310</f>
        <v>10</v>
      </c>
      <c r="G314" s="390">
        <f t="shared" si="22"/>
        <v>0</v>
      </c>
      <c r="H314" s="336">
        <v>34998.089999999997</v>
      </c>
      <c r="I314" s="336"/>
      <c r="J314" s="336"/>
      <c r="K314" s="336">
        <v>349980.9</v>
      </c>
      <c r="L314" s="336">
        <f t="shared" si="26"/>
        <v>349980.9</v>
      </c>
      <c r="M314" s="336">
        <f t="shared" si="27"/>
        <v>349980.9</v>
      </c>
      <c r="N314" s="390">
        <f t="shared" si="28"/>
        <v>0</v>
      </c>
      <c r="O314" s="442"/>
      <c r="P314" s="231" t="s">
        <v>2321</v>
      </c>
      <c r="Q314" s="11" t="s">
        <v>243</v>
      </c>
      <c r="R314" s="474"/>
      <c r="S314" s="339"/>
    </row>
    <row r="315" spans="1:22" s="325" customFormat="1" ht="33">
      <c r="A315" s="333" t="s">
        <v>2161</v>
      </c>
      <c r="B315" s="334" t="s">
        <v>911</v>
      </c>
      <c r="C315" s="335" t="s">
        <v>0</v>
      </c>
      <c r="D315" s="336">
        <v>8</v>
      </c>
      <c r="E315" s="336">
        <v>8</v>
      </c>
      <c r="F315" s="336">
        <f>估驗單!F311</f>
        <v>8</v>
      </c>
      <c r="G315" s="390">
        <f t="shared" si="22"/>
        <v>0</v>
      </c>
      <c r="H315" s="336">
        <v>9999.4500000000007</v>
      </c>
      <c r="I315" s="336"/>
      <c r="J315" s="336"/>
      <c r="K315" s="336">
        <v>79995.600000000006</v>
      </c>
      <c r="L315" s="336">
        <f t="shared" si="26"/>
        <v>79995.600000000006</v>
      </c>
      <c r="M315" s="336">
        <f t="shared" si="27"/>
        <v>79995.600000000006</v>
      </c>
      <c r="N315" s="390">
        <f t="shared" si="28"/>
        <v>0</v>
      </c>
      <c r="O315" s="442"/>
      <c r="P315" s="231" t="s">
        <v>2321</v>
      </c>
      <c r="Q315" s="11" t="s">
        <v>243</v>
      </c>
      <c r="R315" s="474"/>
      <c r="S315" s="339"/>
    </row>
    <row r="316" spans="1:22" s="325" customFormat="1" ht="33">
      <c r="A316" s="333" t="s">
        <v>2162</v>
      </c>
      <c r="B316" s="334" t="s">
        <v>914</v>
      </c>
      <c r="C316" s="335" t="s">
        <v>15</v>
      </c>
      <c r="D316" s="336">
        <v>2</v>
      </c>
      <c r="E316" s="336">
        <v>2</v>
      </c>
      <c r="F316" s="336">
        <f>估驗單!F312</f>
        <v>2</v>
      </c>
      <c r="G316" s="390">
        <f t="shared" si="22"/>
        <v>0</v>
      </c>
      <c r="H316" s="336">
        <v>1499.92</v>
      </c>
      <c r="I316" s="336"/>
      <c r="J316" s="336"/>
      <c r="K316" s="336">
        <v>2999.84</v>
      </c>
      <c r="L316" s="336">
        <f t="shared" si="26"/>
        <v>2999.84</v>
      </c>
      <c r="M316" s="336">
        <f t="shared" si="27"/>
        <v>2999.84</v>
      </c>
      <c r="N316" s="390">
        <f t="shared" si="28"/>
        <v>0</v>
      </c>
      <c r="O316" s="442"/>
      <c r="P316" s="231" t="s">
        <v>242</v>
      </c>
      <c r="Q316" s="11" t="s">
        <v>243</v>
      </c>
      <c r="R316" s="474"/>
      <c r="S316" s="339"/>
    </row>
    <row r="317" spans="1:22" s="325" customFormat="1" ht="33">
      <c r="A317" s="333" t="s">
        <v>2163</v>
      </c>
      <c r="B317" s="334" t="s">
        <v>917</v>
      </c>
      <c r="C317" s="335" t="s">
        <v>15</v>
      </c>
      <c r="D317" s="336">
        <v>2</v>
      </c>
      <c r="E317" s="336">
        <v>2</v>
      </c>
      <c r="F317" s="336">
        <f>估驗單!F313</f>
        <v>2</v>
      </c>
      <c r="G317" s="390">
        <f t="shared" si="22"/>
        <v>0</v>
      </c>
      <c r="H317" s="336">
        <v>3999.78</v>
      </c>
      <c r="I317" s="336"/>
      <c r="J317" s="336"/>
      <c r="K317" s="336">
        <v>7999.56</v>
      </c>
      <c r="L317" s="336">
        <f t="shared" si="26"/>
        <v>7999.56</v>
      </c>
      <c r="M317" s="336">
        <f t="shared" si="27"/>
        <v>7999.56</v>
      </c>
      <c r="N317" s="390">
        <f t="shared" si="28"/>
        <v>0</v>
      </c>
      <c r="O317" s="442"/>
      <c r="P317" s="231" t="s">
        <v>242</v>
      </c>
      <c r="Q317" s="11" t="s">
        <v>243</v>
      </c>
      <c r="R317" s="474"/>
      <c r="S317" s="339"/>
    </row>
    <row r="318" spans="1:22" s="325" customFormat="1" ht="33">
      <c r="A318" s="333" t="s">
        <v>2164</v>
      </c>
      <c r="B318" s="334" t="s">
        <v>920</v>
      </c>
      <c r="C318" s="335" t="s">
        <v>8</v>
      </c>
      <c r="D318" s="336">
        <v>44.6</v>
      </c>
      <c r="E318" s="336">
        <v>44.6</v>
      </c>
      <c r="F318" s="336">
        <f>估驗單!F314</f>
        <v>44.6</v>
      </c>
      <c r="G318" s="390">
        <f t="shared" si="22"/>
        <v>0</v>
      </c>
      <c r="H318" s="336">
        <v>799.96</v>
      </c>
      <c r="I318" s="336"/>
      <c r="J318" s="336"/>
      <c r="K318" s="336">
        <v>35678.22</v>
      </c>
      <c r="L318" s="336">
        <f t="shared" si="26"/>
        <v>35678.22</v>
      </c>
      <c r="M318" s="336">
        <f t="shared" si="27"/>
        <v>35678.22</v>
      </c>
      <c r="N318" s="390">
        <f t="shared" si="28"/>
        <v>0</v>
      </c>
      <c r="O318" s="442"/>
      <c r="P318" s="231" t="s">
        <v>242</v>
      </c>
      <c r="Q318" s="11" t="s">
        <v>243</v>
      </c>
      <c r="R318" s="474"/>
      <c r="S318" s="339"/>
    </row>
    <row r="319" spans="1:22" s="325" customFormat="1" ht="33">
      <c r="A319" s="333" t="s">
        <v>2165</v>
      </c>
      <c r="B319" s="334" t="s">
        <v>923</v>
      </c>
      <c r="C319" s="335" t="s">
        <v>15</v>
      </c>
      <c r="D319" s="336">
        <v>10</v>
      </c>
      <c r="E319" s="336">
        <v>10</v>
      </c>
      <c r="F319" s="336">
        <f>估驗單!F315</f>
        <v>10</v>
      </c>
      <c r="G319" s="390">
        <f t="shared" si="22"/>
        <v>0</v>
      </c>
      <c r="H319" s="336">
        <v>11299.38</v>
      </c>
      <c r="I319" s="336"/>
      <c r="J319" s="336"/>
      <c r="K319" s="336">
        <v>112993.8</v>
      </c>
      <c r="L319" s="336">
        <f t="shared" si="26"/>
        <v>112993.8</v>
      </c>
      <c r="M319" s="336">
        <f t="shared" si="27"/>
        <v>112993.8</v>
      </c>
      <c r="N319" s="390">
        <f t="shared" si="28"/>
        <v>0</v>
      </c>
      <c r="O319" s="442"/>
      <c r="P319" s="231" t="s">
        <v>242</v>
      </c>
      <c r="Q319" s="11" t="s">
        <v>243</v>
      </c>
      <c r="R319" s="474"/>
      <c r="S319" s="339"/>
    </row>
    <row r="320" spans="1:22" s="325" customFormat="1" ht="33">
      <c r="A320" s="333" t="s">
        <v>2166</v>
      </c>
      <c r="B320" s="334" t="s">
        <v>926</v>
      </c>
      <c r="C320" s="335" t="s">
        <v>15</v>
      </c>
      <c r="D320" s="336">
        <v>5</v>
      </c>
      <c r="E320" s="336">
        <v>5</v>
      </c>
      <c r="F320" s="336">
        <f>估驗單!F316</f>
        <v>5</v>
      </c>
      <c r="G320" s="390">
        <f t="shared" si="22"/>
        <v>0</v>
      </c>
      <c r="H320" s="336">
        <v>17999.02</v>
      </c>
      <c r="I320" s="336"/>
      <c r="J320" s="336"/>
      <c r="K320" s="336">
        <v>89995.1</v>
      </c>
      <c r="L320" s="336">
        <f t="shared" si="26"/>
        <v>89995.1</v>
      </c>
      <c r="M320" s="336">
        <f t="shared" si="27"/>
        <v>89995.1</v>
      </c>
      <c r="N320" s="390">
        <f t="shared" si="28"/>
        <v>0</v>
      </c>
      <c r="O320" s="442"/>
      <c r="P320" s="231" t="s">
        <v>242</v>
      </c>
      <c r="Q320" s="11" t="s">
        <v>243</v>
      </c>
      <c r="R320" s="474"/>
      <c r="S320" s="339"/>
    </row>
    <row r="321" spans="1:19" s="325" customFormat="1" ht="33">
      <c r="A321" s="333" t="s">
        <v>2167</v>
      </c>
      <c r="B321" s="334" t="s">
        <v>929</v>
      </c>
      <c r="C321" s="335" t="s">
        <v>15</v>
      </c>
      <c r="D321" s="336">
        <v>17</v>
      </c>
      <c r="E321" s="336">
        <v>17</v>
      </c>
      <c r="F321" s="336">
        <f>估驗單!F317</f>
        <v>17</v>
      </c>
      <c r="G321" s="390">
        <f t="shared" si="22"/>
        <v>0</v>
      </c>
      <c r="H321" s="336">
        <v>4199.7700000000004</v>
      </c>
      <c r="I321" s="336"/>
      <c r="J321" s="336"/>
      <c r="K321" s="336">
        <v>71396.09</v>
      </c>
      <c r="L321" s="336">
        <f t="shared" si="26"/>
        <v>71396.09</v>
      </c>
      <c r="M321" s="336">
        <f t="shared" si="27"/>
        <v>71396.09</v>
      </c>
      <c r="N321" s="390">
        <f t="shared" si="28"/>
        <v>0</v>
      </c>
      <c r="O321" s="442"/>
      <c r="P321" s="231" t="s">
        <v>242</v>
      </c>
      <c r="Q321" s="11" t="s">
        <v>243</v>
      </c>
      <c r="R321" s="474"/>
      <c r="S321" s="339"/>
    </row>
    <row r="322" spans="1:19" s="325" customFormat="1" ht="33">
      <c r="A322" s="333" t="s">
        <v>2168</v>
      </c>
      <c r="B322" s="334" t="s">
        <v>932</v>
      </c>
      <c r="C322" s="335" t="s">
        <v>290</v>
      </c>
      <c r="D322" s="336">
        <v>1</v>
      </c>
      <c r="E322" s="336">
        <v>1</v>
      </c>
      <c r="F322" s="336">
        <f>估驗單!F318</f>
        <v>1</v>
      </c>
      <c r="G322" s="390">
        <f t="shared" si="22"/>
        <v>0</v>
      </c>
      <c r="H322" s="336">
        <v>112957.32</v>
      </c>
      <c r="I322" s="336"/>
      <c r="J322" s="336"/>
      <c r="K322" s="336">
        <v>112957.32</v>
      </c>
      <c r="L322" s="336">
        <f t="shared" si="26"/>
        <v>112957.32</v>
      </c>
      <c r="M322" s="336">
        <f t="shared" si="27"/>
        <v>112957.32</v>
      </c>
      <c r="N322" s="390">
        <f t="shared" si="28"/>
        <v>0</v>
      </c>
      <c r="O322" s="442"/>
      <c r="P322" s="231" t="s">
        <v>2420</v>
      </c>
      <c r="Q322" s="11" t="s">
        <v>243</v>
      </c>
      <c r="R322" s="474"/>
      <c r="S322" s="339"/>
    </row>
    <row r="323" spans="1:19" s="325" customFormat="1" ht="57">
      <c r="A323" s="333" t="s">
        <v>2169</v>
      </c>
      <c r="B323" s="334" t="s">
        <v>935</v>
      </c>
      <c r="C323" s="335" t="s">
        <v>4</v>
      </c>
      <c r="D323" s="336">
        <v>1</v>
      </c>
      <c r="E323" s="336">
        <v>1</v>
      </c>
      <c r="F323" s="336">
        <f>估驗單!F319</f>
        <v>1</v>
      </c>
      <c r="G323" s="390">
        <f t="shared" si="22"/>
        <v>0</v>
      </c>
      <c r="H323" s="336">
        <v>322482.40999999997</v>
      </c>
      <c r="I323" s="336"/>
      <c r="J323" s="336"/>
      <c r="K323" s="336">
        <v>322482.40999999997</v>
      </c>
      <c r="L323" s="336">
        <f t="shared" si="26"/>
        <v>322482.40999999997</v>
      </c>
      <c r="M323" s="336">
        <f t="shared" si="27"/>
        <v>322482.40999999997</v>
      </c>
      <c r="N323" s="390">
        <f t="shared" si="28"/>
        <v>0</v>
      </c>
      <c r="O323" s="442"/>
      <c r="P323" s="231" t="s">
        <v>2421</v>
      </c>
      <c r="Q323" s="11" t="s">
        <v>243</v>
      </c>
      <c r="R323" s="474"/>
      <c r="S323" s="339"/>
    </row>
    <row r="324" spans="1:19" s="325" customFormat="1" ht="33">
      <c r="A324" s="333" t="s">
        <v>2170</v>
      </c>
      <c r="B324" s="334" t="s">
        <v>938</v>
      </c>
      <c r="C324" s="335" t="s">
        <v>15</v>
      </c>
      <c r="D324" s="336">
        <v>17</v>
      </c>
      <c r="E324" s="336">
        <v>17</v>
      </c>
      <c r="F324" s="336">
        <f>估驗單!F320</f>
        <v>17</v>
      </c>
      <c r="G324" s="390">
        <f t="shared" si="22"/>
        <v>0</v>
      </c>
      <c r="H324" s="336">
        <v>99994.55</v>
      </c>
      <c r="I324" s="336"/>
      <c r="J324" s="336"/>
      <c r="K324" s="336">
        <v>1699907.35</v>
      </c>
      <c r="L324" s="336">
        <f t="shared" si="26"/>
        <v>1699907.35</v>
      </c>
      <c r="M324" s="336">
        <f t="shared" si="27"/>
        <v>1699907.35</v>
      </c>
      <c r="N324" s="390">
        <f t="shared" si="28"/>
        <v>0</v>
      </c>
      <c r="O324" s="442"/>
      <c r="P324" s="231" t="s">
        <v>242</v>
      </c>
      <c r="Q324" s="11" t="s">
        <v>243</v>
      </c>
      <c r="R324" s="474"/>
      <c r="S324" s="339"/>
    </row>
    <row r="325" spans="1:19" s="325" customFormat="1" ht="33">
      <c r="A325" s="333" t="s">
        <v>2171</v>
      </c>
      <c r="B325" s="334" t="s">
        <v>941</v>
      </c>
      <c r="C325" s="335" t="s">
        <v>583</v>
      </c>
      <c r="D325" s="336">
        <v>2</v>
      </c>
      <c r="E325" s="336">
        <v>2</v>
      </c>
      <c r="F325" s="336">
        <f>估驗單!F321</f>
        <v>2</v>
      </c>
      <c r="G325" s="390">
        <f t="shared" si="22"/>
        <v>0</v>
      </c>
      <c r="H325" s="336">
        <v>14999.18</v>
      </c>
      <c r="I325" s="336"/>
      <c r="J325" s="336"/>
      <c r="K325" s="336">
        <v>29998.36</v>
      </c>
      <c r="L325" s="336">
        <f t="shared" si="26"/>
        <v>29998.36</v>
      </c>
      <c r="M325" s="336">
        <f t="shared" si="27"/>
        <v>29998.36</v>
      </c>
      <c r="N325" s="390">
        <f t="shared" si="28"/>
        <v>0</v>
      </c>
      <c r="O325" s="442"/>
      <c r="P325" s="231" t="s">
        <v>2321</v>
      </c>
      <c r="Q325" s="11" t="s">
        <v>243</v>
      </c>
      <c r="R325" s="474"/>
      <c r="S325" s="339"/>
    </row>
    <row r="326" spans="1:19" s="325" customFormat="1" ht="33">
      <c r="A326" s="333" t="s">
        <v>2172</v>
      </c>
      <c r="B326" s="334" t="s">
        <v>944</v>
      </c>
      <c r="C326" s="335" t="s">
        <v>15</v>
      </c>
      <c r="D326" s="336">
        <v>1</v>
      </c>
      <c r="E326" s="336">
        <v>1</v>
      </c>
      <c r="F326" s="336">
        <f>估驗單!F322</f>
        <v>1</v>
      </c>
      <c r="G326" s="390">
        <f t="shared" si="22"/>
        <v>0</v>
      </c>
      <c r="H326" s="336">
        <v>1499.92</v>
      </c>
      <c r="I326" s="336"/>
      <c r="J326" s="336"/>
      <c r="K326" s="336">
        <v>1499.92</v>
      </c>
      <c r="L326" s="336">
        <f t="shared" si="26"/>
        <v>1499.92</v>
      </c>
      <c r="M326" s="336">
        <f t="shared" si="27"/>
        <v>1499.92</v>
      </c>
      <c r="N326" s="390">
        <f t="shared" si="28"/>
        <v>0</v>
      </c>
      <c r="O326" s="442"/>
      <c r="P326" s="231" t="s">
        <v>2422</v>
      </c>
      <c r="Q326" s="11" t="s">
        <v>243</v>
      </c>
      <c r="R326" s="474"/>
      <c r="S326" s="339"/>
    </row>
    <row r="327" spans="1:19" s="325" customFormat="1" ht="33">
      <c r="A327" s="333" t="s">
        <v>2173</v>
      </c>
      <c r="B327" s="334" t="s">
        <v>947</v>
      </c>
      <c r="C327" s="335" t="s">
        <v>19</v>
      </c>
      <c r="D327" s="336">
        <v>2</v>
      </c>
      <c r="E327" s="336">
        <v>2</v>
      </c>
      <c r="F327" s="336">
        <f>估驗單!F323</f>
        <v>2</v>
      </c>
      <c r="G327" s="390">
        <f t="shared" si="22"/>
        <v>0</v>
      </c>
      <c r="H327" s="336">
        <v>2599.86</v>
      </c>
      <c r="I327" s="336"/>
      <c r="J327" s="336"/>
      <c r="K327" s="336">
        <v>5199.72</v>
      </c>
      <c r="L327" s="336">
        <f t="shared" si="26"/>
        <v>5199.72</v>
      </c>
      <c r="M327" s="336">
        <f t="shared" si="27"/>
        <v>5199.72</v>
      </c>
      <c r="N327" s="390">
        <f t="shared" si="28"/>
        <v>0</v>
      </c>
      <c r="O327" s="442"/>
      <c r="P327" s="231" t="s">
        <v>242</v>
      </c>
      <c r="Q327" s="11" t="s">
        <v>243</v>
      </c>
      <c r="R327" s="474"/>
      <c r="S327" s="339"/>
    </row>
    <row r="328" spans="1:19" ht="33">
      <c r="A328" s="333" t="s">
        <v>2174</v>
      </c>
      <c r="B328" s="334" t="s">
        <v>950</v>
      </c>
      <c r="C328" s="335" t="s">
        <v>19</v>
      </c>
      <c r="D328" s="336">
        <v>9</v>
      </c>
      <c r="E328" s="336">
        <v>9</v>
      </c>
      <c r="F328" s="336">
        <f>估驗單!F324</f>
        <v>9</v>
      </c>
      <c r="G328" s="390">
        <f t="shared" si="22"/>
        <v>0</v>
      </c>
      <c r="H328" s="336">
        <v>4459.76</v>
      </c>
      <c r="I328" s="336"/>
      <c r="J328" s="336"/>
      <c r="K328" s="336">
        <v>40137.839999999997</v>
      </c>
      <c r="L328" s="336">
        <f t="shared" si="26"/>
        <v>40137.839999999997</v>
      </c>
      <c r="M328" s="336">
        <f t="shared" si="27"/>
        <v>40137.839999999997</v>
      </c>
      <c r="N328" s="390">
        <f t="shared" si="28"/>
        <v>0</v>
      </c>
      <c r="O328" s="442"/>
      <c r="P328" s="231" t="s">
        <v>242</v>
      </c>
      <c r="Q328" s="11" t="s">
        <v>243</v>
      </c>
      <c r="R328" s="474"/>
      <c r="S328" s="339"/>
    </row>
    <row r="329" spans="1:19" ht="33">
      <c r="A329" s="333" t="s">
        <v>2175</v>
      </c>
      <c r="B329" s="334" t="s">
        <v>953</v>
      </c>
      <c r="C329" s="335" t="s">
        <v>8</v>
      </c>
      <c r="D329" s="336">
        <v>180</v>
      </c>
      <c r="E329" s="336">
        <v>180</v>
      </c>
      <c r="F329" s="336">
        <f>估驗單!F325</f>
        <v>180</v>
      </c>
      <c r="G329" s="390">
        <f t="shared" si="22"/>
        <v>0</v>
      </c>
      <c r="H329" s="336">
        <v>596.98</v>
      </c>
      <c r="I329" s="336"/>
      <c r="J329" s="336"/>
      <c r="K329" s="336">
        <v>107456.4</v>
      </c>
      <c r="L329" s="336">
        <f t="shared" si="26"/>
        <v>107456.4</v>
      </c>
      <c r="M329" s="336">
        <f t="shared" si="27"/>
        <v>107456.4</v>
      </c>
      <c r="N329" s="390">
        <f t="shared" si="28"/>
        <v>0</v>
      </c>
      <c r="O329" s="442"/>
      <c r="P329" s="231" t="s">
        <v>242</v>
      </c>
      <c r="Q329" s="11" t="s">
        <v>243</v>
      </c>
      <c r="R329" s="474"/>
      <c r="S329" s="339"/>
    </row>
    <row r="330" spans="1:19" ht="33">
      <c r="A330" s="333" t="s">
        <v>2177</v>
      </c>
      <c r="B330" s="334" t="s">
        <v>956</v>
      </c>
      <c r="C330" s="335" t="s">
        <v>8</v>
      </c>
      <c r="D330" s="336">
        <v>60</v>
      </c>
      <c r="E330" s="336">
        <v>60</v>
      </c>
      <c r="F330" s="336">
        <f>估驗單!F326</f>
        <v>60</v>
      </c>
      <c r="G330" s="390">
        <f t="shared" si="22"/>
        <v>0</v>
      </c>
      <c r="H330" s="336">
        <v>67.42</v>
      </c>
      <c r="I330" s="336"/>
      <c r="J330" s="336"/>
      <c r="K330" s="336">
        <v>4045.2</v>
      </c>
      <c r="L330" s="336">
        <f t="shared" si="26"/>
        <v>4045.2</v>
      </c>
      <c r="M330" s="336">
        <f t="shared" si="27"/>
        <v>4045.2</v>
      </c>
      <c r="N330" s="390">
        <f t="shared" si="28"/>
        <v>0</v>
      </c>
      <c r="O330" s="442"/>
      <c r="P330" s="231" t="s">
        <v>2321</v>
      </c>
      <c r="Q330" s="11" t="s">
        <v>243</v>
      </c>
      <c r="R330" s="474"/>
      <c r="S330" s="339"/>
    </row>
    <row r="331" spans="1:19" ht="33">
      <c r="A331" s="333" t="s">
        <v>2178</v>
      </c>
      <c r="B331" s="334" t="s">
        <v>959</v>
      </c>
      <c r="C331" s="335" t="s">
        <v>8</v>
      </c>
      <c r="D331" s="336">
        <v>1032</v>
      </c>
      <c r="E331" s="336">
        <v>1032</v>
      </c>
      <c r="F331" s="336">
        <f>估驗單!F327</f>
        <v>1032</v>
      </c>
      <c r="G331" s="390">
        <f t="shared" si="22"/>
        <v>0</v>
      </c>
      <c r="H331" s="336">
        <v>29.42</v>
      </c>
      <c r="I331" s="336"/>
      <c r="J331" s="336"/>
      <c r="K331" s="336">
        <v>30361.439999999999</v>
      </c>
      <c r="L331" s="336">
        <f t="shared" si="26"/>
        <v>30361.439999999999</v>
      </c>
      <c r="M331" s="336">
        <f t="shared" si="27"/>
        <v>30361.439999999999</v>
      </c>
      <c r="N331" s="390">
        <f t="shared" si="28"/>
        <v>0</v>
      </c>
      <c r="O331" s="442"/>
      <c r="P331" s="231" t="s">
        <v>242</v>
      </c>
      <c r="Q331" s="11" t="s">
        <v>243</v>
      </c>
      <c r="R331" s="474"/>
      <c r="S331" s="339"/>
    </row>
    <row r="332" spans="1:19" ht="33">
      <c r="A332" s="333" t="s">
        <v>2179</v>
      </c>
      <c r="B332" s="334" t="s">
        <v>962</v>
      </c>
      <c r="C332" s="335" t="s">
        <v>8</v>
      </c>
      <c r="D332" s="336">
        <v>1103</v>
      </c>
      <c r="E332" s="336">
        <v>1103</v>
      </c>
      <c r="F332" s="336">
        <f>估驗單!F328</f>
        <v>1103</v>
      </c>
      <c r="G332" s="390">
        <f t="shared" si="22"/>
        <v>0</v>
      </c>
      <c r="H332" s="336">
        <v>147.1</v>
      </c>
      <c r="I332" s="336"/>
      <c r="J332" s="336"/>
      <c r="K332" s="336">
        <v>162251.29999999999</v>
      </c>
      <c r="L332" s="336">
        <f t="shared" si="26"/>
        <v>162251.29999999999</v>
      </c>
      <c r="M332" s="336">
        <f t="shared" si="27"/>
        <v>162251.29999999999</v>
      </c>
      <c r="N332" s="390">
        <f t="shared" si="28"/>
        <v>0</v>
      </c>
      <c r="O332" s="442"/>
      <c r="P332" s="231" t="s">
        <v>242</v>
      </c>
      <c r="Q332" s="11" t="s">
        <v>243</v>
      </c>
      <c r="R332" s="474"/>
      <c r="S332" s="339"/>
    </row>
    <row r="333" spans="1:19" ht="42.75">
      <c r="A333" s="333" t="s">
        <v>2181</v>
      </c>
      <c r="B333" s="334" t="s">
        <v>219</v>
      </c>
      <c r="C333" s="335" t="s">
        <v>8</v>
      </c>
      <c r="D333" s="336">
        <v>2064</v>
      </c>
      <c r="E333" s="336">
        <v>2064</v>
      </c>
      <c r="F333" s="336">
        <f>估驗單!F329</f>
        <v>2064</v>
      </c>
      <c r="G333" s="390">
        <f t="shared" si="22"/>
        <v>0</v>
      </c>
      <c r="H333" s="336">
        <v>78.459999999999994</v>
      </c>
      <c r="I333" s="336"/>
      <c r="J333" s="336"/>
      <c r="K333" s="336">
        <v>161941.44</v>
      </c>
      <c r="L333" s="336">
        <f t="shared" si="26"/>
        <v>161941.44</v>
      </c>
      <c r="M333" s="336">
        <f t="shared" si="27"/>
        <v>161941.44</v>
      </c>
      <c r="N333" s="390">
        <f t="shared" si="28"/>
        <v>0</v>
      </c>
      <c r="O333" s="442"/>
      <c r="P333" s="231" t="s">
        <v>242</v>
      </c>
      <c r="Q333" s="11" t="s">
        <v>243</v>
      </c>
      <c r="R333" s="474"/>
      <c r="S333" s="339"/>
    </row>
    <row r="334" spans="1:19" ht="33">
      <c r="A334" s="333" t="s">
        <v>2182</v>
      </c>
      <c r="B334" s="334" t="s">
        <v>967</v>
      </c>
      <c r="C334" s="335" t="s">
        <v>4</v>
      </c>
      <c r="D334" s="336">
        <v>1</v>
      </c>
      <c r="E334" s="336">
        <v>1</v>
      </c>
      <c r="F334" s="336">
        <f>估驗單!F330</f>
        <v>1</v>
      </c>
      <c r="G334" s="390">
        <f t="shared" si="22"/>
        <v>0</v>
      </c>
      <c r="H334" s="336">
        <v>24062.69</v>
      </c>
      <c r="I334" s="336"/>
      <c r="J334" s="336"/>
      <c r="K334" s="336">
        <v>24062.69</v>
      </c>
      <c r="L334" s="336">
        <f t="shared" si="26"/>
        <v>24062.69</v>
      </c>
      <c r="M334" s="336">
        <f t="shared" si="27"/>
        <v>24062.69</v>
      </c>
      <c r="N334" s="390">
        <f t="shared" si="28"/>
        <v>0</v>
      </c>
      <c r="O334" s="442"/>
      <c r="P334" s="231" t="s">
        <v>2321</v>
      </c>
      <c r="Q334" s="11" t="s">
        <v>243</v>
      </c>
      <c r="R334" s="474"/>
      <c r="S334" s="339"/>
    </row>
    <row r="335" spans="1:19" ht="33">
      <c r="A335" s="333" t="s">
        <v>2183</v>
      </c>
      <c r="B335" s="334" t="s">
        <v>970</v>
      </c>
      <c r="C335" s="335" t="s">
        <v>8</v>
      </c>
      <c r="D335" s="336">
        <v>1011</v>
      </c>
      <c r="E335" s="336">
        <v>1011</v>
      </c>
      <c r="F335" s="336">
        <f>估驗單!F331</f>
        <v>1011</v>
      </c>
      <c r="G335" s="390">
        <f t="shared" si="22"/>
        <v>0</v>
      </c>
      <c r="H335" s="336">
        <v>35.549999999999997</v>
      </c>
      <c r="I335" s="336"/>
      <c r="J335" s="336"/>
      <c r="K335" s="336">
        <v>35941.050000000003</v>
      </c>
      <c r="L335" s="336">
        <f t="shared" si="26"/>
        <v>35941.050000000003</v>
      </c>
      <c r="M335" s="336">
        <f t="shared" si="27"/>
        <v>35941.050000000003</v>
      </c>
      <c r="N335" s="390">
        <f t="shared" si="28"/>
        <v>0</v>
      </c>
      <c r="O335" s="442"/>
      <c r="P335" s="231" t="s">
        <v>242</v>
      </c>
      <c r="Q335" s="11" t="s">
        <v>243</v>
      </c>
      <c r="R335" s="474"/>
      <c r="S335" s="339"/>
    </row>
    <row r="336" spans="1:19" ht="33">
      <c r="A336" s="333" t="s">
        <v>2184</v>
      </c>
      <c r="B336" s="334" t="s">
        <v>220</v>
      </c>
      <c r="C336" s="335" t="s">
        <v>8</v>
      </c>
      <c r="D336" s="336">
        <v>946</v>
      </c>
      <c r="E336" s="336">
        <v>946</v>
      </c>
      <c r="F336" s="336">
        <f>估驗單!F332</f>
        <v>946</v>
      </c>
      <c r="G336" s="390">
        <f t="shared" si="22"/>
        <v>0</v>
      </c>
      <c r="H336" s="336">
        <v>60.07</v>
      </c>
      <c r="I336" s="336"/>
      <c r="J336" s="336"/>
      <c r="K336" s="336">
        <v>56826.22</v>
      </c>
      <c r="L336" s="336">
        <f t="shared" si="26"/>
        <v>56826.22</v>
      </c>
      <c r="M336" s="336">
        <f t="shared" si="27"/>
        <v>56826.22</v>
      </c>
      <c r="N336" s="390">
        <f t="shared" si="28"/>
        <v>0</v>
      </c>
      <c r="O336" s="442"/>
      <c r="P336" s="231" t="s">
        <v>2321</v>
      </c>
      <c r="Q336" s="11" t="s">
        <v>243</v>
      </c>
      <c r="R336" s="474"/>
      <c r="S336" s="339"/>
    </row>
    <row r="337" spans="1:20" ht="33">
      <c r="A337" s="333" t="s">
        <v>2185</v>
      </c>
      <c r="B337" s="334" t="s">
        <v>975</v>
      </c>
      <c r="C337" s="335" t="s">
        <v>8</v>
      </c>
      <c r="D337" s="336">
        <v>55</v>
      </c>
      <c r="E337" s="336">
        <v>55</v>
      </c>
      <c r="F337" s="336">
        <f>估驗單!F333</f>
        <v>55</v>
      </c>
      <c r="G337" s="390">
        <f t="shared" si="22"/>
        <v>0</v>
      </c>
      <c r="H337" s="336">
        <v>125.03</v>
      </c>
      <c r="I337" s="336"/>
      <c r="J337" s="336"/>
      <c r="K337" s="336">
        <v>6876.65</v>
      </c>
      <c r="L337" s="336">
        <f t="shared" si="26"/>
        <v>6876.65</v>
      </c>
      <c r="M337" s="336">
        <f t="shared" si="27"/>
        <v>6876.65</v>
      </c>
      <c r="N337" s="390">
        <f t="shared" si="28"/>
        <v>0</v>
      </c>
      <c r="O337" s="442"/>
      <c r="P337" s="231" t="s">
        <v>242</v>
      </c>
      <c r="Q337" s="11" t="s">
        <v>243</v>
      </c>
      <c r="R337" s="474"/>
      <c r="S337" s="339"/>
    </row>
    <row r="338" spans="1:20" ht="33">
      <c r="A338" s="333" t="s">
        <v>2186</v>
      </c>
      <c r="B338" s="334" t="s">
        <v>978</v>
      </c>
      <c r="C338" s="335" t="s">
        <v>8</v>
      </c>
      <c r="D338" s="336">
        <v>22</v>
      </c>
      <c r="E338" s="336">
        <v>22</v>
      </c>
      <c r="F338" s="336">
        <f>估驗單!F334</f>
        <v>22</v>
      </c>
      <c r="G338" s="390">
        <f t="shared" si="22"/>
        <v>0</v>
      </c>
      <c r="H338" s="336">
        <v>178.97</v>
      </c>
      <c r="I338" s="336"/>
      <c r="J338" s="336"/>
      <c r="K338" s="336">
        <v>3937.34</v>
      </c>
      <c r="L338" s="336">
        <f t="shared" si="26"/>
        <v>3937.34</v>
      </c>
      <c r="M338" s="336">
        <f t="shared" si="27"/>
        <v>3937.34</v>
      </c>
      <c r="N338" s="390">
        <f t="shared" si="28"/>
        <v>0</v>
      </c>
      <c r="O338" s="442"/>
      <c r="P338" s="231" t="s">
        <v>242</v>
      </c>
      <c r="Q338" s="11" t="s">
        <v>243</v>
      </c>
      <c r="R338" s="474"/>
      <c r="S338" s="339"/>
    </row>
    <row r="339" spans="1:20" ht="33">
      <c r="A339" s="333" t="s">
        <v>2187</v>
      </c>
      <c r="B339" s="334" t="s">
        <v>981</v>
      </c>
      <c r="C339" s="335" t="s">
        <v>4</v>
      </c>
      <c r="D339" s="336">
        <v>1</v>
      </c>
      <c r="E339" s="336">
        <v>1</v>
      </c>
      <c r="F339" s="336">
        <f>估驗單!F335</f>
        <v>1</v>
      </c>
      <c r="G339" s="390">
        <f t="shared" si="22"/>
        <v>0</v>
      </c>
      <c r="H339" s="336">
        <v>19812.919999999998</v>
      </c>
      <c r="I339" s="336"/>
      <c r="J339" s="336"/>
      <c r="K339" s="336">
        <v>19812.919999999998</v>
      </c>
      <c r="L339" s="336">
        <f t="shared" si="26"/>
        <v>19812.919999999998</v>
      </c>
      <c r="M339" s="336">
        <f t="shared" si="27"/>
        <v>19812.919999999998</v>
      </c>
      <c r="N339" s="390">
        <f t="shared" si="28"/>
        <v>0</v>
      </c>
      <c r="O339" s="442"/>
      <c r="P339" s="231" t="s">
        <v>242</v>
      </c>
      <c r="Q339" s="11" t="s">
        <v>243</v>
      </c>
      <c r="R339" s="474"/>
      <c r="S339" s="339"/>
    </row>
    <row r="340" spans="1:20" ht="33">
      <c r="A340" s="333" t="s">
        <v>2188</v>
      </c>
      <c r="B340" s="334" t="s">
        <v>984</v>
      </c>
      <c r="C340" s="335" t="s">
        <v>4</v>
      </c>
      <c r="D340" s="336">
        <v>1</v>
      </c>
      <c r="E340" s="336">
        <v>1</v>
      </c>
      <c r="F340" s="336">
        <f>估驗單!F336</f>
        <v>1</v>
      </c>
      <c r="G340" s="390">
        <f t="shared" si="22"/>
        <v>0</v>
      </c>
      <c r="H340" s="336">
        <v>29571.39</v>
      </c>
      <c r="I340" s="336"/>
      <c r="J340" s="336"/>
      <c r="K340" s="336">
        <v>29571.39</v>
      </c>
      <c r="L340" s="336">
        <f t="shared" si="26"/>
        <v>29571.39</v>
      </c>
      <c r="M340" s="336">
        <f t="shared" si="27"/>
        <v>29571.39</v>
      </c>
      <c r="N340" s="390">
        <f t="shared" si="28"/>
        <v>0</v>
      </c>
      <c r="O340" s="442"/>
      <c r="P340" s="231" t="s">
        <v>242</v>
      </c>
      <c r="Q340" s="11" t="s">
        <v>243</v>
      </c>
      <c r="R340" s="474"/>
      <c r="S340" s="339"/>
    </row>
    <row r="341" spans="1:20" ht="33">
      <c r="A341" s="406" t="s">
        <v>2249</v>
      </c>
      <c r="B341" s="407" t="s">
        <v>987</v>
      </c>
      <c r="C341" s="408" t="s">
        <v>4</v>
      </c>
      <c r="D341" s="409">
        <v>1</v>
      </c>
      <c r="E341" s="409"/>
      <c r="F341" s="409"/>
      <c r="G341" s="410">
        <f t="shared" si="22"/>
        <v>0</v>
      </c>
      <c r="H341" s="409">
        <v>8290678.5700000003</v>
      </c>
      <c r="I341" s="409"/>
      <c r="J341" s="409"/>
      <c r="K341" s="409">
        <v>8290678.5700000003</v>
      </c>
      <c r="L341" s="448">
        <f>SUM(L342:L350)</f>
        <v>11249747.310000001</v>
      </c>
      <c r="M341" s="448">
        <f>SUM(M342:M350)</f>
        <v>13193015.85</v>
      </c>
      <c r="N341" s="448">
        <f>SUM(N342:N350)</f>
        <v>1943268.5400000003</v>
      </c>
      <c r="O341" s="449">
        <f>SUM(O342:O350)</f>
        <v>0</v>
      </c>
      <c r="P341" s="288" t="s">
        <v>242</v>
      </c>
      <c r="Q341" s="11" t="s">
        <v>243</v>
      </c>
      <c r="R341" s="474"/>
      <c r="S341" s="339"/>
    </row>
    <row r="342" spans="1:20" ht="33">
      <c r="A342" s="333" t="s">
        <v>2154</v>
      </c>
      <c r="B342" s="334" t="s">
        <v>989</v>
      </c>
      <c r="C342" s="335" t="s">
        <v>8</v>
      </c>
      <c r="D342" s="336">
        <v>974.8</v>
      </c>
      <c r="E342" s="340">
        <f>估驗單!E338</f>
        <v>2576.8000000000002</v>
      </c>
      <c r="F342" s="336">
        <f>估驗單!F338</f>
        <v>2576.8000000000002</v>
      </c>
      <c r="G342" s="390"/>
      <c r="H342" s="340">
        <v>247.19</v>
      </c>
      <c r="I342" s="336"/>
      <c r="J342" s="340"/>
      <c r="K342" s="340">
        <v>240960.81</v>
      </c>
      <c r="L342" s="336">
        <f t="shared" si="26"/>
        <v>636959.18999999994</v>
      </c>
      <c r="M342" s="336">
        <f t="shared" si="27"/>
        <v>636959.18999999994</v>
      </c>
      <c r="N342" s="390">
        <f t="shared" ref="N342:N350" si="29">IF(L342-M342&lt;0+AND(L342&lt;&gt;0),M342-L342,"      ")</f>
        <v>0</v>
      </c>
      <c r="O342" s="442"/>
      <c r="P342" s="231" t="s">
        <v>2423</v>
      </c>
      <c r="Q342" s="11" t="s">
        <v>243</v>
      </c>
      <c r="R342" s="377" t="s">
        <v>2365</v>
      </c>
      <c r="S342" s="339" t="s">
        <v>2424</v>
      </c>
      <c r="T342" s="342" t="s">
        <v>2341</v>
      </c>
    </row>
    <row r="343" spans="1:20" ht="33">
      <c r="A343" s="333" t="s">
        <v>2155</v>
      </c>
      <c r="B343" s="334" t="s">
        <v>992</v>
      </c>
      <c r="C343" s="335" t="s">
        <v>8</v>
      </c>
      <c r="D343" s="336">
        <v>974.8</v>
      </c>
      <c r="E343" s="340">
        <f>估驗單!E339</f>
        <v>2576.8000000000002</v>
      </c>
      <c r="F343" s="336">
        <f>估驗單!F339</f>
        <v>2576.8000000000002</v>
      </c>
      <c r="G343" s="390"/>
      <c r="H343" s="340">
        <v>236.89</v>
      </c>
      <c r="I343" s="336"/>
      <c r="J343" s="340"/>
      <c r="K343" s="340">
        <v>230920.37</v>
      </c>
      <c r="L343" s="336">
        <f t="shared" si="26"/>
        <v>610418.15</v>
      </c>
      <c r="M343" s="336">
        <f t="shared" si="27"/>
        <v>610418.15</v>
      </c>
      <c r="N343" s="390">
        <f t="shared" si="29"/>
        <v>0</v>
      </c>
      <c r="O343" s="442"/>
      <c r="P343" s="231" t="s">
        <v>242</v>
      </c>
      <c r="Q343" s="11" t="s">
        <v>243</v>
      </c>
      <c r="R343" s="377" t="s">
        <v>2365</v>
      </c>
      <c r="S343" s="339" t="s">
        <v>2424</v>
      </c>
      <c r="T343" s="342" t="s">
        <v>2341</v>
      </c>
    </row>
    <row r="344" spans="1:20" s="325" customFormat="1" ht="45">
      <c r="A344" s="333" t="s">
        <v>2156</v>
      </c>
      <c r="B344" s="334" t="s">
        <v>995</v>
      </c>
      <c r="C344" s="335" t="s">
        <v>13</v>
      </c>
      <c r="D344" s="336">
        <v>6198</v>
      </c>
      <c r="E344" s="340">
        <f>估驗單!E340</f>
        <v>9215</v>
      </c>
      <c r="F344" s="336">
        <f>估驗單!F340</f>
        <v>9215</v>
      </c>
      <c r="G344" s="390">
        <f t="shared" si="22"/>
        <v>0</v>
      </c>
      <c r="H344" s="336">
        <v>252.34</v>
      </c>
      <c r="I344" s="336"/>
      <c r="J344" s="336"/>
      <c r="K344" s="336">
        <v>1564003.32</v>
      </c>
      <c r="L344" s="336">
        <f t="shared" si="26"/>
        <v>2325313.1</v>
      </c>
      <c r="M344" s="336">
        <f t="shared" si="27"/>
        <v>2325313.1</v>
      </c>
      <c r="N344" s="390">
        <f t="shared" si="29"/>
        <v>0</v>
      </c>
      <c r="O344" s="442"/>
      <c r="P344" s="231" t="s">
        <v>242</v>
      </c>
      <c r="Q344" s="11" t="s">
        <v>243</v>
      </c>
      <c r="R344" s="474" t="s">
        <v>2425</v>
      </c>
      <c r="S344" s="339" t="s">
        <v>2426</v>
      </c>
      <c r="T344" s="325" t="s">
        <v>2427</v>
      </c>
    </row>
    <row r="345" spans="1:20" s="325" customFormat="1" ht="42.75">
      <c r="A345" s="333" t="s">
        <v>2157</v>
      </c>
      <c r="B345" s="334" t="s">
        <v>998</v>
      </c>
      <c r="C345" s="335" t="s">
        <v>4</v>
      </c>
      <c r="D345" s="336">
        <v>1</v>
      </c>
      <c r="E345" s="340">
        <f>估驗單!E341</f>
        <v>1</v>
      </c>
      <c r="F345" s="336">
        <f>估驗單!F341</f>
        <v>1</v>
      </c>
      <c r="G345" s="390">
        <f t="shared" si="22"/>
        <v>0</v>
      </c>
      <c r="H345" s="336">
        <v>349980.91</v>
      </c>
      <c r="I345" s="336"/>
      <c r="J345" s="336"/>
      <c r="K345" s="336">
        <v>349980.91</v>
      </c>
      <c r="L345" s="336">
        <f t="shared" si="26"/>
        <v>349980.91</v>
      </c>
      <c r="M345" s="336">
        <f t="shared" si="27"/>
        <v>349980.91</v>
      </c>
      <c r="N345" s="390">
        <f t="shared" si="29"/>
        <v>0</v>
      </c>
      <c r="O345" s="442"/>
      <c r="P345" s="231" t="s">
        <v>2428</v>
      </c>
      <c r="Q345" s="11" t="s">
        <v>243</v>
      </c>
      <c r="R345" s="474"/>
      <c r="S345" s="339"/>
    </row>
    <row r="346" spans="1:20" s="325" customFormat="1" ht="33">
      <c r="A346" s="333" t="s">
        <v>2158</v>
      </c>
      <c r="B346" s="334" t="s">
        <v>1001</v>
      </c>
      <c r="C346" s="335" t="s">
        <v>16</v>
      </c>
      <c r="D346" s="336">
        <v>2052</v>
      </c>
      <c r="E346" s="340">
        <f>估驗單!E342</f>
        <v>2052</v>
      </c>
      <c r="F346" s="336">
        <f>估驗單!F342</f>
        <v>2928</v>
      </c>
      <c r="G346" s="390">
        <f t="shared" ref="G346:G409" si="30">F346-E346</f>
        <v>876</v>
      </c>
      <c r="H346" s="336">
        <v>931.07</v>
      </c>
      <c r="I346" s="336"/>
      <c r="J346" s="336"/>
      <c r="K346" s="336">
        <v>1910555.64</v>
      </c>
      <c r="L346" s="336">
        <f t="shared" si="26"/>
        <v>1910555.64</v>
      </c>
      <c r="M346" s="336">
        <f t="shared" si="27"/>
        <v>2726172.96</v>
      </c>
      <c r="N346" s="390">
        <f t="shared" si="29"/>
        <v>815617.32000000007</v>
      </c>
      <c r="O346" s="442"/>
      <c r="P346" s="231" t="s">
        <v>2429</v>
      </c>
      <c r="Q346" s="11" t="s">
        <v>243</v>
      </c>
      <c r="R346" s="474"/>
      <c r="S346" s="339"/>
    </row>
    <row r="347" spans="1:20" s="325" customFormat="1" ht="33.75">
      <c r="A347" s="333" t="s">
        <v>2159</v>
      </c>
      <c r="B347" s="334" t="s">
        <v>728</v>
      </c>
      <c r="C347" s="335" t="s">
        <v>6</v>
      </c>
      <c r="D347" s="336">
        <v>300</v>
      </c>
      <c r="E347" s="340">
        <f>估驗單!E343</f>
        <v>720</v>
      </c>
      <c r="F347" s="336">
        <f>估驗單!F343</f>
        <v>1053</v>
      </c>
      <c r="G347" s="390">
        <f t="shared" si="30"/>
        <v>333</v>
      </c>
      <c r="H347" s="336">
        <v>3386.34</v>
      </c>
      <c r="I347" s="336"/>
      <c r="J347" s="336"/>
      <c r="K347" s="336">
        <v>1015902</v>
      </c>
      <c r="L347" s="336">
        <f t="shared" si="26"/>
        <v>2438164.7999999998</v>
      </c>
      <c r="M347" s="336">
        <f t="shared" si="27"/>
        <v>3565816.02</v>
      </c>
      <c r="N347" s="390">
        <f t="shared" si="29"/>
        <v>1127651.2200000002</v>
      </c>
      <c r="O347" s="442"/>
      <c r="P347" s="231" t="s">
        <v>242</v>
      </c>
      <c r="Q347" s="11" t="s">
        <v>243</v>
      </c>
      <c r="R347" s="474" t="s">
        <v>2430</v>
      </c>
      <c r="S347" s="339" t="s">
        <v>2431</v>
      </c>
      <c r="T347" s="342" t="s">
        <v>2341</v>
      </c>
    </row>
    <row r="348" spans="1:20" s="325" customFormat="1" ht="42.75">
      <c r="A348" s="333" t="s">
        <v>2160</v>
      </c>
      <c r="B348" s="334" t="s">
        <v>1515</v>
      </c>
      <c r="C348" s="335" t="s">
        <v>8</v>
      </c>
      <c r="D348" s="336">
        <v>132</v>
      </c>
      <c r="E348" s="336">
        <v>132</v>
      </c>
      <c r="F348" s="336">
        <f>估驗單!F344</f>
        <v>132</v>
      </c>
      <c r="G348" s="390">
        <f t="shared" si="30"/>
        <v>0</v>
      </c>
      <c r="H348" s="336">
        <v>5107.6000000000004</v>
      </c>
      <c r="I348" s="336"/>
      <c r="J348" s="336"/>
      <c r="K348" s="336">
        <v>674203.2</v>
      </c>
      <c r="L348" s="336">
        <f t="shared" si="26"/>
        <v>674203.2</v>
      </c>
      <c r="M348" s="336">
        <f t="shared" si="27"/>
        <v>674203.2</v>
      </c>
      <c r="N348" s="390">
        <f t="shared" si="29"/>
        <v>0</v>
      </c>
      <c r="O348" s="442"/>
      <c r="P348" s="231" t="s">
        <v>2432</v>
      </c>
      <c r="Q348" s="11" t="s">
        <v>243</v>
      </c>
      <c r="R348" s="474"/>
      <c r="S348" s="339"/>
    </row>
    <row r="349" spans="1:20" s="325" customFormat="1" ht="42.75">
      <c r="A349" s="333" t="s">
        <v>2161</v>
      </c>
      <c r="B349" s="334" t="s">
        <v>1517</v>
      </c>
      <c r="C349" s="335" t="s">
        <v>8</v>
      </c>
      <c r="D349" s="336">
        <v>106</v>
      </c>
      <c r="E349" s="336">
        <v>106</v>
      </c>
      <c r="F349" s="336">
        <f>估驗單!F345</f>
        <v>106</v>
      </c>
      <c r="G349" s="390">
        <f t="shared" si="30"/>
        <v>0</v>
      </c>
      <c r="H349" s="336">
        <v>7385.08</v>
      </c>
      <c r="I349" s="336"/>
      <c r="J349" s="336"/>
      <c r="K349" s="336">
        <v>782818.48</v>
      </c>
      <c r="L349" s="336">
        <f t="shared" si="26"/>
        <v>782818.48</v>
      </c>
      <c r="M349" s="336">
        <f t="shared" si="27"/>
        <v>782818.48</v>
      </c>
      <c r="N349" s="390">
        <f t="shared" si="29"/>
        <v>0</v>
      </c>
      <c r="O349" s="442"/>
      <c r="P349" s="231" t="s">
        <v>2432</v>
      </c>
      <c r="Q349" s="11" t="s">
        <v>243</v>
      </c>
      <c r="R349" s="474"/>
      <c r="S349" s="339"/>
    </row>
    <row r="350" spans="1:20" s="325" customFormat="1" ht="42.75">
      <c r="A350" s="333" t="s">
        <v>2162</v>
      </c>
      <c r="B350" s="334" t="s">
        <v>1519</v>
      </c>
      <c r="C350" s="335" t="s">
        <v>8</v>
      </c>
      <c r="D350" s="336">
        <v>156</v>
      </c>
      <c r="E350" s="336">
        <v>156</v>
      </c>
      <c r="F350" s="336">
        <f>估驗單!F346</f>
        <v>156</v>
      </c>
      <c r="G350" s="390">
        <f t="shared" si="30"/>
        <v>0</v>
      </c>
      <c r="H350" s="336">
        <v>9752.14</v>
      </c>
      <c r="I350" s="336"/>
      <c r="J350" s="336"/>
      <c r="K350" s="336">
        <v>1521333.84</v>
      </c>
      <c r="L350" s="336">
        <f t="shared" si="26"/>
        <v>1521333.84</v>
      </c>
      <c r="M350" s="336">
        <f t="shared" si="27"/>
        <v>1521333.84</v>
      </c>
      <c r="N350" s="390">
        <f t="shared" si="29"/>
        <v>0</v>
      </c>
      <c r="O350" s="442"/>
      <c r="P350" s="231" t="s">
        <v>2433</v>
      </c>
      <c r="Q350" s="11" t="s">
        <v>243</v>
      </c>
      <c r="R350" s="474"/>
      <c r="S350" s="339"/>
    </row>
    <row r="351" spans="1:20" s="325" customFormat="1" ht="33">
      <c r="A351" s="406" t="s">
        <v>2250</v>
      </c>
      <c r="B351" s="407" t="s">
        <v>11</v>
      </c>
      <c r="C351" s="408" t="s">
        <v>4</v>
      </c>
      <c r="D351" s="409">
        <v>1</v>
      </c>
      <c r="E351" s="409"/>
      <c r="F351" s="409">
        <f>估驗單!F347</f>
        <v>0</v>
      </c>
      <c r="G351" s="410">
        <f t="shared" si="30"/>
        <v>0</v>
      </c>
      <c r="H351" s="409">
        <v>12582919.68</v>
      </c>
      <c r="I351" s="409"/>
      <c r="J351" s="409"/>
      <c r="K351" s="409">
        <v>12582919.68</v>
      </c>
      <c r="L351" s="409">
        <f>SUM(L352:L361)</f>
        <v>16724713.209999999</v>
      </c>
      <c r="M351" s="409">
        <f>SUM(M352:M361)</f>
        <v>16724713.209999999</v>
      </c>
      <c r="N351" s="409">
        <f>SUM(N352:N361)</f>
        <v>0</v>
      </c>
      <c r="O351" s="444">
        <f>SUM(O352:O361)</f>
        <v>0</v>
      </c>
      <c r="P351" s="288" t="s">
        <v>242</v>
      </c>
      <c r="Q351" s="11" t="s">
        <v>243</v>
      </c>
      <c r="R351" s="474"/>
      <c r="S351" s="339"/>
    </row>
    <row r="352" spans="1:20" s="325" customFormat="1" ht="33">
      <c r="A352" s="333" t="s">
        <v>2154</v>
      </c>
      <c r="B352" s="334" t="s">
        <v>1004</v>
      </c>
      <c r="C352" s="335" t="s">
        <v>4</v>
      </c>
      <c r="D352" s="336">
        <v>1</v>
      </c>
      <c r="E352" s="336">
        <v>1</v>
      </c>
      <c r="F352" s="336">
        <f>估驗單!F348</f>
        <v>1</v>
      </c>
      <c r="G352" s="390">
        <f t="shared" si="30"/>
        <v>0</v>
      </c>
      <c r="H352" s="336">
        <v>716633.92</v>
      </c>
      <c r="I352" s="336"/>
      <c r="J352" s="336"/>
      <c r="K352" s="336">
        <v>716633.92</v>
      </c>
      <c r="L352" s="336">
        <f t="shared" ref="L352:L397" si="31">ROUND(E352*H352,2)</f>
        <v>716633.92</v>
      </c>
      <c r="M352" s="336">
        <f t="shared" ref="M352:M397" si="32">ROUND(F352*H352,2)</f>
        <v>716633.92</v>
      </c>
      <c r="N352" s="390">
        <f t="shared" ref="N352:N361" si="33">IF(L352-M352&lt;0+AND(L352&lt;&gt;0),M352-L352,"      ")</f>
        <v>0</v>
      </c>
      <c r="O352" s="442"/>
      <c r="P352" s="231" t="s">
        <v>2321</v>
      </c>
      <c r="Q352" s="11" t="s">
        <v>243</v>
      </c>
      <c r="R352" s="474"/>
      <c r="S352" s="339"/>
    </row>
    <row r="353" spans="1:22" s="325" customFormat="1" ht="33">
      <c r="A353" s="333" t="s">
        <v>2155</v>
      </c>
      <c r="B353" s="334" t="s">
        <v>1006</v>
      </c>
      <c r="C353" s="335" t="s">
        <v>1007</v>
      </c>
      <c r="D353" s="336">
        <v>7</v>
      </c>
      <c r="E353" s="336">
        <v>7</v>
      </c>
      <c r="F353" s="336">
        <f>估驗單!F349</f>
        <v>7</v>
      </c>
      <c r="G353" s="390">
        <f t="shared" si="30"/>
        <v>0</v>
      </c>
      <c r="H353" s="336">
        <v>49997.27</v>
      </c>
      <c r="I353" s="336"/>
      <c r="J353" s="336"/>
      <c r="K353" s="336">
        <v>349980.89</v>
      </c>
      <c r="L353" s="336">
        <f t="shared" si="31"/>
        <v>349980.89</v>
      </c>
      <c r="M353" s="336">
        <f t="shared" si="32"/>
        <v>349980.89</v>
      </c>
      <c r="N353" s="390">
        <f t="shared" si="33"/>
        <v>0</v>
      </c>
      <c r="O353" s="442"/>
      <c r="P353" s="231" t="s">
        <v>242</v>
      </c>
      <c r="Q353" s="11" t="s">
        <v>243</v>
      </c>
      <c r="R353" s="474"/>
      <c r="S353" s="339"/>
    </row>
    <row r="354" spans="1:22" s="325" customFormat="1" ht="71.25">
      <c r="A354" s="333" t="s">
        <v>2156</v>
      </c>
      <c r="B354" s="334" t="s">
        <v>1009</v>
      </c>
      <c r="C354" s="335" t="s">
        <v>1010</v>
      </c>
      <c r="D354" s="336">
        <v>850</v>
      </c>
      <c r="E354" s="336">
        <v>2230</v>
      </c>
      <c r="F354" s="336">
        <f>估驗單!F350</f>
        <v>2230</v>
      </c>
      <c r="G354" s="390">
        <f t="shared" si="30"/>
        <v>0</v>
      </c>
      <c r="H354" s="336">
        <v>805.95</v>
      </c>
      <c r="I354" s="336"/>
      <c r="J354" s="336"/>
      <c r="K354" s="336">
        <v>685057.5</v>
      </c>
      <c r="L354" s="336">
        <f t="shared" si="31"/>
        <v>1797268.5</v>
      </c>
      <c r="M354" s="336">
        <f t="shared" si="32"/>
        <v>1797268.5</v>
      </c>
      <c r="N354" s="390">
        <f t="shared" si="33"/>
        <v>0</v>
      </c>
      <c r="O354" s="442"/>
      <c r="P354" s="231" t="s">
        <v>2434</v>
      </c>
      <c r="Q354" s="11" t="s">
        <v>243</v>
      </c>
      <c r="R354" s="479" t="s">
        <v>2435</v>
      </c>
      <c r="S354" s="373"/>
      <c r="T354" s="342" t="s">
        <v>2341</v>
      </c>
      <c r="V354" s="374"/>
    </row>
    <row r="355" spans="1:22" s="325" customFormat="1" ht="33">
      <c r="A355" s="333" t="s">
        <v>2157</v>
      </c>
      <c r="B355" s="334" t="s">
        <v>1012</v>
      </c>
      <c r="C355" s="335" t="s">
        <v>1007</v>
      </c>
      <c r="D355" s="336">
        <v>4</v>
      </c>
      <c r="E355" s="336">
        <v>4</v>
      </c>
      <c r="F355" s="336">
        <f>估驗單!F351</f>
        <v>4</v>
      </c>
      <c r="G355" s="390">
        <f t="shared" si="30"/>
        <v>0</v>
      </c>
      <c r="H355" s="336">
        <v>49997.27</v>
      </c>
      <c r="I355" s="336"/>
      <c r="J355" s="336"/>
      <c r="K355" s="336">
        <v>199989.08</v>
      </c>
      <c r="L355" s="336">
        <f t="shared" si="31"/>
        <v>199989.08</v>
      </c>
      <c r="M355" s="336">
        <f t="shared" si="32"/>
        <v>199989.08</v>
      </c>
      <c r="N355" s="390">
        <f t="shared" si="33"/>
        <v>0</v>
      </c>
      <c r="O355" s="442"/>
      <c r="P355" s="231" t="s">
        <v>242</v>
      </c>
      <c r="Q355" s="11" t="s">
        <v>243</v>
      </c>
      <c r="R355" s="474"/>
      <c r="S355" s="339"/>
    </row>
    <row r="356" spans="1:22" s="325" customFormat="1" ht="33">
      <c r="A356" s="382" t="s">
        <v>2158</v>
      </c>
      <c r="B356" s="383" t="s">
        <v>1014</v>
      </c>
      <c r="C356" s="384" t="s">
        <v>1015</v>
      </c>
      <c r="D356" s="385">
        <v>19</v>
      </c>
      <c r="E356" s="385">
        <v>19</v>
      </c>
      <c r="F356" s="385">
        <f>估驗單!F352</f>
        <v>19</v>
      </c>
      <c r="G356" s="391">
        <f t="shared" si="30"/>
        <v>0</v>
      </c>
      <c r="H356" s="385">
        <v>179990.18</v>
      </c>
      <c r="I356" s="385"/>
      <c r="J356" s="385"/>
      <c r="K356" s="385">
        <v>3419813.42</v>
      </c>
      <c r="L356" s="385">
        <f t="shared" si="31"/>
        <v>3419813.42</v>
      </c>
      <c r="M356" s="385">
        <f t="shared" si="32"/>
        <v>3419813.42</v>
      </c>
      <c r="N356" s="391">
        <f t="shared" si="33"/>
        <v>0</v>
      </c>
      <c r="O356" s="443"/>
      <c r="P356" s="386" t="s">
        <v>242</v>
      </c>
      <c r="Q356" s="11" t="s">
        <v>243</v>
      </c>
      <c r="R356" s="474"/>
      <c r="S356" s="339"/>
    </row>
    <row r="357" spans="1:22" s="325" customFormat="1" ht="33">
      <c r="A357" s="333" t="s">
        <v>2159</v>
      </c>
      <c r="B357" s="334" t="s">
        <v>1017</v>
      </c>
      <c r="C357" s="335" t="s">
        <v>4</v>
      </c>
      <c r="D357" s="336">
        <v>1</v>
      </c>
      <c r="E357" s="336">
        <v>1</v>
      </c>
      <c r="F357" s="336">
        <f>估驗單!F353</f>
        <v>1</v>
      </c>
      <c r="G357" s="390">
        <f t="shared" si="30"/>
        <v>0</v>
      </c>
      <c r="H357" s="336">
        <v>205971.45</v>
      </c>
      <c r="I357" s="336"/>
      <c r="J357" s="336"/>
      <c r="K357" s="336">
        <v>205971.45</v>
      </c>
      <c r="L357" s="336">
        <f t="shared" si="31"/>
        <v>205971.45</v>
      </c>
      <c r="M357" s="336">
        <f t="shared" si="32"/>
        <v>205971.45</v>
      </c>
      <c r="N357" s="390">
        <f t="shared" si="33"/>
        <v>0</v>
      </c>
      <c r="O357" s="442"/>
      <c r="P357" s="231" t="s">
        <v>2321</v>
      </c>
      <c r="Q357" s="11" t="s">
        <v>243</v>
      </c>
      <c r="R357" s="474"/>
      <c r="S357" s="339"/>
    </row>
    <row r="358" spans="1:22" s="325" customFormat="1" ht="33">
      <c r="A358" s="333" t="s">
        <v>2160</v>
      </c>
      <c r="B358" s="334" t="s">
        <v>1019</v>
      </c>
      <c r="C358" s="335" t="s">
        <v>4</v>
      </c>
      <c r="D358" s="336">
        <v>1</v>
      </c>
      <c r="E358" s="336">
        <v>1</v>
      </c>
      <c r="F358" s="336">
        <f>估驗單!F354</f>
        <v>1</v>
      </c>
      <c r="G358" s="390">
        <f t="shared" si="30"/>
        <v>0</v>
      </c>
      <c r="H358" s="336">
        <v>2424867.7599999998</v>
      </c>
      <c r="I358" s="336"/>
      <c r="J358" s="336"/>
      <c r="K358" s="336">
        <v>2424867.7599999998</v>
      </c>
      <c r="L358" s="336">
        <f t="shared" si="31"/>
        <v>2424867.7599999998</v>
      </c>
      <c r="M358" s="336">
        <f t="shared" si="32"/>
        <v>2424867.7599999998</v>
      </c>
      <c r="N358" s="390">
        <f t="shared" si="33"/>
        <v>0</v>
      </c>
      <c r="O358" s="442"/>
      <c r="P358" s="231" t="s">
        <v>2321</v>
      </c>
      <c r="Q358" s="11" t="s">
        <v>243</v>
      </c>
      <c r="R358" s="474"/>
      <c r="S358" s="339"/>
    </row>
    <row r="359" spans="1:22" s="325" customFormat="1" ht="33">
      <c r="A359" s="333" t="s">
        <v>2161</v>
      </c>
      <c r="B359" s="334" t="s">
        <v>1021</v>
      </c>
      <c r="C359" s="335" t="s">
        <v>4</v>
      </c>
      <c r="D359" s="336">
        <v>1</v>
      </c>
      <c r="E359" s="336">
        <v>1</v>
      </c>
      <c r="F359" s="336">
        <f>估驗單!F355</f>
        <v>1</v>
      </c>
      <c r="G359" s="390">
        <f t="shared" si="30"/>
        <v>0</v>
      </c>
      <c r="H359" s="336">
        <v>349980.91</v>
      </c>
      <c r="I359" s="336"/>
      <c r="J359" s="336"/>
      <c r="K359" s="336">
        <v>349980.91</v>
      </c>
      <c r="L359" s="336">
        <f t="shared" si="31"/>
        <v>349980.91</v>
      </c>
      <c r="M359" s="336">
        <f t="shared" si="32"/>
        <v>349980.91</v>
      </c>
      <c r="N359" s="390">
        <f t="shared" si="33"/>
        <v>0</v>
      </c>
      <c r="O359" s="442"/>
      <c r="P359" s="231" t="s">
        <v>242</v>
      </c>
      <c r="Q359" s="11" t="s">
        <v>243</v>
      </c>
      <c r="R359" s="474"/>
      <c r="S359" s="339"/>
    </row>
    <row r="360" spans="1:22" s="375" customFormat="1" ht="33.75">
      <c r="A360" s="343" t="s">
        <v>2162</v>
      </c>
      <c r="B360" s="344" t="s">
        <v>1534</v>
      </c>
      <c r="C360" s="345" t="s">
        <v>13</v>
      </c>
      <c r="D360" s="340">
        <v>275</v>
      </c>
      <c r="E360" s="340">
        <v>464</v>
      </c>
      <c r="F360" s="336">
        <f>估驗單!F356</f>
        <v>464</v>
      </c>
      <c r="G360" s="390">
        <f t="shared" si="30"/>
        <v>0</v>
      </c>
      <c r="H360" s="340">
        <v>15384.09</v>
      </c>
      <c r="I360" s="337"/>
      <c r="J360" s="340"/>
      <c r="K360" s="340">
        <v>4230624.75</v>
      </c>
      <c r="L360" s="336">
        <f t="shared" si="31"/>
        <v>7138217.7599999998</v>
      </c>
      <c r="M360" s="336">
        <f t="shared" si="32"/>
        <v>7138217.7599999998</v>
      </c>
      <c r="N360" s="390">
        <f t="shared" si="33"/>
        <v>0</v>
      </c>
      <c r="O360" s="442"/>
      <c r="P360" s="346" t="s">
        <v>242</v>
      </c>
      <c r="Q360" s="347" t="s">
        <v>243</v>
      </c>
      <c r="R360" s="474"/>
      <c r="S360" s="349"/>
      <c r="T360" s="375" t="s">
        <v>2436</v>
      </c>
    </row>
    <row r="361" spans="1:22" s="368" customFormat="1" ht="28.5">
      <c r="A361" s="333">
        <v>10</v>
      </c>
      <c r="B361" s="334" t="s">
        <v>2437</v>
      </c>
      <c r="C361" s="335" t="s">
        <v>2353</v>
      </c>
      <c r="D361" s="336">
        <v>0</v>
      </c>
      <c r="E361" s="336">
        <v>2</v>
      </c>
      <c r="F361" s="336">
        <f>估驗單!F357</f>
        <v>2</v>
      </c>
      <c r="G361" s="390">
        <f t="shared" si="30"/>
        <v>0</v>
      </c>
      <c r="H361" s="336">
        <v>0</v>
      </c>
      <c r="I361" s="336"/>
      <c r="J361" s="336">
        <v>60994.76</v>
      </c>
      <c r="K361" s="336">
        <f>H361*D361</f>
        <v>0</v>
      </c>
      <c r="L361" s="336">
        <f>ROUND(E361*J361,2)</f>
        <v>121989.52</v>
      </c>
      <c r="M361" s="336">
        <f>ROUND(F361*J361,2)</f>
        <v>121989.52</v>
      </c>
      <c r="N361" s="390">
        <f t="shared" si="33"/>
        <v>0</v>
      </c>
      <c r="O361" s="442"/>
      <c r="P361" s="231" t="s">
        <v>2438</v>
      </c>
      <c r="Q361" s="11"/>
      <c r="R361" s="479" t="s">
        <v>2439</v>
      </c>
      <c r="S361" s="373"/>
      <c r="T361" s="342" t="s">
        <v>2341</v>
      </c>
    </row>
    <row r="362" spans="1:22" s="325" customFormat="1" ht="33">
      <c r="A362" s="406" t="s">
        <v>2252</v>
      </c>
      <c r="B362" s="407" t="s">
        <v>25</v>
      </c>
      <c r="C362" s="408" t="s">
        <v>4</v>
      </c>
      <c r="D362" s="409">
        <v>1</v>
      </c>
      <c r="E362" s="409"/>
      <c r="F362" s="409">
        <f>估驗單!F373</f>
        <v>0</v>
      </c>
      <c r="G362" s="410">
        <f t="shared" si="30"/>
        <v>0</v>
      </c>
      <c r="H362" s="409">
        <v>3183104.82</v>
      </c>
      <c r="I362" s="409"/>
      <c r="J362" s="409"/>
      <c r="K362" s="409">
        <v>3183104.82</v>
      </c>
      <c r="L362" s="411">
        <f>SUM(L363:L401)</f>
        <v>3537274.3800000008</v>
      </c>
      <c r="M362" s="411">
        <f>SUM(M363:M401)</f>
        <v>3537274.3800000008</v>
      </c>
      <c r="N362" s="411">
        <f>SUM(N363:N401)</f>
        <v>0</v>
      </c>
      <c r="O362" s="441">
        <f>SUM(O363:O401)</f>
        <v>0</v>
      </c>
      <c r="P362" s="288" t="s">
        <v>242</v>
      </c>
      <c r="Q362" s="11" t="s">
        <v>243</v>
      </c>
      <c r="R362" s="474"/>
      <c r="S362" s="339"/>
    </row>
    <row r="363" spans="1:22" s="325" customFormat="1" ht="42.75">
      <c r="A363" s="333" t="s">
        <v>2154</v>
      </c>
      <c r="B363" s="334" t="s">
        <v>1023</v>
      </c>
      <c r="C363" s="335" t="s">
        <v>7</v>
      </c>
      <c r="D363" s="336">
        <v>295</v>
      </c>
      <c r="E363" s="336">
        <v>295</v>
      </c>
      <c r="F363" s="336">
        <f>估驗單!F374</f>
        <v>295</v>
      </c>
      <c r="G363" s="390">
        <f t="shared" si="30"/>
        <v>0</v>
      </c>
      <c r="H363" s="336">
        <v>299.98</v>
      </c>
      <c r="I363" s="336"/>
      <c r="J363" s="336"/>
      <c r="K363" s="336">
        <v>88494.1</v>
      </c>
      <c r="L363" s="336">
        <f t="shared" si="31"/>
        <v>88494.1</v>
      </c>
      <c r="M363" s="336">
        <f t="shared" si="32"/>
        <v>88494.1</v>
      </c>
      <c r="N363" s="390">
        <f t="shared" ref="N363:N401" si="34">IF(L363-M363&lt;0+AND(L363&lt;&gt;0),M363-L363,"      ")</f>
        <v>0</v>
      </c>
      <c r="O363" s="442"/>
      <c r="P363" s="231" t="s">
        <v>242</v>
      </c>
      <c r="Q363" s="11" t="s">
        <v>243</v>
      </c>
      <c r="R363" s="474"/>
      <c r="S363" s="339"/>
    </row>
    <row r="364" spans="1:22" s="325" customFormat="1" ht="42.75">
      <c r="A364" s="333" t="s">
        <v>2155</v>
      </c>
      <c r="B364" s="334" t="s">
        <v>1025</v>
      </c>
      <c r="C364" s="335" t="s">
        <v>15</v>
      </c>
      <c r="D364" s="336">
        <v>59</v>
      </c>
      <c r="E364" s="336">
        <v>59</v>
      </c>
      <c r="F364" s="336">
        <f>估驗單!F375</f>
        <v>59</v>
      </c>
      <c r="G364" s="390">
        <f t="shared" si="30"/>
        <v>0</v>
      </c>
      <c r="H364" s="336">
        <v>2999.84</v>
      </c>
      <c r="I364" s="336"/>
      <c r="J364" s="336"/>
      <c r="K364" s="336">
        <v>176990.56</v>
      </c>
      <c r="L364" s="336">
        <f t="shared" si="31"/>
        <v>176990.56</v>
      </c>
      <c r="M364" s="336">
        <f t="shared" si="32"/>
        <v>176990.56</v>
      </c>
      <c r="N364" s="390">
        <f t="shared" si="34"/>
        <v>0</v>
      </c>
      <c r="O364" s="442"/>
      <c r="P364" s="231" t="s">
        <v>2321</v>
      </c>
      <c r="Q364" s="11" t="s">
        <v>243</v>
      </c>
      <c r="R364" s="474"/>
      <c r="S364" s="339"/>
    </row>
    <row r="365" spans="1:22" s="325" customFormat="1" ht="33">
      <c r="A365" s="333" t="s">
        <v>2156</v>
      </c>
      <c r="B365" s="334" t="s">
        <v>1027</v>
      </c>
      <c r="C365" s="335" t="s">
        <v>15</v>
      </c>
      <c r="D365" s="336">
        <v>59</v>
      </c>
      <c r="E365" s="336">
        <v>59</v>
      </c>
      <c r="F365" s="336">
        <f>估驗單!F376</f>
        <v>59</v>
      </c>
      <c r="G365" s="390">
        <f t="shared" si="30"/>
        <v>0</v>
      </c>
      <c r="H365" s="336">
        <v>149.99</v>
      </c>
      <c r="I365" s="336"/>
      <c r="J365" s="336"/>
      <c r="K365" s="336">
        <v>8849.41</v>
      </c>
      <c r="L365" s="336">
        <f t="shared" si="31"/>
        <v>8849.41</v>
      </c>
      <c r="M365" s="336">
        <f t="shared" si="32"/>
        <v>8849.41</v>
      </c>
      <c r="N365" s="390">
        <f t="shared" si="34"/>
        <v>0</v>
      </c>
      <c r="O365" s="442"/>
      <c r="P365" s="231" t="s">
        <v>2321</v>
      </c>
      <c r="Q365" s="11" t="s">
        <v>243</v>
      </c>
      <c r="R365" s="474"/>
      <c r="S365" s="339"/>
    </row>
    <row r="366" spans="1:22" s="325" customFormat="1" ht="42.75">
      <c r="A366" s="333" t="s">
        <v>2157</v>
      </c>
      <c r="B366" s="334" t="s">
        <v>1029</v>
      </c>
      <c r="C366" s="335" t="s">
        <v>1030</v>
      </c>
      <c r="D366" s="336">
        <v>9</v>
      </c>
      <c r="E366" s="336">
        <v>9</v>
      </c>
      <c r="F366" s="336">
        <f>估驗單!F377</f>
        <v>9</v>
      </c>
      <c r="G366" s="390">
        <f t="shared" si="30"/>
        <v>0</v>
      </c>
      <c r="H366" s="336">
        <v>1199.93</v>
      </c>
      <c r="I366" s="336"/>
      <c r="J366" s="336"/>
      <c r="K366" s="336">
        <v>10799.37</v>
      </c>
      <c r="L366" s="336">
        <f t="shared" si="31"/>
        <v>10799.37</v>
      </c>
      <c r="M366" s="336">
        <f t="shared" si="32"/>
        <v>10799.37</v>
      </c>
      <c r="N366" s="390">
        <f t="shared" si="34"/>
        <v>0</v>
      </c>
      <c r="O366" s="442"/>
      <c r="P366" s="231" t="s">
        <v>2321</v>
      </c>
      <c r="Q366" s="11" t="s">
        <v>243</v>
      </c>
      <c r="R366" s="474"/>
      <c r="S366" s="339"/>
    </row>
    <row r="367" spans="1:22" s="325" customFormat="1" ht="42.75">
      <c r="A367" s="333" t="s">
        <v>2158</v>
      </c>
      <c r="B367" s="334" t="s">
        <v>1032</v>
      </c>
      <c r="C367" s="335" t="s">
        <v>15</v>
      </c>
      <c r="D367" s="336">
        <v>22</v>
      </c>
      <c r="E367" s="336">
        <v>22</v>
      </c>
      <c r="F367" s="336">
        <f>估驗單!F378</f>
        <v>22</v>
      </c>
      <c r="G367" s="390">
        <f t="shared" si="30"/>
        <v>0</v>
      </c>
      <c r="H367" s="336">
        <v>649.96</v>
      </c>
      <c r="I367" s="336"/>
      <c r="J367" s="336"/>
      <c r="K367" s="336">
        <v>14299.12</v>
      </c>
      <c r="L367" s="336">
        <f t="shared" si="31"/>
        <v>14299.12</v>
      </c>
      <c r="M367" s="336">
        <f t="shared" si="32"/>
        <v>14299.12</v>
      </c>
      <c r="N367" s="390">
        <f t="shared" si="34"/>
        <v>0</v>
      </c>
      <c r="O367" s="442"/>
      <c r="P367" s="231" t="s">
        <v>2440</v>
      </c>
      <c r="Q367" s="11" t="s">
        <v>243</v>
      </c>
      <c r="R367" s="474"/>
      <c r="S367" s="339"/>
    </row>
    <row r="368" spans="1:22" s="325" customFormat="1" ht="42.75">
      <c r="A368" s="333" t="s">
        <v>2159</v>
      </c>
      <c r="B368" s="334" t="s">
        <v>1034</v>
      </c>
      <c r="C368" s="335" t="s">
        <v>15</v>
      </c>
      <c r="D368" s="336">
        <v>22</v>
      </c>
      <c r="E368" s="336">
        <v>22</v>
      </c>
      <c r="F368" s="336">
        <f>估驗單!F379</f>
        <v>22</v>
      </c>
      <c r="G368" s="390">
        <f t="shared" si="30"/>
        <v>0</v>
      </c>
      <c r="H368" s="336">
        <v>1299.93</v>
      </c>
      <c r="I368" s="336"/>
      <c r="J368" s="336"/>
      <c r="K368" s="336">
        <v>28598.46</v>
      </c>
      <c r="L368" s="336">
        <f t="shared" si="31"/>
        <v>28598.46</v>
      </c>
      <c r="M368" s="336">
        <f t="shared" si="32"/>
        <v>28598.46</v>
      </c>
      <c r="N368" s="390">
        <f t="shared" si="34"/>
        <v>0</v>
      </c>
      <c r="O368" s="442"/>
      <c r="P368" s="231" t="s">
        <v>2440</v>
      </c>
      <c r="Q368" s="11" t="s">
        <v>243</v>
      </c>
      <c r="R368" s="474"/>
      <c r="S368" s="339"/>
    </row>
    <row r="369" spans="1:19" s="325" customFormat="1" ht="42.75">
      <c r="A369" s="333" t="s">
        <v>2160</v>
      </c>
      <c r="B369" s="334" t="s">
        <v>1036</v>
      </c>
      <c r="C369" s="335" t="s">
        <v>15</v>
      </c>
      <c r="D369" s="336">
        <v>5</v>
      </c>
      <c r="E369" s="336">
        <v>5</v>
      </c>
      <c r="F369" s="336">
        <f>估驗單!F380</f>
        <v>5</v>
      </c>
      <c r="G369" s="390">
        <f t="shared" si="30"/>
        <v>0</v>
      </c>
      <c r="H369" s="336">
        <v>3499.81</v>
      </c>
      <c r="I369" s="336"/>
      <c r="J369" s="336"/>
      <c r="K369" s="336">
        <v>17499.05</v>
      </c>
      <c r="L369" s="336">
        <f t="shared" si="31"/>
        <v>17499.05</v>
      </c>
      <c r="M369" s="336">
        <f t="shared" si="32"/>
        <v>17499.05</v>
      </c>
      <c r="N369" s="390">
        <f t="shared" si="34"/>
        <v>0</v>
      </c>
      <c r="O369" s="442"/>
      <c r="P369" s="231" t="s">
        <v>242</v>
      </c>
      <c r="Q369" s="11" t="s">
        <v>243</v>
      </c>
      <c r="R369" s="474"/>
      <c r="S369" s="339"/>
    </row>
    <row r="370" spans="1:19" s="325" customFormat="1" ht="42.75">
      <c r="A370" s="333" t="s">
        <v>2161</v>
      </c>
      <c r="B370" s="334" t="s">
        <v>1038</v>
      </c>
      <c r="C370" s="335" t="s">
        <v>15</v>
      </c>
      <c r="D370" s="336">
        <v>5</v>
      </c>
      <c r="E370" s="336">
        <v>5</v>
      </c>
      <c r="F370" s="336">
        <f>估驗單!F381</f>
        <v>5</v>
      </c>
      <c r="G370" s="390">
        <f t="shared" si="30"/>
        <v>0</v>
      </c>
      <c r="H370" s="336">
        <v>699.96</v>
      </c>
      <c r="I370" s="336"/>
      <c r="J370" s="336"/>
      <c r="K370" s="336">
        <v>3499.8</v>
      </c>
      <c r="L370" s="336">
        <f t="shared" si="31"/>
        <v>3499.8</v>
      </c>
      <c r="M370" s="336">
        <f t="shared" si="32"/>
        <v>3499.8</v>
      </c>
      <c r="N370" s="390">
        <f t="shared" si="34"/>
        <v>0</v>
      </c>
      <c r="O370" s="442"/>
      <c r="P370" s="231" t="s">
        <v>242</v>
      </c>
      <c r="Q370" s="11" t="s">
        <v>243</v>
      </c>
      <c r="R370" s="474"/>
      <c r="S370" s="339"/>
    </row>
    <row r="371" spans="1:19" s="325" customFormat="1" ht="42.75">
      <c r="A371" s="333" t="s">
        <v>2162</v>
      </c>
      <c r="B371" s="334" t="s">
        <v>1040</v>
      </c>
      <c r="C371" s="335" t="s">
        <v>14</v>
      </c>
      <c r="D371" s="336">
        <v>1</v>
      </c>
      <c r="E371" s="336">
        <v>1</v>
      </c>
      <c r="F371" s="336">
        <f>估驗單!F382</f>
        <v>1</v>
      </c>
      <c r="G371" s="390">
        <f t="shared" si="30"/>
        <v>0</v>
      </c>
      <c r="H371" s="336">
        <v>14999.18</v>
      </c>
      <c r="I371" s="336"/>
      <c r="J371" s="336"/>
      <c r="K371" s="336">
        <v>14999.18</v>
      </c>
      <c r="L371" s="336">
        <f t="shared" si="31"/>
        <v>14999.18</v>
      </c>
      <c r="M371" s="336">
        <f t="shared" si="32"/>
        <v>14999.18</v>
      </c>
      <c r="N371" s="390">
        <f t="shared" si="34"/>
        <v>0</v>
      </c>
      <c r="O371" s="442"/>
      <c r="P371" s="231" t="s">
        <v>242</v>
      </c>
      <c r="Q371" s="11" t="s">
        <v>243</v>
      </c>
      <c r="R371" s="474"/>
      <c r="S371" s="339"/>
    </row>
    <row r="372" spans="1:19" s="325" customFormat="1" ht="42.75">
      <c r="A372" s="333" t="s">
        <v>2163</v>
      </c>
      <c r="B372" s="334" t="s">
        <v>1043</v>
      </c>
      <c r="C372" s="335" t="s">
        <v>15</v>
      </c>
      <c r="D372" s="336">
        <v>1</v>
      </c>
      <c r="E372" s="336">
        <v>1</v>
      </c>
      <c r="F372" s="336">
        <f>估驗單!F383</f>
        <v>1</v>
      </c>
      <c r="G372" s="390">
        <f t="shared" si="30"/>
        <v>0</v>
      </c>
      <c r="H372" s="336">
        <v>5999.67</v>
      </c>
      <c r="I372" s="336"/>
      <c r="J372" s="336"/>
      <c r="K372" s="336">
        <v>5999.67</v>
      </c>
      <c r="L372" s="336">
        <f t="shared" si="31"/>
        <v>5999.67</v>
      </c>
      <c r="M372" s="336">
        <f t="shared" si="32"/>
        <v>5999.67</v>
      </c>
      <c r="N372" s="390">
        <f t="shared" si="34"/>
        <v>0</v>
      </c>
      <c r="O372" s="442"/>
      <c r="P372" s="231" t="s">
        <v>2321</v>
      </c>
      <c r="Q372" s="11" t="s">
        <v>243</v>
      </c>
      <c r="R372" s="474"/>
      <c r="S372" s="339"/>
    </row>
    <row r="373" spans="1:19" s="325" customFormat="1" ht="71.25">
      <c r="A373" s="333" t="s">
        <v>2164</v>
      </c>
      <c r="B373" s="334" t="s">
        <v>1046</v>
      </c>
      <c r="C373" s="335" t="s">
        <v>15</v>
      </c>
      <c r="D373" s="336">
        <v>1</v>
      </c>
      <c r="E373" s="336">
        <v>1</v>
      </c>
      <c r="F373" s="336">
        <f>估驗單!F384</f>
        <v>1</v>
      </c>
      <c r="G373" s="390">
        <f t="shared" si="30"/>
        <v>0</v>
      </c>
      <c r="H373" s="336">
        <v>49497.3</v>
      </c>
      <c r="I373" s="336"/>
      <c r="J373" s="336"/>
      <c r="K373" s="336">
        <v>49497.3</v>
      </c>
      <c r="L373" s="336">
        <f t="shared" si="31"/>
        <v>49497.3</v>
      </c>
      <c r="M373" s="336">
        <f t="shared" si="32"/>
        <v>49497.3</v>
      </c>
      <c r="N373" s="390">
        <f t="shared" si="34"/>
        <v>0</v>
      </c>
      <c r="O373" s="442"/>
      <c r="P373" s="231" t="s">
        <v>242</v>
      </c>
      <c r="Q373" s="11" t="s">
        <v>243</v>
      </c>
      <c r="R373" s="474"/>
      <c r="S373" s="339"/>
    </row>
    <row r="374" spans="1:19" s="325" customFormat="1" ht="42.75">
      <c r="A374" s="333" t="s">
        <v>2165</v>
      </c>
      <c r="B374" s="334" t="s">
        <v>1049</v>
      </c>
      <c r="C374" s="335" t="s">
        <v>15</v>
      </c>
      <c r="D374" s="336">
        <v>6</v>
      </c>
      <c r="E374" s="336">
        <v>6</v>
      </c>
      <c r="F374" s="336">
        <f>估驗單!F385</f>
        <v>6</v>
      </c>
      <c r="G374" s="390">
        <f t="shared" si="30"/>
        <v>0</v>
      </c>
      <c r="H374" s="336">
        <v>2999.84</v>
      </c>
      <c r="I374" s="336"/>
      <c r="J374" s="336"/>
      <c r="K374" s="336">
        <v>17999.04</v>
      </c>
      <c r="L374" s="336">
        <f t="shared" si="31"/>
        <v>17999.04</v>
      </c>
      <c r="M374" s="336">
        <f t="shared" si="32"/>
        <v>17999.04</v>
      </c>
      <c r="N374" s="390">
        <f t="shared" si="34"/>
        <v>0</v>
      </c>
      <c r="O374" s="442"/>
      <c r="P374" s="231" t="s">
        <v>242</v>
      </c>
      <c r="Q374" s="11" t="s">
        <v>243</v>
      </c>
      <c r="R374" s="474"/>
      <c r="S374" s="339"/>
    </row>
    <row r="375" spans="1:19" s="325" customFormat="1" ht="33">
      <c r="A375" s="333" t="s">
        <v>2166</v>
      </c>
      <c r="B375" s="334" t="s">
        <v>1052</v>
      </c>
      <c r="C375" s="335" t="s">
        <v>14</v>
      </c>
      <c r="D375" s="336">
        <v>75</v>
      </c>
      <c r="E375" s="336">
        <v>75</v>
      </c>
      <c r="F375" s="336">
        <f>估驗單!F386</f>
        <v>75</v>
      </c>
      <c r="G375" s="390">
        <f t="shared" si="30"/>
        <v>0</v>
      </c>
      <c r="H375" s="336">
        <v>11999.35</v>
      </c>
      <c r="I375" s="336"/>
      <c r="J375" s="336"/>
      <c r="K375" s="336">
        <v>899951.25</v>
      </c>
      <c r="L375" s="336">
        <f t="shared" si="31"/>
        <v>899951.25</v>
      </c>
      <c r="M375" s="336">
        <f t="shared" si="32"/>
        <v>899951.25</v>
      </c>
      <c r="N375" s="390">
        <f t="shared" si="34"/>
        <v>0</v>
      </c>
      <c r="O375" s="442"/>
      <c r="P375" s="231" t="s">
        <v>242</v>
      </c>
      <c r="Q375" s="11" t="s">
        <v>243</v>
      </c>
      <c r="R375" s="474"/>
      <c r="S375" s="339"/>
    </row>
    <row r="376" spans="1:19" s="325" customFormat="1" ht="33">
      <c r="A376" s="333" t="s">
        <v>2167</v>
      </c>
      <c r="B376" s="334" t="s">
        <v>1055</v>
      </c>
      <c r="C376" s="335" t="s">
        <v>1007</v>
      </c>
      <c r="D376" s="336">
        <v>75</v>
      </c>
      <c r="E376" s="336">
        <v>75</v>
      </c>
      <c r="F376" s="336">
        <f>估驗單!F387</f>
        <v>75</v>
      </c>
      <c r="G376" s="390">
        <f t="shared" si="30"/>
        <v>0</v>
      </c>
      <c r="H376" s="336">
        <v>1499.92</v>
      </c>
      <c r="I376" s="336"/>
      <c r="J376" s="336"/>
      <c r="K376" s="336">
        <v>112494</v>
      </c>
      <c r="L376" s="336">
        <f t="shared" si="31"/>
        <v>112494</v>
      </c>
      <c r="M376" s="336">
        <f t="shared" si="32"/>
        <v>112494</v>
      </c>
      <c r="N376" s="390">
        <f t="shared" si="34"/>
        <v>0</v>
      </c>
      <c r="O376" s="442"/>
      <c r="P376" s="231" t="s">
        <v>242</v>
      </c>
      <c r="Q376" s="11" t="s">
        <v>243</v>
      </c>
      <c r="R376" s="474"/>
      <c r="S376" s="339"/>
    </row>
    <row r="377" spans="1:19" s="325" customFormat="1" ht="42.75">
      <c r="A377" s="333" t="s">
        <v>2168</v>
      </c>
      <c r="B377" s="334" t="s">
        <v>1058</v>
      </c>
      <c r="C377" s="335" t="s">
        <v>15</v>
      </c>
      <c r="D377" s="336">
        <v>1</v>
      </c>
      <c r="E377" s="336">
        <v>1</v>
      </c>
      <c r="F377" s="336">
        <f>估驗單!F388</f>
        <v>1</v>
      </c>
      <c r="G377" s="390">
        <f t="shared" si="30"/>
        <v>0</v>
      </c>
      <c r="H377" s="336">
        <v>11999.35</v>
      </c>
      <c r="I377" s="336"/>
      <c r="J377" s="336"/>
      <c r="K377" s="336">
        <v>11999.35</v>
      </c>
      <c r="L377" s="336">
        <f t="shared" si="31"/>
        <v>11999.35</v>
      </c>
      <c r="M377" s="336">
        <f t="shared" si="32"/>
        <v>11999.35</v>
      </c>
      <c r="N377" s="390">
        <f t="shared" si="34"/>
        <v>0</v>
      </c>
      <c r="O377" s="442"/>
      <c r="P377" s="231" t="s">
        <v>2321</v>
      </c>
      <c r="Q377" s="11" t="s">
        <v>243</v>
      </c>
      <c r="R377" s="474"/>
      <c r="S377" s="339"/>
    </row>
    <row r="378" spans="1:19" s="325" customFormat="1" ht="33">
      <c r="A378" s="333" t="s">
        <v>2169</v>
      </c>
      <c r="B378" s="334" t="s">
        <v>1061</v>
      </c>
      <c r="C378" s="335" t="s">
        <v>15</v>
      </c>
      <c r="D378" s="336">
        <v>1</v>
      </c>
      <c r="E378" s="336">
        <v>1</v>
      </c>
      <c r="F378" s="336">
        <f>估驗單!F389</f>
        <v>1</v>
      </c>
      <c r="G378" s="390">
        <f t="shared" si="30"/>
        <v>0</v>
      </c>
      <c r="H378" s="336">
        <v>1999.89</v>
      </c>
      <c r="I378" s="336"/>
      <c r="J378" s="336"/>
      <c r="K378" s="336">
        <v>1999.89</v>
      </c>
      <c r="L378" s="336">
        <f t="shared" si="31"/>
        <v>1999.89</v>
      </c>
      <c r="M378" s="336">
        <f t="shared" si="32"/>
        <v>1999.89</v>
      </c>
      <c r="N378" s="390">
        <f t="shared" si="34"/>
        <v>0</v>
      </c>
      <c r="O378" s="442"/>
      <c r="P378" s="231" t="s">
        <v>242</v>
      </c>
      <c r="Q378" s="11" t="s">
        <v>243</v>
      </c>
      <c r="R378" s="474"/>
      <c r="S378" s="339"/>
    </row>
    <row r="379" spans="1:19" s="325" customFormat="1" ht="42.75">
      <c r="A379" s="333" t="s">
        <v>2170</v>
      </c>
      <c r="B379" s="334" t="s">
        <v>1064</v>
      </c>
      <c r="C379" s="335" t="s">
        <v>15</v>
      </c>
      <c r="D379" s="336">
        <v>11</v>
      </c>
      <c r="E379" s="336">
        <v>11</v>
      </c>
      <c r="F379" s="336">
        <f>估驗單!F390</f>
        <v>11</v>
      </c>
      <c r="G379" s="390">
        <f t="shared" si="30"/>
        <v>0</v>
      </c>
      <c r="H379" s="336">
        <v>2999.84</v>
      </c>
      <c r="I379" s="336"/>
      <c r="J379" s="336"/>
      <c r="K379" s="336">
        <v>32998.239999999998</v>
      </c>
      <c r="L379" s="336">
        <f t="shared" si="31"/>
        <v>32998.239999999998</v>
      </c>
      <c r="M379" s="336">
        <f t="shared" si="32"/>
        <v>32998.239999999998</v>
      </c>
      <c r="N379" s="390">
        <f t="shared" si="34"/>
        <v>0</v>
      </c>
      <c r="O379" s="442"/>
      <c r="P379" s="231" t="s">
        <v>2321</v>
      </c>
      <c r="Q379" s="11" t="s">
        <v>243</v>
      </c>
      <c r="R379" s="474"/>
      <c r="S379" s="339"/>
    </row>
    <row r="380" spans="1:19" s="325" customFormat="1" ht="42.75">
      <c r="A380" s="333" t="s">
        <v>2171</v>
      </c>
      <c r="B380" s="334" t="s">
        <v>1067</v>
      </c>
      <c r="C380" s="335" t="s">
        <v>15</v>
      </c>
      <c r="D380" s="336">
        <v>3</v>
      </c>
      <c r="E380" s="336">
        <v>3</v>
      </c>
      <c r="F380" s="336">
        <f>估驗單!F391</f>
        <v>3</v>
      </c>
      <c r="G380" s="390">
        <f t="shared" si="30"/>
        <v>0</v>
      </c>
      <c r="H380" s="336">
        <v>1399.92</v>
      </c>
      <c r="I380" s="336"/>
      <c r="J380" s="336"/>
      <c r="K380" s="336">
        <v>4199.76</v>
      </c>
      <c r="L380" s="336">
        <f t="shared" si="31"/>
        <v>4199.76</v>
      </c>
      <c r="M380" s="336">
        <f t="shared" si="32"/>
        <v>4199.76</v>
      </c>
      <c r="N380" s="390">
        <f t="shared" si="34"/>
        <v>0</v>
      </c>
      <c r="O380" s="442"/>
      <c r="P380" s="231" t="s">
        <v>2321</v>
      </c>
      <c r="Q380" s="11" t="s">
        <v>243</v>
      </c>
      <c r="R380" s="474"/>
      <c r="S380" s="339"/>
    </row>
    <row r="381" spans="1:19" s="325" customFormat="1" ht="42.75">
      <c r="A381" s="333" t="s">
        <v>2172</v>
      </c>
      <c r="B381" s="334" t="s">
        <v>1070</v>
      </c>
      <c r="C381" s="335" t="s">
        <v>14</v>
      </c>
      <c r="D381" s="336">
        <v>5</v>
      </c>
      <c r="E381" s="336">
        <v>5</v>
      </c>
      <c r="F381" s="336">
        <f>估驗單!F392</f>
        <v>5</v>
      </c>
      <c r="G381" s="390">
        <f t="shared" si="30"/>
        <v>0</v>
      </c>
      <c r="H381" s="336">
        <v>17999.02</v>
      </c>
      <c r="I381" s="336"/>
      <c r="J381" s="336"/>
      <c r="K381" s="336">
        <v>89995.1</v>
      </c>
      <c r="L381" s="336">
        <f t="shared" si="31"/>
        <v>89995.1</v>
      </c>
      <c r="M381" s="336">
        <f t="shared" si="32"/>
        <v>89995.1</v>
      </c>
      <c r="N381" s="390">
        <f t="shared" si="34"/>
        <v>0</v>
      </c>
      <c r="O381" s="442"/>
      <c r="P381" s="231" t="s">
        <v>242</v>
      </c>
      <c r="Q381" s="11" t="s">
        <v>243</v>
      </c>
      <c r="R381" s="474"/>
      <c r="S381" s="339"/>
    </row>
    <row r="382" spans="1:19" s="325" customFormat="1" ht="33">
      <c r="A382" s="333" t="s">
        <v>2173</v>
      </c>
      <c r="B382" s="334" t="s">
        <v>1073</v>
      </c>
      <c r="C382" s="335" t="s">
        <v>14</v>
      </c>
      <c r="D382" s="336">
        <v>1</v>
      </c>
      <c r="E382" s="336">
        <v>1</v>
      </c>
      <c r="F382" s="336">
        <f>估驗單!F393</f>
        <v>1</v>
      </c>
      <c r="G382" s="390">
        <f t="shared" si="30"/>
        <v>0</v>
      </c>
      <c r="H382" s="336">
        <v>8999.51</v>
      </c>
      <c r="I382" s="336"/>
      <c r="J382" s="336"/>
      <c r="K382" s="336">
        <v>8999.51</v>
      </c>
      <c r="L382" s="336">
        <f t="shared" si="31"/>
        <v>8999.51</v>
      </c>
      <c r="M382" s="336">
        <f t="shared" si="32"/>
        <v>8999.51</v>
      </c>
      <c r="N382" s="390">
        <f t="shared" si="34"/>
        <v>0</v>
      </c>
      <c r="O382" s="442"/>
      <c r="P382" s="231" t="s">
        <v>242</v>
      </c>
      <c r="Q382" s="11" t="s">
        <v>243</v>
      </c>
      <c r="R382" s="474"/>
      <c r="S382" s="339"/>
    </row>
    <row r="383" spans="1:19" s="325" customFormat="1" ht="33">
      <c r="A383" s="333" t="s">
        <v>2174</v>
      </c>
      <c r="B383" s="334" t="s">
        <v>1076</v>
      </c>
      <c r="C383" s="335" t="s">
        <v>15</v>
      </c>
      <c r="D383" s="336">
        <v>2</v>
      </c>
      <c r="E383" s="336">
        <v>2</v>
      </c>
      <c r="F383" s="336">
        <f>估驗單!F394</f>
        <v>2</v>
      </c>
      <c r="G383" s="390">
        <f t="shared" si="30"/>
        <v>0</v>
      </c>
      <c r="H383" s="336">
        <v>5999.67</v>
      </c>
      <c r="I383" s="336"/>
      <c r="J383" s="336"/>
      <c r="K383" s="336">
        <v>11999.34</v>
      </c>
      <c r="L383" s="336">
        <f t="shared" si="31"/>
        <v>11999.34</v>
      </c>
      <c r="M383" s="336">
        <f t="shared" si="32"/>
        <v>11999.34</v>
      </c>
      <c r="N383" s="390">
        <f t="shared" si="34"/>
        <v>0</v>
      </c>
      <c r="O383" s="442"/>
      <c r="P383" s="231" t="s">
        <v>242</v>
      </c>
      <c r="Q383" s="11" t="s">
        <v>243</v>
      </c>
      <c r="R383" s="474"/>
      <c r="S383" s="339"/>
    </row>
    <row r="384" spans="1:19" s="325" customFormat="1" ht="33">
      <c r="A384" s="333" t="s">
        <v>2175</v>
      </c>
      <c r="B384" s="334" t="s">
        <v>1079</v>
      </c>
      <c r="C384" s="335" t="s">
        <v>14</v>
      </c>
      <c r="D384" s="336">
        <v>1</v>
      </c>
      <c r="E384" s="336">
        <v>1</v>
      </c>
      <c r="F384" s="336">
        <f>估驗單!F395</f>
        <v>1</v>
      </c>
      <c r="G384" s="390">
        <f t="shared" si="30"/>
        <v>0</v>
      </c>
      <c r="H384" s="336">
        <v>2499.86</v>
      </c>
      <c r="I384" s="336"/>
      <c r="J384" s="336"/>
      <c r="K384" s="336">
        <v>2499.86</v>
      </c>
      <c r="L384" s="336">
        <f t="shared" si="31"/>
        <v>2499.86</v>
      </c>
      <c r="M384" s="336">
        <f t="shared" si="32"/>
        <v>2499.86</v>
      </c>
      <c r="N384" s="390">
        <f t="shared" si="34"/>
        <v>0</v>
      </c>
      <c r="O384" s="442"/>
      <c r="P384" s="231" t="s">
        <v>242</v>
      </c>
      <c r="Q384" s="11" t="s">
        <v>243</v>
      </c>
      <c r="R384" s="474"/>
      <c r="S384" s="339"/>
    </row>
    <row r="385" spans="1:20" s="325" customFormat="1" ht="33">
      <c r="A385" s="333" t="s">
        <v>2177</v>
      </c>
      <c r="B385" s="334" t="s">
        <v>1082</v>
      </c>
      <c r="C385" s="335" t="s">
        <v>14</v>
      </c>
      <c r="D385" s="336">
        <v>1</v>
      </c>
      <c r="E385" s="336">
        <v>1</v>
      </c>
      <c r="F385" s="336">
        <f>估驗單!F396</f>
        <v>1</v>
      </c>
      <c r="G385" s="390">
        <f t="shared" si="30"/>
        <v>0</v>
      </c>
      <c r="H385" s="336">
        <v>2499.86</v>
      </c>
      <c r="I385" s="336"/>
      <c r="J385" s="336"/>
      <c r="K385" s="336">
        <v>2499.86</v>
      </c>
      <c r="L385" s="336">
        <f t="shared" si="31"/>
        <v>2499.86</v>
      </c>
      <c r="M385" s="336">
        <f t="shared" si="32"/>
        <v>2499.86</v>
      </c>
      <c r="N385" s="390">
        <f t="shared" si="34"/>
        <v>0</v>
      </c>
      <c r="O385" s="442"/>
      <c r="P385" s="231" t="s">
        <v>242</v>
      </c>
      <c r="Q385" s="11" t="s">
        <v>243</v>
      </c>
      <c r="R385" s="474"/>
      <c r="S385" s="339"/>
    </row>
    <row r="386" spans="1:20" s="325" customFormat="1" ht="42.75">
      <c r="A386" s="333" t="s">
        <v>2178</v>
      </c>
      <c r="B386" s="334" t="s">
        <v>1085</v>
      </c>
      <c r="C386" s="335" t="s">
        <v>15</v>
      </c>
      <c r="D386" s="336">
        <v>4</v>
      </c>
      <c r="E386" s="336">
        <v>4</v>
      </c>
      <c r="F386" s="336">
        <f>估驗單!F397</f>
        <v>4</v>
      </c>
      <c r="G386" s="390">
        <f t="shared" si="30"/>
        <v>0</v>
      </c>
      <c r="H386" s="336">
        <v>2999.84</v>
      </c>
      <c r="I386" s="336"/>
      <c r="J386" s="336"/>
      <c r="K386" s="336">
        <v>11999.36</v>
      </c>
      <c r="L386" s="336">
        <f t="shared" si="31"/>
        <v>11999.36</v>
      </c>
      <c r="M386" s="336">
        <f t="shared" si="32"/>
        <v>11999.36</v>
      </c>
      <c r="N386" s="390">
        <f t="shared" si="34"/>
        <v>0</v>
      </c>
      <c r="O386" s="442"/>
      <c r="P386" s="231" t="s">
        <v>242</v>
      </c>
      <c r="Q386" s="11" t="s">
        <v>243</v>
      </c>
      <c r="R386" s="474"/>
      <c r="S386" s="339"/>
    </row>
    <row r="387" spans="1:20" s="325" customFormat="1" ht="57">
      <c r="A387" s="333" t="s">
        <v>2179</v>
      </c>
      <c r="B387" s="334" t="s">
        <v>1088</v>
      </c>
      <c r="C387" s="335" t="s">
        <v>15</v>
      </c>
      <c r="D387" s="336">
        <v>2</v>
      </c>
      <c r="E387" s="336">
        <v>2</v>
      </c>
      <c r="F387" s="336">
        <f>估驗單!F398</f>
        <v>2</v>
      </c>
      <c r="G387" s="390">
        <f t="shared" si="30"/>
        <v>0</v>
      </c>
      <c r="H387" s="336">
        <v>19998.91</v>
      </c>
      <c r="I387" s="336"/>
      <c r="J387" s="336"/>
      <c r="K387" s="336">
        <v>39997.82</v>
      </c>
      <c r="L387" s="336">
        <f t="shared" si="31"/>
        <v>39997.82</v>
      </c>
      <c r="M387" s="336">
        <f t="shared" si="32"/>
        <v>39997.82</v>
      </c>
      <c r="N387" s="390">
        <f t="shared" si="34"/>
        <v>0</v>
      </c>
      <c r="O387" s="442"/>
      <c r="P387" s="231" t="s">
        <v>2321</v>
      </c>
      <c r="Q387" s="11" t="s">
        <v>243</v>
      </c>
      <c r="R387" s="474"/>
      <c r="S387" s="339"/>
    </row>
    <row r="388" spans="1:20" s="325" customFormat="1" ht="42.75">
      <c r="A388" s="333" t="s">
        <v>2181</v>
      </c>
      <c r="B388" s="334" t="s">
        <v>1091</v>
      </c>
      <c r="C388" s="335" t="s">
        <v>14</v>
      </c>
      <c r="D388" s="336">
        <v>1</v>
      </c>
      <c r="E388" s="336">
        <v>1</v>
      </c>
      <c r="F388" s="336">
        <f>估驗單!F399</f>
        <v>1</v>
      </c>
      <c r="G388" s="390">
        <f t="shared" si="30"/>
        <v>0</v>
      </c>
      <c r="H388" s="336">
        <v>14999.18</v>
      </c>
      <c r="I388" s="336"/>
      <c r="J388" s="336"/>
      <c r="K388" s="336">
        <v>14999.18</v>
      </c>
      <c r="L388" s="336">
        <f t="shared" si="31"/>
        <v>14999.18</v>
      </c>
      <c r="M388" s="336">
        <f t="shared" si="32"/>
        <v>14999.18</v>
      </c>
      <c r="N388" s="390">
        <f t="shared" si="34"/>
        <v>0</v>
      </c>
      <c r="O388" s="442"/>
      <c r="P388" s="231" t="s">
        <v>242</v>
      </c>
      <c r="Q388" s="11" t="s">
        <v>243</v>
      </c>
      <c r="R388" s="474"/>
      <c r="S388" s="339"/>
    </row>
    <row r="389" spans="1:20" s="325" customFormat="1" ht="42.75">
      <c r="A389" s="333" t="s">
        <v>2182</v>
      </c>
      <c r="B389" s="334" t="s">
        <v>1094</v>
      </c>
      <c r="C389" s="335" t="s">
        <v>1095</v>
      </c>
      <c r="D389" s="336">
        <v>3</v>
      </c>
      <c r="E389" s="336">
        <v>3</v>
      </c>
      <c r="F389" s="336">
        <f>估驗單!F400</f>
        <v>3</v>
      </c>
      <c r="G389" s="390">
        <f t="shared" si="30"/>
        <v>0</v>
      </c>
      <c r="H389" s="336">
        <v>1299.93</v>
      </c>
      <c r="I389" s="336"/>
      <c r="J389" s="336"/>
      <c r="K389" s="336">
        <v>3899.79</v>
      </c>
      <c r="L389" s="336">
        <f t="shared" si="31"/>
        <v>3899.79</v>
      </c>
      <c r="M389" s="336">
        <f t="shared" si="32"/>
        <v>3899.79</v>
      </c>
      <c r="N389" s="390">
        <f t="shared" si="34"/>
        <v>0</v>
      </c>
      <c r="O389" s="442"/>
      <c r="P389" s="231" t="s">
        <v>242</v>
      </c>
      <c r="Q389" s="11" t="s">
        <v>243</v>
      </c>
      <c r="R389" s="474"/>
      <c r="S389" s="339"/>
    </row>
    <row r="390" spans="1:20" s="325" customFormat="1" ht="33">
      <c r="A390" s="333" t="s">
        <v>2183</v>
      </c>
      <c r="B390" s="334" t="s">
        <v>1098</v>
      </c>
      <c r="C390" s="335" t="s">
        <v>1095</v>
      </c>
      <c r="D390" s="336">
        <v>4</v>
      </c>
      <c r="E390" s="336">
        <v>4</v>
      </c>
      <c r="F390" s="336">
        <f>估驗單!F401</f>
        <v>4</v>
      </c>
      <c r="G390" s="390">
        <f t="shared" si="30"/>
        <v>0</v>
      </c>
      <c r="H390" s="336">
        <v>999.95</v>
      </c>
      <c r="I390" s="336"/>
      <c r="J390" s="336"/>
      <c r="K390" s="336">
        <v>3999.8</v>
      </c>
      <c r="L390" s="336">
        <f t="shared" si="31"/>
        <v>3999.8</v>
      </c>
      <c r="M390" s="336">
        <f t="shared" si="32"/>
        <v>3999.8</v>
      </c>
      <c r="N390" s="390">
        <f t="shared" si="34"/>
        <v>0</v>
      </c>
      <c r="O390" s="442"/>
      <c r="P390" s="231" t="s">
        <v>242</v>
      </c>
      <c r="Q390" s="11" t="s">
        <v>243</v>
      </c>
      <c r="R390" s="474"/>
      <c r="S390" s="339"/>
    </row>
    <row r="391" spans="1:20" s="325" customFormat="1" ht="33">
      <c r="A391" s="333" t="s">
        <v>2184</v>
      </c>
      <c r="B391" s="334" t="s">
        <v>1101</v>
      </c>
      <c r="C391" s="335" t="s">
        <v>15</v>
      </c>
      <c r="D391" s="336">
        <v>2</v>
      </c>
      <c r="E391" s="336">
        <v>2</v>
      </c>
      <c r="F391" s="336">
        <f>估驗單!F402</f>
        <v>2</v>
      </c>
      <c r="G391" s="390">
        <f t="shared" si="30"/>
        <v>0</v>
      </c>
      <c r="H391" s="336">
        <v>8999.51</v>
      </c>
      <c r="I391" s="336"/>
      <c r="J391" s="336"/>
      <c r="K391" s="336">
        <v>17999.02</v>
      </c>
      <c r="L391" s="336">
        <f t="shared" si="31"/>
        <v>17999.02</v>
      </c>
      <c r="M391" s="336">
        <f t="shared" si="32"/>
        <v>17999.02</v>
      </c>
      <c r="N391" s="390">
        <f t="shared" si="34"/>
        <v>0</v>
      </c>
      <c r="O391" s="442"/>
      <c r="P391" s="231" t="s">
        <v>2321</v>
      </c>
      <c r="Q391" s="11" t="s">
        <v>243</v>
      </c>
      <c r="R391" s="474"/>
      <c r="S391" s="339"/>
    </row>
    <row r="392" spans="1:20" s="325" customFormat="1" ht="42.75">
      <c r="A392" s="333" t="s">
        <v>2185</v>
      </c>
      <c r="B392" s="334" t="s">
        <v>1104</v>
      </c>
      <c r="C392" s="335" t="s">
        <v>15</v>
      </c>
      <c r="D392" s="336">
        <v>4</v>
      </c>
      <c r="E392" s="336">
        <v>4</v>
      </c>
      <c r="F392" s="336">
        <f>估驗單!F403</f>
        <v>4</v>
      </c>
      <c r="G392" s="390">
        <f t="shared" si="30"/>
        <v>0</v>
      </c>
      <c r="H392" s="336">
        <v>4199.7700000000004</v>
      </c>
      <c r="I392" s="336"/>
      <c r="J392" s="336"/>
      <c r="K392" s="336">
        <v>16799.080000000002</v>
      </c>
      <c r="L392" s="336">
        <f t="shared" si="31"/>
        <v>16799.080000000002</v>
      </c>
      <c r="M392" s="336">
        <f t="shared" si="32"/>
        <v>16799.080000000002</v>
      </c>
      <c r="N392" s="390">
        <f t="shared" si="34"/>
        <v>0</v>
      </c>
      <c r="O392" s="442"/>
      <c r="P392" s="231" t="s">
        <v>242</v>
      </c>
      <c r="Q392" s="11" t="s">
        <v>243</v>
      </c>
      <c r="R392" s="474"/>
      <c r="S392" s="339"/>
    </row>
    <row r="393" spans="1:20" ht="33">
      <c r="A393" s="333" t="s">
        <v>2186</v>
      </c>
      <c r="B393" s="334" t="s">
        <v>1107</v>
      </c>
      <c r="C393" s="335" t="s">
        <v>14</v>
      </c>
      <c r="D393" s="336">
        <v>2</v>
      </c>
      <c r="E393" s="336">
        <v>2</v>
      </c>
      <c r="F393" s="336">
        <f>估驗單!F404</f>
        <v>2</v>
      </c>
      <c r="G393" s="390">
        <f t="shared" si="30"/>
        <v>0</v>
      </c>
      <c r="H393" s="336">
        <v>999.95</v>
      </c>
      <c r="I393" s="336"/>
      <c r="J393" s="336"/>
      <c r="K393" s="336">
        <v>1999.9</v>
      </c>
      <c r="L393" s="336">
        <f t="shared" si="31"/>
        <v>1999.9</v>
      </c>
      <c r="M393" s="336">
        <f t="shared" si="32"/>
        <v>1999.9</v>
      </c>
      <c r="N393" s="390">
        <f t="shared" si="34"/>
        <v>0</v>
      </c>
      <c r="O393" s="442"/>
      <c r="P393" s="231" t="s">
        <v>242</v>
      </c>
      <c r="Q393" s="11" t="s">
        <v>243</v>
      </c>
      <c r="R393" s="474"/>
      <c r="S393" s="339"/>
    </row>
    <row r="394" spans="1:20" ht="33">
      <c r="A394" s="333" t="s">
        <v>2187</v>
      </c>
      <c r="B394" s="334" t="s">
        <v>224</v>
      </c>
      <c r="C394" s="335" t="s">
        <v>15</v>
      </c>
      <c r="D394" s="336">
        <v>12</v>
      </c>
      <c r="E394" s="336">
        <v>12</v>
      </c>
      <c r="F394" s="336">
        <f>估驗單!F405</f>
        <v>12</v>
      </c>
      <c r="G394" s="390">
        <f t="shared" si="30"/>
        <v>0</v>
      </c>
      <c r="H394" s="336">
        <v>4499.75</v>
      </c>
      <c r="I394" s="336"/>
      <c r="J394" s="336"/>
      <c r="K394" s="336">
        <v>53997</v>
      </c>
      <c r="L394" s="336">
        <f t="shared" si="31"/>
        <v>53997</v>
      </c>
      <c r="M394" s="336">
        <f t="shared" si="32"/>
        <v>53997</v>
      </c>
      <c r="N394" s="390">
        <f t="shared" si="34"/>
        <v>0</v>
      </c>
      <c r="O394" s="442"/>
      <c r="P394" s="231" t="s">
        <v>242</v>
      </c>
      <c r="Q394" s="11" t="s">
        <v>243</v>
      </c>
      <c r="R394" s="474"/>
      <c r="S394" s="339"/>
    </row>
    <row r="395" spans="1:20" ht="33">
      <c r="A395" s="333" t="s">
        <v>2188</v>
      </c>
      <c r="B395" s="334" t="s">
        <v>1112</v>
      </c>
      <c r="C395" s="335" t="s">
        <v>15</v>
      </c>
      <c r="D395" s="336">
        <v>2</v>
      </c>
      <c r="E395" s="336">
        <v>2</v>
      </c>
      <c r="F395" s="336">
        <f>估驗單!F406</f>
        <v>2</v>
      </c>
      <c r="G395" s="390">
        <f t="shared" si="30"/>
        <v>0</v>
      </c>
      <c r="H395" s="336">
        <v>636265.30000000005</v>
      </c>
      <c r="I395" s="336"/>
      <c r="J395" s="336"/>
      <c r="K395" s="336">
        <v>1272530.6000000001</v>
      </c>
      <c r="L395" s="336">
        <f t="shared" si="31"/>
        <v>1272530.6000000001</v>
      </c>
      <c r="M395" s="336">
        <f t="shared" si="32"/>
        <v>1272530.6000000001</v>
      </c>
      <c r="N395" s="390">
        <f t="shared" si="34"/>
        <v>0</v>
      </c>
      <c r="O395" s="442"/>
      <c r="P395" s="231" t="s">
        <v>242</v>
      </c>
      <c r="Q395" s="11" t="s">
        <v>243</v>
      </c>
      <c r="R395" s="474"/>
      <c r="S395" s="339"/>
    </row>
    <row r="396" spans="1:20" ht="42.75">
      <c r="A396" s="333" t="s">
        <v>2189</v>
      </c>
      <c r="B396" s="334" t="s">
        <v>1115</v>
      </c>
      <c r="C396" s="335" t="s">
        <v>1116</v>
      </c>
      <c r="D396" s="336">
        <v>4</v>
      </c>
      <c r="E396" s="336">
        <v>4</v>
      </c>
      <c r="F396" s="336">
        <f>估驗單!F407</f>
        <v>4</v>
      </c>
      <c r="G396" s="390">
        <f t="shared" si="30"/>
        <v>0</v>
      </c>
      <c r="H396" s="336">
        <v>1999.89</v>
      </c>
      <c r="I396" s="336"/>
      <c r="J396" s="336"/>
      <c r="K396" s="336">
        <v>7999.56</v>
      </c>
      <c r="L396" s="336">
        <f t="shared" si="31"/>
        <v>7999.56</v>
      </c>
      <c r="M396" s="336">
        <f t="shared" si="32"/>
        <v>7999.56</v>
      </c>
      <c r="N396" s="390">
        <f t="shared" si="34"/>
        <v>0</v>
      </c>
      <c r="O396" s="442"/>
      <c r="P396" s="231" t="s">
        <v>2321</v>
      </c>
      <c r="Q396" s="11" t="s">
        <v>243</v>
      </c>
      <c r="R396" s="474"/>
      <c r="S396" s="339"/>
    </row>
    <row r="397" spans="1:20" ht="33">
      <c r="A397" s="333" t="s">
        <v>2190</v>
      </c>
      <c r="B397" s="334" t="s">
        <v>1542</v>
      </c>
      <c r="C397" s="335" t="s">
        <v>15</v>
      </c>
      <c r="D397" s="336">
        <v>1</v>
      </c>
      <c r="E397" s="336">
        <v>1</v>
      </c>
      <c r="F397" s="336">
        <f>估驗單!F408</f>
        <v>1</v>
      </c>
      <c r="G397" s="390">
        <f t="shared" si="30"/>
        <v>0</v>
      </c>
      <c r="H397" s="336">
        <v>119722.49</v>
      </c>
      <c r="I397" s="336"/>
      <c r="J397" s="336"/>
      <c r="K397" s="336">
        <v>119722.49</v>
      </c>
      <c r="L397" s="336">
        <f t="shared" si="31"/>
        <v>119722.49</v>
      </c>
      <c r="M397" s="336">
        <f t="shared" si="32"/>
        <v>119722.49</v>
      </c>
      <c r="N397" s="390">
        <f t="shared" si="34"/>
        <v>0</v>
      </c>
      <c r="O397" s="442"/>
      <c r="P397" s="231" t="s">
        <v>242</v>
      </c>
      <c r="Q397" s="11" t="s">
        <v>243</v>
      </c>
      <c r="R397" s="474"/>
      <c r="S397" s="339"/>
    </row>
    <row r="398" spans="1:20" s="352" customFormat="1" ht="33.75">
      <c r="A398" s="343">
        <v>36</v>
      </c>
      <c r="B398" s="344" t="s">
        <v>2441</v>
      </c>
      <c r="C398" s="345" t="s">
        <v>2353</v>
      </c>
      <c r="D398" s="340">
        <v>0</v>
      </c>
      <c r="E398" s="340">
        <v>1</v>
      </c>
      <c r="F398" s="336">
        <f>估驗單!F409</f>
        <v>1</v>
      </c>
      <c r="G398" s="390">
        <f t="shared" si="30"/>
        <v>0</v>
      </c>
      <c r="H398" s="340">
        <v>0</v>
      </c>
      <c r="I398" s="340"/>
      <c r="J398" s="340">
        <v>74993.56</v>
      </c>
      <c r="K398" s="340">
        <v>0</v>
      </c>
      <c r="L398" s="336">
        <f>ROUND(E398*J398,2)</f>
        <v>74993.56</v>
      </c>
      <c r="M398" s="336">
        <f>ROUND(F398*J398,2)</f>
        <v>74993.56</v>
      </c>
      <c r="N398" s="390">
        <f t="shared" si="34"/>
        <v>0</v>
      </c>
      <c r="O398" s="442"/>
      <c r="P398" s="350" t="s">
        <v>2442</v>
      </c>
      <c r="Q398" s="347" t="s">
        <v>243</v>
      </c>
      <c r="R398" s="377" t="s">
        <v>2443</v>
      </c>
      <c r="S398" s="349"/>
      <c r="T398" s="362" t="s">
        <v>2356</v>
      </c>
    </row>
    <row r="399" spans="1:20" s="352" customFormat="1" ht="42.75">
      <c r="A399" s="423">
        <v>37</v>
      </c>
      <c r="B399" s="424" t="s">
        <v>1546</v>
      </c>
      <c r="C399" s="425" t="s">
        <v>15</v>
      </c>
      <c r="D399" s="419">
        <v>0</v>
      </c>
      <c r="E399" s="419">
        <v>2</v>
      </c>
      <c r="F399" s="419">
        <f>估驗單!F410</f>
        <v>2</v>
      </c>
      <c r="G399" s="426">
        <f t="shared" si="30"/>
        <v>0</v>
      </c>
      <c r="H399" s="419">
        <v>0</v>
      </c>
      <c r="I399" s="419"/>
      <c r="J399" s="419">
        <v>83492.83</v>
      </c>
      <c r="K399" s="419">
        <v>0</v>
      </c>
      <c r="L399" s="336">
        <f>ROUND(E399*J399,2)</f>
        <v>166985.66</v>
      </c>
      <c r="M399" s="336">
        <f>ROUND(F399*J399,2)</f>
        <v>166985.66</v>
      </c>
      <c r="N399" s="390">
        <f t="shared" si="34"/>
        <v>0</v>
      </c>
      <c r="O399" s="442"/>
      <c r="P399" s="376"/>
      <c r="Q399" s="357"/>
      <c r="R399" s="377"/>
      <c r="S399" s="360"/>
      <c r="T399" s="353" t="s">
        <v>2356</v>
      </c>
    </row>
    <row r="400" spans="1:20" s="352" customFormat="1" ht="42.75">
      <c r="A400" s="423">
        <v>38</v>
      </c>
      <c r="B400" s="424" t="s">
        <v>1548</v>
      </c>
      <c r="C400" s="425" t="s">
        <v>15</v>
      </c>
      <c r="D400" s="419">
        <v>0</v>
      </c>
      <c r="E400" s="419">
        <v>1</v>
      </c>
      <c r="F400" s="419">
        <f>估驗單!F411</f>
        <v>1</v>
      </c>
      <c r="G400" s="426">
        <f t="shared" si="30"/>
        <v>0</v>
      </c>
      <c r="H400" s="419">
        <v>0</v>
      </c>
      <c r="I400" s="419"/>
      <c r="J400" s="419">
        <v>76193.42</v>
      </c>
      <c r="K400" s="419">
        <v>0</v>
      </c>
      <c r="L400" s="336">
        <f>ROUND(E400*J400,2)</f>
        <v>76193.42</v>
      </c>
      <c r="M400" s="336">
        <f>ROUND(F400*J400,2)</f>
        <v>76193.42</v>
      </c>
      <c r="N400" s="390">
        <f t="shared" si="34"/>
        <v>0</v>
      </c>
      <c r="O400" s="442"/>
      <c r="P400" s="376"/>
      <c r="Q400" s="357"/>
      <c r="R400" s="377"/>
      <c r="S400" s="360"/>
      <c r="T400" s="353" t="s">
        <v>2356</v>
      </c>
    </row>
    <row r="401" spans="1:24" s="352" customFormat="1" ht="28.5">
      <c r="A401" s="423">
        <v>39</v>
      </c>
      <c r="B401" s="424" t="s">
        <v>1550</v>
      </c>
      <c r="C401" s="425" t="s">
        <v>15</v>
      </c>
      <c r="D401" s="419">
        <v>0</v>
      </c>
      <c r="E401" s="419">
        <v>2</v>
      </c>
      <c r="F401" s="419">
        <f>估驗單!F412</f>
        <v>2</v>
      </c>
      <c r="G401" s="426">
        <f t="shared" si="30"/>
        <v>0</v>
      </c>
      <c r="H401" s="419">
        <v>0</v>
      </c>
      <c r="I401" s="419"/>
      <c r="J401" s="419">
        <v>17998.46</v>
      </c>
      <c r="K401" s="419">
        <v>0</v>
      </c>
      <c r="L401" s="336">
        <f>ROUND(E401*J401,2)</f>
        <v>35996.92</v>
      </c>
      <c r="M401" s="336">
        <f>ROUND(F401*J401,2)</f>
        <v>35996.92</v>
      </c>
      <c r="N401" s="390">
        <f t="shared" si="34"/>
        <v>0</v>
      </c>
      <c r="O401" s="442"/>
      <c r="P401" s="376"/>
      <c r="Q401" s="357"/>
      <c r="R401" s="377"/>
      <c r="S401" s="360"/>
      <c r="T401" s="353" t="s">
        <v>2356</v>
      </c>
    </row>
    <row r="402" spans="1:24" ht="33">
      <c r="A402" s="406" t="s">
        <v>2253</v>
      </c>
      <c r="B402" s="407" t="s">
        <v>1118</v>
      </c>
      <c r="C402" s="408" t="s">
        <v>4</v>
      </c>
      <c r="D402" s="409">
        <v>1</v>
      </c>
      <c r="E402" s="409"/>
      <c r="F402" s="409"/>
      <c r="G402" s="410">
        <f t="shared" si="30"/>
        <v>0</v>
      </c>
      <c r="H402" s="409">
        <v>993885.6</v>
      </c>
      <c r="I402" s="409"/>
      <c r="J402" s="409"/>
      <c r="K402" s="409">
        <v>993885.6</v>
      </c>
      <c r="L402" s="409">
        <f>SUM(L403:L405)</f>
        <v>3983954.6799999997</v>
      </c>
      <c r="M402" s="409">
        <f>SUM(M403:M405)</f>
        <v>3983954.6799999997</v>
      </c>
      <c r="N402" s="409">
        <f>SUM(N403:N405)</f>
        <v>0</v>
      </c>
      <c r="O402" s="444"/>
      <c r="P402" s="288" t="s">
        <v>242</v>
      </c>
      <c r="Q402" s="11" t="s">
        <v>243</v>
      </c>
      <c r="R402" s="474"/>
      <c r="S402" s="339"/>
    </row>
    <row r="403" spans="1:24" ht="33">
      <c r="A403" s="333" t="s">
        <v>2154</v>
      </c>
      <c r="B403" s="334" t="s">
        <v>26</v>
      </c>
      <c r="C403" s="335" t="s">
        <v>20</v>
      </c>
      <c r="D403" s="336">
        <v>48</v>
      </c>
      <c r="E403" s="336">
        <v>48</v>
      </c>
      <c r="F403" s="336">
        <f>估驗單!F414</f>
        <v>48</v>
      </c>
      <c r="G403" s="390">
        <f t="shared" si="30"/>
        <v>0</v>
      </c>
      <c r="H403" s="336">
        <v>13067.55</v>
      </c>
      <c r="I403" s="336"/>
      <c r="J403" s="336"/>
      <c r="K403" s="336">
        <v>627242.4</v>
      </c>
      <c r="L403" s="336">
        <f>ROUND(E403*H403,2)</f>
        <v>627242.4</v>
      </c>
      <c r="M403" s="336">
        <f>ROUND(F403*H403,2)</f>
        <v>627242.4</v>
      </c>
      <c r="N403" s="390">
        <f>IF(L403-M403&lt;0+AND(L403&lt;&gt;0),M403-L403,"      ")</f>
        <v>0</v>
      </c>
      <c r="O403" s="442"/>
      <c r="P403" s="231" t="s">
        <v>242</v>
      </c>
      <c r="Q403" s="11" t="s">
        <v>243</v>
      </c>
      <c r="R403" s="474"/>
      <c r="S403" s="339"/>
    </row>
    <row r="404" spans="1:24" ht="33.75">
      <c r="A404" s="333" t="s">
        <v>2155</v>
      </c>
      <c r="B404" s="334" t="s">
        <v>27</v>
      </c>
      <c r="C404" s="335" t="s">
        <v>21</v>
      </c>
      <c r="D404" s="336">
        <v>6720</v>
      </c>
      <c r="E404" s="336">
        <v>28448</v>
      </c>
      <c r="F404" s="336">
        <f>估驗單!F415</f>
        <v>28448</v>
      </c>
      <c r="G404" s="390">
        <f t="shared" si="30"/>
        <v>0</v>
      </c>
      <c r="H404" s="336">
        <v>54.56</v>
      </c>
      <c r="I404" s="336"/>
      <c r="J404" s="336"/>
      <c r="K404" s="336">
        <f>H404*D404</f>
        <v>366643.20000000001</v>
      </c>
      <c r="L404" s="336">
        <f>ROUND(E404*H404,2)</f>
        <v>1552122.8799999999</v>
      </c>
      <c r="M404" s="336">
        <f>ROUND(F404*H404,2)</f>
        <v>1552122.8799999999</v>
      </c>
      <c r="N404" s="390">
        <f>IF(L404-M404&lt;0+AND(L404&lt;&gt;0),M404-L404,"      ")</f>
        <v>0</v>
      </c>
      <c r="O404" s="442"/>
      <c r="P404" s="231" t="s">
        <v>2444</v>
      </c>
      <c r="Q404" s="11" t="s">
        <v>243</v>
      </c>
      <c r="R404" s="474" t="s">
        <v>2445</v>
      </c>
      <c r="S404" s="339" t="s">
        <v>2446</v>
      </c>
      <c r="T404" s="362" t="s">
        <v>2356</v>
      </c>
      <c r="V404" s="378" t="s">
        <v>2447</v>
      </c>
      <c r="X404" s="379"/>
    </row>
    <row r="405" spans="1:24" s="363" customFormat="1" ht="67.5">
      <c r="A405" s="343" t="s">
        <v>2156</v>
      </c>
      <c r="B405" s="344" t="s">
        <v>1553</v>
      </c>
      <c r="C405" s="345" t="s">
        <v>2448</v>
      </c>
      <c r="D405" s="340">
        <v>0</v>
      </c>
      <c r="E405" s="340">
        <v>1570</v>
      </c>
      <c r="F405" s="336">
        <f>估驗單!F416</f>
        <v>1570</v>
      </c>
      <c r="G405" s="390">
        <f t="shared" si="30"/>
        <v>0</v>
      </c>
      <c r="H405" s="340">
        <v>0</v>
      </c>
      <c r="I405" s="337"/>
      <c r="J405" s="340">
        <v>1149.42</v>
      </c>
      <c r="K405" s="340">
        <f>H405*D405</f>
        <v>0</v>
      </c>
      <c r="L405" s="336">
        <f>ROUND(E405*J405,2)</f>
        <v>1804589.4</v>
      </c>
      <c r="M405" s="336">
        <f>ROUND(F405*J405,2)</f>
        <v>1804589.4</v>
      </c>
      <c r="N405" s="390">
        <f>IF(L405-M405&lt;0+AND(L405&lt;&gt;0),M405-L405,"      ")</f>
        <v>0</v>
      </c>
      <c r="O405" s="442"/>
      <c r="P405" s="346" t="s">
        <v>242</v>
      </c>
      <c r="Q405" s="347" t="s">
        <v>243</v>
      </c>
      <c r="R405" s="474" t="s">
        <v>2449</v>
      </c>
      <c r="S405" s="349" t="s">
        <v>2450</v>
      </c>
      <c r="T405" s="358" t="s">
        <v>2341</v>
      </c>
    </row>
    <row r="406" spans="1:24" ht="33">
      <c r="A406" s="406" t="s">
        <v>2254</v>
      </c>
      <c r="B406" s="407" t="s">
        <v>1121</v>
      </c>
      <c r="C406" s="408" t="s">
        <v>4</v>
      </c>
      <c r="D406" s="409">
        <v>1</v>
      </c>
      <c r="E406" s="409"/>
      <c r="F406" s="409"/>
      <c r="G406" s="410">
        <f t="shared" si="30"/>
        <v>0</v>
      </c>
      <c r="H406" s="409">
        <v>8414342.0800000001</v>
      </c>
      <c r="I406" s="409"/>
      <c r="J406" s="409"/>
      <c r="K406" s="409">
        <v>8414342.0800000001</v>
      </c>
      <c r="L406" s="411">
        <f>SUM(L407:L424)</f>
        <v>9928418.8300000001</v>
      </c>
      <c r="M406" s="411">
        <f>SUM(M407:M424)</f>
        <v>10543888.68</v>
      </c>
      <c r="N406" s="411">
        <f>SUM(N407:N424)</f>
        <v>615469.85</v>
      </c>
      <c r="O406" s="441">
        <f>SUM(O407:O424)</f>
        <v>0</v>
      </c>
      <c r="P406" s="288" t="s">
        <v>242</v>
      </c>
      <c r="Q406" s="11" t="s">
        <v>243</v>
      </c>
      <c r="R406" s="474"/>
      <c r="S406" s="339"/>
    </row>
    <row r="407" spans="1:24" ht="33">
      <c r="A407" s="333" t="s">
        <v>2154</v>
      </c>
      <c r="B407" s="334" t="s">
        <v>1122</v>
      </c>
      <c r="C407" s="335" t="s">
        <v>8</v>
      </c>
      <c r="D407" s="336">
        <v>1294.97</v>
      </c>
      <c r="E407" s="336">
        <v>1294.97</v>
      </c>
      <c r="F407" s="336">
        <f>估驗單!F418</f>
        <v>1294.97</v>
      </c>
      <c r="G407" s="390">
        <f t="shared" si="30"/>
        <v>0</v>
      </c>
      <c r="H407" s="336">
        <v>3662.03</v>
      </c>
      <c r="I407" s="336"/>
      <c r="J407" s="336"/>
      <c r="K407" s="336">
        <v>4742218.99</v>
      </c>
      <c r="L407" s="336">
        <f t="shared" ref="L407:L422" si="35">ROUND(E407*H407,2)</f>
        <v>4742218.99</v>
      </c>
      <c r="M407" s="336">
        <f t="shared" ref="M407:M422" si="36">ROUND(F407*H407,2)</f>
        <v>4742218.99</v>
      </c>
      <c r="N407" s="390">
        <f t="shared" ref="N407:N424" si="37">IF(L407-M407&lt;0+AND(L407&lt;&gt;0),M407-L407,"      ")</f>
        <v>0</v>
      </c>
      <c r="O407" s="442"/>
      <c r="P407" s="231" t="s">
        <v>2451</v>
      </c>
      <c r="Q407" s="11" t="s">
        <v>243</v>
      </c>
      <c r="R407" s="474"/>
      <c r="S407" s="339"/>
    </row>
    <row r="408" spans="1:24" ht="33">
      <c r="A408" s="333" t="s">
        <v>2155</v>
      </c>
      <c r="B408" s="334" t="s">
        <v>1124</v>
      </c>
      <c r="C408" s="335" t="s">
        <v>13</v>
      </c>
      <c r="D408" s="336">
        <v>1840.93</v>
      </c>
      <c r="E408" s="336">
        <v>1840.93</v>
      </c>
      <c r="F408" s="336">
        <f>估驗單!F419</f>
        <v>1840.93</v>
      </c>
      <c r="G408" s="390">
        <f t="shared" si="30"/>
        <v>0</v>
      </c>
      <c r="H408" s="336">
        <v>352.98</v>
      </c>
      <c r="I408" s="336"/>
      <c r="J408" s="336"/>
      <c r="K408" s="336">
        <v>649811.47</v>
      </c>
      <c r="L408" s="336">
        <f t="shared" si="35"/>
        <v>649811.47</v>
      </c>
      <c r="M408" s="336">
        <f t="shared" si="36"/>
        <v>649811.47</v>
      </c>
      <c r="N408" s="390">
        <f t="shared" si="37"/>
        <v>0</v>
      </c>
      <c r="O408" s="442"/>
      <c r="P408" s="231" t="s">
        <v>2452</v>
      </c>
      <c r="Q408" s="11" t="s">
        <v>243</v>
      </c>
      <c r="R408" s="474"/>
      <c r="S408" s="339"/>
    </row>
    <row r="409" spans="1:24" ht="33">
      <c r="A409" s="333" t="s">
        <v>2156</v>
      </c>
      <c r="B409" s="334" t="s">
        <v>32</v>
      </c>
      <c r="C409" s="335" t="s">
        <v>7</v>
      </c>
      <c r="D409" s="336">
        <v>59</v>
      </c>
      <c r="E409" s="336">
        <v>59</v>
      </c>
      <c r="F409" s="336">
        <f>估驗單!F420</f>
        <v>59</v>
      </c>
      <c r="G409" s="390">
        <f t="shared" si="30"/>
        <v>0</v>
      </c>
      <c r="H409" s="336">
        <v>217.01</v>
      </c>
      <c r="I409" s="336"/>
      <c r="J409" s="336"/>
      <c r="K409" s="336">
        <v>12803.59</v>
      </c>
      <c r="L409" s="336">
        <f t="shared" si="35"/>
        <v>12803.59</v>
      </c>
      <c r="M409" s="336">
        <f t="shared" si="36"/>
        <v>12803.59</v>
      </c>
      <c r="N409" s="390">
        <f t="shared" si="37"/>
        <v>0</v>
      </c>
      <c r="O409" s="442"/>
      <c r="P409" s="231" t="s">
        <v>242</v>
      </c>
      <c r="Q409" s="11" t="s">
        <v>243</v>
      </c>
      <c r="R409" s="474"/>
      <c r="S409" s="339"/>
    </row>
    <row r="410" spans="1:24" ht="33">
      <c r="A410" s="333" t="s">
        <v>2157</v>
      </c>
      <c r="B410" s="334" t="s">
        <v>33</v>
      </c>
      <c r="C410" s="335" t="s">
        <v>5</v>
      </c>
      <c r="D410" s="336">
        <v>30</v>
      </c>
      <c r="E410" s="336">
        <v>30</v>
      </c>
      <c r="F410" s="336">
        <f>估驗單!F421</f>
        <v>30</v>
      </c>
      <c r="G410" s="390">
        <f t="shared" ref="G410:G449" si="38">F410-E410</f>
        <v>0</v>
      </c>
      <c r="H410" s="336">
        <v>50</v>
      </c>
      <c r="I410" s="336"/>
      <c r="J410" s="336"/>
      <c r="K410" s="336">
        <v>1500</v>
      </c>
      <c r="L410" s="336">
        <f t="shared" si="35"/>
        <v>1500</v>
      </c>
      <c r="M410" s="336">
        <f t="shared" si="36"/>
        <v>1500</v>
      </c>
      <c r="N410" s="390">
        <f t="shared" si="37"/>
        <v>0</v>
      </c>
      <c r="O410" s="442"/>
      <c r="P410" s="231" t="s">
        <v>242</v>
      </c>
      <c r="Q410" s="11" t="s">
        <v>243</v>
      </c>
      <c r="R410" s="474"/>
      <c r="S410" s="339"/>
    </row>
    <row r="411" spans="1:24" ht="33">
      <c r="A411" s="333" t="s">
        <v>2158</v>
      </c>
      <c r="B411" s="334" t="s">
        <v>1128</v>
      </c>
      <c r="C411" s="335" t="s">
        <v>0</v>
      </c>
      <c r="D411" s="336">
        <v>19</v>
      </c>
      <c r="E411" s="336">
        <v>19</v>
      </c>
      <c r="F411" s="336">
        <f>估驗單!F422</f>
        <v>19</v>
      </c>
      <c r="G411" s="390">
        <f t="shared" si="38"/>
        <v>0</v>
      </c>
      <c r="H411" s="336">
        <v>1900.88</v>
      </c>
      <c r="I411" s="336"/>
      <c r="J411" s="336"/>
      <c r="K411" s="336">
        <v>36116.720000000001</v>
      </c>
      <c r="L411" s="336">
        <f t="shared" si="35"/>
        <v>36116.720000000001</v>
      </c>
      <c r="M411" s="336">
        <f t="shared" si="36"/>
        <v>36116.720000000001</v>
      </c>
      <c r="N411" s="390">
        <f t="shared" si="37"/>
        <v>0</v>
      </c>
      <c r="O411" s="442"/>
      <c r="P411" s="231" t="s">
        <v>242</v>
      </c>
      <c r="Q411" s="11" t="s">
        <v>243</v>
      </c>
      <c r="R411" s="474"/>
      <c r="S411" s="339"/>
    </row>
    <row r="412" spans="1:24" ht="33">
      <c r="A412" s="333" t="s">
        <v>2159</v>
      </c>
      <c r="B412" s="334" t="s">
        <v>1130</v>
      </c>
      <c r="C412" s="335" t="s">
        <v>0</v>
      </c>
      <c r="D412" s="336">
        <v>10</v>
      </c>
      <c r="E412" s="336">
        <v>10</v>
      </c>
      <c r="F412" s="336">
        <f>估驗單!F423</f>
        <v>10</v>
      </c>
      <c r="G412" s="390">
        <f t="shared" si="38"/>
        <v>0</v>
      </c>
      <c r="H412" s="336">
        <v>1230.67</v>
      </c>
      <c r="I412" s="336"/>
      <c r="J412" s="336"/>
      <c r="K412" s="336">
        <v>12306.7</v>
      </c>
      <c r="L412" s="336">
        <f t="shared" si="35"/>
        <v>12306.7</v>
      </c>
      <c r="M412" s="336">
        <f t="shared" si="36"/>
        <v>12306.7</v>
      </c>
      <c r="N412" s="390">
        <f t="shared" si="37"/>
        <v>0</v>
      </c>
      <c r="O412" s="442"/>
      <c r="P412" s="231" t="s">
        <v>242</v>
      </c>
      <c r="Q412" s="11" t="s">
        <v>243</v>
      </c>
      <c r="R412" s="474"/>
      <c r="S412" s="339"/>
    </row>
    <row r="413" spans="1:24" ht="33">
      <c r="A413" s="333" t="s">
        <v>2160</v>
      </c>
      <c r="B413" s="334" t="s">
        <v>30</v>
      </c>
      <c r="C413" s="335" t="s">
        <v>0</v>
      </c>
      <c r="D413" s="336">
        <v>577</v>
      </c>
      <c r="E413" s="336">
        <v>577</v>
      </c>
      <c r="F413" s="336">
        <f>估驗單!F424</f>
        <v>577</v>
      </c>
      <c r="G413" s="390">
        <f t="shared" si="38"/>
        <v>0</v>
      </c>
      <c r="H413" s="336">
        <v>1666.03</v>
      </c>
      <c r="I413" s="336"/>
      <c r="J413" s="336"/>
      <c r="K413" s="336">
        <v>961299.31</v>
      </c>
      <c r="L413" s="336">
        <f t="shared" si="35"/>
        <v>961299.31</v>
      </c>
      <c r="M413" s="336">
        <f t="shared" si="36"/>
        <v>961299.31</v>
      </c>
      <c r="N413" s="390">
        <f t="shared" si="37"/>
        <v>0</v>
      </c>
      <c r="O413" s="442"/>
      <c r="P413" s="231" t="s">
        <v>242</v>
      </c>
      <c r="Q413" s="11" t="s">
        <v>243</v>
      </c>
      <c r="R413" s="474"/>
      <c r="S413" s="339"/>
    </row>
    <row r="414" spans="1:24" ht="33">
      <c r="A414" s="333" t="s">
        <v>2161</v>
      </c>
      <c r="B414" s="334" t="s">
        <v>1133</v>
      </c>
      <c r="C414" s="335" t="s">
        <v>0</v>
      </c>
      <c r="D414" s="336">
        <v>2</v>
      </c>
      <c r="E414" s="336">
        <v>2</v>
      </c>
      <c r="F414" s="336">
        <f>估驗單!F425</f>
        <v>3</v>
      </c>
      <c r="G414" s="390">
        <f t="shared" si="38"/>
        <v>1</v>
      </c>
      <c r="H414" s="336">
        <v>48510.35</v>
      </c>
      <c r="I414" s="336"/>
      <c r="J414" s="336"/>
      <c r="K414" s="336">
        <v>97020.7</v>
      </c>
      <c r="L414" s="336">
        <f t="shared" si="35"/>
        <v>97020.7</v>
      </c>
      <c r="M414" s="336">
        <f t="shared" si="36"/>
        <v>145531.04999999999</v>
      </c>
      <c r="N414" s="390">
        <f t="shared" si="37"/>
        <v>48510.349999999991</v>
      </c>
      <c r="O414" s="442"/>
      <c r="P414" s="231" t="s">
        <v>242</v>
      </c>
      <c r="Q414" s="11" t="s">
        <v>243</v>
      </c>
      <c r="R414" s="474"/>
      <c r="S414" s="339"/>
    </row>
    <row r="415" spans="1:24" ht="85.5">
      <c r="A415" s="333" t="s">
        <v>2162</v>
      </c>
      <c r="B415" s="334" t="s">
        <v>28</v>
      </c>
      <c r="C415" s="335" t="s">
        <v>22</v>
      </c>
      <c r="D415" s="336">
        <v>19</v>
      </c>
      <c r="E415" s="336">
        <v>19</v>
      </c>
      <c r="F415" s="336">
        <f>估驗單!F426</f>
        <v>19</v>
      </c>
      <c r="G415" s="390">
        <f t="shared" si="38"/>
        <v>0</v>
      </c>
      <c r="H415" s="336">
        <v>587.07000000000005</v>
      </c>
      <c r="I415" s="336"/>
      <c r="J415" s="336"/>
      <c r="K415" s="336">
        <v>11154.33</v>
      </c>
      <c r="L415" s="336">
        <f t="shared" si="35"/>
        <v>11154.33</v>
      </c>
      <c r="M415" s="336">
        <f t="shared" si="36"/>
        <v>11154.33</v>
      </c>
      <c r="N415" s="390">
        <f t="shared" si="37"/>
        <v>0</v>
      </c>
      <c r="O415" s="442"/>
      <c r="P415" s="231" t="s">
        <v>2453</v>
      </c>
      <c r="Q415" s="11" t="s">
        <v>243</v>
      </c>
      <c r="R415" s="474"/>
      <c r="S415" s="339"/>
    </row>
    <row r="416" spans="1:24" ht="33">
      <c r="A416" s="333" t="s">
        <v>2163</v>
      </c>
      <c r="B416" s="334" t="s">
        <v>1136</v>
      </c>
      <c r="C416" s="335" t="s">
        <v>7</v>
      </c>
      <c r="D416" s="336">
        <v>19</v>
      </c>
      <c r="E416" s="336">
        <v>19</v>
      </c>
      <c r="F416" s="336">
        <f>估驗單!F427</f>
        <v>19</v>
      </c>
      <c r="G416" s="390">
        <f t="shared" si="38"/>
        <v>0</v>
      </c>
      <c r="H416" s="336">
        <v>664.14</v>
      </c>
      <c r="I416" s="336"/>
      <c r="J416" s="336"/>
      <c r="K416" s="336">
        <v>12618.66</v>
      </c>
      <c r="L416" s="336">
        <f t="shared" si="35"/>
        <v>12618.66</v>
      </c>
      <c r="M416" s="336">
        <f t="shared" si="36"/>
        <v>12618.66</v>
      </c>
      <c r="N416" s="390">
        <f t="shared" si="37"/>
        <v>0</v>
      </c>
      <c r="O416" s="442"/>
      <c r="P416" s="231" t="s">
        <v>242</v>
      </c>
      <c r="Q416" s="11" t="s">
        <v>243</v>
      </c>
      <c r="R416" s="474"/>
      <c r="S416" s="339"/>
    </row>
    <row r="417" spans="1:20" ht="33">
      <c r="A417" s="333" t="s">
        <v>2164</v>
      </c>
      <c r="B417" s="334" t="s">
        <v>1138</v>
      </c>
      <c r="C417" s="335" t="s">
        <v>1139</v>
      </c>
      <c r="D417" s="336">
        <v>2</v>
      </c>
      <c r="E417" s="336">
        <v>2</v>
      </c>
      <c r="F417" s="336">
        <f>估驗單!F428</f>
        <v>2</v>
      </c>
      <c r="G417" s="390">
        <f t="shared" si="38"/>
        <v>0</v>
      </c>
      <c r="H417" s="336">
        <v>9999.4500000000007</v>
      </c>
      <c r="I417" s="336"/>
      <c r="J417" s="336"/>
      <c r="K417" s="336">
        <v>19998.900000000001</v>
      </c>
      <c r="L417" s="336">
        <f t="shared" si="35"/>
        <v>19998.900000000001</v>
      </c>
      <c r="M417" s="336">
        <f t="shared" si="36"/>
        <v>19998.900000000001</v>
      </c>
      <c r="N417" s="390">
        <f t="shared" si="37"/>
        <v>0</v>
      </c>
      <c r="O417" s="442"/>
      <c r="P417" s="231" t="s">
        <v>242</v>
      </c>
      <c r="Q417" s="11" t="s">
        <v>243</v>
      </c>
      <c r="R417" s="474"/>
      <c r="S417" s="339"/>
    </row>
    <row r="418" spans="1:20" ht="33">
      <c r="A418" s="333" t="s">
        <v>2165</v>
      </c>
      <c r="B418" s="334" t="s">
        <v>1142</v>
      </c>
      <c r="C418" s="335" t="s">
        <v>8</v>
      </c>
      <c r="D418" s="336">
        <v>698.15</v>
      </c>
      <c r="E418" s="336">
        <v>698.15</v>
      </c>
      <c r="F418" s="336">
        <f>估驗單!F429</f>
        <v>698.15</v>
      </c>
      <c r="G418" s="390">
        <f t="shared" si="38"/>
        <v>0</v>
      </c>
      <c r="H418" s="336">
        <v>209.99</v>
      </c>
      <c r="I418" s="336"/>
      <c r="J418" s="336"/>
      <c r="K418" s="336">
        <v>146604.51999999999</v>
      </c>
      <c r="L418" s="336">
        <f t="shared" si="35"/>
        <v>146604.51999999999</v>
      </c>
      <c r="M418" s="336">
        <f t="shared" si="36"/>
        <v>146604.51999999999</v>
      </c>
      <c r="N418" s="390">
        <f t="shared" si="37"/>
        <v>0</v>
      </c>
      <c r="O418" s="442"/>
      <c r="P418" s="231" t="s">
        <v>2454</v>
      </c>
      <c r="Q418" s="11" t="s">
        <v>243</v>
      </c>
      <c r="R418" s="474"/>
      <c r="S418" s="339"/>
    </row>
    <row r="419" spans="1:20" ht="33">
      <c r="A419" s="333" t="s">
        <v>2166</v>
      </c>
      <c r="B419" s="334" t="s">
        <v>1145</v>
      </c>
      <c r="C419" s="335" t="s">
        <v>8</v>
      </c>
      <c r="D419" s="336">
        <v>2498.77</v>
      </c>
      <c r="E419" s="336">
        <v>2498.77</v>
      </c>
      <c r="F419" s="336">
        <f>估驗單!F430</f>
        <v>2498.77</v>
      </c>
      <c r="G419" s="390">
        <f t="shared" si="38"/>
        <v>0</v>
      </c>
      <c r="H419" s="336">
        <v>299.98</v>
      </c>
      <c r="I419" s="336"/>
      <c r="J419" s="336"/>
      <c r="K419" s="336">
        <v>749581.02</v>
      </c>
      <c r="L419" s="336">
        <f t="shared" si="35"/>
        <v>749581.02</v>
      </c>
      <c r="M419" s="336">
        <f t="shared" si="36"/>
        <v>749581.02</v>
      </c>
      <c r="N419" s="390">
        <f t="shared" si="37"/>
        <v>0</v>
      </c>
      <c r="O419" s="442"/>
      <c r="P419" s="231" t="s">
        <v>242</v>
      </c>
      <c r="Q419" s="11" t="s">
        <v>243</v>
      </c>
      <c r="R419" s="474"/>
      <c r="S419" s="339"/>
    </row>
    <row r="420" spans="1:20" ht="33">
      <c r="A420" s="333" t="s">
        <v>2167</v>
      </c>
      <c r="B420" s="334" t="s">
        <v>1148</v>
      </c>
      <c r="C420" s="335" t="s">
        <v>8</v>
      </c>
      <c r="D420" s="336">
        <v>1396.3</v>
      </c>
      <c r="E420" s="336">
        <v>1396.3</v>
      </c>
      <c r="F420" s="336">
        <f>估驗單!F431</f>
        <v>1396.3</v>
      </c>
      <c r="G420" s="390">
        <f t="shared" si="38"/>
        <v>0</v>
      </c>
      <c r="H420" s="336">
        <v>199.99</v>
      </c>
      <c r="I420" s="336"/>
      <c r="J420" s="336"/>
      <c r="K420" s="336">
        <v>279246.03999999998</v>
      </c>
      <c r="L420" s="336">
        <f t="shared" si="35"/>
        <v>279246.03999999998</v>
      </c>
      <c r="M420" s="336">
        <f t="shared" si="36"/>
        <v>279246.03999999998</v>
      </c>
      <c r="N420" s="390">
        <f t="shared" si="37"/>
        <v>0</v>
      </c>
      <c r="O420" s="442"/>
      <c r="P420" s="231" t="s">
        <v>242</v>
      </c>
      <c r="Q420" s="11" t="s">
        <v>243</v>
      </c>
      <c r="R420" s="474"/>
      <c r="S420" s="339"/>
    </row>
    <row r="421" spans="1:20" ht="33">
      <c r="A421" s="333" t="s">
        <v>2168</v>
      </c>
      <c r="B421" s="334" t="s">
        <v>1151</v>
      </c>
      <c r="C421" s="335" t="s">
        <v>4</v>
      </c>
      <c r="D421" s="336">
        <v>1</v>
      </c>
      <c r="E421" s="336">
        <v>1</v>
      </c>
      <c r="F421" s="336">
        <f>估驗單!F432</f>
        <v>1</v>
      </c>
      <c r="G421" s="390">
        <f t="shared" si="38"/>
        <v>0</v>
      </c>
      <c r="H421" s="336">
        <v>21835.68</v>
      </c>
      <c r="I421" s="336"/>
      <c r="J421" s="336"/>
      <c r="K421" s="336">
        <v>21835.68</v>
      </c>
      <c r="L421" s="336">
        <f t="shared" si="35"/>
        <v>21835.68</v>
      </c>
      <c r="M421" s="336">
        <f t="shared" si="36"/>
        <v>21835.68</v>
      </c>
      <c r="N421" s="390">
        <f t="shared" si="37"/>
        <v>0</v>
      </c>
      <c r="O421" s="442"/>
      <c r="P421" s="231" t="s">
        <v>242</v>
      </c>
      <c r="Q421" s="11" t="s">
        <v>243</v>
      </c>
      <c r="R421" s="474"/>
      <c r="S421" s="339"/>
    </row>
    <row r="422" spans="1:20" ht="42.75">
      <c r="A422" s="333" t="s">
        <v>2169</v>
      </c>
      <c r="B422" s="334" t="s">
        <v>1556</v>
      </c>
      <c r="C422" s="335" t="s">
        <v>8</v>
      </c>
      <c r="D422" s="336">
        <v>355</v>
      </c>
      <c r="E422" s="336">
        <v>355</v>
      </c>
      <c r="F422" s="336">
        <f>估驗單!F433</f>
        <v>355</v>
      </c>
      <c r="G422" s="390">
        <f t="shared" si="38"/>
        <v>0</v>
      </c>
      <c r="H422" s="336">
        <v>1859.79</v>
      </c>
      <c r="I422" s="336"/>
      <c r="J422" s="336"/>
      <c r="K422" s="336">
        <v>660225.44999999995</v>
      </c>
      <c r="L422" s="336">
        <f t="shared" si="35"/>
        <v>660225.44999999995</v>
      </c>
      <c r="M422" s="336">
        <f t="shared" si="36"/>
        <v>660225.44999999995</v>
      </c>
      <c r="N422" s="390">
        <f t="shared" si="37"/>
        <v>0</v>
      </c>
      <c r="O422" s="442"/>
      <c r="P422" s="231" t="s">
        <v>2455</v>
      </c>
      <c r="Q422" s="11" t="s">
        <v>243</v>
      </c>
      <c r="R422" s="474"/>
      <c r="S422" s="339"/>
    </row>
    <row r="423" spans="1:20" s="352" customFormat="1" ht="128.25">
      <c r="A423" s="343">
        <v>17</v>
      </c>
      <c r="B423" s="344" t="s">
        <v>29</v>
      </c>
      <c r="C423" s="345" t="s">
        <v>8</v>
      </c>
      <c r="D423" s="340">
        <v>0</v>
      </c>
      <c r="E423" s="340">
        <v>465</v>
      </c>
      <c r="F423" s="336">
        <f>估驗單!F434</f>
        <v>465</v>
      </c>
      <c r="G423" s="390">
        <f t="shared" si="38"/>
        <v>0</v>
      </c>
      <c r="H423" s="340">
        <v>0</v>
      </c>
      <c r="I423" s="340"/>
      <c r="J423" s="340">
        <v>293.70999999999998</v>
      </c>
      <c r="K423" s="340">
        <v>0</v>
      </c>
      <c r="L423" s="336">
        <f>ROUND(E423*J423,2)</f>
        <v>136575.15</v>
      </c>
      <c r="M423" s="336">
        <f>ROUND(F423*J423,2)</f>
        <v>136575.15</v>
      </c>
      <c r="N423" s="390">
        <f t="shared" si="37"/>
        <v>0</v>
      </c>
      <c r="O423" s="442"/>
      <c r="P423" s="346" t="s">
        <v>2456</v>
      </c>
      <c r="Q423" s="347" t="s">
        <v>243</v>
      </c>
      <c r="R423" s="377" t="s">
        <v>2457</v>
      </c>
      <c r="S423" s="349" t="s">
        <v>2458</v>
      </c>
      <c r="T423" s="342" t="s">
        <v>2318</v>
      </c>
    </row>
    <row r="424" spans="1:20" s="352" customFormat="1" ht="78.75">
      <c r="A424" s="343" t="s">
        <v>2171</v>
      </c>
      <c r="B424" s="344" t="s">
        <v>2459</v>
      </c>
      <c r="C424" s="345" t="s">
        <v>16</v>
      </c>
      <c r="D424" s="340">
        <v>0</v>
      </c>
      <c r="E424" s="340">
        <v>4920</v>
      </c>
      <c r="F424" s="336">
        <f>估驗單!F435</f>
        <v>6945</v>
      </c>
      <c r="G424" s="390">
        <f t="shared" si="38"/>
        <v>2025</v>
      </c>
      <c r="H424" s="340">
        <v>0</v>
      </c>
      <c r="I424" s="340"/>
      <c r="J424" s="340">
        <v>279.98</v>
      </c>
      <c r="K424" s="340">
        <v>0</v>
      </c>
      <c r="L424" s="336">
        <f>ROUND(E424*J424,2)</f>
        <v>1377501.6</v>
      </c>
      <c r="M424" s="336">
        <f>ROUND(F424*J424,2)</f>
        <v>1944461.1</v>
      </c>
      <c r="N424" s="390">
        <f t="shared" si="37"/>
        <v>566959.5</v>
      </c>
      <c r="O424" s="442"/>
      <c r="P424" s="346" t="s">
        <v>2460</v>
      </c>
      <c r="Q424" s="347" t="s">
        <v>243</v>
      </c>
      <c r="R424" s="377" t="s">
        <v>2461</v>
      </c>
      <c r="S424" s="349" t="s">
        <v>2462</v>
      </c>
      <c r="T424" s="342" t="s">
        <v>2318</v>
      </c>
    </row>
    <row r="425" spans="1:20" ht="33">
      <c r="A425" s="406" t="s">
        <v>2255</v>
      </c>
      <c r="B425" s="407" t="s">
        <v>34</v>
      </c>
      <c r="C425" s="408" t="s">
        <v>4</v>
      </c>
      <c r="D425" s="409">
        <v>1</v>
      </c>
      <c r="E425" s="409"/>
      <c r="F425" s="409"/>
      <c r="G425" s="410">
        <f t="shared" si="38"/>
        <v>0</v>
      </c>
      <c r="H425" s="409">
        <v>3112577.47</v>
      </c>
      <c r="I425" s="409"/>
      <c r="J425" s="409"/>
      <c r="K425" s="409">
        <v>3112577.47</v>
      </c>
      <c r="L425" s="409">
        <f>SUM(L426:L444)</f>
        <v>3112577.47</v>
      </c>
      <c r="M425" s="409">
        <f>SUM(M426:M444)</f>
        <v>3112577.47</v>
      </c>
      <c r="N425" s="409">
        <f>SUM(N426:N444)</f>
        <v>0</v>
      </c>
      <c r="O425" s="445">
        <f>SUM(O426:O444)</f>
        <v>0</v>
      </c>
      <c r="P425" s="288"/>
      <c r="Q425" s="11" t="s">
        <v>243</v>
      </c>
      <c r="R425" s="474"/>
      <c r="S425" s="339"/>
    </row>
    <row r="426" spans="1:20" ht="33">
      <c r="A426" s="333" t="s">
        <v>2154</v>
      </c>
      <c r="B426" s="334" t="s">
        <v>146</v>
      </c>
      <c r="C426" s="335" t="s">
        <v>1007</v>
      </c>
      <c r="D426" s="336">
        <v>10</v>
      </c>
      <c r="E426" s="336">
        <v>10</v>
      </c>
      <c r="F426" s="336">
        <f>估驗單!F438</f>
        <v>10</v>
      </c>
      <c r="G426" s="390">
        <f t="shared" si="38"/>
        <v>0</v>
      </c>
      <c r="H426" s="336">
        <v>770</v>
      </c>
      <c r="I426" s="336"/>
      <c r="J426" s="336"/>
      <c r="K426" s="336">
        <v>7700</v>
      </c>
      <c r="L426" s="336">
        <f t="shared" ref="L426:L444" si="39">ROUND(E426*H426,2)</f>
        <v>7700</v>
      </c>
      <c r="M426" s="336">
        <f t="shared" ref="M426:M444" si="40">ROUND(F426*H426,2)</f>
        <v>7700</v>
      </c>
      <c r="N426" s="390">
        <f t="shared" ref="N426:N444" si="41">IF(L426-M426&lt;0+AND(L426&lt;&gt;0),M426-L426,"      ")</f>
        <v>0</v>
      </c>
      <c r="O426" s="442"/>
      <c r="P426" s="231" t="s">
        <v>242</v>
      </c>
      <c r="Q426" s="11" t="s">
        <v>243</v>
      </c>
      <c r="R426" s="474"/>
      <c r="S426" s="339"/>
    </row>
    <row r="427" spans="1:20" ht="33">
      <c r="A427" s="333" t="s">
        <v>2155</v>
      </c>
      <c r="B427" s="334" t="s">
        <v>145</v>
      </c>
      <c r="C427" s="335" t="s">
        <v>1</v>
      </c>
      <c r="D427" s="336">
        <v>100</v>
      </c>
      <c r="E427" s="336">
        <v>100</v>
      </c>
      <c r="F427" s="336">
        <f>估驗單!F439</f>
        <v>100</v>
      </c>
      <c r="G427" s="390">
        <f t="shared" si="38"/>
        <v>0</v>
      </c>
      <c r="H427" s="336">
        <v>201</v>
      </c>
      <c r="I427" s="336"/>
      <c r="J427" s="336"/>
      <c r="K427" s="336">
        <v>20100</v>
      </c>
      <c r="L427" s="336">
        <f t="shared" si="39"/>
        <v>20100</v>
      </c>
      <c r="M427" s="336">
        <f t="shared" si="40"/>
        <v>20100</v>
      </c>
      <c r="N427" s="390">
        <f t="shared" si="41"/>
        <v>0</v>
      </c>
      <c r="O427" s="442"/>
      <c r="P427" s="231" t="s">
        <v>242</v>
      </c>
      <c r="Q427" s="11" t="s">
        <v>243</v>
      </c>
      <c r="R427" s="474"/>
      <c r="S427" s="339"/>
    </row>
    <row r="428" spans="1:20" ht="33">
      <c r="A428" s="333" t="s">
        <v>2156</v>
      </c>
      <c r="B428" s="334" t="s">
        <v>144</v>
      </c>
      <c r="C428" s="335" t="s">
        <v>9</v>
      </c>
      <c r="D428" s="336">
        <v>50</v>
      </c>
      <c r="E428" s="336">
        <v>50</v>
      </c>
      <c r="F428" s="336">
        <f>估驗單!F440</f>
        <v>50</v>
      </c>
      <c r="G428" s="390">
        <f t="shared" si="38"/>
        <v>0</v>
      </c>
      <c r="H428" s="336">
        <v>300</v>
      </c>
      <c r="I428" s="336"/>
      <c r="J428" s="336"/>
      <c r="K428" s="336">
        <v>15000</v>
      </c>
      <c r="L428" s="336">
        <f t="shared" si="39"/>
        <v>15000</v>
      </c>
      <c r="M428" s="336">
        <f t="shared" si="40"/>
        <v>15000</v>
      </c>
      <c r="N428" s="390">
        <f t="shared" si="41"/>
        <v>0</v>
      </c>
      <c r="O428" s="442"/>
      <c r="P428" s="231" t="s">
        <v>242</v>
      </c>
      <c r="Q428" s="11" t="s">
        <v>243</v>
      </c>
      <c r="R428" s="474"/>
      <c r="S428" s="339"/>
    </row>
    <row r="429" spans="1:20" s="325" customFormat="1" ht="33">
      <c r="A429" s="333" t="s">
        <v>2157</v>
      </c>
      <c r="B429" s="334" t="s">
        <v>35</v>
      </c>
      <c r="C429" s="335" t="s">
        <v>15</v>
      </c>
      <c r="D429" s="336">
        <v>75</v>
      </c>
      <c r="E429" s="336">
        <v>75</v>
      </c>
      <c r="F429" s="336">
        <f>估驗單!F441</f>
        <v>75</v>
      </c>
      <c r="G429" s="390">
        <f t="shared" si="38"/>
        <v>0</v>
      </c>
      <c r="H429" s="336">
        <v>650</v>
      </c>
      <c r="I429" s="336"/>
      <c r="J429" s="336"/>
      <c r="K429" s="336">
        <v>48750</v>
      </c>
      <c r="L429" s="336">
        <f t="shared" si="39"/>
        <v>48750</v>
      </c>
      <c r="M429" s="336">
        <f t="shared" si="40"/>
        <v>48750</v>
      </c>
      <c r="N429" s="390">
        <f t="shared" si="41"/>
        <v>0</v>
      </c>
      <c r="O429" s="442"/>
      <c r="P429" s="231" t="s">
        <v>242</v>
      </c>
      <c r="Q429" s="11" t="s">
        <v>243</v>
      </c>
      <c r="R429" s="474"/>
      <c r="S429" s="339"/>
    </row>
    <row r="430" spans="1:20" s="325" customFormat="1" ht="33">
      <c r="A430" s="333" t="s">
        <v>2158</v>
      </c>
      <c r="B430" s="334" t="s">
        <v>2479</v>
      </c>
      <c r="C430" s="335" t="s">
        <v>3</v>
      </c>
      <c r="D430" s="336">
        <v>200</v>
      </c>
      <c r="E430" s="336">
        <v>200</v>
      </c>
      <c r="F430" s="336">
        <f>估驗單!F442</f>
        <v>200</v>
      </c>
      <c r="G430" s="390">
        <f t="shared" si="38"/>
        <v>0</v>
      </c>
      <c r="H430" s="336">
        <v>28</v>
      </c>
      <c r="I430" s="336"/>
      <c r="J430" s="336"/>
      <c r="K430" s="336">
        <v>5600</v>
      </c>
      <c r="L430" s="336">
        <f t="shared" si="39"/>
        <v>5600</v>
      </c>
      <c r="M430" s="336">
        <f t="shared" si="40"/>
        <v>5600</v>
      </c>
      <c r="N430" s="390">
        <f t="shared" si="41"/>
        <v>0</v>
      </c>
      <c r="O430" s="442"/>
      <c r="P430" s="231" t="s">
        <v>2480</v>
      </c>
      <c r="Q430" s="11" t="s">
        <v>243</v>
      </c>
      <c r="R430" s="474"/>
      <c r="S430" s="339"/>
    </row>
    <row r="431" spans="1:20" s="325" customFormat="1" ht="33">
      <c r="A431" s="333" t="s">
        <v>2159</v>
      </c>
      <c r="B431" s="334" t="s">
        <v>36</v>
      </c>
      <c r="C431" s="335" t="s">
        <v>3</v>
      </c>
      <c r="D431" s="336">
        <v>100</v>
      </c>
      <c r="E431" s="336">
        <v>100</v>
      </c>
      <c r="F431" s="336">
        <f>估驗單!F443</f>
        <v>100</v>
      </c>
      <c r="G431" s="390">
        <f t="shared" si="38"/>
        <v>0</v>
      </c>
      <c r="H431" s="336">
        <v>500</v>
      </c>
      <c r="I431" s="336"/>
      <c r="J431" s="336"/>
      <c r="K431" s="336">
        <v>50000</v>
      </c>
      <c r="L431" s="336">
        <f t="shared" si="39"/>
        <v>50000</v>
      </c>
      <c r="M431" s="336">
        <f t="shared" si="40"/>
        <v>50000</v>
      </c>
      <c r="N431" s="390">
        <f t="shared" si="41"/>
        <v>0</v>
      </c>
      <c r="O431" s="442"/>
      <c r="P431" s="231" t="s">
        <v>242</v>
      </c>
      <c r="Q431" s="11" t="s">
        <v>243</v>
      </c>
      <c r="R431" s="474"/>
      <c r="S431" s="339"/>
    </row>
    <row r="432" spans="1:20" s="325" customFormat="1" ht="33">
      <c r="A432" s="382" t="s">
        <v>2160</v>
      </c>
      <c r="B432" s="383" t="s">
        <v>2478</v>
      </c>
      <c r="C432" s="384" t="s">
        <v>18</v>
      </c>
      <c r="D432" s="385">
        <v>75</v>
      </c>
      <c r="E432" s="385">
        <v>75</v>
      </c>
      <c r="F432" s="385">
        <f>估驗單!F444</f>
        <v>75</v>
      </c>
      <c r="G432" s="417">
        <f t="shared" si="38"/>
        <v>0</v>
      </c>
      <c r="H432" s="385">
        <v>280</v>
      </c>
      <c r="I432" s="385"/>
      <c r="J432" s="385"/>
      <c r="K432" s="385">
        <v>21000</v>
      </c>
      <c r="L432" s="385">
        <f t="shared" si="39"/>
        <v>21000</v>
      </c>
      <c r="M432" s="385">
        <f t="shared" si="40"/>
        <v>21000</v>
      </c>
      <c r="N432" s="391">
        <f t="shared" si="41"/>
        <v>0</v>
      </c>
      <c r="O432" s="446">
        <f>M432-L432</f>
        <v>0</v>
      </c>
      <c r="P432" s="386" t="s">
        <v>242</v>
      </c>
      <c r="Q432" s="11" t="s">
        <v>243</v>
      </c>
      <c r="R432" s="474"/>
      <c r="S432" s="339"/>
    </row>
    <row r="433" spans="1:19" s="325" customFormat="1" ht="42.75">
      <c r="A433" s="333" t="s">
        <v>2161</v>
      </c>
      <c r="B433" s="334" t="s">
        <v>37</v>
      </c>
      <c r="C433" s="335" t="s">
        <v>18</v>
      </c>
      <c r="D433" s="336">
        <v>50</v>
      </c>
      <c r="E433" s="336">
        <v>50</v>
      </c>
      <c r="F433" s="336">
        <f>估驗單!F445</f>
        <v>50</v>
      </c>
      <c r="G433" s="390">
        <f t="shared" si="38"/>
        <v>0</v>
      </c>
      <c r="H433" s="336">
        <v>350</v>
      </c>
      <c r="I433" s="336"/>
      <c r="J433" s="336"/>
      <c r="K433" s="336">
        <v>17500</v>
      </c>
      <c r="L433" s="336">
        <f t="shared" si="39"/>
        <v>17500</v>
      </c>
      <c r="M433" s="336">
        <f t="shared" si="40"/>
        <v>17500</v>
      </c>
      <c r="N433" s="390">
        <f t="shared" si="41"/>
        <v>0</v>
      </c>
      <c r="O433" s="442"/>
      <c r="P433" s="231" t="s">
        <v>242</v>
      </c>
      <c r="Q433" s="11" t="s">
        <v>243</v>
      </c>
      <c r="R433" s="474"/>
      <c r="S433" s="339"/>
    </row>
    <row r="434" spans="1:19" s="325" customFormat="1" ht="33">
      <c r="A434" s="333" t="s">
        <v>2162</v>
      </c>
      <c r="B434" s="334" t="s">
        <v>1162</v>
      </c>
      <c r="C434" s="335" t="s">
        <v>15</v>
      </c>
      <c r="D434" s="336">
        <v>10</v>
      </c>
      <c r="E434" s="336">
        <v>10</v>
      </c>
      <c r="F434" s="336">
        <f>估驗單!F446</f>
        <v>10</v>
      </c>
      <c r="G434" s="390">
        <f t="shared" si="38"/>
        <v>0</v>
      </c>
      <c r="H434" s="336">
        <v>560</v>
      </c>
      <c r="I434" s="336"/>
      <c r="J434" s="336"/>
      <c r="K434" s="336">
        <v>5600</v>
      </c>
      <c r="L434" s="336">
        <f t="shared" si="39"/>
        <v>5600</v>
      </c>
      <c r="M434" s="336">
        <f t="shared" si="40"/>
        <v>5600</v>
      </c>
      <c r="N434" s="390">
        <f t="shared" si="41"/>
        <v>0</v>
      </c>
      <c r="O434" s="442"/>
      <c r="P434" s="231" t="s">
        <v>242</v>
      </c>
      <c r="Q434" s="11" t="s">
        <v>243</v>
      </c>
      <c r="R434" s="474"/>
      <c r="S434" s="339"/>
    </row>
    <row r="435" spans="1:19" s="325" customFormat="1" ht="33">
      <c r="A435" s="333" t="s">
        <v>2163</v>
      </c>
      <c r="B435" s="334" t="s">
        <v>38</v>
      </c>
      <c r="C435" s="335" t="s">
        <v>7</v>
      </c>
      <c r="D435" s="336">
        <v>4</v>
      </c>
      <c r="E435" s="336">
        <v>4</v>
      </c>
      <c r="F435" s="336">
        <f>估驗單!F447</f>
        <v>4</v>
      </c>
      <c r="G435" s="390">
        <f t="shared" si="38"/>
        <v>0</v>
      </c>
      <c r="H435" s="336">
        <v>250</v>
      </c>
      <c r="I435" s="336"/>
      <c r="J435" s="336"/>
      <c r="K435" s="336">
        <v>1000</v>
      </c>
      <c r="L435" s="336">
        <f t="shared" si="39"/>
        <v>1000</v>
      </c>
      <c r="M435" s="336">
        <f t="shared" si="40"/>
        <v>1000</v>
      </c>
      <c r="N435" s="390">
        <f t="shared" si="41"/>
        <v>0</v>
      </c>
      <c r="O435" s="442"/>
      <c r="P435" s="231" t="s">
        <v>242</v>
      </c>
      <c r="Q435" s="11" t="s">
        <v>243</v>
      </c>
      <c r="R435" s="474"/>
      <c r="S435" s="339"/>
    </row>
    <row r="436" spans="1:19" s="325" customFormat="1" ht="33">
      <c r="A436" s="333" t="s">
        <v>2164</v>
      </c>
      <c r="B436" s="334" t="s">
        <v>1165</v>
      </c>
      <c r="C436" s="335" t="s">
        <v>15</v>
      </c>
      <c r="D436" s="336">
        <v>5</v>
      </c>
      <c r="E436" s="336">
        <v>5</v>
      </c>
      <c r="F436" s="336">
        <f>估驗單!F448</f>
        <v>5</v>
      </c>
      <c r="G436" s="390">
        <f t="shared" si="38"/>
        <v>0</v>
      </c>
      <c r="H436" s="336">
        <v>8300</v>
      </c>
      <c r="I436" s="336"/>
      <c r="J436" s="336"/>
      <c r="K436" s="336">
        <v>41500</v>
      </c>
      <c r="L436" s="336">
        <f t="shared" si="39"/>
        <v>41500</v>
      </c>
      <c r="M436" s="336">
        <f t="shared" si="40"/>
        <v>41500</v>
      </c>
      <c r="N436" s="390">
        <f t="shared" si="41"/>
        <v>0</v>
      </c>
      <c r="O436" s="442"/>
      <c r="P436" s="231" t="s">
        <v>242</v>
      </c>
      <c r="Q436" s="11" t="s">
        <v>243</v>
      </c>
      <c r="R436" s="474"/>
      <c r="S436" s="339"/>
    </row>
    <row r="437" spans="1:19" s="325" customFormat="1" ht="33">
      <c r="A437" s="333" t="s">
        <v>2165</v>
      </c>
      <c r="B437" s="334" t="s">
        <v>1168</v>
      </c>
      <c r="C437" s="335" t="s">
        <v>15</v>
      </c>
      <c r="D437" s="336">
        <v>5</v>
      </c>
      <c r="E437" s="336">
        <v>5</v>
      </c>
      <c r="F437" s="336">
        <f>估驗單!F449</f>
        <v>5</v>
      </c>
      <c r="G437" s="390">
        <f t="shared" si="38"/>
        <v>0</v>
      </c>
      <c r="H437" s="336">
        <v>1160</v>
      </c>
      <c r="I437" s="336"/>
      <c r="J437" s="336"/>
      <c r="K437" s="336">
        <v>5800</v>
      </c>
      <c r="L437" s="336">
        <f t="shared" si="39"/>
        <v>5800</v>
      </c>
      <c r="M437" s="336">
        <f t="shared" si="40"/>
        <v>5800</v>
      </c>
      <c r="N437" s="390">
        <f t="shared" si="41"/>
        <v>0</v>
      </c>
      <c r="O437" s="442"/>
      <c r="P437" s="231" t="s">
        <v>242</v>
      </c>
      <c r="Q437" s="11" t="s">
        <v>243</v>
      </c>
      <c r="R437" s="474"/>
      <c r="S437" s="339"/>
    </row>
    <row r="438" spans="1:19" s="325" customFormat="1" ht="33">
      <c r="A438" s="333" t="s">
        <v>2166</v>
      </c>
      <c r="B438" s="334" t="s">
        <v>1171</v>
      </c>
      <c r="C438" s="335" t="s">
        <v>15</v>
      </c>
      <c r="D438" s="336">
        <v>5</v>
      </c>
      <c r="E438" s="336">
        <v>5</v>
      </c>
      <c r="F438" s="336">
        <f>估驗單!F450</f>
        <v>5</v>
      </c>
      <c r="G438" s="390">
        <f t="shared" si="38"/>
        <v>0</v>
      </c>
      <c r="H438" s="336">
        <v>600</v>
      </c>
      <c r="I438" s="336"/>
      <c r="J438" s="336"/>
      <c r="K438" s="336">
        <v>3000</v>
      </c>
      <c r="L438" s="336">
        <f t="shared" si="39"/>
        <v>3000</v>
      </c>
      <c r="M438" s="336">
        <f t="shared" si="40"/>
        <v>3000</v>
      </c>
      <c r="N438" s="390">
        <f t="shared" si="41"/>
        <v>0</v>
      </c>
      <c r="O438" s="442"/>
      <c r="P438" s="231" t="s">
        <v>242</v>
      </c>
      <c r="Q438" s="11" t="s">
        <v>243</v>
      </c>
      <c r="R438" s="474"/>
      <c r="S438" s="339"/>
    </row>
    <row r="439" spans="1:19" s="325" customFormat="1" ht="33">
      <c r="A439" s="333" t="s">
        <v>2167</v>
      </c>
      <c r="B439" s="334" t="s">
        <v>1174</v>
      </c>
      <c r="C439" s="335" t="s">
        <v>15</v>
      </c>
      <c r="D439" s="336">
        <v>5</v>
      </c>
      <c r="E439" s="336">
        <v>5</v>
      </c>
      <c r="F439" s="336">
        <f>估驗單!F451</f>
        <v>5</v>
      </c>
      <c r="G439" s="390">
        <f t="shared" si="38"/>
        <v>0</v>
      </c>
      <c r="H439" s="336">
        <v>1800</v>
      </c>
      <c r="I439" s="336"/>
      <c r="J439" s="336"/>
      <c r="K439" s="336">
        <v>9000</v>
      </c>
      <c r="L439" s="336">
        <f t="shared" si="39"/>
        <v>9000</v>
      </c>
      <c r="M439" s="336">
        <f t="shared" si="40"/>
        <v>9000</v>
      </c>
      <c r="N439" s="390">
        <f t="shared" si="41"/>
        <v>0</v>
      </c>
      <c r="O439" s="442"/>
      <c r="P439" s="231" t="s">
        <v>242</v>
      </c>
      <c r="Q439" s="11" t="s">
        <v>243</v>
      </c>
      <c r="R439" s="474"/>
      <c r="S439" s="339"/>
    </row>
    <row r="440" spans="1:19" s="325" customFormat="1" ht="33">
      <c r="A440" s="333" t="s">
        <v>2168</v>
      </c>
      <c r="B440" s="334" t="s">
        <v>1177</v>
      </c>
      <c r="C440" s="335" t="s">
        <v>15</v>
      </c>
      <c r="D440" s="336">
        <v>80</v>
      </c>
      <c r="E440" s="336">
        <v>80</v>
      </c>
      <c r="F440" s="336">
        <f>估驗單!F452</f>
        <v>80</v>
      </c>
      <c r="G440" s="390">
        <f t="shared" si="38"/>
        <v>0</v>
      </c>
      <c r="H440" s="336">
        <v>2200</v>
      </c>
      <c r="I440" s="336"/>
      <c r="J440" s="336"/>
      <c r="K440" s="336">
        <v>176000</v>
      </c>
      <c r="L440" s="336">
        <f t="shared" si="39"/>
        <v>176000</v>
      </c>
      <c r="M440" s="336">
        <f t="shared" si="40"/>
        <v>176000</v>
      </c>
      <c r="N440" s="390">
        <f t="shared" si="41"/>
        <v>0</v>
      </c>
      <c r="O440" s="442"/>
      <c r="P440" s="231" t="s">
        <v>242</v>
      </c>
      <c r="Q440" s="11" t="s">
        <v>243</v>
      </c>
      <c r="R440" s="474"/>
      <c r="S440" s="339"/>
    </row>
    <row r="441" spans="1:19" s="325" customFormat="1" ht="33">
      <c r="A441" s="333" t="s">
        <v>2169</v>
      </c>
      <c r="B441" s="334" t="s">
        <v>39</v>
      </c>
      <c r="C441" s="335" t="s">
        <v>4</v>
      </c>
      <c r="D441" s="336">
        <v>1</v>
      </c>
      <c r="E441" s="336">
        <v>1</v>
      </c>
      <c r="F441" s="336">
        <f>估驗單!F453</f>
        <v>1</v>
      </c>
      <c r="G441" s="390">
        <f t="shared" si="38"/>
        <v>0</v>
      </c>
      <c r="H441" s="336">
        <v>232697.98</v>
      </c>
      <c r="I441" s="336"/>
      <c r="J441" s="336"/>
      <c r="K441" s="336">
        <v>232697.98</v>
      </c>
      <c r="L441" s="336">
        <f t="shared" si="39"/>
        <v>232697.98</v>
      </c>
      <c r="M441" s="336">
        <f t="shared" si="40"/>
        <v>232697.98</v>
      </c>
      <c r="N441" s="390">
        <f t="shared" si="41"/>
        <v>0</v>
      </c>
      <c r="O441" s="442"/>
      <c r="P441" s="231" t="s">
        <v>242</v>
      </c>
      <c r="Q441" s="11" t="s">
        <v>243</v>
      </c>
      <c r="R441" s="474"/>
      <c r="S441" s="339"/>
    </row>
    <row r="442" spans="1:19" s="325" customFormat="1" ht="33">
      <c r="A442" s="333" t="s">
        <v>2170</v>
      </c>
      <c r="B442" s="334" t="s">
        <v>1182</v>
      </c>
      <c r="C442" s="335" t="s">
        <v>8</v>
      </c>
      <c r="D442" s="336">
        <v>5000</v>
      </c>
      <c r="E442" s="336">
        <v>5000</v>
      </c>
      <c r="F442" s="336">
        <f>估驗單!F454</f>
        <v>5000</v>
      </c>
      <c r="G442" s="390">
        <f t="shared" si="38"/>
        <v>0</v>
      </c>
      <c r="H442" s="336">
        <v>13</v>
      </c>
      <c r="I442" s="336"/>
      <c r="J442" s="336"/>
      <c r="K442" s="336">
        <v>65000</v>
      </c>
      <c r="L442" s="336">
        <f t="shared" si="39"/>
        <v>65000</v>
      </c>
      <c r="M442" s="336">
        <f t="shared" si="40"/>
        <v>65000</v>
      </c>
      <c r="N442" s="390">
        <f t="shared" si="41"/>
        <v>0</v>
      </c>
      <c r="O442" s="442"/>
      <c r="P442" s="231" t="s">
        <v>242</v>
      </c>
      <c r="Q442" s="11" t="s">
        <v>243</v>
      </c>
      <c r="R442" s="474"/>
      <c r="S442" s="339"/>
    </row>
    <row r="443" spans="1:19" s="325" customFormat="1" ht="42.75">
      <c r="A443" s="333" t="s">
        <v>2171</v>
      </c>
      <c r="B443" s="334" t="s">
        <v>225</v>
      </c>
      <c r="C443" s="335" t="s">
        <v>226</v>
      </c>
      <c r="D443" s="336">
        <v>48</v>
      </c>
      <c r="E443" s="336">
        <v>48</v>
      </c>
      <c r="F443" s="336">
        <f>估驗單!F455</f>
        <v>48</v>
      </c>
      <c r="G443" s="390">
        <f t="shared" si="38"/>
        <v>0</v>
      </c>
      <c r="H443" s="336">
        <v>47468</v>
      </c>
      <c r="I443" s="336"/>
      <c r="J443" s="336"/>
      <c r="K443" s="336">
        <v>2278464</v>
      </c>
      <c r="L443" s="336">
        <f t="shared" si="39"/>
        <v>2278464</v>
      </c>
      <c r="M443" s="336">
        <f t="shared" si="40"/>
        <v>2278464</v>
      </c>
      <c r="N443" s="390">
        <f t="shared" si="41"/>
        <v>0</v>
      </c>
      <c r="O443" s="442"/>
      <c r="P443" s="231" t="s">
        <v>2463</v>
      </c>
      <c r="Q443" s="11" t="s">
        <v>243</v>
      </c>
      <c r="R443" s="474"/>
      <c r="S443" s="339"/>
    </row>
    <row r="444" spans="1:19" s="325" customFormat="1" ht="33">
      <c r="A444" s="333" t="s">
        <v>2172</v>
      </c>
      <c r="B444" s="334" t="s">
        <v>1187</v>
      </c>
      <c r="C444" s="335" t="s">
        <v>4</v>
      </c>
      <c r="D444" s="336">
        <v>1</v>
      </c>
      <c r="E444" s="336">
        <v>1</v>
      </c>
      <c r="F444" s="336">
        <f>估驗單!F456</f>
        <v>1</v>
      </c>
      <c r="G444" s="390">
        <f t="shared" si="38"/>
        <v>0</v>
      </c>
      <c r="H444" s="336">
        <v>108865.49</v>
      </c>
      <c r="I444" s="336"/>
      <c r="J444" s="336"/>
      <c r="K444" s="336">
        <v>108865.49</v>
      </c>
      <c r="L444" s="336">
        <f t="shared" si="39"/>
        <v>108865.49</v>
      </c>
      <c r="M444" s="336">
        <f t="shared" si="40"/>
        <v>108865.49</v>
      </c>
      <c r="N444" s="390">
        <f t="shared" si="41"/>
        <v>0</v>
      </c>
      <c r="O444" s="442"/>
      <c r="P444" s="231" t="s">
        <v>2464</v>
      </c>
      <c r="Q444" s="11" t="s">
        <v>243</v>
      </c>
      <c r="R444" s="474"/>
      <c r="S444" s="339"/>
    </row>
    <row r="445" spans="1:19" s="325" customFormat="1" ht="33">
      <c r="A445" s="406" t="s">
        <v>2256</v>
      </c>
      <c r="B445" s="407" t="s">
        <v>227</v>
      </c>
      <c r="C445" s="408" t="s">
        <v>4</v>
      </c>
      <c r="D445" s="409">
        <v>1</v>
      </c>
      <c r="E445" s="409"/>
      <c r="F445" s="409"/>
      <c r="G445" s="410">
        <f t="shared" si="38"/>
        <v>0</v>
      </c>
      <c r="H445" s="409">
        <v>2769229.16</v>
      </c>
      <c r="I445" s="409"/>
      <c r="J445" s="409"/>
      <c r="K445" s="409">
        <v>2769229.16</v>
      </c>
      <c r="L445" s="409">
        <f>SUM(L446:L447)</f>
        <v>2769229.16</v>
      </c>
      <c r="M445" s="409">
        <f>SUM(M446:M447)</f>
        <v>2769229.16</v>
      </c>
      <c r="N445" s="409">
        <f>SUM(N446:N447)</f>
        <v>0</v>
      </c>
      <c r="O445" s="444">
        <f>SUM(O446:O447)</f>
        <v>0</v>
      </c>
      <c r="P445" s="288" t="s">
        <v>242</v>
      </c>
      <c r="Q445" s="11" t="s">
        <v>243</v>
      </c>
      <c r="R445" s="474"/>
      <c r="S445" s="339"/>
    </row>
    <row r="446" spans="1:19" s="325" customFormat="1" ht="42.75">
      <c r="A446" s="333" t="s">
        <v>2154</v>
      </c>
      <c r="B446" s="334" t="s">
        <v>228</v>
      </c>
      <c r="C446" s="335" t="s">
        <v>226</v>
      </c>
      <c r="D446" s="336">
        <v>48</v>
      </c>
      <c r="E446" s="336">
        <v>48</v>
      </c>
      <c r="F446" s="336">
        <f>估驗單!F458</f>
        <v>48</v>
      </c>
      <c r="G446" s="390">
        <f t="shared" si="38"/>
        <v>0</v>
      </c>
      <c r="H446" s="336">
        <v>47468</v>
      </c>
      <c r="I446" s="336"/>
      <c r="J446" s="336"/>
      <c r="K446" s="336">
        <v>2278464</v>
      </c>
      <c r="L446" s="336">
        <f>ROUND(E446*H446,2)</f>
        <v>2278464</v>
      </c>
      <c r="M446" s="336">
        <f>ROUND(F446*H446,2)</f>
        <v>2278464</v>
      </c>
      <c r="N446" s="390">
        <f>IF(L446-M446&lt;0+AND(L446&lt;&gt;0),M446-L446,"      ")</f>
        <v>0</v>
      </c>
      <c r="O446" s="442"/>
      <c r="P446" s="231" t="s">
        <v>2463</v>
      </c>
      <c r="Q446" s="11" t="s">
        <v>243</v>
      </c>
      <c r="R446" s="474"/>
      <c r="S446" s="339"/>
    </row>
    <row r="447" spans="1:19" s="325" customFormat="1" ht="42.75">
      <c r="A447" s="333" t="s">
        <v>2155</v>
      </c>
      <c r="B447" s="334" t="s">
        <v>1193</v>
      </c>
      <c r="C447" s="335" t="s">
        <v>4</v>
      </c>
      <c r="D447" s="336">
        <v>1</v>
      </c>
      <c r="E447" s="336">
        <v>1</v>
      </c>
      <c r="F447" s="336">
        <f>估驗單!F459</f>
        <v>1</v>
      </c>
      <c r="G447" s="390">
        <f t="shared" si="38"/>
        <v>0</v>
      </c>
      <c r="H447" s="336">
        <v>490765.16</v>
      </c>
      <c r="I447" s="336"/>
      <c r="J447" s="336"/>
      <c r="K447" s="336">
        <v>490765.16</v>
      </c>
      <c r="L447" s="336">
        <f>ROUND(E447*H447,2)</f>
        <v>490765.16</v>
      </c>
      <c r="M447" s="336">
        <f>ROUND(F447*H447,2)</f>
        <v>490765.16</v>
      </c>
      <c r="N447" s="390">
        <f>IF(L447-M447&lt;0+AND(L447&lt;&gt;0),M447-L447,"      ")</f>
        <v>0</v>
      </c>
      <c r="O447" s="442"/>
      <c r="P447" s="231" t="s">
        <v>2465</v>
      </c>
      <c r="Q447" s="11" t="s">
        <v>243</v>
      </c>
      <c r="R447" s="474"/>
      <c r="S447" s="339"/>
    </row>
    <row r="448" spans="1:19" s="325" customFormat="1" ht="42.75">
      <c r="A448" s="406" t="s">
        <v>2257</v>
      </c>
      <c r="B448" s="407" t="s">
        <v>1196</v>
      </c>
      <c r="C448" s="408" t="s">
        <v>4</v>
      </c>
      <c r="D448" s="409">
        <v>1</v>
      </c>
      <c r="E448" s="409">
        <v>1</v>
      </c>
      <c r="F448" s="409">
        <f>估驗單!F460</f>
        <v>1</v>
      </c>
      <c r="G448" s="410">
        <f t="shared" si="38"/>
        <v>0</v>
      </c>
      <c r="H448" s="409">
        <v>26543985.719999999</v>
      </c>
      <c r="I448" s="409"/>
      <c r="J448" s="409"/>
      <c r="K448" s="409">
        <v>26543985.719999999</v>
      </c>
      <c r="L448" s="409">
        <f>ROUND((L445+L425+L406+L402+L362+L351+L10)*10.94944113%,2)+0.29</f>
        <v>29883681.059999999</v>
      </c>
      <c r="M448" s="409" t="e">
        <f>ROUND((M445+M425+M406+M402+M362+M351+M10)*10.94944113%,2)+0.81</f>
        <v>#VALUE!</v>
      </c>
      <c r="N448" s="410" t="e">
        <f>IF(L448-M448&lt;0+AND(L448&lt;&gt;0),M448-L448,"      ")</f>
        <v>#VALUE!</v>
      </c>
      <c r="O448" s="444"/>
      <c r="P448" s="288" t="s">
        <v>2258</v>
      </c>
      <c r="Q448" s="11" t="s">
        <v>243</v>
      </c>
      <c r="R448" s="478">
        <f>ROUND((L445+L425+L406+L402+L362+L351+L10)*10.94944113%,2)</f>
        <v>29883680.77</v>
      </c>
      <c r="S448" s="339"/>
    </row>
    <row r="449" spans="1:19" s="325" customFormat="1" ht="128.25">
      <c r="A449" s="406" t="s">
        <v>2259</v>
      </c>
      <c r="B449" s="407" t="s">
        <v>1199</v>
      </c>
      <c r="C449" s="408" t="s">
        <v>4</v>
      </c>
      <c r="D449" s="409">
        <v>1</v>
      </c>
      <c r="E449" s="409"/>
      <c r="F449" s="409">
        <f>估驗單!F461</f>
        <v>1</v>
      </c>
      <c r="G449" s="410">
        <f t="shared" si="38"/>
        <v>1</v>
      </c>
      <c r="H449" s="409">
        <v>1987650</v>
      </c>
      <c r="I449" s="409"/>
      <c r="J449" s="409"/>
      <c r="K449" s="409">
        <v>1987650</v>
      </c>
      <c r="L449" s="409">
        <f>L450</f>
        <v>1987650</v>
      </c>
      <c r="M449" s="409">
        <f>M450</f>
        <v>2736750</v>
      </c>
      <c r="N449" s="409">
        <f>N450</f>
        <v>749100</v>
      </c>
      <c r="O449" s="444"/>
      <c r="P449" s="288" t="s">
        <v>1200</v>
      </c>
      <c r="Q449" s="11" t="s">
        <v>243</v>
      </c>
      <c r="R449" s="474"/>
      <c r="S449" s="339"/>
    </row>
    <row r="450" spans="1:19" s="325" customFormat="1" ht="33">
      <c r="A450" s="333" t="s">
        <v>2154</v>
      </c>
      <c r="B450" s="334" t="s">
        <v>1199</v>
      </c>
      <c r="C450" s="335" t="s">
        <v>6</v>
      </c>
      <c r="D450" s="336">
        <v>13251</v>
      </c>
      <c r="E450" s="336">
        <v>13251</v>
      </c>
      <c r="F450" s="336">
        <f>估驗單!F462</f>
        <v>18245</v>
      </c>
      <c r="G450" s="390"/>
      <c r="H450" s="336">
        <v>150</v>
      </c>
      <c r="I450" s="336"/>
      <c r="J450" s="336"/>
      <c r="K450" s="336">
        <v>1987650</v>
      </c>
      <c r="L450" s="336">
        <f>ROUND(E450*H450,2)</f>
        <v>1987650</v>
      </c>
      <c r="M450" s="336">
        <f>ROUND(F450*H450,2)</f>
        <v>2736750</v>
      </c>
      <c r="N450" s="390">
        <f>IF(L450-M450&lt;0+AND(L450&lt;&gt;0),M450-L450,"      ")</f>
        <v>749100</v>
      </c>
      <c r="O450" s="442"/>
      <c r="P450" s="231" t="s">
        <v>242</v>
      </c>
      <c r="Q450" s="11" t="s">
        <v>243</v>
      </c>
      <c r="R450" s="474"/>
      <c r="S450" s="339"/>
    </row>
    <row r="451" spans="1:19" s="325" customFormat="1" ht="128.25">
      <c r="A451" s="406" t="s">
        <v>2260</v>
      </c>
      <c r="B451" s="407" t="s">
        <v>1204</v>
      </c>
      <c r="C451" s="408" t="s">
        <v>4</v>
      </c>
      <c r="D451" s="409">
        <v>1</v>
      </c>
      <c r="E451" s="409"/>
      <c r="F451" s="409"/>
      <c r="G451" s="410"/>
      <c r="H451" s="409">
        <v>179691.68</v>
      </c>
      <c r="I451" s="409"/>
      <c r="J451" s="409"/>
      <c r="K451" s="409">
        <v>179691.68</v>
      </c>
      <c r="L451" s="409">
        <f>L452</f>
        <v>179691.68</v>
      </c>
      <c r="M451" s="409">
        <f>M452</f>
        <v>179691.68</v>
      </c>
      <c r="N451" s="409">
        <f>N452</f>
        <v>0</v>
      </c>
      <c r="O451" s="444"/>
      <c r="P451" s="288" t="s">
        <v>1205</v>
      </c>
      <c r="Q451" s="11" t="s">
        <v>243</v>
      </c>
      <c r="R451" s="474"/>
      <c r="S451" s="339"/>
    </row>
    <row r="452" spans="1:19" s="325" customFormat="1" ht="33">
      <c r="A452" s="427" t="s">
        <v>2154</v>
      </c>
      <c r="B452" s="428" t="s">
        <v>1207</v>
      </c>
      <c r="C452" s="429" t="s">
        <v>13</v>
      </c>
      <c r="D452" s="430">
        <v>3208.78</v>
      </c>
      <c r="E452" s="430">
        <v>3208.78</v>
      </c>
      <c r="F452" s="430">
        <f>估驗單!F464</f>
        <v>3208.78</v>
      </c>
      <c r="G452" s="431"/>
      <c r="H452" s="430">
        <v>56</v>
      </c>
      <c r="I452" s="430"/>
      <c r="J452" s="430"/>
      <c r="K452" s="430">
        <v>179691.68</v>
      </c>
      <c r="L452" s="336">
        <f>ROUND(E452*H452,2)</f>
        <v>179691.68</v>
      </c>
      <c r="M452" s="336">
        <f>ROUND(F452*H452,2)</f>
        <v>179691.68</v>
      </c>
      <c r="N452" s="390">
        <f>IF(L452-M452&lt;0+AND(L452&lt;&gt;0),M452-L452,"      ")</f>
        <v>0</v>
      </c>
      <c r="O452" s="442"/>
      <c r="P452" s="432" t="s">
        <v>242</v>
      </c>
      <c r="Q452" s="11" t="s">
        <v>243</v>
      </c>
      <c r="R452" s="480"/>
      <c r="S452" s="381"/>
    </row>
  </sheetData>
  <mergeCells count="29">
    <mergeCell ref="T7:T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R7:R8"/>
    <mergeCell ref="S7:S8"/>
    <mergeCell ref="A5:K5"/>
    <mergeCell ref="A6:K6"/>
    <mergeCell ref="O6:P6"/>
    <mergeCell ref="A7:A8"/>
    <mergeCell ref="B7:B8"/>
    <mergeCell ref="C7:C8"/>
    <mergeCell ref="D7:D8"/>
    <mergeCell ref="E7:E8"/>
    <mergeCell ref="F7:F8"/>
    <mergeCell ref="G7:G8"/>
    <mergeCell ref="A4:K4"/>
    <mergeCell ref="O4:P4"/>
    <mergeCell ref="C1:N1"/>
    <mergeCell ref="A2:B2"/>
    <mergeCell ref="C2:N2"/>
    <mergeCell ref="A3:L3"/>
    <mergeCell ref="O3:P3"/>
  </mergeCells>
  <phoneticPr fontId="1" type="noConversion"/>
  <printOptions horizontalCentered="1"/>
  <pageMargins left="0.70866141732283472" right="0.70866141732283472" top="0.15748031496062992" bottom="0.15748031496062992" header="0.31496062992125984" footer="0.31496062992125984"/>
  <pageSetup paperSize="9" scale="80" orientation="landscape" r:id="rId1"/>
  <colBreaks count="1" manualBreakCount="1">
    <brk id="16" max="454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0D788-852C-4104-9461-35FB50A2B750}">
  <dimension ref="A1:L45"/>
  <sheetViews>
    <sheetView workbookViewId="0">
      <pane ySplit="1" topLeftCell="A14" activePane="bottomLeft" state="frozen"/>
      <selection pane="bottomLeft" activeCell="I31" sqref="I31"/>
    </sheetView>
  </sheetViews>
  <sheetFormatPr defaultRowHeight="12.75"/>
  <cols>
    <col min="1" max="1" width="9.140625" style="82"/>
    <col min="2" max="2" width="13.7109375" style="82" customWidth="1"/>
    <col min="3" max="16384" width="9.140625" style="82"/>
  </cols>
  <sheetData>
    <row r="1" spans="1:10" ht="25.5">
      <c r="B1" s="89" t="s">
        <v>3383</v>
      </c>
      <c r="C1" s="82" t="s">
        <v>3384</v>
      </c>
      <c r="D1" s="556" t="s">
        <v>3660</v>
      </c>
      <c r="E1" s="293" t="s">
        <v>3385</v>
      </c>
      <c r="F1" s="293" t="s">
        <v>3386</v>
      </c>
      <c r="G1" s="293" t="s">
        <v>3387</v>
      </c>
      <c r="I1" s="293" t="s">
        <v>3388</v>
      </c>
      <c r="J1" s="293" t="s">
        <v>3389</v>
      </c>
    </row>
    <row r="2" spans="1:10">
      <c r="A2" s="81">
        <f>ROW()-1</f>
        <v>1</v>
      </c>
      <c r="B2" s="82">
        <v>88.61</v>
      </c>
      <c r="C2" s="826">
        <f>3.3+7.4+20</f>
        <v>30.7</v>
      </c>
      <c r="D2" s="82">
        <v>5.81</v>
      </c>
      <c r="E2" s="826">
        <f>22.07+38.64</f>
        <v>60.71</v>
      </c>
      <c r="F2" s="705">
        <v>131.13999999999999</v>
      </c>
      <c r="G2" s="826">
        <f>48.47</f>
        <v>48.47</v>
      </c>
      <c r="I2" s="82">
        <v>70.66</v>
      </c>
    </row>
    <row r="3" spans="1:10">
      <c r="A3" s="81">
        <f t="shared" ref="A3:A30" si="0">ROW()-1</f>
        <v>2</v>
      </c>
      <c r="B3" s="82">
        <v>102.47</v>
      </c>
      <c r="C3" s="82">
        <v>32.880000000000003</v>
      </c>
      <c r="D3" s="82">
        <v>1.8</v>
      </c>
      <c r="E3" s="82">
        <v>569.24</v>
      </c>
      <c r="F3" s="705">
        <v>254.62</v>
      </c>
      <c r="G3" s="82">
        <f>248.51-7.2</f>
        <v>241.31</v>
      </c>
      <c r="I3" s="82">
        <v>62.69</v>
      </c>
    </row>
    <row r="4" spans="1:10">
      <c r="A4" s="81">
        <f t="shared" si="0"/>
        <v>3</v>
      </c>
      <c r="B4" s="82">
        <v>1.1299999999999999</v>
      </c>
      <c r="C4" s="82">
        <v>38.64</v>
      </c>
      <c r="D4" s="82">
        <v>1.5</v>
      </c>
      <c r="E4" s="82">
        <v>68.14</v>
      </c>
      <c r="F4" s="705">
        <v>417.96</v>
      </c>
      <c r="G4" s="705">
        <v>13.01</v>
      </c>
      <c r="I4" s="82">
        <v>1.32</v>
      </c>
    </row>
    <row r="5" spans="1:10">
      <c r="A5" s="81">
        <f t="shared" si="0"/>
        <v>4</v>
      </c>
      <c r="B5" s="82">
        <v>7.33</v>
      </c>
      <c r="C5" s="82">
        <v>26.21</v>
      </c>
      <c r="D5" s="82">
        <v>3.92</v>
      </c>
      <c r="E5" s="82">
        <v>34.369999999999997</v>
      </c>
      <c r="F5" s="705">
        <v>36.21</v>
      </c>
      <c r="G5" s="705">
        <v>27.39</v>
      </c>
      <c r="I5" s="82">
        <v>31</v>
      </c>
    </row>
    <row r="6" spans="1:10">
      <c r="A6" s="81">
        <f t="shared" si="0"/>
        <v>5</v>
      </c>
      <c r="B6" s="82">
        <v>64.23</v>
      </c>
      <c r="C6" s="82">
        <v>2.68</v>
      </c>
      <c r="D6" s="82">
        <v>4</v>
      </c>
      <c r="E6" s="82">
        <v>144.52000000000001</v>
      </c>
      <c r="F6" s="705">
        <v>195.63</v>
      </c>
      <c r="G6" s="705">
        <v>21.79</v>
      </c>
      <c r="I6" s="82">
        <v>17.739999999999998</v>
      </c>
    </row>
    <row r="7" spans="1:10">
      <c r="A7" s="81">
        <f t="shared" si="0"/>
        <v>6</v>
      </c>
      <c r="B7" s="82">
        <v>72.47</v>
      </c>
      <c r="C7" s="82">
        <v>84.45</v>
      </c>
      <c r="D7" s="82">
        <v>2.62</v>
      </c>
      <c r="E7" s="82">
        <v>212.78</v>
      </c>
      <c r="F7" s="705">
        <v>0</v>
      </c>
      <c r="G7" s="705">
        <v>13.82</v>
      </c>
      <c r="I7" s="82">
        <v>70.260000000000005</v>
      </c>
    </row>
    <row r="8" spans="1:10">
      <c r="A8" s="81">
        <f t="shared" si="0"/>
        <v>7</v>
      </c>
      <c r="B8" s="82">
        <v>75.83</v>
      </c>
      <c r="C8" s="82">
        <v>17.440000000000001</v>
      </c>
      <c r="D8" s="82">
        <v>2.88</v>
      </c>
      <c r="E8" s="82">
        <v>250.7</v>
      </c>
      <c r="F8" s="705">
        <v>0</v>
      </c>
      <c r="G8" s="82">
        <v>185.14</v>
      </c>
      <c r="I8" s="82">
        <v>114.27</v>
      </c>
    </row>
    <row r="9" spans="1:10">
      <c r="A9" s="81">
        <f t="shared" si="0"/>
        <v>8</v>
      </c>
      <c r="B9" s="82">
        <v>71.92</v>
      </c>
      <c r="C9" s="82">
        <v>67.02</v>
      </c>
      <c r="D9" s="82">
        <v>6.7</v>
      </c>
      <c r="E9" s="82">
        <v>29.22</v>
      </c>
      <c r="F9" s="82">
        <f>448.23-30.74</f>
        <v>417.49</v>
      </c>
      <c r="G9" s="705">
        <v>85.29</v>
      </c>
      <c r="I9" s="82">
        <v>23.64</v>
      </c>
    </row>
    <row r="10" spans="1:10">
      <c r="A10" s="81">
        <f t="shared" si="0"/>
        <v>9</v>
      </c>
      <c r="B10" s="82">
        <v>12.93</v>
      </c>
      <c r="C10" s="82">
        <v>80.48</v>
      </c>
      <c r="D10" s="82">
        <v>4.22</v>
      </c>
      <c r="E10" s="82">
        <v>32.96</v>
      </c>
      <c r="F10" s="574">
        <v>0</v>
      </c>
      <c r="G10" s="705">
        <v>16.739999999999998</v>
      </c>
      <c r="I10" s="82">
        <v>9.02</v>
      </c>
    </row>
    <row r="11" spans="1:10">
      <c r="A11" s="81">
        <f t="shared" si="0"/>
        <v>10</v>
      </c>
      <c r="B11" s="82">
        <v>20.76</v>
      </c>
      <c r="C11" s="82">
        <v>24.95</v>
      </c>
      <c r="D11" s="82">
        <v>3.79</v>
      </c>
      <c r="E11" s="705">
        <v>68.72</v>
      </c>
      <c r="F11" s="574">
        <v>72.150000000000006</v>
      </c>
      <c r="G11" s="82">
        <v>165.79</v>
      </c>
      <c r="I11" s="82">
        <v>30.33</v>
      </c>
    </row>
    <row r="12" spans="1:10">
      <c r="A12" s="81">
        <f t="shared" si="0"/>
        <v>11</v>
      </c>
      <c r="B12" s="82">
        <v>38.17</v>
      </c>
      <c r="C12" s="82">
        <v>36.479999999999997</v>
      </c>
      <c r="D12" s="82">
        <v>3.7</v>
      </c>
      <c r="E12" s="705">
        <v>108.92</v>
      </c>
      <c r="F12" s="829">
        <v>5.93</v>
      </c>
      <c r="I12" s="82">
        <v>13.36</v>
      </c>
    </row>
    <row r="13" spans="1:10">
      <c r="A13" s="81">
        <f t="shared" si="0"/>
        <v>12</v>
      </c>
      <c r="B13" s="82">
        <v>65.72</v>
      </c>
      <c r="C13" s="82">
        <v>150.41999999999999</v>
      </c>
      <c r="D13" s="82">
        <v>11.81</v>
      </c>
      <c r="E13" s="82">
        <f>0.2*0.2*180</f>
        <v>7.2000000000000011</v>
      </c>
      <c r="F13" s="829">
        <v>15.11</v>
      </c>
      <c r="I13" s="82">
        <v>2.36</v>
      </c>
    </row>
    <row r="14" spans="1:10">
      <c r="A14" s="81">
        <f t="shared" si="0"/>
        <v>13</v>
      </c>
      <c r="B14" s="82">
        <v>63.38</v>
      </c>
      <c r="C14" s="82">
        <v>21.26</v>
      </c>
      <c r="D14" s="82">
        <v>2.5</v>
      </c>
      <c r="F14" s="82">
        <v>48.8</v>
      </c>
      <c r="I14" s="82">
        <v>14.28</v>
      </c>
    </row>
    <row r="15" spans="1:10">
      <c r="A15" s="81">
        <f t="shared" si="0"/>
        <v>14</v>
      </c>
      <c r="B15" s="82">
        <v>17.55</v>
      </c>
      <c r="C15" s="82">
        <v>63.27</v>
      </c>
      <c r="D15" s="82">
        <v>6.55</v>
      </c>
      <c r="I15" s="82">
        <v>1.1000000000000001</v>
      </c>
    </row>
    <row r="16" spans="1:10">
      <c r="A16" s="81">
        <f t="shared" si="0"/>
        <v>15</v>
      </c>
      <c r="B16" s="82">
        <v>97.7</v>
      </c>
      <c r="C16" s="98">
        <v>22.43</v>
      </c>
      <c r="D16" s="82">
        <v>7.43</v>
      </c>
      <c r="I16" s="82">
        <v>9.14</v>
      </c>
    </row>
    <row r="17" spans="1:12">
      <c r="A17" s="81">
        <f t="shared" si="0"/>
        <v>16</v>
      </c>
      <c r="B17" s="82">
        <v>8.5500000000000007</v>
      </c>
      <c r="C17" s="98">
        <v>22.05</v>
      </c>
      <c r="D17" s="82">
        <v>1.5</v>
      </c>
      <c r="I17" s="82">
        <v>5.41</v>
      </c>
    </row>
    <row r="18" spans="1:12">
      <c r="A18" s="81">
        <f t="shared" si="0"/>
        <v>17</v>
      </c>
      <c r="B18" s="82">
        <v>17.55</v>
      </c>
      <c r="C18" s="98">
        <v>39.799999999999997</v>
      </c>
      <c r="D18" s="82">
        <v>1.5</v>
      </c>
      <c r="I18" s="82">
        <v>3.76</v>
      </c>
    </row>
    <row r="19" spans="1:12" ht="13.5">
      <c r="A19" s="81">
        <f t="shared" si="0"/>
        <v>18</v>
      </c>
      <c r="B19" s="82">
        <v>7.85</v>
      </c>
      <c r="D19" s="82">
        <v>2.42</v>
      </c>
      <c r="I19" s="82">
        <v>2.1800000000000002</v>
      </c>
      <c r="L19" s="147" t="s">
        <v>3595</v>
      </c>
    </row>
    <row r="20" spans="1:12" ht="13.5">
      <c r="A20" s="81">
        <f t="shared" si="0"/>
        <v>19</v>
      </c>
      <c r="B20" s="82">
        <v>11.5</v>
      </c>
      <c r="D20" s="82">
        <v>1.5</v>
      </c>
      <c r="I20" s="82">
        <v>2.36</v>
      </c>
      <c r="L20" s="147" t="s">
        <v>3409</v>
      </c>
    </row>
    <row r="21" spans="1:12" ht="14.25">
      <c r="A21" s="81">
        <f t="shared" si="0"/>
        <v>20</v>
      </c>
      <c r="B21" s="82">
        <v>6.88</v>
      </c>
      <c r="D21" s="82">
        <v>1.5</v>
      </c>
      <c r="I21" s="82">
        <v>24.92</v>
      </c>
      <c r="L21" s="556" t="s">
        <v>3596</v>
      </c>
    </row>
    <row r="22" spans="1:12" ht="13.5">
      <c r="A22" s="81">
        <f t="shared" si="0"/>
        <v>21</v>
      </c>
      <c r="B22" s="82">
        <v>11.32</v>
      </c>
      <c r="D22" s="82">
        <v>8.67</v>
      </c>
      <c r="I22" s="82">
        <v>57.38</v>
      </c>
      <c r="L22" s="82" t="s">
        <v>3597</v>
      </c>
    </row>
    <row r="23" spans="1:12" ht="13.5">
      <c r="A23" s="81">
        <f t="shared" si="0"/>
        <v>22</v>
      </c>
      <c r="B23" s="82">
        <v>5.58</v>
      </c>
      <c r="D23" s="82">
        <v>1.5</v>
      </c>
      <c r="I23" s="82">
        <v>8.27</v>
      </c>
      <c r="L23" s="147" t="s">
        <v>3598</v>
      </c>
    </row>
    <row r="24" spans="1:12" ht="13.5">
      <c r="A24" s="81">
        <f t="shared" si="0"/>
        <v>23</v>
      </c>
      <c r="B24" s="82">
        <v>13.59</v>
      </c>
      <c r="D24" s="82">
        <v>7.16</v>
      </c>
      <c r="I24" s="82">
        <v>4.04</v>
      </c>
      <c r="L24" s="82" t="s">
        <v>3681</v>
      </c>
    </row>
    <row r="25" spans="1:12" ht="13.5">
      <c r="A25" s="81">
        <f t="shared" si="0"/>
        <v>24</v>
      </c>
      <c r="B25" s="82">
        <v>26.29</v>
      </c>
      <c r="D25" s="82">
        <v>1.5</v>
      </c>
      <c r="I25" s="82">
        <v>36.79</v>
      </c>
      <c r="L25" s="851" t="s">
        <v>3682</v>
      </c>
    </row>
    <row r="26" spans="1:12">
      <c r="A26" s="81">
        <f t="shared" si="0"/>
        <v>25</v>
      </c>
      <c r="B26" s="82">
        <v>14.74</v>
      </c>
      <c r="D26" s="82">
        <v>2</v>
      </c>
      <c r="I26" s="82">
        <v>38.74</v>
      </c>
    </row>
    <row r="27" spans="1:12">
      <c r="A27" s="81">
        <f t="shared" si="0"/>
        <v>26</v>
      </c>
      <c r="B27" s="82">
        <v>64.099999999999994</v>
      </c>
      <c r="D27" s="82">
        <v>2</v>
      </c>
      <c r="I27" s="82">
        <v>20.22</v>
      </c>
    </row>
    <row r="28" spans="1:12" ht="13.5">
      <c r="A28" s="81">
        <f t="shared" si="0"/>
        <v>27</v>
      </c>
      <c r="B28" s="82">
        <v>77.02</v>
      </c>
      <c r="D28" s="82">
        <v>12.18</v>
      </c>
      <c r="H28" s="147" t="s">
        <v>3893</v>
      </c>
      <c r="I28" s="82">
        <v>25.92</v>
      </c>
    </row>
    <row r="29" spans="1:12">
      <c r="A29" s="81">
        <f t="shared" si="0"/>
        <v>28</v>
      </c>
      <c r="B29" s="82">
        <v>11.76</v>
      </c>
      <c r="D29" s="82">
        <v>11.13</v>
      </c>
      <c r="E29" s="82">
        <f>SUM(E2:E28)</f>
        <v>1587.4800000000002</v>
      </c>
      <c r="F29" s="82">
        <f>SUM(F2:F28)</f>
        <v>1595.04</v>
      </c>
      <c r="G29" s="82">
        <f>SUM(G2:G28)</f>
        <v>818.74999999999989</v>
      </c>
      <c r="H29" s="82">
        <f>E29+F29+G29</f>
        <v>4001.2700000000004</v>
      </c>
      <c r="I29" s="82">
        <v>20.309999999999999</v>
      </c>
    </row>
    <row r="30" spans="1:12">
      <c r="A30" s="81">
        <f t="shared" si="0"/>
        <v>29</v>
      </c>
      <c r="B30" s="82">
        <v>3.16</v>
      </c>
      <c r="D30" s="82">
        <v>12.18</v>
      </c>
      <c r="E30" s="826">
        <v>1383.38</v>
      </c>
      <c r="F30" s="826">
        <v>1757.53</v>
      </c>
      <c r="G30" s="826">
        <v>738.3</v>
      </c>
      <c r="H30" s="826">
        <f>E30+F30+G30</f>
        <v>3879.21</v>
      </c>
      <c r="I30" s="82">
        <v>1.28</v>
      </c>
    </row>
    <row r="31" spans="1:12" ht="14.25">
      <c r="D31" s="82">
        <v>11.13</v>
      </c>
      <c r="E31" s="826" t="s">
        <v>3892</v>
      </c>
      <c r="F31" s="826"/>
      <c r="G31" s="826"/>
      <c r="H31" s="826"/>
      <c r="I31" s="82">
        <v>1.28</v>
      </c>
    </row>
    <row r="32" spans="1:12">
      <c r="D32" s="82">
        <v>7.13</v>
      </c>
    </row>
    <row r="33" spans="1:9">
      <c r="A33" s="81" t="s">
        <v>3390</v>
      </c>
      <c r="B33" s="82">
        <f>SUM(B2:B32)</f>
        <v>1080.0900000000001</v>
      </c>
      <c r="C33" s="82">
        <f>SUM(C2:C32)</f>
        <v>761.15999999999985</v>
      </c>
      <c r="D33" s="82">
        <f>SUM(D2:D32)</f>
        <v>154.22999999999999</v>
      </c>
    </row>
    <row r="34" spans="1:9">
      <c r="B34" s="82">
        <v>11.53</v>
      </c>
      <c r="I34" s="82">
        <f>SUM(I2:I33)</f>
        <v>724.02999999999986</v>
      </c>
    </row>
    <row r="35" spans="1:9">
      <c r="B35" s="82">
        <f>4.12+40.38</f>
        <v>44.5</v>
      </c>
    </row>
    <row r="36" spans="1:9">
      <c r="B36" s="82">
        <v>33.380000000000003</v>
      </c>
    </row>
    <row r="37" spans="1:9">
      <c r="B37" s="82">
        <v>37.549999999999997</v>
      </c>
    </row>
    <row r="38" spans="1:9">
      <c r="B38" s="82">
        <v>25.18</v>
      </c>
    </row>
    <row r="39" spans="1:9">
      <c r="B39" s="82">
        <v>18.260000000000002</v>
      </c>
    </row>
    <row r="40" spans="1:9">
      <c r="A40" s="81" t="s">
        <v>3391</v>
      </c>
      <c r="B40" s="82">
        <f>SUM(B34:B39)</f>
        <v>170.39999999999998</v>
      </c>
    </row>
    <row r="41" spans="1:9">
      <c r="A41" s="82" t="s">
        <v>3392</v>
      </c>
      <c r="B41" s="913">
        <f>B33+B40</f>
        <v>1250.4900000000002</v>
      </c>
    </row>
    <row r="43" spans="1:9">
      <c r="A43" s="81" t="s">
        <v>3393</v>
      </c>
      <c r="B43" s="913">
        <v>1254.1300000000001</v>
      </c>
      <c r="C43" s="82">
        <v>656.91</v>
      </c>
      <c r="D43" s="82">
        <v>142.26</v>
      </c>
    </row>
    <row r="44" spans="1:9">
      <c r="A44" s="831">
        <v>0.05</v>
      </c>
      <c r="B44" s="913">
        <f>B43*0.05</f>
        <v>62.706500000000005</v>
      </c>
      <c r="C44" s="82">
        <f>C43*0.05</f>
        <v>32.845500000000001</v>
      </c>
      <c r="D44" s="82">
        <f>D43*0.05</f>
        <v>7.1129999999999995</v>
      </c>
    </row>
    <row r="45" spans="1:9" ht="13.5">
      <c r="A45" s="148" t="s">
        <v>3659</v>
      </c>
      <c r="B45" s="82">
        <f>B43-B41</f>
        <v>3.6399999999998727</v>
      </c>
      <c r="C45" s="82">
        <f>C33-C43</f>
        <v>104.24999999999989</v>
      </c>
      <c r="D45" s="82">
        <f>D33-D43</f>
        <v>11.969999999999999</v>
      </c>
    </row>
  </sheetData>
  <phoneticPr fontId="1" type="noConversion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7265E-7AC7-4DB7-93DF-9EE6FABC3E77}">
  <sheetPr>
    <tabColor theme="5" tint="0.39997558519241921"/>
  </sheetPr>
  <dimension ref="A1:G22"/>
  <sheetViews>
    <sheetView workbookViewId="0">
      <selection activeCell="E10" sqref="E10"/>
    </sheetView>
  </sheetViews>
  <sheetFormatPr defaultRowHeight="12.75"/>
  <cols>
    <col min="2" max="2" width="36.140625" customWidth="1"/>
    <col min="4" max="5" width="13.85546875" customWidth="1"/>
    <col min="6" max="6" width="16" customWidth="1"/>
    <col min="7" max="7" width="62.5703125" customWidth="1"/>
    <col min="8" max="8" width="19.7109375" customWidth="1"/>
  </cols>
  <sheetData>
    <row r="1" spans="1:7" ht="28.5" customHeight="1">
      <c r="A1" t="s">
        <v>3788</v>
      </c>
    </row>
    <row r="2" spans="1:7" s="82" customFormat="1" ht="30" customHeight="1">
      <c r="A2" s="930" t="s">
        <v>2641</v>
      </c>
      <c r="B2" s="927" t="s">
        <v>1577</v>
      </c>
      <c r="C2" s="927" t="s">
        <v>2643</v>
      </c>
      <c r="D2" s="927" t="s">
        <v>2625</v>
      </c>
      <c r="E2" s="927" t="s">
        <v>3782</v>
      </c>
      <c r="F2" s="927" t="s">
        <v>3783</v>
      </c>
      <c r="G2" s="927" t="s">
        <v>221</v>
      </c>
    </row>
    <row r="3" spans="1:7" s="82" customFormat="1" ht="30" customHeight="1">
      <c r="A3" s="91" t="s">
        <v>43</v>
      </c>
      <c r="B3" s="91" t="s">
        <v>249</v>
      </c>
      <c r="C3" s="90" t="s">
        <v>8</v>
      </c>
      <c r="D3" s="928">
        <v>6199.66</v>
      </c>
      <c r="E3" s="928">
        <v>60</v>
      </c>
      <c r="F3" s="928">
        <f>ROUND(D3*E3,2)</f>
        <v>371979.6</v>
      </c>
      <c r="G3" s="91" t="s">
        <v>3781</v>
      </c>
    </row>
    <row r="4" spans="1:7" s="82" customFormat="1" ht="30" customHeight="1">
      <c r="A4" s="91" t="s">
        <v>3779</v>
      </c>
      <c r="B4" s="91" t="s">
        <v>1362</v>
      </c>
      <c r="C4" s="90" t="s">
        <v>539</v>
      </c>
      <c r="D4" s="928">
        <v>16.21</v>
      </c>
      <c r="E4" s="928">
        <v>11205</v>
      </c>
      <c r="F4" s="928">
        <f t="shared" ref="F4:F5" si="0">ROUND(D4*E4,2)</f>
        <v>181633.05</v>
      </c>
      <c r="G4" s="91"/>
    </row>
    <row r="5" spans="1:7" s="82" customFormat="1" ht="30" customHeight="1">
      <c r="A5" s="91" t="s">
        <v>3780</v>
      </c>
      <c r="B5" s="555" t="s">
        <v>1124</v>
      </c>
      <c r="C5" s="90" t="s">
        <v>13</v>
      </c>
      <c r="D5" s="928">
        <v>3662.03</v>
      </c>
      <c r="E5" s="928">
        <v>121.9</v>
      </c>
      <c r="F5" s="928">
        <f t="shared" si="0"/>
        <v>446401.46</v>
      </c>
      <c r="G5" s="91" t="s">
        <v>3784</v>
      </c>
    </row>
    <row r="6" spans="1:7" ht="30" customHeight="1">
      <c r="A6" s="929"/>
      <c r="B6" s="930" t="s">
        <v>142</v>
      </c>
      <c r="C6" s="929"/>
      <c r="D6" s="931"/>
      <c r="E6" s="931"/>
      <c r="F6" s="928">
        <f>SUM(F3:F5)</f>
        <v>1000014.1099999999</v>
      </c>
      <c r="G6" s="929"/>
    </row>
    <row r="7" spans="1:7" ht="30" customHeight="1">
      <c r="A7" s="924" t="s">
        <v>3790</v>
      </c>
    </row>
    <row r="8" spans="1:7" ht="30" customHeight="1">
      <c r="A8" s="930" t="s">
        <v>2641</v>
      </c>
      <c r="B8" s="927" t="s">
        <v>1577</v>
      </c>
      <c r="C8" s="927" t="s">
        <v>2643</v>
      </c>
      <c r="D8" s="927" t="s">
        <v>2625</v>
      </c>
      <c r="E8" s="927" t="s">
        <v>3782</v>
      </c>
      <c r="F8" s="927" t="s">
        <v>3783</v>
      </c>
      <c r="G8" s="927" t="s">
        <v>221</v>
      </c>
    </row>
    <row r="9" spans="1:7" ht="30" customHeight="1">
      <c r="A9" s="91" t="s">
        <v>43</v>
      </c>
      <c r="B9" s="91" t="s">
        <v>249</v>
      </c>
      <c r="C9" s="90" t="s">
        <v>8</v>
      </c>
      <c r="D9" s="928">
        <v>6199.66</v>
      </c>
      <c r="E9" s="928">
        <v>65</v>
      </c>
      <c r="F9" s="928">
        <f>ROUND(D9*E9,2)</f>
        <v>402977.9</v>
      </c>
      <c r="G9" s="91" t="s">
        <v>3789</v>
      </c>
    </row>
    <row r="10" spans="1:7" ht="30" customHeight="1">
      <c r="A10" s="91" t="s">
        <v>3779</v>
      </c>
      <c r="B10" s="91" t="s">
        <v>1362</v>
      </c>
      <c r="C10" s="90" t="s">
        <v>539</v>
      </c>
      <c r="D10" s="928">
        <v>16.21</v>
      </c>
      <c r="E10" s="928">
        <v>36830.5</v>
      </c>
      <c r="F10" s="928">
        <f t="shared" ref="F10" si="1">ROUND(D10*E10,2)</f>
        <v>597022.41</v>
      </c>
      <c r="G10" s="91"/>
    </row>
    <row r="11" spans="1:7" ht="30" customHeight="1">
      <c r="A11" s="91"/>
      <c r="B11" s="555"/>
      <c r="C11" s="90"/>
      <c r="D11" s="928"/>
      <c r="E11" s="928"/>
      <c r="F11" s="928"/>
      <c r="G11" s="932" t="s">
        <v>3880</v>
      </c>
    </row>
    <row r="12" spans="1:7" ht="30" customHeight="1">
      <c r="A12" s="929"/>
      <c r="B12" s="930" t="s">
        <v>142</v>
      </c>
      <c r="C12" s="929"/>
      <c r="D12" s="931"/>
      <c r="E12" s="931"/>
      <c r="F12" s="928">
        <f>SUM(F9:F11)</f>
        <v>1000000.31</v>
      </c>
      <c r="G12" s="929"/>
    </row>
    <row r="13" spans="1:7" ht="30" customHeight="1"/>
    <row r="14" spans="1:7" ht="30" customHeight="1">
      <c r="F14" s="926"/>
    </row>
    <row r="15" spans="1:7" ht="30" customHeight="1"/>
    <row r="16" spans="1:7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</sheetData>
  <phoneticPr fontId="1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19E5-A052-42F3-9E7B-5B9CC7EE3995}">
  <dimension ref="A1:G11"/>
  <sheetViews>
    <sheetView workbookViewId="0">
      <selection activeCell="M20" sqref="M20"/>
    </sheetView>
  </sheetViews>
  <sheetFormatPr defaultRowHeight="12.75"/>
  <cols>
    <col min="2" max="2" width="49.42578125" customWidth="1"/>
    <col min="5" max="5" width="11.7109375" customWidth="1"/>
    <col min="6" max="6" width="12.7109375" customWidth="1"/>
  </cols>
  <sheetData>
    <row r="1" spans="1:7">
      <c r="A1" t="s">
        <v>3867</v>
      </c>
    </row>
    <row r="2" spans="1:7">
      <c r="A2" t="s">
        <v>3868</v>
      </c>
    </row>
    <row r="3" spans="1:7">
      <c r="A3" t="s">
        <v>2140</v>
      </c>
    </row>
    <row r="4" spans="1:7">
      <c r="A4" t="s">
        <v>233</v>
      </c>
      <c r="F4" t="s">
        <v>234</v>
      </c>
    </row>
    <row r="5" spans="1:7">
      <c r="A5" t="s">
        <v>235</v>
      </c>
      <c r="B5" t="s">
        <v>236</v>
      </c>
      <c r="C5" t="s">
        <v>237</v>
      </c>
      <c r="D5" t="s">
        <v>238</v>
      </c>
      <c r="E5" t="s">
        <v>239</v>
      </c>
      <c r="F5" t="s">
        <v>240</v>
      </c>
      <c r="G5" t="s">
        <v>241</v>
      </c>
    </row>
    <row r="6" spans="1:7">
      <c r="A6">
        <v>1</v>
      </c>
      <c r="B6" t="s">
        <v>3869</v>
      </c>
      <c r="C6" t="s">
        <v>1007</v>
      </c>
      <c r="D6">
        <v>5</v>
      </c>
      <c r="E6">
        <v>16249.999999999998</v>
      </c>
      <c r="F6">
        <v>81250</v>
      </c>
      <c r="G6" t="s">
        <v>3870</v>
      </c>
    </row>
    <row r="7" spans="1:7">
      <c r="A7">
        <v>2</v>
      </c>
      <c r="B7" t="s">
        <v>3871</v>
      </c>
      <c r="C7" t="s">
        <v>1007</v>
      </c>
      <c r="D7">
        <v>10</v>
      </c>
      <c r="E7">
        <v>6065</v>
      </c>
      <c r="F7">
        <v>60650</v>
      </c>
      <c r="G7" t="s">
        <v>3872</v>
      </c>
    </row>
    <row r="8" spans="1:7">
      <c r="A8">
        <v>3</v>
      </c>
      <c r="B8" t="s">
        <v>3873</v>
      </c>
      <c r="C8" t="s">
        <v>0</v>
      </c>
      <c r="D8">
        <v>1</v>
      </c>
      <c r="E8">
        <v>536599.99999999988</v>
      </c>
      <c r="F8">
        <v>536600</v>
      </c>
      <c r="G8" t="s">
        <v>3874</v>
      </c>
    </row>
    <row r="9" spans="1:7">
      <c r="A9">
        <v>4</v>
      </c>
      <c r="B9" t="s">
        <v>3875</v>
      </c>
      <c r="C9" t="s">
        <v>13</v>
      </c>
      <c r="D9">
        <v>200</v>
      </c>
      <c r="E9">
        <v>500</v>
      </c>
      <c r="F9">
        <v>100000</v>
      </c>
      <c r="G9" t="s">
        <v>3876</v>
      </c>
    </row>
    <row r="10" spans="1:7">
      <c r="A10">
        <v>5</v>
      </c>
      <c r="B10" t="s">
        <v>3877</v>
      </c>
      <c r="C10" t="s">
        <v>13</v>
      </c>
      <c r="D10">
        <v>39.200000000000003</v>
      </c>
      <c r="E10">
        <v>18075</v>
      </c>
      <c r="F10">
        <v>708540</v>
      </c>
      <c r="G10" t="s">
        <v>3878</v>
      </c>
    </row>
    <row r="11" spans="1:7">
      <c r="B11" t="s">
        <v>1874</v>
      </c>
      <c r="D11" t="s">
        <v>3879</v>
      </c>
      <c r="F11">
        <v>1487040</v>
      </c>
      <c r="G11" t="s">
        <v>242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709F0-ABCE-455B-8350-B7CCC4EE12FE}">
  <dimension ref="A1:M35"/>
  <sheetViews>
    <sheetView topLeftCell="A2" workbookViewId="0">
      <selection activeCell="L31" sqref="L31"/>
    </sheetView>
  </sheetViews>
  <sheetFormatPr defaultRowHeight="12.75"/>
  <cols>
    <col min="1" max="1" width="12" customWidth="1"/>
    <col min="2" max="2" width="7.42578125" customWidth="1"/>
    <col min="3" max="4" width="12.42578125" customWidth="1"/>
    <col min="5" max="5" width="27.7109375" customWidth="1"/>
    <col min="6" max="6" width="9.42578125" customWidth="1"/>
    <col min="8" max="8" width="12.5703125" customWidth="1"/>
    <col min="11" max="11" width="14.42578125" customWidth="1"/>
  </cols>
  <sheetData>
    <row r="1" spans="1:13" ht="32.25" customHeight="1">
      <c r="B1" s="776" t="s">
        <v>3065</v>
      </c>
      <c r="C1" s="148" t="s">
        <v>3069</v>
      </c>
      <c r="D1" s="148" t="s">
        <v>3082</v>
      </c>
      <c r="E1" s="148" t="s">
        <v>3070</v>
      </c>
      <c r="F1" s="148" t="s">
        <v>2644</v>
      </c>
      <c r="G1" s="777" t="s">
        <v>3071</v>
      </c>
      <c r="H1" s="778" t="s">
        <v>3072</v>
      </c>
      <c r="J1" s="775" t="s">
        <v>3394</v>
      </c>
      <c r="K1" s="455" t="s">
        <v>3069</v>
      </c>
      <c r="L1" s="455" t="s">
        <v>3395</v>
      </c>
    </row>
    <row r="2" spans="1:13" ht="13.5">
      <c r="A2" t="s">
        <v>3064</v>
      </c>
      <c r="B2">
        <v>1010</v>
      </c>
      <c r="C2" s="455" t="s">
        <v>3066</v>
      </c>
      <c r="D2" s="455" t="s">
        <v>3083</v>
      </c>
      <c r="E2" t="s">
        <v>3094</v>
      </c>
      <c r="F2">
        <v>1</v>
      </c>
      <c r="G2">
        <v>6.351</v>
      </c>
      <c r="H2">
        <f>ROUND(F2*G2,2)</f>
        <v>6.35</v>
      </c>
      <c r="I2" s="893" t="s">
        <v>3064</v>
      </c>
      <c r="J2" s="894">
        <f>18.2+16</f>
        <v>34.200000000000003</v>
      </c>
      <c r="K2" s="895" t="s">
        <v>1234</v>
      </c>
      <c r="L2" s="894"/>
      <c r="M2" s="894"/>
    </row>
    <row r="3" spans="1:13" ht="13.5">
      <c r="C3" s="775" t="s">
        <v>3067</v>
      </c>
      <c r="D3" s="455" t="s">
        <v>3083</v>
      </c>
      <c r="E3" t="s">
        <v>3084</v>
      </c>
      <c r="F3">
        <v>2</v>
      </c>
      <c r="G3">
        <f>1.76</f>
        <v>1.76</v>
      </c>
      <c r="H3">
        <f>ROUND(F3*G3,2)</f>
        <v>3.52</v>
      </c>
      <c r="I3" s="894"/>
      <c r="J3" s="894">
        <v>3.25</v>
      </c>
      <c r="K3" s="894" t="s">
        <v>3500</v>
      </c>
      <c r="L3" s="894"/>
      <c r="M3" s="894"/>
    </row>
    <row r="4" spans="1:13" ht="13.5">
      <c r="C4" s="455" t="s">
        <v>3068</v>
      </c>
      <c r="D4" s="455" t="s">
        <v>3083</v>
      </c>
      <c r="E4" t="s">
        <v>3085</v>
      </c>
      <c r="F4">
        <v>9</v>
      </c>
      <c r="G4">
        <v>0.5</v>
      </c>
      <c r="H4">
        <f>ROUND(F4*G4,2)</f>
        <v>4.5</v>
      </c>
      <c r="I4" s="896" t="s">
        <v>142</v>
      </c>
      <c r="J4" s="894">
        <f>J2+J3</f>
        <v>37.450000000000003</v>
      </c>
      <c r="K4" s="894"/>
      <c r="L4" s="894">
        <f>ROUND(H8*J4,2)</f>
        <v>978.19</v>
      </c>
      <c r="M4" s="894"/>
    </row>
    <row r="5" spans="1:13" ht="13.5">
      <c r="C5" s="775" t="s">
        <v>3073</v>
      </c>
      <c r="D5" s="455" t="s">
        <v>3083</v>
      </c>
      <c r="E5" t="s">
        <v>3086</v>
      </c>
      <c r="F5">
        <v>1</v>
      </c>
      <c r="G5">
        <v>0.1</v>
      </c>
      <c r="H5">
        <f>ROUND(F5*G5,2)</f>
        <v>0.1</v>
      </c>
      <c r="I5" s="896"/>
      <c r="J5" s="894"/>
      <c r="K5" s="894"/>
      <c r="L5" s="894"/>
      <c r="M5" s="894"/>
    </row>
    <row r="6" spans="1:13" ht="14.25">
      <c r="C6" s="779" t="s">
        <v>3074</v>
      </c>
      <c r="D6" s="455" t="s">
        <v>3083</v>
      </c>
      <c r="E6" t="s">
        <v>3087</v>
      </c>
      <c r="F6">
        <v>1</v>
      </c>
      <c r="G6">
        <v>11.91</v>
      </c>
      <c r="H6">
        <f>ROUND(F6*G6,2)</f>
        <v>11.91</v>
      </c>
      <c r="I6" s="896"/>
      <c r="J6" s="894"/>
      <c r="K6" s="894"/>
      <c r="L6" s="894"/>
      <c r="M6" s="894"/>
    </row>
    <row r="7" spans="1:13" ht="14.25">
      <c r="E7" s="780" t="s">
        <v>3103</v>
      </c>
      <c r="H7">
        <f>SUM(H2:H6)</f>
        <v>26.38</v>
      </c>
      <c r="I7" s="896"/>
      <c r="J7" s="894"/>
      <c r="K7" s="894"/>
      <c r="L7" s="894"/>
      <c r="M7" s="894"/>
    </row>
    <row r="8" spans="1:13" ht="14.25">
      <c r="E8" s="912" t="s">
        <v>3076</v>
      </c>
      <c r="F8" s="894"/>
      <c r="G8" s="894"/>
      <c r="H8" s="894">
        <f>ROUND(H7/1.01,2)</f>
        <v>26.12</v>
      </c>
      <c r="I8" s="896"/>
      <c r="J8" s="894"/>
      <c r="K8" s="894"/>
      <c r="L8" s="894"/>
      <c r="M8" s="894"/>
    </row>
    <row r="9" spans="1:13">
      <c r="E9" s="780"/>
    </row>
    <row r="10" spans="1:13" ht="14.25">
      <c r="A10" t="s">
        <v>3075</v>
      </c>
      <c r="B10">
        <v>1010</v>
      </c>
      <c r="C10" s="455" t="s">
        <v>3077</v>
      </c>
      <c r="D10" s="455" t="s">
        <v>3088</v>
      </c>
      <c r="E10" t="s">
        <v>3092</v>
      </c>
      <c r="F10">
        <v>1</v>
      </c>
      <c r="G10">
        <v>6.08</v>
      </c>
      <c r="H10">
        <f t="shared" ref="H10:H15" si="0">ROUND(F10*G10,2)</f>
        <v>6.08</v>
      </c>
      <c r="I10" s="897" t="s">
        <v>3075</v>
      </c>
      <c r="J10" s="898">
        <v>3.35</v>
      </c>
      <c r="K10" s="899" t="s">
        <v>3602</v>
      </c>
      <c r="L10" s="898"/>
      <c r="M10" s="898"/>
    </row>
    <row r="11" spans="1:13" ht="13.5">
      <c r="C11" s="455" t="s">
        <v>3078</v>
      </c>
      <c r="D11" s="455" t="s">
        <v>3083</v>
      </c>
      <c r="E11" t="s">
        <v>3090</v>
      </c>
      <c r="F11">
        <v>1</v>
      </c>
      <c r="G11">
        <v>0.28299999999999997</v>
      </c>
      <c r="H11">
        <f t="shared" si="0"/>
        <v>0.28000000000000003</v>
      </c>
      <c r="I11" s="898"/>
      <c r="J11" s="898">
        <v>20</v>
      </c>
      <c r="K11" s="900" t="s">
        <v>3409</v>
      </c>
      <c r="L11" s="898"/>
      <c r="M11" s="898"/>
    </row>
    <row r="12" spans="1:13" ht="13.5">
      <c r="C12" s="455" t="s">
        <v>3074</v>
      </c>
      <c r="D12" s="455" t="s">
        <v>3083</v>
      </c>
      <c r="E12" t="s">
        <v>3091</v>
      </c>
      <c r="F12">
        <v>1</v>
      </c>
      <c r="G12">
        <v>2.36</v>
      </c>
      <c r="H12">
        <f t="shared" si="0"/>
        <v>2.36</v>
      </c>
      <c r="I12" s="898"/>
      <c r="J12" s="898">
        <v>3.48</v>
      </c>
      <c r="K12" s="898" t="s">
        <v>3407</v>
      </c>
      <c r="L12" s="898"/>
      <c r="M12" s="898"/>
    </row>
    <row r="13" spans="1:13" ht="13.5">
      <c r="C13" s="455" t="s">
        <v>3080</v>
      </c>
      <c r="D13" s="455" t="s">
        <v>3083</v>
      </c>
      <c r="E13" t="s">
        <v>3093</v>
      </c>
      <c r="F13">
        <v>2</v>
      </c>
      <c r="G13">
        <v>6.29</v>
      </c>
      <c r="H13">
        <f t="shared" si="0"/>
        <v>12.58</v>
      </c>
      <c r="I13" s="898"/>
      <c r="J13" s="898">
        <f>2.43+2.96</f>
        <v>5.3900000000000006</v>
      </c>
      <c r="K13" s="898" t="s">
        <v>3408</v>
      </c>
      <c r="L13" s="898"/>
      <c r="M13" s="898"/>
    </row>
    <row r="14" spans="1:13" ht="13.5">
      <c r="C14" s="455" t="s">
        <v>3081</v>
      </c>
      <c r="D14" s="455" t="s">
        <v>3083</v>
      </c>
      <c r="E14" t="s">
        <v>3094</v>
      </c>
      <c r="F14">
        <v>2</v>
      </c>
      <c r="G14">
        <v>6.35</v>
      </c>
      <c r="H14">
        <f t="shared" si="0"/>
        <v>12.7</v>
      </c>
      <c r="I14" s="898"/>
      <c r="J14" s="898">
        <v>33</v>
      </c>
      <c r="K14" s="900" t="s">
        <v>3396</v>
      </c>
      <c r="L14" s="898"/>
      <c r="M14" s="898"/>
    </row>
    <row r="15" spans="1:13" ht="13.5">
      <c r="C15" s="455" t="s">
        <v>3079</v>
      </c>
      <c r="D15" s="455" t="s">
        <v>3083</v>
      </c>
      <c r="E15" t="s">
        <v>3095</v>
      </c>
      <c r="F15">
        <v>9</v>
      </c>
      <c r="G15">
        <v>1.77</v>
      </c>
      <c r="H15">
        <f t="shared" si="0"/>
        <v>15.93</v>
      </c>
      <c r="I15" s="898"/>
      <c r="J15" s="898">
        <f>6+5</f>
        <v>11</v>
      </c>
      <c r="K15" s="900" t="s">
        <v>3656</v>
      </c>
      <c r="L15" s="898"/>
      <c r="M15" s="898"/>
    </row>
    <row r="16" spans="1:13" ht="14.25">
      <c r="E16" s="780" t="s">
        <v>3076</v>
      </c>
      <c r="H16">
        <f>SUM(H10:H15)</f>
        <v>49.93</v>
      </c>
      <c r="I16" s="898"/>
      <c r="J16" s="898">
        <v>62</v>
      </c>
      <c r="K16" s="898" t="s">
        <v>3626</v>
      </c>
      <c r="L16" s="898"/>
      <c r="M16" s="898"/>
    </row>
    <row r="17" spans="1:13" ht="14.25">
      <c r="E17" s="899" t="s">
        <v>3076</v>
      </c>
      <c r="F17" s="898"/>
      <c r="G17" s="898"/>
      <c r="H17" s="898">
        <f>ROUND(H16/1.01,2)</f>
        <v>49.44</v>
      </c>
      <c r="I17" s="898"/>
      <c r="J17" s="898">
        <v>103.8</v>
      </c>
      <c r="K17" s="900" t="s">
        <v>3655</v>
      </c>
      <c r="L17" s="898"/>
      <c r="M17" s="898"/>
    </row>
    <row r="18" spans="1:13" ht="13.5">
      <c r="I18" s="898"/>
      <c r="J18" s="898">
        <f>86.5+74.2</f>
        <v>160.69999999999999</v>
      </c>
      <c r="K18" s="900" t="s">
        <v>3627</v>
      </c>
      <c r="L18" s="898"/>
      <c r="M18" s="898"/>
    </row>
    <row r="19" spans="1:13" ht="14.25" customHeight="1">
      <c r="I19" s="898"/>
      <c r="J19" s="898">
        <v>51.6</v>
      </c>
      <c r="K19" s="900" t="s">
        <v>3397</v>
      </c>
      <c r="L19" s="898"/>
      <c r="M19" s="898"/>
    </row>
    <row r="20" spans="1:13" ht="13.5">
      <c r="I20" s="901" t="s">
        <v>142</v>
      </c>
      <c r="J20" s="898">
        <f>SUM(J10:J19)</f>
        <v>454.32</v>
      </c>
      <c r="K20" s="898"/>
      <c r="L20" s="898">
        <f>ROUND(H17*J20,2)</f>
        <v>22461.58</v>
      </c>
      <c r="M20" s="898"/>
    </row>
    <row r="21" spans="1:13" ht="14.25" customHeight="1">
      <c r="E21" s="780"/>
    </row>
    <row r="22" spans="1:13" ht="14.25">
      <c r="A22" t="s">
        <v>3089</v>
      </c>
      <c r="B22">
        <v>972</v>
      </c>
      <c r="C22" s="455" t="s">
        <v>3077</v>
      </c>
      <c r="D22" s="455" t="s">
        <v>3098</v>
      </c>
      <c r="E22" t="s">
        <v>3100</v>
      </c>
      <c r="F22">
        <v>1</v>
      </c>
      <c r="G22">
        <v>2.34</v>
      </c>
      <c r="H22">
        <f>ROUND(F22*G22,2)</f>
        <v>2.34</v>
      </c>
      <c r="I22" s="902" t="s">
        <v>3089</v>
      </c>
      <c r="J22" s="903">
        <v>21.65</v>
      </c>
      <c r="K22" s="904" t="s">
        <v>3403</v>
      </c>
      <c r="L22" s="903"/>
      <c r="M22" s="903"/>
    </row>
    <row r="23" spans="1:13" ht="14.25">
      <c r="C23" s="455" t="s">
        <v>3096</v>
      </c>
      <c r="D23" s="455" t="s">
        <v>3098</v>
      </c>
      <c r="E23" s="781" t="s">
        <v>3102</v>
      </c>
      <c r="F23">
        <v>8</v>
      </c>
      <c r="G23">
        <v>1.32</v>
      </c>
      <c r="H23">
        <f>ROUND(F23*G23,2)</f>
        <v>10.56</v>
      </c>
      <c r="I23" s="902"/>
      <c r="J23" s="903">
        <v>17.75</v>
      </c>
      <c r="K23" s="904" t="s">
        <v>3404</v>
      </c>
      <c r="L23" s="903"/>
      <c r="M23" s="903"/>
    </row>
    <row r="24" spans="1:13" ht="14.25">
      <c r="C24" s="782" t="s">
        <v>3097</v>
      </c>
      <c r="D24" s="782" t="s">
        <v>3098</v>
      </c>
      <c r="E24" t="s">
        <v>3101</v>
      </c>
      <c r="F24">
        <v>1</v>
      </c>
      <c r="G24">
        <v>1.75</v>
      </c>
      <c r="H24">
        <f>ROUND(F24*G24,2)</f>
        <v>1.75</v>
      </c>
      <c r="I24" s="905" t="s">
        <v>142</v>
      </c>
      <c r="J24" s="903">
        <f>J22+J23</f>
        <v>39.4</v>
      </c>
      <c r="K24" s="903"/>
      <c r="L24" s="903">
        <f>ROUND(H27*J24,2)</f>
        <v>721.02</v>
      </c>
      <c r="M24" s="903"/>
    </row>
    <row r="25" spans="1:13" ht="13.5">
      <c r="C25" s="455" t="s">
        <v>3074</v>
      </c>
      <c r="D25" s="455" t="s">
        <v>3083</v>
      </c>
      <c r="E25" t="s">
        <v>3099</v>
      </c>
      <c r="F25">
        <v>1</v>
      </c>
      <c r="G25">
        <v>3.1440000000000001</v>
      </c>
      <c r="H25">
        <f>ROUND(F25*G25,2)</f>
        <v>3.14</v>
      </c>
    </row>
    <row r="26" spans="1:13" ht="14.25">
      <c r="E26" s="780" t="s">
        <v>3104</v>
      </c>
      <c r="H26">
        <f>SUM(H22:H25)</f>
        <v>17.79</v>
      </c>
    </row>
    <row r="27" spans="1:13" ht="14.25">
      <c r="E27" s="910" t="s">
        <v>3076</v>
      </c>
      <c r="F27" s="903"/>
      <c r="G27" s="903"/>
      <c r="H27" s="911">
        <f>ROUND(H26/0.972,2)</f>
        <v>18.3</v>
      </c>
    </row>
    <row r="29" spans="1:13" ht="13.5">
      <c r="A29" t="s">
        <v>3398</v>
      </c>
      <c r="B29">
        <v>1010</v>
      </c>
      <c r="C29" s="455" t="s">
        <v>3066</v>
      </c>
      <c r="D29" s="455" t="s">
        <v>3083</v>
      </c>
      <c r="E29" t="s">
        <v>3094</v>
      </c>
      <c r="F29">
        <v>1</v>
      </c>
      <c r="G29">
        <v>6.351</v>
      </c>
      <c r="H29">
        <f>ROUND(F29*G29,2)</f>
        <v>6.35</v>
      </c>
      <c r="I29" s="906" t="s">
        <v>3499</v>
      </c>
      <c r="J29" s="907">
        <v>79.8</v>
      </c>
      <c r="K29" s="906" t="s">
        <v>3401</v>
      </c>
      <c r="L29" s="907"/>
      <c r="M29" s="907"/>
    </row>
    <row r="30" spans="1:13" ht="13.5">
      <c r="C30" s="775" t="s">
        <v>3067</v>
      </c>
      <c r="D30" s="455" t="s">
        <v>3083</v>
      </c>
      <c r="E30" t="s">
        <v>3399</v>
      </c>
      <c r="F30">
        <v>2</v>
      </c>
      <c r="G30">
        <v>3.01</v>
      </c>
      <c r="H30">
        <f>ROUND(F30*G30,2)</f>
        <v>6.02</v>
      </c>
      <c r="I30" s="907" t="s">
        <v>3658</v>
      </c>
      <c r="J30" s="907">
        <v>13.6</v>
      </c>
      <c r="K30" s="906" t="s">
        <v>3402</v>
      </c>
      <c r="L30" s="907"/>
      <c r="M30" s="907"/>
    </row>
    <row r="31" spans="1:13" ht="13.5">
      <c r="C31" s="455" t="s">
        <v>3068</v>
      </c>
      <c r="D31" s="455" t="s">
        <v>3083</v>
      </c>
      <c r="E31" t="s">
        <v>3400</v>
      </c>
      <c r="F31">
        <v>9</v>
      </c>
      <c r="G31">
        <v>0.85</v>
      </c>
      <c r="H31">
        <f>ROUND(F31*G31,2)</f>
        <v>7.65</v>
      </c>
      <c r="I31" s="908" t="s">
        <v>142</v>
      </c>
      <c r="J31" s="907">
        <f>J29+J30</f>
        <v>93.399999999999991</v>
      </c>
      <c r="K31" s="907"/>
      <c r="L31" s="907">
        <f>ROUND(H35*J31,2)</f>
        <v>2961.71</v>
      </c>
      <c r="M31" s="907"/>
    </row>
    <row r="32" spans="1:13" ht="13.5">
      <c r="C32" s="775" t="s">
        <v>3073</v>
      </c>
      <c r="D32" s="455" t="s">
        <v>3083</v>
      </c>
      <c r="E32" t="s">
        <v>3086</v>
      </c>
      <c r="F32">
        <v>1</v>
      </c>
      <c r="G32">
        <v>0.1</v>
      </c>
      <c r="H32">
        <f>ROUND(F32*G32,2)</f>
        <v>0.1</v>
      </c>
    </row>
    <row r="33" spans="3:8" ht="14.25">
      <c r="C33" s="779" t="s">
        <v>3074</v>
      </c>
      <c r="D33" s="455" t="s">
        <v>3083</v>
      </c>
      <c r="E33" t="s">
        <v>3087</v>
      </c>
      <c r="F33">
        <v>1</v>
      </c>
      <c r="G33">
        <v>11.91</v>
      </c>
      <c r="H33">
        <f>ROUND(F33*G33,2)</f>
        <v>11.91</v>
      </c>
    </row>
    <row r="34" spans="3:8" ht="14.25">
      <c r="E34" s="780" t="s">
        <v>3103</v>
      </c>
      <c r="H34">
        <f>SUM(H29:H33)</f>
        <v>32.03</v>
      </c>
    </row>
    <row r="35" spans="3:8" ht="14.25">
      <c r="E35" s="909" t="s">
        <v>3076</v>
      </c>
      <c r="F35" s="907"/>
      <c r="G35" s="907"/>
      <c r="H35" s="907">
        <f>ROUND(H34/1.01,2)</f>
        <v>31.71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5CEBB-CBDD-469A-A5FA-6A91E24C0A49}">
  <dimension ref="A1:W99"/>
  <sheetViews>
    <sheetView topLeftCell="A70" zoomScale="115" zoomScaleNormal="115" workbookViewId="0">
      <selection activeCell="K92" sqref="K92"/>
    </sheetView>
  </sheetViews>
  <sheetFormatPr defaultColWidth="9.140625" defaultRowHeight="12.75"/>
  <cols>
    <col min="1" max="5" width="9.140625" style="81"/>
    <col min="6" max="6" width="12.140625" style="81" customWidth="1"/>
    <col min="7" max="11" width="9.140625" style="81"/>
    <col min="12" max="12" width="1.7109375" style="81" customWidth="1"/>
    <col min="13" max="16384" width="9.140625" style="81"/>
  </cols>
  <sheetData>
    <row r="1" spans="1:23" ht="13.5">
      <c r="A1" s="81" t="s">
        <v>1969</v>
      </c>
      <c r="C1" s="81" t="s">
        <v>1993</v>
      </c>
      <c r="D1" s="81">
        <f>E20+Q6</f>
        <v>731.4</v>
      </c>
      <c r="H1" s="148" t="s">
        <v>2002</v>
      </c>
      <c r="I1" s="148" t="s">
        <v>2003</v>
      </c>
      <c r="M1" s="148" t="s">
        <v>2531</v>
      </c>
      <c r="T1" s="148" t="s">
        <v>2002</v>
      </c>
      <c r="U1" s="148" t="s">
        <v>2003</v>
      </c>
    </row>
    <row r="2" spans="1:23" ht="13.5">
      <c r="A2" s="148" t="s">
        <v>1763</v>
      </c>
      <c r="B2" s="148" t="s">
        <v>1970</v>
      </c>
      <c r="C2" s="148" t="s">
        <v>1971</v>
      </c>
      <c r="D2" s="148" t="s">
        <v>1972</v>
      </c>
      <c r="E2" s="148" t="s">
        <v>1765</v>
      </c>
      <c r="F2" s="148" t="s">
        <v>2005</v>
      </c>
      <c r="G2" s="148" t="s">
        <v>2006</v>
      </c>
      <c r="H2" s="148" t="s">
        <v>2000</v>
      </c>
      <c r="I2" s="148" t="s">
        <v>2001</v>
      </c>
      <c r="J2" s="148" t="s">
        <v>2004</v>
      </c>
      <c r="K2" s="148" t="s">
        <v>1994</v>
      </c>
      <c r="L2" s="148"/>
      <c r="M2" s="148" t="s">
        <v>1763</v>
      </c>
      <c r="N2" s="148" t="s">
        <v>1970</v>
      </c>
      <c r="O2" s="148" t="s">
        <v>1971</v>
      </c>
      <c r="P2" s="148" t="s">
        <v>1972</v>
      </c>
      <c r="Q2" s="148" t="s">
        <v>1765</v>
      </c>
      <c r="R2" s="148" t="s">
        <v>2005</v>
      </c>
      <c r="S2" s="148" t="s">
        <v>2006</v>
      </c>
      <c r="T2" s="148" t="s">
        <v>2000</v>
      </c>
      <c r="U2" s="148" t="s">
        <v>2001</v>
      </c>
      <c r="V2" s="148" t="s">
        <v>2004</v>
      </c>
      <c r="W2" s="148" t="s">
        <v>1994</v>
      </c>
    </row>
    <row r="3" spans="1:23">
      <c r="A3" s="248" t="s">
        <v>1973</v>
      </c>
      <c r="B3" s="81">
        <f>ROUND((C3+D3)/2,2)</f>
        <v>0.5</v>
      </c>
      <c r="C3" s="81">
        <v>0.5</v>
      </c>
      <c r="D3" s="81">
        <v>0.5</v>
      </c>
      <c r="E3" s="81">
        <v>43</v>
      </c>
      <c r="F3" s="468">
        <f>ROUND(((B3*2+0.7)*(1/0.15)*1.56+((B3*2+0.7)/0.15+1)*1*0.994)*E3,2)</f>
        <v>1287.3900000000001</v>
      </c>
      <c r="G3" s="248">
        <f>ROUND((4.33/0.13*1.6+4.33*10+2*1.85*2*2+0.7*2*4*2+0.4*13*2)*0.994*E3/5,2)</f>
        <v>1136.8699999999999</v>
      </c>
      <c r="H3" s="468">
        <f>ROUND((B3*1.1*2)*E3,2)</f>
        <v>47.3</v>
      </c>
      <c r="I3" s="468">
        <f>ROUND((B3+0.2+0.15)*2*E3,2)</f>
        <v>73.099999999999994</v>
      </c>
      <c r="J3" s="248">
        <f>(0.4+0.2)*E3</f>
        <v>25.800000000000004</v>
      </c>
      <c r="K3" s="470">
        <f>ROUND((B3*0.2*2+(0.4+0.2*2)*0.2+0.8*0.15)*E3-(E3/5*0.53*0.45*0.15),2)</f>
        <v>20.329999999999998</v>
      </c>
      <c r="M3" s="468" t="s">
        <v>1990</v>
      </c>
      <c r="N3" s="81">
        <f>ROUND((O3+P3)/2,2)</f>
        <v>0.36</v>
      </c>
      <c r="O3" s="81">
        <v>0.3</v>
      </c>
      <c r="P3" s="81">
        <v>0.41</v>
      </c>
      <c r="Q3" s="468">
        <v>52.7</v>
      </c>
      <c r="R3" s="468">
        <f>ROUND(((N3*2+0.7)*(1/0.15)*1.56+((N3*2+0.7)/0.15+1)*1*0.994)*Q3,2)</f>
        <v>1326.56</v>
      </c>
      <c r="S3" s="468">
        <f>ROUND((4.33/0.13*1.6+4.33*10+2*1.85*2*2+0.7*2*4*2+0.4*13*2)*0.994*Q3/5,2)</f>
        <v>1393.33</v>
      </c>
      <c r="T3" s="81">
        <f>ROUND(N3*2*Q3,2)</f>
        <v>37.94</v>
      </c>
      <c r="U3" s="81">
        <f>ROUND((N3+0.2+0.15)*2*Q3,2)</f>
        <v>74.83</v>
      </c>
      <c r="V3" s="468">
        <f>(0.4+0.2)*Q3</f>
        <v>31.620000000000008</v>
      </c>
      <c r="W3" s="470">
        <f>ROUND((N3*0.2*2+(0.4+0.2*2)*0.2+0.8*0.15)*Q3-(E3/5*0.53*0.45*0.15),2)</f>
        <v>22.04</v>
      </c>
    </row>
    <row r="4" spans="1:23">
      <c r="A4" s="248" t="s">
        <v>1974</v>
      </c>
      <c r="B4" s="81">
        <f t="shared" ref="B4:B19" si="0">ROUND((C4+D4)/2,2)</f>
        <v>0.53</v>
      </c>
      <c r="C4" s="81">
        <v>0.5</v>
      </c>
      <c r="D4" s="81">
        <v>0.55000000000000004</v>
      </c>
      <c r="E4" s="81">
        <v>9.4</v>
      </c>
      <c r="F4" s="468">
        <f t="shared" ref="F4:F19" si="1">ROUND(((B4*2+0.7)*(1/0.15)*1.56+((B4*2+0.7)/0.15+1)*1*0.994)*E4,2)</f>
        <v>291.02999999999997</v>
      </c>
      <c r="G4" s="248">
        <f t="shared" ref="G4:G19" si="2">ROUND((4.33/0.13*1.6+4.33*10+2*1.85*2*2+0.7*2*4*2+0.4*13*2)*0.994*E4/5,2)</f>
        <v>248.53</v>
      </c>
      <c r="H4" s="81">
        <f t="shared" ref="H4:H19" si="3">ROUND((B4*1.1*2)*E4,2)</f>
        <v>10.96</v>
      </c>
      <c r="I4" s="468">
        <f t="shared" ref="I4:I19" si="4">ROUND((B4+0.2+0.15)*2*E4,2)</f>
        <v>16.54</v>
      </c>
      <c r="J4" s="248">
        <f t="shared" ref="J4:J19" si="5">(0.4+0.2)*E4</f>
        <v>5.6400000000000015</v>
      </c>
      <c r="K4" s="470">
        <f t="shared" ref="K4:K19" si="6">ROUND((B4*0.2*2+(0.4+0.2*2)*0.2+0.8*0.15)*E4-(E4/5*0.53*0.45*0.15),2)</f>
        <v>4.5599999999999996</v>
      </c>
      <c r="M4" s="468" t="s">
        <v>1991</v>
      </c>
      <c r="N4" s="81">
        <f>ROUND((O4+P4)/2,2)</f>
        <v>0.41</v>
      </c>
      <c r="O4" s="81">
        <v>0.3</v>
      </c>
      <c r="P4" s="81">
        <v>0.52</v>
      </c>
      <c r="Q4" s="468">
        <v>48.3</v>
      </c>
      <c r="R4" s="468">
        <f>ROUND(((N4*2+0.7)*(1/0.15)*1.56+((N4*2+0.7)/0.15+1)*1*0.994)*Q4,2)</f>
        <v>1298.04</v>
      </c>
      <c r="S4" s="468">
        <f>ROUND((4.33/0.13*1.6+4.33*10+2*1.85*2*2+0.7*2*4*2+0.4*13*2)*0.994*Q4/5,2)</f>
        <v>1277</v>
      </c>
      <c r="T4" s="81">
        <f>ROUND(N4*2*Q4,2)</f>
        <v>39.61</v>
      </c>
      <c r="U4" s="81">
        <f t="shared" ref="U4:U5" si="7">ROUND((N4+0.2+0.15)*2*Q4,2)</f>
        <v>73.42</v>
      </c>
      <c r="V4" s="468">
        <f>(0.4+0.2)*Q4</f>
        <v>28.980000000000004</v>
      </c>
      <c r="W4" s="470">
        <f>ROUND((N4*0.2*2+(0.4+0.2*2)*0.2+0.8*0.15)*Q4-(E4/5*0.53*0.45*0.15),2)</f>
        <v>21.38</v>
      </c>
    </row>
    <row r="5" spans="1:23">
      <c r="A5" s="468" t="s">
        <v>1975</v>
      </c>
      <c r="B5" s="81">
        <f t="shared" si="0"/>
        <v>0.45</v>
      </c>
      <c r="C5" s="81">
        <v>0.4</v>
      </c>
      <c r="D5" s="81">
        <v>0.5</v>
      </c>
      <c r="E5" s="468">
        <v>42</v>
      </c>
      <c r="F5" s="468">
        <f t="shared" si="1"/>
        <v>1185.94</v>
      </c>
      <c r="G5" s="468">
        <f t="shared" si="2"/>
        <v>1110.43</v>
      </c>
      <c r="H5" s="81">
        <f t="shared" si="3"/>
        <v>41.58</v>
      </c>
      <c r="I5" s="468">
        <f t="shared" si="4"/>
        <v>67.2</v>
      </c>
      <c r="J5" s="468">
        <f t="shared" si="5"/>
        <v>25.200000000000003</v>
      </c>
      <c r="K5" s="470">
        <f t="shared" si="6"/>
        <v>19.02</v>
      </c>
      <c r="M5" s="468" t="s">
        <v>1992</v>
      </c>
      <c r="N5" s="81">
        <f>ROUND((O5+P5)/2,2)</f>
        <v>0.4</v>
      </c>
      <c r="O5" s="81">
        <v>0.4</v>
      </c>
      <c r="P5" s="81">
        <v>0.4</v>
      </c>
      <c r="Q5" s="468">
        <v>21.2</v>
      </c>
      <c r="R5" s="468">
        <f>ROUND(((N5*2+0.7)*(1/0.15)*1.56+((N5*2+0.7)/0.15+1)*1*0.994)*Q5,2)</f>
        <v>562.52</v>
      </c>
      <c r="S5" s="468">
        <f>ROUND((4.33/0.13*1.6+4.33*10+2*1.85*2*2+0.7*2*4*2+0.4*13*2)*0.994*Q5/5,2)</f>
        <v>560.5</v>
      </c>
      <c r="T5" s="81">
        <f>ROUND(N5*2*Q5,2)</f>
        <v>16.96</v>
      </c>
      <c r="U5" s="81">
        <f t="shared" si="7"/>
        <v>31.8</v>
      </c>
      <c r="V5" s="468">
        <f>(0.4+0.2)*Q5</f>
        <v>12.72</v>
      </c>
      <c r="W5" s="470">
        <f>ROUND((N5*0.2*2+(0.4+0.2*2)*0.2+0.8*0.15)*Q5-(E5/5*0.53*0.45*0.15),2)</f>
        <v>9.0299999999999994</v>
      </c>
    </row>
    <row r="6" spans="1:23" ht="13.5">
      <c r="A6" s="468" t="s">
        <v>1976</v>
      </c>
      <c r="B6" s="81">
        <f t="shared" si="0"/>
        <v>0.43</v>
      </c>
      <c r="C6" s="81">
        <v>0.35</v>
      </c>
      <c r="D6" s="81">
        <v>0.5</v>
      </c>
      <c r="E6" s="468">
        <v>43.6</v>
      </c>
      <c r="F6" s="81">
        <f t="shared" si="1"/>
        <v>1201.42</v>
      </c>
      <c r="G6" s="468">
        <f t="shared" si="2"/>
        <v>1152.73</v>
      </c>
      <c r="H6" s="81">
        <f t="shared" si="3"/>
        <v>41.25</v>
      </c>
      <c r="I6" s="468">
        <f t="shared" si="4"/>
        <v>68.02</v>
      </c>
      <c r="J6" s="468">
        <f t="shared" si="5"/>
        <v>26.160000000000004</v>
      </c>
      <c r="K6" s="470">
        <f t="shared" si="6"/>
        <v>19.399999999999999</v>
      </c>
      <c r="M6" s="148" t="s">
        <v>142</v>
      </c>
      <c r="Q6" s="81">
        <f>SUM(Q3:Q5)</f>
        <v>122.2</v>
      </c>
      <c r="R6" s="81">
        <f t="shared" ref="R6:W6" si="8">SUM(R3:R5)</f>
        <v>3187.12</v>
      </c>
      <c r="S6" s="81">
        <f t="shared" si="8"/>
        <v>3230.83</v>
      </c>
      <c r="T6" s="81">
        <f t="shared" si="8"/>
        <v>94.509999999999991</v>
      </c>
      <c r="U6" s="81">
        <f t="shared" si="8"/>
        <v>180.05</v>
      </c>
      <c r="V6" s="81">
        <f t="shared" si="8"/>
        <v>73.320000000000007</v>
      </c>
      <c r="W6" s="470">
        <f t="shared" si="8"/>
        <v>52.45</v>
      </c>
    </row>
    <row r="7" spans="1:23">
      <c r="A7" s="248" t="s">
        <v>1977</v>
      </c>
      <c r="B7" s="81">
        <f t="shared" si="0"/>
        <v>0.6</v>
      </c>
      <c r="C7" s="81">
        <v>0.5</v>
      </c>
      <c r="D7" s="81">
        <v>0.7</v>
      </c>
      <c r="E7" s="81">
        <v>20.100000000000001</v>
      </c>
      <c r="F7" s="468">
        <f t="shared" si="1"/>
        <v>670.23</v>
      </c>
      <c r="G7" s="468">
        <f t="shared" si="2"/>
        <v>531.41999999999996</v>
      </c>
      <c r="H7" s="81">
        <f t="shared" si="3"/>
        <v>26.53</v>
      </c>
      <c r="I7" s="468">
        <f t="shared" si="4"/>
        <v>38.19</v>
      </c>
      <c r="J7" s="468">
        <f t="shared" si="5"/>
        <v>12.060000000000002</v>
      </c>
      <c r="K7" s="470">
        <f t="shared" si="6"/>
        <v>10.31</v>
      </c>
    </row>
    <row r="8" spans="1:23">
      <c r="A8" s="248" t="s">
        <v>1978</v>
      </c>
      <c r="B8" s="81">
        <f t="shared" si="0"/>
        <v>0.6</v>
      </c>
      <c r="C8" s="81">
        <v>0.5</v>
      </c>
      <c r="D8" s="81">
        <v>0.7</v>
      </c>
      <c r="E8" s="81">
        <v>9.1</v>
      </c>
      <c r="F8" s="468">
        <f t="shared" si="1"/>
        <v>303.44</v>
      </c>
      <c r="G8" s="248">
        <f t="shared" si="2"/>
        <v>240.59</v>
      </c>
      <c r="H8" s="81">
        <f t="shared" si="3"/>
        <v>12.01</v>
      </c>
      <c r="I8" s="468">
        <f t="shared" si="4"/>
        <v>17.29</v>
      </c>
      <c r="J8" s="81">
        <f t="shared" si="5"/>
        <v>5.4600000000000009</v>
      </c>
      <c r="K8" s="470">
        <f t="shared" si="6"/>
        <v>4.67</v>
      </c>
    </row>
    <row r="9" spans="1:23">
      <c r="A9" s="468" t="s">
        <v>1979</v>
      </c>
      <c r="B9" s="468">
        <f t="shared" si="0"/>
        <v>0.8</v>
      </c>
      <c r="C9" s="468">
        <v>0.7</v>
      </c>
      <c r="D9" s="468">
        <v>0.9</v>
      </c>
      <c r="E9" s="468">
        <v>77.7</v>
      </c>
      <c r="F9" s="81">
        <f t="shared" si="1"/>
        <v>3120.07</v>
      </c>
      <c r="G9" s="81">
        <f t="shared" si="2"/>
        <v>2054.3000000000002</v>
      </c>
      <c r="H9" s="81">
        <f t="shared" si="3"/>
        <v>136.75</v>
      </c>
      <c r="I9" s="468">
        <f t="shared" si="4"/>
        <v>178.71</v>
      </c>
      <c r="J9" s="468">
        <f t="shared" si="5"/>
        <v>46.620000000000012</v>
      </c>
      <c r="K9" s="470">
        <f t="shared" si="6"/>
        <v>46.06</v>
      </c>
    </row>
    <row r="10" spans="1:23" ht="13.5">
      <c r="A10" s="248" t="s">
        <v>1980</v>
      </c>
      <c r="B10" s="81">
        <f t="shared" si="0"/>
        <v>0.5</v>
      </c>
      <c r="C10" s="81">
        <v>0.5</v>
      </c>
      <c r="D10" s="81">
        <v>0.5</v>
      </c>
      <c r="E10" s="81">
        <v>67.400000000000006</v>
      </c>
      <c r="F10" s="81">
        <f t="shared" si="1"/>
        <v>2017.91</v>
      </c>
      <c r="G10" s="81">
        <f t="shared" si="2"/>
        <v>1781.98</v>
      </c>
      <c r="H10" s="81">
        <f t="shared" si="3"/>
        <v>74.14</v>
      </c>
      <c r="I10" s="468">
        <f t="shared" si="4"/>
        <v>114.58</v>
      </c>
      <c r="J10" s="81">
        <f t="shared" si="5"/>
        <v>40.440000000000012</v>
      </c>
      <c r="K10" s="470">
        <f t="shared" si="6"/>
        <v>31.87</v>
      </c>
      <c r="Q10" s="148" t="s">
        <v>2002</v>
      </c>
      <c r="R10" s="148" t="s">
        <v>2003</v>
      </c>
      <c r="V10" s="246" t="s">
        <v>3144</v>
      </c>
    </row>
    <row r="11" spans="1:23" ht="13.5">
      <c r="A11" s="468" t="s">
        <v>1981</v>
      </c>
      <c r="B11" s="468">
        <f t="shared" si="0"/>
        <v>0.73</v>
      </c>
      <c r="C11" s="468">
        <v>0.7</v>
      </c>
      <c r="D11" s="468">
        <v>0.75</v>
      </c>
      <c r="E11" s="468">
        <v>13.8</v>
      </c>
      <c r="F11" s="81">
        <f t="shared" si="1"/>
        <v>521.25</v>
      </c>
      <c r="G11" s="81">
        <f t="shared" si="2"/>
        <v>364.86</v>
      </c>
      <c r="H11" s="81">
        <f t="shared" si="3"/>
        <v>22.16</v>
      </c>
      <c r="I11" s="468">
        <f t="shared" si="4"/>
        <v>29.81</v>
      </c>
      <c r="J11" s="468">
        <f t="shared" si="5"/>
        <v>8.2800000000000011</v>
      </c>
      <c r="K11" s="470">
        <f t="shared" si="6"/>
        <v>7.79</v>
      </c>
      <c r="N11" s="148" t="s">
        <v>1765</v>
      </c>
      <c r="O11" s="148" t="s">
        <v>2005</v>
      </c>
      <c r="P11" s="148" t="s">
        <v>2006</v>
      </c>
      <c r="Q11" s="148" t="s">
        <v>2000</v>
      </c>
      <c r="R11" s="148" t="s">
        <v>2001</v>
      </c>
      <c r="S11" s="148" t="s">
        <v>2004</v>
      </c>
      <c r="T11" s="148" t="s">
        <v>1994</v>
      </c>
      <c r="V11" s="81">
        <f>E9+E10+E11+E12+E13+E14+E15+Q3+Q4+Q5+E3+E5+E6</f>
        <v>556.9</v>
      </c>
    </row>
    <row r="12" spans="1:23" ht="13.5">
      <c r="A12" s="468" t="s">
        <v>1982</v>
      </c>
      <c r="B12" s="468">
        <f t="shared" si="0"/>
        <v>0.63</v>
      </c>
      <c r="C12" s="468">
        <v>0.5</v>
      </c>
      <c r="D12" s="468">
        <v>0.75</v>
      </c>
      <c r="E12" s="468">
        <v>49.3</v>
      </c>
      <c r="F12" s="81">
        <f t="shared" si="1"/>
        <v>1694.26</v>
      </c>
      <c r="G12" s="81">
        <f t="shared" si="2"/>
        <v>1303.44</v>
      </c>
      <c r="H12" s="81">
        <f t="shared" si="3"/>
        <v>68.33</v>
      </c>
      <c r="I12" s="468">
        <f t="shared" si="4"/>
        <v>96.63</v>
      </c>
      <c r="J12" s="468">
        <f t="shared" si="5"/>
        <v>29.580000000000002</v>
      </c>
      <c r="K12" s="470">
        <f t="shared" si="6"/>
        <v>25.87</v>
      </c>
      <c r="M12" s="81" t="s">
        <v>1993</v>
      </c>
      <c r="N12" s="81">
        <f>E20+Q6</f>
        <v>731.4</v>
      </c>
      <c r="O12" s="81">
        <f t="shared" ref="O12:T12" si="9">F20+R6</f>
        <v>22279.3</v>
      </c>
      <c r="P12" s="81">
        <f t="shared" si="9"/>
        <v>19337.39</v>
      </c>
      <c r="Q12" s="81">
        <f t="shared" si="9"/>
        <v>819.75</v>
      </c>
      <c r="R12" s="81">
        <f t="shared" si="9"/>
        <v>1265.8</v>
      </c>
      <c r="S12" s="81">
        <f t="shared" si="9"/>
        <v>438.84000000000003</v>
      </c>
      <c r="T12" s="470">
        <f t="shared" si="9"/>
        <v>350.52</v>
      </c>
    </row>
    <row r="13" spans="1:23" ht="13.5">
      <c r="A13" s="248" t="s">
        <v>1983</v>
      </c>
      <c r="B13" s="248">
        <f t="shared" si="0"/>
        <v>0.5</v>
      </c>
      <c r="C13" s="248">
        <v>0.5</v>
      </c>
      <c r="D13" s="248">
        <v>0.5</v>
      </c>
      <c r="E13" s="248">
        <v>24.2</v>
      </c>
      <c r="F13" s="81">
        <f t="shared" si="1"/>
        <v>724.53</v>
      </c>
      <c r="G13" s="81">
        <f t="shared" si="2"/>
        <v>639.82000000000005</v>
      </c>
      <c r="H13" s="81">
        <f t="shared" si="3"/>
        <v>26.62</v>
      </c>
      <c r="I13" s="468">
        <f t="shared" si="4"/>
        <v>41.14</v>
      </c>
      <c r="J13" s="248">
        <f t="shared" si="5"/>
        <v>14.520000000000001</v>
      </c>
      <c r="K13" s="470">
        <f t="shared" si="6"/>
        <v>11.44</v>
      </c>
      <c r="M13" s="148" t="s">
        <v>2007</v>
      </c>
      <c r="O13" s="1038">
        <f>O12+P12</f>
        <v>41616.69</v>
      </c>
      <c r="P13" s="1038"/>
    </row>
    <row r="14" spans="1:23">
      <c r="A14" s="248" t="s">
        <v>1984</v>
      </c>
      <c r="B14" s="248">
        <f t="shared" si="0"/>
        <v>0.5</v>
      </c>
      <c r="C14" s="248">
        <v>0.5</v>
      </c>
      <c r="D14" s="248">
        <v>0.5</v>
      </c>
      <c r="E14" s="248">
        <v>23.9</v>
      </c>
      <c r="F14" s="81">
        <f t="shared" si="1"/>
        <v>715.55</v>
      </c>
      <c r="G14" s="81">
        <f t="shared" si="2"/>
        <v>631.89</v>
      </c>
      <c r="H14" s="81">
        <f t="shared" si="3"/>
        <v>26.29</v>
      </c>
      <c r="I14" s="468">
        <f t="shared" si="4"/>
        <v>40.630000000000003</v>
      </c>
      <c r="J14" s="248">
        <f t="shared" si="5"/>
        <v>14.340000000000002</v>
      </c>
      <c r="K14" s="470">
        <f t="shared" si="6"/>
        <v>11.3</v>
      </c>
    </row>
    <row r="15" spans="1:23" ht="13.5">
      <c r="A15" s="248" t="s">
        <v>1985</v>
      </c>
      <c r="B15" s="248">
        <f t="shared" si="0"/>
        <v>0.45</v>
      </c>
      <c r="C15" s="248">
        <v>0.4</v>
      </c>
      <c r="D15" s="248">
        <v>0.5</v>
      </c>
      <c r="E15" s="248">
        <v>49.8</v>
      </c>
      <c r="F15" s="81">
        <f t="shared" si="1"/>
        <v>1406.19</v>
      </c>
      <c r="G15" s="81">
        <f t="shared" si="2"/>
        <v>1316.66</v>
      </c>
      <c r="H15" s="81">
        <f t="shared" si="3"/>
        <v>49.3</v>
      </c>
      <c r="I15" s="468">
        <f t="shared" si="4"/>
        <v>79.680000000000007</v>
      </c>
      <c r="J15" s="248">
        <f t="shared" si="5"/>
        <v>29.880000000000003</v>
      </c>
      <c r="K15" s="470">
        <f t="shared" si="6"/>
        <v>22.55</v>
      </c>
      <c r="N15" s="81" t="s">
        <v>2073</v>
      </c>
      <c r="O15" s="81" t="s">
        <v>2074</v>
      </c>
      <c r="S15" s="148" t="s">
        <v>3109</v>
      </c>
    </row>
    <row r="16" spans="1:23" ht="13.5">
      <c r="A16" s="468" t="s">
        <v>1986</v>
      </c>
      <c r="B16" s="81">
        <f t="shared" si="0"/>
        <v>0.4</v>
      </c>
      <c r="C16" s="81">
        <v>0.4</v>
      </c>
      <c r="D16" s="81">
        <v>0.4</v>
      </c>
      <c r="E16" s="81">
        <v>26.4</v>
      </c>
      <c r="F16" s="468">
        <f t="shared" si="1"/>
        <v>700.5</v>
      </c>
      <c r="G16" s="81">
        <f t="shared" si="2"/>
        <v>697.99</v>
      </c>
      <c r="H16" s="81">
        <f t="shared" si="3"/>
        <v>23.23</v>
      </c>
      <c r="I16" s="468">
        <f t="shared" si="4"/>
        <v>39.6</v>
      </c>
      <c r="J16" s="81">
        <f t="shared" si="5"/>
        <v>15.840000000000002</v>
      </c>
      <c r="K16" s="470">
        <f t="shared" si="6"/>
        <v>11.43</v>
      </c>
      <c r="N16" s="81">
        <f>ROUND((B3*2+0.7)*(1/0.15)*E3*1.56,2)</f>
        <v>760.24</v>
      </c>
      <c r="O16" s="81">
        <f>((B3*2+0.7)/0.15+1)*1*0.994*E3</f>
        <v>527.15133333333335</v>
      </c>
      <c r="Q16" s="466" t="s">
        <v>2526</v>
      </c>
      <c r="R16" s="81">
        <f>E3+E4+E7+E8+E10+E13+E14+E15+E18+E19</f>
        <v>335</v>
      </c>
      <c r="S16" s="81">
        <f>E13+E14+E15</f>
        <v>97.899999999999991</v>
      </c>
      <c r="T16" s="81">
        <f>J13+J14+J15</f>
        <v>58.740000000000009</v>
      </c>
    </row>
    <row r="17" spans="1:20" ht="13.5">
      <c r="A17" s="468" t="s">
        <v>1987</v>
      </c>
      <c r="B17" s="81">
        <f t="shared" si="0"/>
        <v>0.45</v>
      </c>
      <c r="C17" s="81">
        <v>0.5</v>
      </c>
      <c r="D17" s="81">
        <v>0.4</v>
      </c>
      <c r="E17" s="81">
        <v>21.4</v>
      </c>
      <c r="F17" s="468">
        <f t="shared" si="1"/>
        <v>604.26</v>
      </c>
      <c r="G17" s="468">
        <f t="shared" si="2"/>
        <v>565.79</v>
      </c>
      <c r="H17" s="184">
        <f t="shared" si="3"/>
        <v>21.19</v>
      </c>
      <c r="I17" s="468">
        <f t="shared" si="4"/>
        <v>34.24</v>
      </c>
      <c r="J17" s="184">
        <f t="shared" si="5"/>
        <v>12.840000000000002</v>
      </c>
      <c r="K17" s="470">
        <f t="shared" si="6"/>
        <v>9.69</v>
      </c>
      <c r="N17" s="81">
        <f t="shared" ref="N17:N32" si="10">ROUND((B4*2+0.7)*(1/0.15)*E4*1.56,2)</f>
        <v>172.06</v>
      </c>
      <c r="O17" s="81">
        <f t="shared" ref="O17:O32" si="11">((B4*2+0.7)/0.15+1)*1*0.994*E4</f>
        <v>118.97517333333334</v>
      </c>
      <c r="Q17" s="467" t="s">
        <v>2527</v>
      </c>
      <c r="R17" s="81">
        <f>E5+E6+E9+E11+E12+Q3+Q4+Q5+E16+E17</f>
        <v>396.4</v>
      </c>
      <c r="S17" s="81">
        <f>E5+E6+E9+E11+E12+Q3+Q4+Q5</f>
        <v>348.6</v>
      </c>
      <c r="T17" s="81">
        <f>J5+J6+J9+J11+J12+V3+V4+V5</f>
        <v>209.16000000000005</v>
      </c>
    </row>
    <row r="18" spans="1:20">
      <c r="A18" s="248" t="s">
        <v>1988</v>
      </c>
      <c r="B18" s="81">
        <f t="shared" si="0"/>
        <v>0.55000000000000004</v>
      </c>
      <c r="C18" s="81">
        <v>0.6</v>
      </c>
      <c r="D18" s="81">
        <v>0.5</v>
      </c>
      <c r="E18" s="81">
        <v>29.6</v>
      </c>
      <c r="F18" s="248">
        <f t="shared" si="1"/>
        <v>936.6</v>
      </c>
      <c r="G18" s="81">
        <f t="shared" si="2"/>
        <v>782.59</v>
      </c>
      <c r="H18" s="248">
        <f t="shared" si="3"/>
        <v>35.82</v>
      </c>
      <c r="I18" s="468">
        <f t="shared" si="4"/>
        <v>53.28</v>
      </c>
      <c r="J18" s="81">
        <f t="shared" si="5"/>
        <v>17.760000000000005</v>
      </c>
      <c r="K18" s="470">
        <f t="shared" si="6"/>
        <v>14.59</v>
      </c>
      <c r="N18" s="81">
        <f t="shared" si="10"/>
        <v>698.88</v>
      </c>
      <c r="O18" s="81">
        <f t="shared" si="11"/>
        <v>487.06000000000006</v>
      </c>
      <c r="R18" s="81">
        <f>R16+R17</f>
        <v>731.4</v>
      </c>
      <c r="S18" s="81">
        <f>S16+S17</f>
        <v>446.5</v>
      </c>
      <c r="T18" s="81">
        <f>T16+T17</f>
        <v>267.90000000000009</v>
      </c>
    </row>
    <row r="19" spans="1:20">
      <c r="A19" s="248" t="s">
        <v>1989</v>
      </c>
      <c r="B19" s="81">
        <f t="shared" si="0"/>
        <v>0.48</v>
      </c>
      <c r="C19" s="81">
        <v>0.55000000000000004</v>
      </c>
      <c r="D19" s="81">
        <v>0.4</v>
      </c>
      <c r="E19" s="81">
        <v>58.5</v>
      </c>
      <c r="F19" s="81">
        <f t="shared" si="1"/>
        <v>1711.61</v>
      </c>
      <c r="G19" s="81">
        <f t="shared" si="2"/>
        <v>1546.67</v>
      </c>
      <c r="H19" s="81">
        <f t="shared" si="3"/>
        <v>61.78</v>
      </c>
      <c r="I19" s="468">
        <f t="shared" si="4"/>
        <v>97.11</v>
      </c>
      <c r="J19" s="248">
        <f t="shared" si="5"/>
        <v>35.100000000000009</v>
      </c>
      <c r="K19" s="470">
        <f t="shared" si="6"/>
        <v>27.19</v>
      </c>
      <c r="N19" s="81">
        <f t="shared" si="10"/>
        <v>707.37</v>
      </c>
      <c r="O19" s="81">
        <f t="shared" si="11"/>
        <v>494.05776000000003</v>
      </c>
    </row>
    <row r="20" spans="1:20" ht="13.5">
      <c r="A20" s="148" t="s">
        <v>142</v>
      </c>
      <c r="E20" s="81">
        <f t="shared" ref="E20:K20" si="12">SUM(E3:E19)</f>
        <v>609.19999999999993</v>
      </c>
      <c r="F20" s="81">
        <f t="shared" si="12"/>
        <v>19092.18</v>
      </c>
      <c r="G20" s="81">
        <f t="shared" si="12"/>
        <v>16106.56</v>
      </c>
      <c r="H20" s="81">
        <f t="shared" si="12"/>
        <v>725.24</v>
      </c>
      <c r="I20" s="81">
        <f t="shared" si="12"/>
        <v>1085.75</v>
      </c>
      <c r="J20" s="81">
        <f t="shared" si="12"/>
        <v>365.52000000000004</v>
      </c>
      <c r="K20" s="470">
        <f t="shared" si="12"/>
        <v>298.07</v>
      </c>
      <c r="N20" s="81">
        <f t="shared" si="10"/>
        <v>397.18</v>
      </c>
      <c r="O20" s="81">
        <f t="shared" si="11"/>
        <v>273.05180000000001</v>
      </c>
    </row>
    <row r="21" spans="1:20">
      <c r="N21" s="81">
        <f t="shared" si="10"/>
        <v>179.82</v>
      </c>
      <c r="O21" s="81">
        <f t="shared" si="11"/>
        <v>123.62046666666664</v>
      </c>
    </row>
    <row r="22" spans="1:20" ht="13.5">
      <c r="H22" s="148" t="s">
        <v>2002</v>
      </c>
      <c r="I22" s="148" t="s">
        <v>2003</v>
      </c>
      <c r="N22" s="81">
        <f t="shared" si="10"/>
        <v>1858.58</v>
      </c>
      <c r="O22" s="81">
        <f t="shared" si="11"/>
        <v>1261.4854</v>
      </c>
    </row>
    <row r="23" spans="1:20" ht="13.5">
      <c r="B23" s="469" t="s">
        <v>2008</v>
      </c>
      <c r="C23" s="148" t="s">
        <v>2022</v>
      </c>
      <c r="D23" s="148" t="s">
        <v>2023</v>
      </c>
      <c r="E23" s="148" t="s">
        <v>2024</v>
      </c>
      <c r="F23" s="148" t="s">
        <v>1690</v>
      </c>
      <c r="G23" s="148" t="s">
        <v>1805</v>
      </c>
      <c r="H23" s="148" t="s">
        <v>2000</v>
      </c>
      <c r="I23" s="148" t="s">
        <v>2001</v>
      </c>
      <c r="J23" s="148" t="s">
        <v>2004</v>
      </c>
      <c r="K23" s="148" t="s">
        <v>1994</v>
      </c>
      <c r="N23" s="81">
        <f t="shared" si="10"/>
        <v>1191.6300000000001</v>
      </c>
      <c r="O23" s="81">
        <f t="shared" si="11"/>
        <v>826.27906666666684</v>
      </c>
    </row>
    <row r="24" spans="1:20">
      <c r="A24" s="81">
        <v>1</v>
      </c>
      <c r="B24" s="81" t="s">
        <v>2009</v>
      </c>
      <c r="C24" s="81">
        <v>0.7</v>
      </c>
      <c r="D24" s="81">
        <v>0.5</v>
      </c>
      <c r="E24" s="81">
        <v>0.65</v>
      </c>
      <c r="G24" s="81">
        <f>ROUND(((E24*2+0.8)*7+(E24*2+1)*6)*1.56+((E24/0.15*1*4)+(0.4*(1+0.8)/0.15)+(3*(0.8*2+1*2)*2))*0.994,2)</f>
        <v>87.93</v>
      </c>
      <c r="H24" s="81">
        <f>(C24+D24)*E24*2-0.4*0.6*2</f>
        <v>1.08</v>
      </c>
      <c r="I24" s="81">
        <f>(C24+0.2*2+D24+0.2*2)*2*(E24+0.2+0.2)-(0.8*1)*2</f>
        <v>2.6</v>
      </c>
      <c r="J24" s="81">
        <v>0</v>
      </c>
      <c r="K24" s="81">
        <f>ROUND(C24*0.2*2*E24+0.1*0.2*2*E24+0.9*1.1*0.15*2-(0.53*0.65*0.15),2)</f>
        <v>0.45</v>
      </c>
      <c r="N24" s="81">
        <f t="shared" si="10"/>
        <v>310</v>
      </c>
      <c r="O24" s="81">
        <f t="shared" si="11"/>
        <v>211.24488000000005</v>
      </c>
    </row>
    <row r="25" spans="1:20">
      <c r="A25" s="81">
        <v>2</v>
      </c>
      <c r="B25" s="81" t="s">
        <v>2010</v>
      </c>
      <c r="C25" s="81">
        <v>0.7</v>
      </c>
      <c r="D25" s="81">
        <v>0.5</v>
      </c>
      <c r="E25" s="81">
        <v>0.65</v>
      </c>
      <c r="G25" s="81">
        <f>ROUND(((E25*2+0.8)*7+(E25*2+1)*6)*1.56+((E25/0.15*1*4)+(0.4*(1+0.8)/0.15)+(3*(0.8*2+1*2)*2))*0.994,2)</f>
        <v>87.93</v>
      </c>
      <c r="H25" s="81">
        <f t="shared" ref="H25:H38" si="13">(C25+D25)*E25*2-0.4*0.6*2</f>
        <v>1.08</v>
      </c>
      <c r="I25" s="81">
        <f t="shared" ref="I25:I38" si="14">(C25+0.2*2+D25+0.2*2)*2*(E25+0.2+0.2)-(0.8*1)*2</f>
        <v>2.6</v>
      </c>
      <c r="K25" s="81">
        <f t="shared" ref="K25:K38" si="15">ROUND(C25*0.2*2*E25+0.1*0.2*2*E25+0.9*1.1*0.15*2-(0.53*0.65*0.15),2)</f>
        <v>0.45</v>
      </c>
      <c r="N25" s="81">
        <f t="shared" si="10"/>
        <v>1004.93</v>
      </c>
      <c r="O25" s="81">
        <f t="shared" si="11"/>
        <v>689.32574666666665</v>
      </c>
    </row>
    <row r="26" spans="1:20">
      <c r="A26" s="81">
        <v>3</v>
      </c>
      <c r="B26" s="81" t="s">
        <v>2011</v>
      </c>
      <c r="C26" s="81">
        <v>0.7</v>
      </c>
      <c r="D26" s="81">
        <v>0.5</v>
      </c>
      <c r="E26" s="81">
        <v>0.65</v>
      </c>
      <c r="G26" s="81">
        <f t="shared" ref="G26:G38" si="16">ROUND(((E26*2+0.8)*7+(E26*2+1)*6)*1.56+((E26/0.15*1*4)+(0.4*(1+0.8)/0.15)+(3*(0.8*2+1*2)*2))*0.994,2)</f>
        <v>87.93</v>
      </c>
      <c r="H26" s="81">
        <f t="shared" si="13"/>
        <v>1.08</v>
      </c>
      <c r="I26" s="81">
        <f t="shared" si="14"/>
        <v>2.6</v>
      </c>
      <c r="K26" s="81">
        <f t="shared" si="15"/>
        <v>0.45</v>
      </c>
      <c r="N26" s="81">
        <f t="shared" si="10"/>
        <v>427.86</v>
      </c>
      <c r="O26" s="81">
        <f t="shared" si="11"/>
        <v>296.67586666666665</v>
      </c>
    </row>
    <row r="27" spans="1:20">
      <c r="A27" s="81">
        <v>4</v>
      </c>
      <c r="B27" s="81" t="s">
        <v>2012</v>
      </c>
      <c r="C27" s="81">
        <v>0.7</v>
      </c>
      <c r="D27" s="81">
        <v>0.5</v>
      </c>
      <c r="E27" s="81">
        <v>0.65</v>
      </c>
      <c r="G27" s="81">
        <f t="shared" si="16"/>
        <v>87.93</v>
      </c>
      <c r="H27" s="81">
        <f t="shared" si="13"/>
        <v>1.08</v>
      </c>
      <c r="I27" s="81">
        <f t="shared" si="14"/>
        <v>2.6</v>
      </c>
      <c r="K27" s="81">
        <f t="shared" si="15"/>
        <v>0.45</v>
      </c>
      <c r="N27" s="81">
        <f t="shared" si="10"/>
        <v>422.55</v>
      </c>
      <c r="O27" s="81">
        <f t="shared" si="11"/>
        <v>292.99806666666666</v>
      </c>
    </row>
    <row r="28" spans="1:20">
      <c r="A28" s="81">
        <v>5</v>
      </c>
      <c r="B28" s="470" t="s">
        <v>2021</v>
      </c>
      <c r="C28" s="470">
        <v>0.7</v>
      </c>
      <c r="D28" s="470">
        <v>0.5</v>
      </c>
      <c r="E28" s="470">
        <v>1.8</v>
      </c>
      <c r="F28" s="470"/>
      <c r="G28" s="470">
        <f t="shared" si="16"/>
        <v>165.06</v>
      </c>
      <c r="H28" s="470">
        <f t="shared" si="13"/>
        <v>3.8400000000000003</v>
      </c>
      <c r="I28" s="470">
        <f t="shared" si="14"/>
        <v>7.2000000000000011</v>
      </c>
      <c r="K28" s="81">
        <f t="shared" si="15"/>
        <v>0.82</v>
      </c>
      <c r="N28" s="81">
        <f t="shared" si="10"/>
        <v>828.67</v>
      </c>
      <c r="O28" s="81">
        <f t="shared" si="11"/>
        <v>577.51400000000001</v>
      </c>
    </row>
    <row r="29" spans="1:20">
      <c r="A29" s="81">
        <v>6</v>
      </c>
      <c r="B29" s="81" t="s">
        <v>2013</v>
      </c>
      <c r="C29" s="81">
        <v>0.7</v>
      </c>
      <c r="D29" s="81">
        <v>0.5</v>
      </c>
      <c r="E29" s="81">
        <v>0.8</v>
      </c>
      <c r="G29" s="81">
        <f t="shared" si="16"/>
        <v>97.99</v>
      </c>
      <c r="H29" s="81">
        <f t="shared" si="13"/>
        <v>1.44</v>
      </c>
      <c r="I29" s="81">
        <f t="shared" si="14"/>
        <v>3.1999999999999997</v>
      </c>
      <c r="K29" s="81">
        <f t="shared" si="15"/>
        <v>0.5</v>
      </c>
      <c r="N29" s="81">
        <f t="shared" si="10"/>
        <v>411.84</v>
      </c>
      <c r="O29" s="81">
        <f t="shared" si="11"/>
        <v>288.65759999999995</v>
      </c>
    </row>
    <row r="30" spans="1:20">
      <c r="A30" s="81">
        <v>7</v>
      </c>
      <c r="B30" s="81" t="s">
        <v>2014</v>
      </c>
      <c r="C30" s="81">
        <v>0.7</v>
      </c>
      <c r="D30" s="81">
        <v>0.5</v>
      </c>
      <c r="E30" s="81">
        <v>0.65</v>
      </c>
      <c r="G30" s="81">
        <f t="shared" si="16"/>
        <v>87.93</v>
      </c>
      <c r="H30" s="81">
        <f t="shared" si="13"/>
        <v>1.08</v>
      </c>
      <c r="I30" s="81">
        <f t="shared" si="14"/>
        <v>2.6</v>
      </c>
      <c r="K30" s="81">
        <f t="shared" si="15"/>
        <v>0.45</v>
      </c>
      <c r="N30" s="81">
        <f t="shared" si="10"/>
        <v>356.1</v>
      </c>
      <c r="O30" s="81">
        <f t="shared" si="11"/>
        <v>248.16866666666667</v>
      </c>
    </row>
    <row r="31" spans="1:20">
      <c r="A31" s="81">
        <v>8</v>
      </c>
      <c r="B31" s="81" t="s">
        <v>2015</v>
      </c>
      <c r="C31" s="81">
        <v>0.7</v>
      </c>
      <c r="D31" s="81">
        <v>0.5</v>
      </c>
      <c r="E31" s="81">
        <v>0.65</v>
      </c>
      <c r="G31" s="81">
        <f t="shared" si="16"/>
        <v>87.93</v>
      </c>
      <c r="H31" s="81">
        <f t="shared" si="13"/>
        <v>1.08</v>
      </c>
      <c r="I31" s="81">
        <f t="shared" si="14"/>
        <v>2.6</v>
      </c>
      <c r="K31" s="81">
        <f t="shared" si="15"/>
        <v>0.45</v>
      </c>
      <c r="N31" s="81">
        <f t="shared" si="10"/>
        <v>554.11</v>
      </c>
      <c r="O31" s="81">
        <f t="shared" si="11"/>
        <v>382.49120000000005</v>
      </c>
    </row>
    <row r="32" spans="1:20">
      <c r="A32" s="81">
        <v>9</v>
      </c>
      <c r="B32" s="81" t="s">
        <v>2016</v>
      </c>
      <c r="C32" s="81">
        <v>0.7</v>
      </c>
      <c r="D32" s="81">
        <v>0.5</v>
      </c>
      <c r="E32" s="81">
        <v>0.65</v>
      </c>
      <c r="G32" s="81">
        <f t="shared" si="16"/>
        <v>87.93</v>
      </c>
      <c r="H32" s="81">
        <f t="shared" si="13"/>
        <v>1.08</v>
      </c>
      <c r="I32" s="81">
        <f t="shared" si="14"/>
        <v>2.6</v>
      </c>
      <c r="K32" s="81">
        <f t="shared" si="15"/>
        <v>0.45</v>
      </c>
      <c r="N32" s="81">
        <f t="shared" si="10"/>
        <v>1009.94</v>
      </c>
      <c r="O32" s="81">
        <f t="shared" si="11"/>
        <v>701.66459999999995</v>
      </c>
    </row>
    <row r="33" spans="1:15">
      <c r="A33" s="81">
        <v>10</v>
      </c>
      <c r="B33" s="81" t="s">
        <v>2017</v>
      </c>
      <c r="C33" s="81">
        <v>0.7</v>
      </c>
      <c r="D33" s="81">
        <v>0.5</v>
      </c>
      <c r="E33" s="81">
        <v>0.55000000000000004</v>
      </c>
      <c r="F33" s="258">
        <v>0.41</v>
      </c>
      <c r="G33" s="81">
        <f t="shared" si="16"/>
        <v>81.22</v>
      </c>
      <c r="H33" s="81">
        <f t="shared" si="13"/>
        <v>0.84000000000000008</v>
      </c>
      <c r="I33" s="81">
        <f t="shared" si="14"/>
        <v>2.1999999999999997</v>
      </c>
      <c r="K33" s="81">
        <f t="shared" si="15"/>
        <v>0.42</v>
      </c>
    </row>
    <row r="34" spans="1:15">
      <c r="A34" s="81">
        <v>11</v>
      </c>
      <c r="B34" s="470" t="s">
        <v>2025</v>
      </c>
      <c r="C34" s="470">
        <v>0.7</v>
      </c>
      <c r="D34" s="470">
        <v>0.5</v>
      </c>
      <c r="E34" s="472">
        <v>0.67</v>
      </c>
      <c r="F34" s="471">
        <v>0.51</v>
      </c>
      <c r="G34" s="470">
        <f t="shared" si="16"/>
        <v>89.27</v>
      </c>
      <c r="H34" s="470">
        <f t="shared" si="13"/>
        <v>1.1280000000000001</v>
      </c>
      <c r="I34" s="470">
        <f t="shared" si="14"/>
        <v>2.68</v>
      </c>
      <c r="K34" s="81">
        <f t="shared" si="15"/>
        <v>0.46</v>
      </c>
      <c r="N34" s="81">
        <f>ROUND((N3*2+0.7)*(1/0.15)*Q3*1.56,2)</f>
        <v>778.27</v>
      </c>
      <c r="O34" s="81">
        <f>((N3*2+0.7)/0.15+1)*1*0.994*Q3</f>
        <v>548.28377333333344</v>
      </c>
    </row>
    <row r="35" spans="1:15">
      <c r="A35" s="81">
        <v>12</v>
      </c>
      <c r="B35" s="470" t="s">
        <v>2026</v>
      </c>
      <c r="C35" s="470">
        <v>0.7</v>
      </c>
      <c r="D35" s="470">
        <v>0.5</v>
      </c>
      <c r="E35" s="472">
        <v>0.7</v>
      </c>
      <c r="F35" s="470"/>
      <c r="G35" s="470">
        <f t="shared" si="16"/>
        <v>91.28</v>
      </c>
      <c r="H35" s="470">
        <f t="shared" si="13"/>
        <v>1.2</v>
      </c>
      <c r="I35" s="470">
        <f t="shared" si="14"/>
        <v>2.7999999999999994</v>
      </c>
      <c r="K35" s="81">
        <f t="shared" si="15"/>
        <v>0.47</v>
      </c>
      <c r="N35" s="81">
        <f>ROUND((N4*2+0.7)*(1/0.15)*Q4*1.56,2)</f>
        <v>763.53</v>
      </c>
      <c r="O35" s="81">
        <f>((N4*2+0.7)/0.15+1)*1*0.994*Q4</f>
        <v>534.51355999999998</v>
      </c>
    </row>
    <row r="36" spans="1:15">
      <c r="A36" s="81">
        <v>13</v>
      </c>
      <c r="B36" s="470" t="s">
        <v>2018</v>
      </c>
      <c r="C36" s="470">
        <v>0.7</v>
      </c>
      <c r="D36" s="470">
        <v>0.5</v>
      </c>
      <c r="E36" s="470">
        <v>0.65</v>
      </c>
      <c r="F36" s="470"/>
      <c r="G36" s="470">
        <f t="shared" si="16"/>
        <v>87.93</v>
      </c>
      <c r="H36" s="470">
        <f t="shared" si="13"/>
        <v>1.08</v>
      </c>
      <c r="I36" s="470">
        <f t="shared" si="14"/>
        <v>2.6</v>
      </c>
      <c r="K36" s="81">
        <f t="shared" si="15"/>
        <v>0.45</v>
      </c>
      <c r="N36" s="81">
        <f>ROUND((N5*2+0.7)*(1/0.15)*Q5*1.56,2)</f>
        <v>330.72</v>
      </c>
      <c r="O36" s="81">
        <f>((N5*2+0.7)/0.15+1)*1*0.994*Q5</f>
        <v>231.80079999999998</v>
      </c>
    </row>
    <row r="37" spans="1:15" ht="13.5">
      <c r="A37" s="81">
        <v>14</v>
      </c>
      <c r="B37" s="470" t="s">
        <v>2019</v>
      </c>
      <c r="C37" s="470">
        <v>0.7</v>
      </c>
      <c r="D37" s="470">
        <v>0.5</v>
      </c>
      <c r="E37" s="470">
        <v>1.1499999999999999</v>
      </c>
      <c r="F37" s="471">
        <v>0.8</v>
      </c>
      <c r="G37" s="470">
        <f t="shared" si="16"/>
        <v>121.46</v>
      </c>
      <c r="H37" s="470">
        <f t="shared" si="13"/>
        <v>2.2799999999999998</v>
      </c>
      <c r="I37" s="470">
        <f t="shared" si="14"/>
        <v>4.5999999999999996</v>
      </c>
      <c r="K37" s="81">
        <f t="shared" si="15"/>
        <v>0.61</v>
      </c>
      <c r="M37" s="148" t="s">
        <v>2075</v>
      </c>
      <c r="N37" s="81">
        <f>SUM(N16:N36)</f>
        <v>13164.28</v>
      </c>
      <c r="O37" s="81">
        <f>SUM(O16:O36)+G20+S6</f>
        <v>28452.409760000002</v>
      </c>
    </row>
    <row r="38" spans="1:15">
      <c r="A38" s="81">
        <v>15</v>
      </c>
      <c r="B38" s="470" t="s">
        <v>2020</v>
      </c>
      <c r="C38" s="470">
        <v>0.7</v>
      </c>
      <c r="D38" s="470">
        <v>0.5</v>
      </c>
      <c r="E38" s="470">
        <v>0.75</v>
      </c>
      <c r="F38" s="471">
        <v>2.6</v>
      </c>
      <c r="G38" s="470">
        <f t="shared" si="16"/>
        <v>94.64</v>
      </c>
      <c r="H38" s="470">
        <f t="shared" si="13"/>
        <v>1.3199999999999998</v>
      </c>
      <c r="I38" s="470">
        <f t="shared" si="14"/>
        <v>2.9999999999999996</v>
      </c>
      <c r="K38" s="81">
        <f t="shared" si="15"/>
        <v>0.49</v>
      </c>
    </row>
    <row r="39" spans="1:15" ht="13.5">
      <c r="A39" s="81">
        <v>16</v>
      </c>
      <c r="B39" s="248" t="s">
        <v>2032</v>
      </c>
      <c r="C39" s="81">
        <v>1</v>
      </c>
      <c r="D39" s="81">
        <v>1</v>
      </c>
      <c r="E39" s="81">
        <v>3.31</v>
      </c>
      <c r="F39" s="148" t="s">
        <v>2033</v>
      </c>
      <c r="N39" s="81">
        <f>ROUND(((E24*2+0.8)*7+(E24*2+1)*6)*1.56,2)</f>
        <v>44.46</v>
      </c>
      <c r="O39" s="81">
        <f>((E24/0.15*1*4)+(0.4*(1+0.8)/0.15)+(3*(0.8*2+1*2)*2))*0.994</f>
        <v>43.470933333333335</v>
      </c>
    </row>
    <row r="40" spans="1:15" ht="13.5">
      <c r="A40" s="81">
        <v>17</v>
      </c>
      <c r="B40" s="248" t="s">
        <v>2027</v>
      </c>
      <c r="C40" s="148">
        <v>1</v>
      </c>
      <c r="D40" s="81">
        <v>1</v>
      </c>
      <c r="E40" s="81">
        <v>2.5299999999999998</v>
      </c>
      <c r="F40" s="148" t="s">
        <v>2033</v>
      </c>
      <c r="N40" s="81">
        <f t="shared" ref="N40:N97" si="17">ROUND(((E25*2+0.8)*7+(E25*2+1)*6)*1.56,2)</f>
        <v>44.46</v>
      </c>
      <c r="O40" s="81">
        <f t="shared" ref="O40:O97" si="18">((E25/0.15*1*4)+(0.4*(1+0.8)/0.15)+(3*(0.8*2+1*2)*2))*0.994</f>
        <v>43.470933333333335</v>
      </c>
    </row>
    <row r="41" spans="1:15">
      <c r="A41" s="81">
        <v>18</v>
      </c>
      <c r="B41" s="81" t="s">
        <v>2028</v>
      </c>
      <c r="C41" s="81">
        <v>0.7</v>
      </c>
      <c r="D41" s="81">
        <v>0.5</v>
      </c>
      <c r="E41" s="81">
        <v>0.75</v>
      </c>
      <c r="G41" s="81">
        <f t="shared" ref="G41:G82" si="19">ROUND(((E41*2+0.8)*7+(E41*2+1)*6)*1.56+((E41/0.15*1*4)+(0.4*(1+0.8)/0.15)+(3*(0.8*2+1*2)*2))*0.994,2)</f>
        <v>94.64</v>
      </c>
      <c r="H41" s="81">
        <f t="shared" ref="H41:H82" si="20">(C41+D41)*E41*2-0.4*0.6*2</f>
        <v>1.3199999999999998</v>
      </c>
      <c r="I41" s="81">
        <f t="shared" ref="I41:I82" si="21">(C41+0.2*2+D41+0.2*2)*2*(E41+0.2+0.2)-(0.8*1)*2</f>
        <v>2.9999999999999996</v>
      </c>
      <c r="K41" s="81">
        <f t="shared" ref="K41:K82" si="22">ROUND(C41*0.2*2*E41+0.1*0.2*2*E41+0.9*1.1*0.15*2-(0.53*0.65*0.15),2)</f>
        <v>0.49</v>
      </c>
      <c r="N41" s="81">
        <f t="shared" si="17"/>
        <v>44.46</v>
      </c>
      <c r="O41" s="81">
        <f t="shared" si="18"/>
        <v>43.470933333333335</v>
      </c>
    </row>
    <row r="42" spans="1:15">
      <c r="A42" s="81">
        <v>19</v>
      </c>
      <c r="B42" s="81" t="s">
        <v>2029</v>
      </c>
      <c r="C42" s="81">
        <v>0.7</v>
      </c>
      <c r="D42" s="81">
        <v>0.5</v>
      </c>
      <c r="E42" s="81">
        <v>0.65</v>
      </c>
      <c r="G42" s="81">
        <f t="shared" si="19"/>
        <v>87.93</v>
      </c>
      <c r="H42" s="81">
        <f t="shared" si="20"/>
        <v>1.08</v>
      </c>
      <c r="I42" s="81">
        <f t="shared" si="21"/>
        <v>2.6</v>
      </c>
      <c r="K42" s="81">
        <f t="shared" si="22"/>
        <v>0.45</v>
      </c>
      <c r="N42" s="81">
        <f t="shared" si="17"/>
        <v>44.46</v>
      </c>
      <c r="O42" s="81">
        <f t="shared" si="18"/>
        <v>43.470933333333335</v>
      </c>
    </row>
    <row r="43" spans="1:15">
      <c r="A43" s="81">
        <v>20</v>
      </c>
      <c r="B43" s="81" t="s">
        <v>2030</v>
      </c>
      <c r="C43" s="81">
        <v>0.7</v>
      </c>
      <c r="D43" s="81">
        <v>0.5</v>
      </c>
      <c r="E43" s="81">
        <v>0.7</v>
      </c>
      <c r="G43" s="81">
        <f t="shared" si="19"/>
        <v>91.28</v>
      </c>
      <c r="H43" s="81">
        <f t="shared" si="20"/>
        <v>1.2</v>
      </c>
      <c r="I43" s="81">
        <f t="shared" si="21"/>
        <v>2.7999999999999994</v>
      </c>
      <c r="K43" s="81">
        <f t="shared" si="22"/>
        <v>0.47</v>
      </c>
      <c r="N43" s="81">
        <f t="shared" si="17"/>
        <v>91.1</v>
      </c>
      <c r="O43" s="81">
        <f t="shared" si="18"/>
        <v>73.953600000000009</v>
      </c>
    </row>
    <row r="44" spans="1:15">
      <c r="A44" s="81">
        <v>21</v>
      </c>
      <c r="B44" s="81" t="s">
        <v>2031</v>
      </c>
      <c r="C44" s="81">
        <v>0.7</v>
      </c>
      <c r="D44" s="81">
        <v>0.5</v>
      </c>
      <c r="E44" s="81">
        <v>0.55000000000000004</v>
      </c>
      <c r="G44" s="81">
        <f t="shared" si="19"/>
        <v>81.22</v>
      </c>
      <c r="H44" s="81">
        <f t="shared" si="20"/>
        <v>0.84000000000000008</v>
      </c>
      <c r="I44" s="81">
        <f t="shared" si="21"/>
        <v>2.1999999999999997</v>
      </c>
      <c r="K44" s="81">
        <f t="shared" si="22"/>
        <v>0.42</v>
      </c>
      <c r="N44" s="81">
        <f t="shared" si="17"/>
        <v>50.54</v>
      </c>
      <c r="O44" s="81">
        <f t="shared" si="18"/>
        <v>47.446933333333334</v>
      </c>
    </row>
    <row r="45" spans="1:15" ht="13.5">
      <c r="A45" s="81">
        <v>22</v>
      </c>
      <c r="B45" s="81" t="s">
        <v>2034</v>
      </c>
      <c r="C45" s="81">
        <v>0.7</v>
      </c>
      <c r="D45" s="81">
        <v>0.5</v>
      </c>
      <c r="E45" s="259">
        <v>0.9</v>
      </c>
      <c r="F45" s="148" t="s">
        <v>2072</v>
      </c>
      <c r="G45" s="81">
        <f t="shared" si="19"/>
        <v>104.7</v>
      </c>
      <c r="H45" s="81">
        <f t="shared" si="20"/>
        <v>1.6800000000000002</v>
      </c>
      <c r="I45" s="81">
        <f t="shared" si="21"/>
        <v>3.6</v>
      </c>
      <c r="K45" s="81">
        <f t="shared" si="22"/>
        <v>0.53</v>
      </c>
      <c r="N45" s="81">
        <f t="shared" si="17"/>
        <v>44.46</v>
      </c>
      <c r="O45" s="81">
        <f t="shared" si="18"/>
        <v>43.470933333333335</v>
      </c>
    </row>
    <row r="46" spans="1:15" ht="13.5">
      <c r="A46" s="81">
        <v>23</v>
      </c>
      <c r="B46" s="81" t="s">
        <v>2035</v>
      </c>
      <c r="C46" s="81">
        <v>0.7</v>
      </c>
      <c r="D46" s="81">
        <v>0.5</v>
      </c>
      <c r="E46" s="259">
        <v>0.9</v>
      </c>
      <c r="F46" s="148" t="s">
        <v>2072</v>
      </c>
      <c r="G46" s="81">
        <f t="shared" si="19"/>
        <v>104.7</v>
      </c>
      <c r="H46" s="81">
        <f t="shared" si="20"/>
        <v>1.6800000000000002</v>
      </c>
      <c r="I46" s="81">
        <f t="shared" si="21"/>
        <v>3.6</v>
      </c>
      <c r="K46" s="81">
        <f t="shared" si="22"/>
        <v>0.53</v>
      </c>
      <c r="N46" s="81">
        <f t="shared" si="17"/>
        <v>44.46</v>
      </c>
      <c r="O46" s="81">
        <f t="shared" si="18"/>
        <v>43.470933333333335</v>
      </c>
    </row>
    <row r="47" spans="1:15" ht="13.5">
      <c r="A47" s="81">
        <v>24</v>
      </c>
      <c r="B47" s="81" t="s">
        <v>2036</v>
      </c>
      <c r="C47" s="81">
        <v>0.7</v>
      </c>
      <c r="D47" s="81">
        <v>0.5</v>
      </c>
      <c r="E47" s="259">
        <v>0.9</v>
      </c>
      <c r="F47" s="148" t="s">
        <v>2072</v>
      </c>
      <c r="G47" s="81">
        <f t="shared" si="19"/>
        <v>104.7</v>
      </c>
      <c r="H47" s="81">
        <f t="shared" si="20"/>
        <v>1.6800000000000002</v>
      </c>
      <c r="I47" s="81">
        <f t="shared" si="21"/>
        <v>3.6</v>
      </c>
      <c r="K47" s="81">
        <f t="shared" si="22"/>
        <v>0.53</v>
      </c>
      <c r="N47" s="81">
        <f t="shared" si="17"/>
        <v>44.46</v>
      </c>
      <c r="O47" s="81">
        <f t="shared" si="18"/>
        <v>43.470933333333335</v>
      </c>
    </row>
    <row r="48" spans="1:15" ht="13.5">
      <c r="A48" s="81">
        <v>25</v>
      </c>
      <c r="B48" s="81" t="s">
        <v>2037</v>
      </c>
      <c r="C48" s="81">
        <v>0.7</v>
      </c>
      <c r="D48" s="81">
        <v>0.5</v>
      </c>
      <c r="E48" s="259">
        <v>0.9</v>
      </c>
      <c r="F48" s="148" t="s">
        <v>2072</v>
      </c>
      <c r="G48" s="81">
        <f t="shared" si="19"/>
        <v>104.7</v>
      </c>
      <c r="H48" s="81">
        <f t="shared" si="20"/>
        <v>1.6800000000000002</v>
      </c>
      <c r="I48" s="81">
        <f t="shared" si="21"/>
        <v>3.6</v>
      </c>
      <c r="K48" s="81">
        <f t="shared" si="22"/>
        <v>0.53</v>
      </c>
      <c r="N48" s="81">
        <f t="shared" si="17"/>
        <v>40.4</v>
      </c>
      <c r="O48" s="81">
        <f t="shared" si="18"/>
        <v>40.820266666666669</v>
      </c>
    </row>
    <row r="49" spans="1:15" ht="13.5">
      <c r="A49" s="81">
        <v>26</v>
      </c>
      <c r="B49" s="81" t="s">
        <v>2038</v>
      </c>
      <c r="C49" s="81">
        <v>0.7</v>
      </c>
      <c r="D49" s="81">
        <v>0.5</v>
      </c>
      <c r="E49" s="259">
        <v>0.9</v>
      </c>
      <c r="F49" s="148" t="s">
        <v>2072</v>
      </c>
      <c r="G49" s="81">
        <f t="shared" si="19"/>
        <v>104.7</v>
      </c>
      <c r="H49" s="81">
        <f t="shared" si="20"/>
        <v>1.6800000000000002</v>
      </c>
      <c r="I49" s="81">
        <f t="shared" si="21"/>
        <v>3.6</v>
      </c>
      <c r="K49" s="81">
        <f t="shared" si="22"/>
        <v>0.53</v>
      </c>
      <c r="N49" s="81">
        <f t="shared" si="17"/>
        <v>45.27</v>
      </c>
      <c r="O49" s="81">
        <f t="shared" si="18"/>
        <v>44.001066666666667</v>
      </c>
    </row>
    <row r="50" spans="1:15" ht="13.5">
      <c r="A50" s="81">
        <v>27</v>
      </c>
      <c r="B50" s="81" t="s">
        <v>2039</v>
      </c>
      <c r="C50" s="81">
        <v>0.7</v>
      </c>
      <c r="D50" s="81">
        <v>0.5</v>
      </c>
      <c r="E50" s="259">
        <v>0.9</v>
      </c>
      <c r="F50" s="148" t="s">
        <v>2072</v>
      </c>
      <c r="G50" s="81">
        <f t="shared" si="19"/>
        <v>104.7</v>
      </c>
      <c r="H50" s="81">
        <f t="shared" si="20"/>
        <v>1.6800000000000002</v>
      </c>
      <c r="I50" s="81">
        <f t="shared" si="21"/>
        <v>3.6</v>
      </c>
      <c r="K50" s="81">
        <f t="shared" si="22"/>
        <v>0.53</v>
      </c>
      <c r="N50" s="81">
        <f t="shared" si="17"/>
        <v>46.49</v>
      </c>
      <c r="O50" s="81">
        <f t="shared" si="18"/>
        <v>44.796266666666668</v>
      </c>
    </row>
    <row r="51" spans="1:15" ht="13.5">
      <c r="A51" s="81">
        <v>28</v>
      </c>
      <c r="B51" s="81" t="s">
        <v>2040</v>
      </c>
      <c r="C51" s="81">
        <v>0.7</v>
      </c>
      <c r="D51" s="81">
        <v>0.5</v>
      </c>
      <c r="E51" s="259">
        <v>0.9</v>
      </c>
      <c r="F51" s="148" t="s">
        <v>2072</v>
      </c>
      <c r="G51" s="81">
        <f t="shared" si="19"/>
        <v>104.7</v>
      </c>
      <c r="H51" s="81">
        <f t="shared" si="20"/>
        <v>1.6800000000000002</v>
      </c>
      <c r="I51" s="81">
        <f t="shared" si="21"/>
        <v>3.6</v>
      </c>
      <c r="K51" s="81">
        <f t="shared" si="22"/>
        <v>0.53</v>
      </c>
      <c r="N51" s="81">
        <f t="shared" si="17"/>
        <v>44.46</v>
      </c>
      <c r="O51" s="81">
        <f t="shared" si="18"/>
        <v>43.470933333333335</v>
      </c>
    </row>
    <row r="52" spans="1:15" ht="13.5">
      <c r="A52" s="81">
        <v>29</v>
      </c>
      <c r="B52" s="81" t="s">
        <v>2041</v>
      </c>
      <c r="C52" s="81">
        <v>0.7</v>
      </c>
      <c r="D52" s="81">
        <v>0.5</v>
      </c>
      <c r="E52" s="259">
        <v>0.9</v>
      </c>
      <c r="F52" s="148" t="s">
        <v>2072</v>
      </c>
      <c r="G52" s="81">
        <f t="shared" si="19"/>
        <v>104.7</v>
      </c>
      <c r="H52" s="81">
        <f t="shared" si="20"/>
        <v>1.6800000000000002</v>
      </c>
      <c r="I52" s="81">
        <f t="shared" si="21"/>
        <v>3.6</v>
      </c>
      <c r="K52" s="81">
        <f t="shared" si="22"/>
        <v>0.53</v>
      </c>
      <c r="N52" s="81">
        <f t="shared" si="17"/>
        <v>64.739999999999995</v>
      </c>
      <c r="O52" s="81">
        <f t="shared" si="18"/>
        <v>56.724266666666672</v>
      </c>
    </row>
    <row r="53" spans="1:15" ht="13.5">
      <c r="A53" s="81">
        <v>30</v>
      </c>
      <c r="B53" s="81" t="s">
        <v>2042</v>
      </c>
      <c r="C53" s="81">
        <v>0.7</v>
      </c>
      <c r="D53" s="81">
        <v>0.5</v>
      </c>
      <c r="E53" s="259">
        <v>0.9</v>
      </c>
      <c r="F53" s="148" t="s">
        <v>2072</v>
      </c>
      <c r="G53" s="81">
        <f t="shared" si="19"/>
        <v>104.7</v>
      </c>
      <c r="H53" s="81">
        <f t="shared" si="20"/>
        <v>1.6800000000000002</v>
      </c>
      <c r="I53" s="81">
        <f t="shared" si="21"/>
        <v>3.6</v>
      </c>
      <c r="K53" s="81">
        <f t="shared" si="22"/>
        <v>0.53</v>
      </c>
      <c r="N53" s="81">
        <f t="shared" si="17"/>
        <v>48.52</v>
      </c>
      <c r="O53" s="81">
        <f t="shared" si="18"/>
        <v>46.121600000000008</v>
      </c>
    </row>
    <row r="54" spans="1:15" ht="13.5">
      <c r="A54" s="81">
        <v>31</v>
      </c>
      <c r="B54" s="81" t="s">
        <v>2043</v>
      </c>
      <c r="C54" s="81">
        <v>0.7</v>
      </c>
      <c r="D54" s="81">
        <v>0.5</v>
      </c>
      <c r="E54" s="259">
        <v>0.9</v>
      </c>
      <c r="F54" s="148" t="s">
        <v>2072</v>
      </c>
      <c r="G54" s="81">
        <f t="shared" si="19"/>
        <v>104.7</v>
      </c>
      <c r="H54" s="81">
        <f t="shared" si="20"/>
        <v>1.6800000000000002</v>
      </c>
      <c r="I54" s="81">
        <f t="shared" si="21"/>
        <v>3.6</v>
      </c>
      <c r="K54" s="81">
        <f t="shared" si="22"/>
        <v>0.53</v>
      </c>
    </row>
    <row r="55" spans="1:15">
      <c r="A55" s="81">
        <v>32</v>
      </c>
      <c r="B55" s="81" t="s">
        <v>2044</v>
      </c>
      <c r="C55" s="81">
        <v>0.7</v>
      </c>
      <c r="D55" s="81">
        <v>0.5</v>
      </c>
      <c r="E55" s="81">
        <v>0.43</v>
      </c>
      <c r="G55" s="81">
        <f t="shared" si="19"/>
        <v>73.180000000000007</v>
      </c>
      <c r="H55" s="81">
        <f t="shared" si="20"/>
        <v>0.55200000000000005</v>
      </c>
      <c r="I55" s="81">
        <f t="shared" si="21"/>
        <v>1.7200000000000002</v>
      </c>
      <c r="K55" s="81">
        <f t="shared" si="22"/>
        <v>0.38</v>
      </c>
    </row>
    <row r="56" spans="1:15">
      <c r="A56" s="81">
        <v>33</v>
      </c>
      <c r="B56" s="81" t="s">
        <v>2045</v>
      </c>
      <c r="C56" s="81">
        <v>0.7</v>
      </c>
      <c r="D56" s="81">
        <v>0.5</v>
      </c>
      <c r="E56" s="81">
        <v>0.74</v>
      </c>
      <c r="G56" s="81">
        <f t="shared" si="19"/>
        <v>93.97</v>
      </c>
      <c r="H56" s="81">
        <f t="shared" si="20"/>
        <v>1.296</v>
      </c>
      <c r="I56" s="81">
        <f t="shared" si="21"/>
        <v>2.9599999999999995</v>
      </c>
      <c r="K56" s="81">
        <f t="shared" si="22"/>
        <v>0.48</v>
      </c>
      <c r="N56" s="81">
        <f t="shared" si="17"/>
        <v>48.52</v>
      </c>
      <c r="O56" s="81">
        <f t="shared" si="18"/>
        <v>46.121600000000008</v>
      </c>
    </row>
    <row r="57" spans="1:15">
      <c r="A57" s="81">
        <v>34</v>
      </c>
      <c r="B57" s="81" t="s">
        <v>2046</v>
      </c>
      <c r="C57" s="81">
        <v>0.7</v>
      </c>
      <c r="D57" s="81">
        <v>0.5</v>
      </c>
      <c r="E57" s="81">
        <v>0.43</v>
      </c>
      <c r="G57" s="81">
        <f t="shared" si="19"/>
        <v>73.180000000000007</v>
      </c>
      <c r="H57" s="81">
        <f t="shared" si="20"/>
        <v>0.55200000000000005</v>
      </c>
      <c r="I57" s="81">
        <f t="shared" si="21"/>
        <v>1.7200000000000002</v>
      </c>
      <c r="K57" s="81">
        <f t="shared" si="22"/>
        <v>0.38</v>
      </c>
      <c r="N57" s="81">
        <f t="shared" si="17"/>
        <v>44.46</v>
      </c>
      <c r="O57" s="81">
        <f t="shared" si="18"/>
        <v>43.470933333333335</v>
      </c>
    </row>
    <row r="58" spans="1:15">
      <c r="A58" s="81">
        <v>35</v>
      </c>
      <c r="B58" s="81" t="s">
        <v>2047</v>
      </c>
      <c r="C58" s="81">
        <v>0.7</v>
      </c>
      <c r="D58" s="81">
        <v>0.5</v>
      </c>
      <c r="E58" s="81">
        <v>0.43</v>
      </c>
      <c r="G58" s="81">
        <f t="shared" si="19"/>
        <v>73.180000000000007</v>
      </c>
      <c r="H58" s="81">
        <f t="shared" si="20"/>
        <v>0.55200000000000005</v>
      </c>
      <c r="I58" s="81">
        <f t="shared" si="21"/>
        <v>1.7200000000000002</v>
      </c>
      <c r="K58" s="81">
        <f t="shared" si="22"/>
        <v>0.38</v>
      </c>
      <c r="N58" s="81">
        <f t="shared" si="17"/>
        <v>46.49</v>
      </c>
      <c r="O58" s="81">
        <f t="shared" si="18"/>
        <v>44.796266666666668</v>
      </c>
    </row>
    <row r="59" spans="1:15">
      <c r="A59" s="81">
        <v>36</v>
      </c>
      <c r="B59" s="81" t="s">
        <v>2048</v>
      </c>
      <c r="C59" s="81">
        <v>0.7</v>
      </c>
      <c r="D59" s="81">
        <v>0.5</v>
      </c>
      <c r="E59" s="81">
        <v>0.43</v>
      </c>
      <c r="G59" s="81">
        <f t="shared" si="19"/>
        <v>73.180000000000007</v>
      </c>
      <c r="H59" s="81">
        <f t="shared" si="20"/>
        <v>0.55200000000000005</v>
      </c>
      <c r="I59" s="81">
        <f t="shared" si="21"/>
        <v>1.7200000000000002</v>
      </c>
      <c r="K59" s="81">
        <f t="shared" si="22"/>
        <v>0.38</v>
      </c>
      <c r="N59" s="81">
        <f t="shared" si="17"/>
        <v>40.4</v>
      </c>
      <c r="O59" s="81">
        <f t="shared" si="18"/>
        <v>40.820266666666669</v>
      </c>
    </row>
    <row r="60" spans="1:15">
      <c r="A60" s="81">
        <v>37</v>
      </c>
      <c r="B60" s="81" t="s">
        <v>2049</v>
      </c>
      <c r="C60" s="81">
        <v>0.7</v>
      </c>
      <c r="D60" s="81">
        <v>0.5</v>
      </c>
      <c r="E60" s="81">
        <v>0.43</v>
      </c>
      <c r="G60" s="81">
        <f t="shared" si="19"/>
        <v>73.180000000000007</v>
      </c>
      <c r="H60" s="81">
        <f t="shared" si="20"/>
        <v>0.55200000000000005</v>
      </c>
      <c r="I60" s="81">
        <f t="shared" si="21"/>
        <v>1.7200000000000002</v>
      </c>
      <c r="K60" s="81">
        <f t="shared" si="22"/>
        <v>0.38</v>
      </c>
      <c r="N60" s="81">
        <f t="shared" si="17"/>
        <v>54.6</v>
      </c>
      <c r="O60" s="81">
        <f t="shared" si="18"/>
        <v>50.097600000000007</v>
      </c>
    </row>
    <row r="61" spans="1:15">
      <c r="A61" s="81">
        <v>38</v>
      </c>
      <c r="B61" s="81" t="s">
        <v>2050</v>
      </c>
      <c r="C61" s="81">
        <v>0.7</v>
      </c>
      <c r="D61" s="81">
        <v>0.5</v>
      </c>
      <c r="E61" s="81">
        <v>0.42</v>
      </c>
      <c r="G61" s="81">
        <f t="shared" si="19"/>
        <v>72.510000000000005</v>
      </c>
      <c r="H61" s="81">
        <f t="shared" si="20"/>
        <v>0.52800000000000002</v>
      </c>
      <c r="I61" s="81">
        <f t="shared" si="21"/>
        <v>1.6800000000000002</v>
      </c>
      <c r="K61" s="81">
        <f t="shared" si="22"/>
        <v>0.38</v>
      </c>
      <c r="N61" s="81">
        <f t="shared" si="17"/>
        <v>54.6</v>
      </c>
      <c r="O61" s="81">
        <f t="shared" si="18"/>
        <v>50.097600000000007</v>
      </c>
    </row>
    <row r="62" spans="1:15">
      <c r="A62" s="81">
        <v>39</v>
      </c>
      <c r="B62" s="81" t="s">
        <v>2051</v>
      </c>
      <c r="C62" s="81">
        <v>0.7</v>
      </c>
      <c r="D62" s="81">
        <v>0.5</v>
      </c>
      <c r="E62" s="81">
        <v>0.42</v>
      </c>
      <c r="G62" s="81">
        <f t="shared" si="19"/>
        <v>72.510000000000005</v>
      </c>
      <c r="H62" s="81">
        <f t="shared" si="20"/>
        <v>0.52800000000000002</v>
      </c>
      <c r="I62" s="81">
        <f t="shared" si="21"/>
        <v>1.6800000000000002</v>
      </c>
      <c r="K62" s="81">
        <f t="shared" si="22"/>
        <v>0.38</v>
      </c>
      <c r="N62" s="81">
        <f t="shared" si="17"/>
        <v>54.6</v>
      </c>
      <c r="O62" s="81">
        <f t="shared" si="18"/>
        <v>50.097600000000007</v>
      </c>
    </row>
    <row r="63" spans="1:15">
      <c r="A63" s="81">
        <v>40</v>
      </c>
      <c r="B63" s="81" t="s">
        <v>2052</v>
      </c>
      <c r="C63" s="81">
        <v>0.7</v>
      </c>
      <c r="D63" s="81">
        <v>0.5</v>
      </c>
      <c r="E63" s="81">
        <v>0.41</v>
      </c>
      <c r="G63" s="81">
        <f t="shared" si="19"/>
        <v>71.83</v>
      </c>
      <c r="H63" s="81">
        <f t="shared" si="20"/>
        <v>0.50399999999999989</v>
      </c>
      <c r="I63" s="81">
        <f t="shared" si="21"/>
        <v>1.6400000000000001</v>
      </c>
      <c r="K63" s="81">
        <f t="shared" si="22"/>
        <v>0.38</v>
      </c>
      <c r="N63" s="81">
        <f t="shared" si="17"/>
        <v>54.6</v>
      </c>
      <c r="O63" s="81">
        <f t="shared" si="18"/>
        <v>50.097600000000007</v>
      </c>
    </row>
    <row r="64" spans="1:15">
      <c r="A64" s="81">
        <v>41</v>
      </c>
      <c r="B64" s="81" t="s">
        <v>2053</v>
      </c>
      <c r="C64" s="81">
        <v>0.7</v>
      </c>
      <c r="D64" s="81">
        <v>0.5</v>
      </c>
      <c r="E64" s="81">
        <v>0.41</v>
      </c>
      <c r="G64" s="81">
        <f t="shared" si="19"/>
        <v>71.83</v>
      </c>
      <c r="H64" s="81">
        <f t="shared" si="20"/>
        <v>0.50399999999999989</v>
      </c>
      <c r="I64" s="81">
        <f t="shared" si="21"/>
        <v>1.6400000000000001</v>
      </c>
      <c r="K64" s="81">
        <f t="shared" si="22"/>
        <v>0.38</v>
      </c>
      <c r="N64" s="81">
        <f t="shared" si="17"/>
        <v>54.6</v>
      </c>
      <c r="O64" s="81">
        <f t="shared" si="18"/>
        <v>50.097600000000007</v>
      </c>
    </row>
    <row r="65" spans="1:15" ht="13.5">
      <c r="A65" s="81">
        <v>42</v>
      </c>
      <c r="B65" s="81" t="s">
        <v>2054</v>
      </c>
      <c r="C65" s="81">
        <v>0.7</v>
      </c>
      <c r="D65" s="81">
        <v>0.5</v>
      </c>
      <c r="E65" s="259">
        <v>0.65</v>
      </c>
      <c r="F65" s="148" t="s">
        <v>2072</v>
      </c>
      <c r="G65" s="81">
        <f t="shared" si="19"/>
        <v>87.93</v>
      </c>
      <c r="H65" s="81">
        <f t="shared" si="20"/>
        <v>1.08</v>
      </c>
      <c r="I65" s="81">
        <f t="shared" si="21"/>
        <v>2.6</v>
      </c>
      <c r="K65" s="81">
        <f t="shared" si="22"/>
        <v>0.45</v>
      </c>
      <c r="N65" s="81">
        <f t="shared" si="17"/>
        <v>54.6</v>
      </c>
      <c r="O65" s="81">
        <f t="shared" si="18"/>
        <v>50.097600000000007</v>
      </c>
    </row>
    <row r="66" spans="1:15" ht="13.5">
      <c r="A66" s="81">
        <v>43</v>
      </c>
      <c r="B66" s="81" t="s">
        <v>2055</v>
      </c>
      <c r="C66" s="81">
        <v>0.7</v>
      </c>
      <c r="D66" s="81">
        <v>0.5</v>
      </c>
      <c r="E66" s="259">
        <v>0.65</v>
      </c>
      <c r="F66" s="148" t="s">
        <v>2072</v>
      </c>
      <c r="G66" s="81">
        <f t="shared" si="19"/>
        <v>87.93</v>
      </c>
      <c r="H66" s="81">
        <f t="shared" si="20"/>
        <v>1.08</v>
      </c>
      <c r="I66" s="81">
        <f t="shared" si="21"/>
        <v>2.6</v>
      </c>
      <c r="K66" s="81">
        <f t="shared" si="22"/>
        <v>0.45</v>
      </c>
      <c r="N66" s="81">
        <f t="shared" si="17"/>
        <v>54.6</v>
      </c>
      <c r="O66" s="81">
        <f t="shared" si="18"/>
        <v>50.097600000000007</v>
      </c>
    </row>
    <row r="67" spans="1:15">
      <c r="A67" s="81">
        <v>44</v>
      </c>
      <c r="B67" s="81" t="s">
        <v>2056</v>
      </c>
      <c r="C67" s="81">
        <v>0.7</v>
      </c>
      <c r="D67" s="81">
        <v>0.5</v>
      </c>
      <c r="E67" s="81">
        <v>0.85</v>
      </c>
      <c r="F67" s="258"/>
      <c r="G67" s="81">
        <f t="shared" si="19"/>
        <v>101.34</v>
      </c>
      <c r="H67" s="81">
        <f t="shared" si="20"/>
        <v>1.56</v>
      </c>
      <c r="I67" s="81">
        <f t="shared" si="21"/>
        <v>3.4</v>
      </c>
      <c r="K67" s="81">
        <f t="shared" si="22"/>
        <v>0.52</v>
      </c>
      <c r="N67" s="81">
        <f t="shared" si="17"/>
        <v>54.6</v>
      </c>
      <c r="O67" s="81">
        <f t="shared" si="18"/>
        <v>50.097600000000007</v>
      </c>
    </row>
    <row r="68" spans="1:15">
      <c r="A68" s="81">
        <v>45</v>
      </c>
      <c r="B68" s="81" t="s">
        <v>2057</v>
      </c>
      <c r="C68" s="81">
        <v>0.7</v>
      </c>
      <c r="D68" s="81">
        <v>0.5</v>
      </c>
      <c r="E68" s="81">
        <v>0.85</v>
      </c>
      <c r="F68" s="258"/>
      <c r="G68" s="81">
        <f t="shared" si="19"/>
        <v>101.34</v>
      </c>
      <c r="H68" s="81">
        <f t="shared" si="20"/>
        <v>1.56</v>
      </c>
      <c r="I68" s="81">
        <f t="shared" si="21"/>
        <v>3.4</v>
      </c>
      <c r="K68" s="81">
        <f t="shared" si="22"/>
        <v>0.52</v>
      </c>
      <c r="N68" s="81">
        <f t="shared" si="17"/>
        <v>54.6</v>
      </c>
      <c r="O68" s="81">
        <f t="shared" si="18"/>
        <v>50.097600000000007</v>
      </c>
    </row>
    <row r="69" spans="1:15">
      <c r="A69" s="81">
        <v>46</v>
      </c>
      <c r="B69" s="81" t="s">
        <v>2058</v>
      </c>
      <c r="C69" s="81">
        <v>0.7</v>
      </c>
      <c r="D69" s="81">
        <v>0.5</v>
      </c>
      <c r="E69" s="81">
        <v>0.85</v>
      </c>
      <c r="F69" s="258"/>
      <c r="G69" s="81">
        <f t="shared" si="19"/>
        <v>101.34</v>
      </c>
      <c r="H69" s="81">
        <f t="shared" si="20"/>
        <v>1.56</v>
      </c>
      <c r="I69" s="81">
        <f t="shared" si="21"/>
        <v>3.4</v>
      </c>
      <c r="K69" s="81">
        <f t="shared" si="22"/>
        <v>0.52</v>
      </c>
      <c r="N69" s="81">
        <f t="shared" si="17"/>
        <v>54.6</v>
      </c>
      <c r="O69" s="81">
        <f t="shared" si="18"/>
        <v>50.097600000000007</v>
      </c>
    </row>
    <row r="70" spans="1:15">
      <c r="A70" s="81">
        <v>47</v>
      </c>
      <c r="B70" s="81" t="s">
        <v>2059</v>
      </c>
      <c r="C70" s="81">
        <v>0.7</v>
      </c>
      <c r="D70" s="81">
        <v>0.5</v>
      </c>
      <c r="E70" s="81">
        <v>0.85</v>
      </c>
      <c r="F70" s="258"/>
      <c r="G70" s="81">
        <f t="shared" si="19"/>
        <v>101.34</v>
      </c>
      <c r="H70" s="81">
        <f t="shared" si="20"/>
        <v>1.56</v>
      </c>
      <c r="I70" s="81">
        <f t="shared" si="21"/>
        <v>3.4</v>
      </c>
      <c r="K70" s="81">
        <f t="shared" si="22"/>
        <v>0.52</v>
      </c>
      <c r="N70" s="81">
        <f t="shared" si="17"/>
        <v>35.54</v>
      </c>
      <c r="O70" s="81">
        <f t="shared" si="18"/>
        <v>37.639466666666664</v>
      </c>
    </row>
    <row r="71" spans="1:15">
      <c r="A71" s="81">
        <v>48</v>
      </c>
      <c r="B71" s="81" t="s">
        <v>2060</v>
      </c>
      <c r="C71" s="81">
        <v>0.7</v>
      </c>
      <c r="D71" s="81">
        <v>0.5</v>
      </c>
      <c r="E71" s="81">
        <v>0.85</v>
      </c>
      <c r="F71" s="258"/>
      <c r="G71" s="81">
        <f t="shared" si="19"/>
        <v>101.34</v>
      </c>
      <c r="H71" s="81">
        <f t="shared" si="20"/>
        <v>1.56</v>
      </c>
      <c r="I71" s="81">
        <f t="shared" si="21"/>
        <v>3.4</v>
      </c>
      <c r="K71" s="81">
        <f t="shared" si="22"/>
        <v>0.52</v>
      </c>
      <c r="N71" s="81">
        <f t="shared" si="17"/>
        <v>48.11</v>
      </c>
      <c r="O71" s="81">
        <f t="shared" si="18"/>
        <v>45.856533333333338</v>
      </c>
    </row>
    <row r="72" spans="1:15">
      <c r="A72" s="81">
        <v>49</v>
      </c>
      <c r="B72" s="81" t="s">
        <v>2061</v>
      </c>
      <c r="C72" s="81">
        <v>0.7</v>
      </c>
      <c r="D72" s="81">
        <v>0.5</v>
      </c>
      <c r="E72" s="81">
        <v>0.28999999999999998</v>
      </c>
      <c r="F72" s="258"/>
      <c r="G72" s="81">
        <f t="shared" si="19"/>
        <v>63.79</v>
      </c>
      <c r="H72" s="81">
        <f t="shared" si="20"/>
        <v>0.21599999999999997</v>
      </c>
      <c r="I72" s="81">
        <f t="shared" si="21"/>
        <v>1.1599999999999997</v>
      </c>
      <c r="K72" s="81">
        <f t="shared" si="22"/>
        <v>0.34</v>
      </c>
      <c r="N72" s="81">
        <f t="shared" si="17"/>
        <v>35.54</v>
      </c>
      <c r="O72" s="81">
        <f t="shared" si="18"/>
        <v>37.639466666666664</v>
      </c>
    </row>
    <row r="73" spans="1:15">
      <c r="A73" s="81">
        <v>50</v>
      </c>
      <c r="B73" s="81" t="s">
        <v>2062</v>
      </c>
      <c r="C73" s="81">
        <v>0.7</v>
      </c>
      <c r="D73" s="81">
        <v>0.5</v>
      </c>
      <c r="E73" s="81">
        <v>0.28999999999999998</v>
      </c>
      <c r="G73" s="81">
        <f t="shared" si="19"/>
        <v>63.79</v>
      </c>
      <c r="H73" s="81">
        <f t="shared" si="20"/>
        <v>0.21599999999999997</v>
      </c>
      <c r="I73" s="81">
        <f t="shared" si="21"/>
        <v>1.1599999999999997</v>
      </c>
      <c r="K73" s="81">
        <f t="shared" si="22"/>
        <v>0.34</v>
      </c>
      <c r="N73" s="81">
        <f t="shared" si="17"/>
        <v>35.54</v>
      </c>
      <c r="O73" s="81">
        <f t="shared" si="18"/>
        <v>37.639466666666664</v>
      </c>
    </row>
    <row r="74" spans="1:15" ht="13.5">
      <c r="A74" s="81">
        <v>51</v>
      </c>
      <c r="B74" s="81" t="s">
        <v>2063</v>
      </c>
      <c r="C74" s="81">
        <v>0.7</v>
      </c>
      <c r="D74" s="81">
        <v>0.5</v>
      </c>
      <c r="E74" s="473">
        <v>0.7</v>
      </c>
      <c r="F74" s="148" t="s">
        <v>2072</v>
      </c>
      <c r="G74" s="81">
        <f t="shared" si="19"/>
        <v>91.28</v>
      </c>
      <c r="H74" s="81">
        <f t="shared" si="20"/>
        <v>1.2</v>
      </c>
      <c r="I74" s="81">
        <f t="shared" si="21"/>
        <v>2.7999999999999994</v>
      </c>
      <c r="K74" s="81">
        <f t="shared" si="22"/>
        <v>0.47</v>
      </c>
      <c r="N74" s="81">
        <f t="shared" si="17"/>
        <v>35.54</v>
      </c>
      <c r="O74" s="81">
        <f t="shared" si="18"/>
        <v>37.639466666666664</v>
      </c>
    </row>
    <row r="75" spans="1:15" ht="13.5">
      <c r="A75" s="81">
        <v>52</v>
      </c>
      <c r="B75" s="81" t="s">
        <v>2064</v>
      </c>
      <c r="C75" s="81">
        <v>0.7</v>
      </c>
      <c r="D75" s="81">
        <v>0.5</v>
      </c>
      <c r="E75" s="473">
        <v>0.7</v>
      </c>
      <c r="F75" s="148" t="s">
        <v>2072</v>
      </c>
      <c r="G75" s="81">
        <f t="shared" si="19"/>
        <v>91.28</v>
      </c>
      <c r="H75" s="81">
        <f t="shared" si="20"/>
        <v>1.2</v>
      </c>
      <c r="I75" s="81">
        <f t="shared" si="21"/>
        <v>2.7999999999999994</v>
      </c>
      <c r="K75" s="81">
        <f t="shared" si="22"/>
        <v>0.47</v>
      </c>
      <c r="N75" s="81">
        <f t="shared" si="17"/>
        <v>35.54</v>
      </c>
      <c r="O75" s="81">
        <f t="shared" si="18"/>
        <v>37.639466666666664</v>
      </c>
    </row>
    <row r="76" spans="1:15" ht="13.5">
      <c r="A76" s="81">
        <v>53</v>
      </c>
      <c r="B76" s="81" t="s">
        <v>2065</v>
      </c>
      <c r="C76" s="81">
        <v>0.7</v>
      </c>
      <c r="D76" s="81">
        <v>0.5</v>
      </c>
      <c r="E76" s="473">
        <v>0.7</v>
      </c>
      <c r="F76" s="148" t="s">
        <v>2072</v>
      </c>
      <c r="G76" s="81">
        <f t="shared" si="19"/>
        <v>91.28</v>
      </c>
      <c r="H76" s="81">
        <f t="shared" si="20"/>
        <v>1.2</v>
      </c>
      <c r="I76" s="81">
        <f t="shared" si="21"/>
        <v>2.7999999999999994</v>
      </c>
      <c r="K76" s="81">
        <f t="shared" si="22"/>
        <v>0.47</v>
      </c>
      <c r="N76" s="81">
        <f t="shared" si="17"/>
        <v>35.130000000000003</v>
      </c>
      <c r="O76" s="81">
        <f t="shared" si="18"/>
        <v>37.374400000000001</v>
      </c>
    </row>
    <row r="77" spans="1:15">
      <c r="A77" s="81">
        <v>54</v>
      </c>
      <c r="B77" s="470" t="s">
        <v>2071</v>
      </c>
      <c r="C77" s="470">
        <v>0.7</v>
      </c>
      <c r="D77" s="470">
        <v>0.5</v>
      </c>
      <c r="E77" s="470">
        <v>0.85</v>
      </c>
      <c r="F77" s="470"/>
      <c r="G77" s="470">
        <f t="shared" si="19"/>
        <v>101.34</v>
      </c>
      <c r="H77" s="470">
        <f t="shared" si="20"/>
        <v>1.56</v>
      </c>
      <c r="I77" s="470">
        <f t="shared" si="21"/>
        <v>3.4</v>
      </c>
      <c r="K77" s="81">
        <f t="shared" si="22"/>
        <v>0.52</v>
      </c>
      <c r="N77" s="81">
        <f t="shared" si="17"/>
        <v>35.130000000000003</v>
      </c>
      <c r="O77" s="81">
        <f t="shared" si="18"/>
        <v>37.374400000000001</v>
      </c>
    </row>
    <row r="78" spans="1:15">
      <c r="A78" s="81">
        <v>55</v>
      </c>
      <c r="B78" s="470" t="s">
        <v>2066</v>
      </c>
      <c r="C78" s="470">
        <v>0.7</v>
      </c>
      <c r="D78" s="470">
        <v>0.5</v>
      </c>
      <c r="E78" s="470">
        <v>1.05</v>
      </c>
      <c r="F78" s="470"/>
      <c r="G78" s="470">
        <f t="shared" si="19"/>
        <v>114.76</v>
      </c>
      <c r="H78" s="470">
        <f t="shared" si="20"/>
        <v>2.04</v>
      </c>
      <c r="I78" s="470">
        <f t="shared" si="21"/>
        <v>4.1999999999999993</v>
      </c>
      <c r="K78" s="81">
        <f t="shared" si="22"/>
        <v>0.57999999999999996</v>
      </c>
      <c r="N78" s="81">
        <f t="shared" si="17"/>
        <v>34.729999999999997</v>
      </c>
      <c r="O78" s="81">
        <f t="shared" si="18"/>
        <v>37.109333333333332</v>
      </c>
    </row>
    <row r="79" spans="1:15">
      <c r="A79" s="81">
        <v>56</v>
      </c>
      <c r="B79" s="470" t="s">
        <v>2067</v>
      </c>
      <c r="C79" s="470">
        <v>0.7</v>
      </c>
      <c r="D79" s="470">
        <v>0.5</v>
      </c>
      <c r="E79" s="470">
        <v>0.9</v>
      </c>
      <c r="F79" s="470"/>
      <c r="G79" s="470">
        <f t="shared" si="19"/>
        <v>104.7</v>
      </c>
      <c r="H79" s="470">
        <f t="shared" si="20"/>
        <v>1.6800000000000002</v>
      </c>
      <c r="I79" s="470">
        <f t="shared" si="21"/>
        <v>3.6</v>
      </c>
      <c r="K79" s="81">
        <f t="shared" si="22"/>
        <v>0.53</v>
      </c>
      <c r="N79" s="81">
        <f t="shared" si="17"/>
        <v>34.729999999999997</v>
      </c>
      <c r="O79" s="81">
        <f t="shared" si="18"/>
        <v>37.109333333333332</v>
      </c>
    </row>
    <row r="80" spans="1:15">
      <c r="A80" s="81">
        <v>57</v>
      </c>
      <c r="B80" s="81" t="s">
        <v>2068</v>
      </c>
      <c r="C80" s="81">
        <v>0.7</v>
      </c>
      <c r="D80" s="81">
        <v>0.5</v>
      </c>
      <c r="E80" s="81">
        <v>0.55000000000000004</v>
      </c>
      <c r="G80" s="81">
        <f t="shared" si="19"/>
        <v>81.22</v>
      </c>
      <c r="H80" s="81">
        <f t="shared" si="20"/>
        <v>0.84000000000000008</v>
      </c>
      <c r="I80" s="81">
        <f t="shared" si="21"/>
        <v>2.1999999999999997</v>
      </c>
      <c r="K80" s="81">
        <f t="shared" si="22"/>
        <v>0.42</v>
      </c>
      <c r="N80" s="81">
        <f t="shared" si="17"/>
        <v>44.46</v>
      </c>
      <c r="O80" s="81">
        <f t="shared" si="18"/>
        <v>43.470933333333335</v>
      </c>
    </row>
    <row r="81" spans="1:15">
      <c r="A81" s="81">
        <v>58</v>
      </c>
      <c r="B81" s="81" t="s">
        <v>2069</v>
      </c>
      <c r="C81" s="81">
        <v>0.7</v>
      </c>
      <c r="D81" s="81">
        <v>0.5</v>
      </c>
      <c r="E81" s="81">
        <v>0.65</v>
      </c>
      <c r="G81" s="81">
        <f t="shared" si="19"/>
        <v>87.93</v>
      </c>
      <c r="H81" s="81">
        <f t="shared" si="20"/>
        <v>1.08</v>
      </c>
      <c r="I81" s="81">
        <f t="shared" si="21"/>
        <v>2.6</v>
      </c>
      <c r="K81" s="81">
        <f t="shared" si="22"/>
        <v>0.45</v>
      </c>
      <c r="N81" s="81">
        <f t="shared" si="17"/>
        <v>44.46</v>
      </c>
      <c r="O81" s="81">
        <f t="shared" si="18"/>
        <v>43.470933333333335</v>
      </c>
    </row>
    <row r="82" spans="1:15">
      <c r="A82" s="81">
        <v>59</v>
      </c>
      <c r="B82" s="81" t="s">
        <v>2070</v>
      </c>
      <c r="C82" s="81">
        <v>0.7</v>
      </c>
      <c r="D82" s="81">
        <v>0.5</v>
      </c>
      <c r="E82" s="81">
        <v>0.55000000000000004</v>
      </c>
      <c r="G82" s="81">
        <f t="shared" si="19"/>
        <v>81.22</v>
      </c>
      <c r="H82" s="81">
        <f t="shared" si="20"/>
        <v>0.84000000000000008</v>
      </c>
      <c r="I82" s="81">
        <f t="shared" si="21"/>
        <v>2.1999999999999997</v>
      </c>
      <c r="K82" s="81">
        <f t="shared" si="22"/>
        <v>0.42</v>
      </c>
      <c r="N82" s="81">
        <f t="shared" si="17"/>
        <v>52.57</v>
      </c>
      <c r="O82" s="81">
        <f t="shared" si="18"/>
        <v>48.772266666666667</v>
      </c>
    </row>
    <row r="83" spans="1:15" ht="13.5">
      <c r="F83" s="148" t="s">
        <v>142</v>
      </c>
      <c r="G83" s="81">
        <f>SUM(G24:G82)</f>
        <v>5250.1299999999992</v>
      </c>
      <c r="H83" s="81">
        <f>SUM(H24:H82)</f>
        <v>70.080000000000027</v>
      </c>
      <c r="I83" s="81">
        <f>SUM(I24:I82)</f>
        <v>162.39999999999995</v>
      </c>
      <c r="K83" s="81">
        <f>SUM(K24:K82)</f>
        <v>26.909999999999986</v>
      </c>
      <c r="N83" s="81">
        <f t="shared" si="17"/>
        <v>52.57</v>
      </c>
      <c r="O83" s="81">
        <f t="shared" si="18"/>
        <v>48.772266666666667</v>
      </c>
    </row>
    <row r="84" spans="1:15">
      <c r="N84" s="81">
        <f t="shared" si="17"/>
        <v>52.57</v>
      </c>
      <c r="O84" s="81">
        <f t="shared" si="18"/>
        <v>48.772266666666667</v>
      </c>
    </row>
    <row r="85" spans="1:15">
      <c r="N85" s="81">
        <f t="shared" si="17"/>
        <v>52.57</v>
      </c>
      <c r="O85" s="81">
        <f t="shared" si="18"/>
        <v>48.772266666666667</v>
      </c>
    </row>
    <row r="86" spans="1:15">
      <c r="N86" s="81">
        <f t="shared" si="17"/>
        <v>52.57</v>
      </c>
      <c r="O86" s="81">
        <f t="shared" si="18"/>
        <v>48.772266666666667</v>
      </c>
    </row>
    <row r="87" spans="1:15">
      <c r="N87" s="81">
        <f t="shared" si="17"/>
        <v>29.86</v>
      </c>
      <c r="O87" s="81">
        <f t="shared" si="18"/>
        <v>33.928533333333341</v>
      </c>
    </row>
    <row r="88" spans="1:15">
      <c r="F88" s="81" t="s">
        <v>2102</v>
      </c>
      <c r="G88" s="81" t="s">
        <v>2103</v>
      </c>
      <c r="N88" s="81">
        <f t="shared" si="17"/>
        <v>29.86</v>
      </c>
      <c r="O88" s="81">
        <f t="shared" si="18"/>
        <v>33.928533333333341</v>
      </c>
    </row>
    <row r="89" spans="1:15">
      <c r="C89" s="81" t="s">
        <v>1770</v>
      </c>
      <c r="D89" s="81" t="s">
        <v>2104</v>
      </c>
      <c r="E89" s="81" t="s">
        <v>2105</v>
      </c>
      <c r="F89" s="81" t="s">
        <v>2106</v>
      </c>
      <c r="G89" s="81" t="s">
        <v>2107</v>
      </c>
      <c r="H89" s="81" t="s">
        <v>2108</v>
      </c>
      <c r="I89" s="81" t="s">
        <v>2109</v>
      </c>
      <c r="N89" s="81">
        <f t="shared" si="17"/>
        <v>46.49</v>
      </c>
      <c r="O89" s="81">
        <f t="shared" si="18"/>
        <v>44.796266666666668</v>
      </c>
    </row>
    <row r="90" spans="1:15">
      <c r="B90" s="81" t="s">
        <v>2110</v>
      </c>
      <c r="C90" s="81">
        <f>N12</f>
        <v>731.4</v>
      </c>
      <c r="D90" s="81">
        <f t="shared" ref="D90:I90" si="23">O12</f>
        <v>22279.3</v>
      </c>
      <c r="E90" s="81">
        <f t="shared" si="23"/>
        <v>19337.39</v>
      </c>
      <c r="F90" s="81">
        <f t="shared" si="23"/>
        <v>819.75</v>
      </c>
      <c r="G90" s="81">
        <f t="shared" si="23"/>
        <v>1265.8</v>
      </c>
      <c r="H90" s="81">
        <f t="shared" si="23"/>
        <v>438.84000000000003</v>
      </c>
      <c r="I90" s="81">
        <f t="shared" si="23"/>
        <v>350.52</v>
      </c>
      <c r="N90" s="81">
        <f t="shared" si="17"/>
        <v>46.49</v>
      </c>
      <c r="O90" s="81">
        <f t="shared" si="18"/>
        <v>44.796266666666668</v>
      </c>
    </row>
    <row r="91" spans="1:15" ht="13.5">
      <c r="B91" s="148" t="s">
        <v>2111</v>
      </c>
      <c r="D91" s="81">
        <f>G83</f>
        <v>5250.1299999999992</v>
      </c>
      <c r="F91" s="81">
        <f>H83</f>
        <v>70.080000000000027</v>
      </c>
      <c r="G91" s="81">
        <f>I83</f>
        <v>162.39999999999995</v>
      </c>
      <c r="I91" s="81">
        <f>K83</f>
        <v>26.909999999999986</v>
      </c>
      <c r="N91" s="81">
        <f t="shared" si="17"/>
        <v>46.49</v>
      </c>
      <c r="O91" s="81">
        <f t="shared" si="18"/>
        <v>44.796266666666668</v>
      </c>
    </row>
    <row r="92" spans="1:15" ht="13.5">
      <c r="B92" s="81" t="s">
        <v>2112</v>
      </c>
      <c r="D92" s="1038">
        <f>D90+E90+D91</f>
        <v>46866.82</v>
      </c>
      <c r="E92" s="1038"/>
      <c r="F92" s="81">
        <f>F90+F91</f>
        <v>889.83</v>
      </c>
      <c r="G92" s="81">
        <f>G90+G91</f>
        <v>1428.1999999999998</v>
      </c>
      <c r="H92" s="81">
        <f>H90+H91</f>
        <v>438.84000000000003</v>
      </c>
      <c r="I92" s="81">
        <f>I90+I91</f>
        <v>377.42999999999995</v>
      </c>
      <c r="N92" s="81">
        <f t="shared" si="17"/>
        <v>52.57</v>
      </c>
      <c r="O92" s="81">
        <f t="shared" si="18"/>
        <v>48.772266666666667</v>
      </c>
    </row>
    <row r="93" spans="1:15" ht="13.5">
      <c r="A93" s="81" t="s">
        <v>2110</v>
      </c>
      <c r="B93" s="246" t="s">
        <v>2286</v>
      </c>
      <c r="C93" s="245" t="s">
        <v>2282</v>
      </c>
      <c r="D93" s="81">
        <f>I90*3.2</f>
        <v>1121.664</v>
      </c>
      <c r="E93" s="314" t="s">
        <v>2483</v>
      </c>
      <c r="F93" s="315"/>
      <c r="N93" s="81">
        <f t="shared" si="17"/>
        <v>60.68</v>
      </c>
      <c r="O93" s="81">
        <f t="shared" si="18"/>
        <v>54.073600000000006</v>
      </c>
    </row>
    <row r="94" spans="1:15" ht="13.5">
      <c r="A94" s="148" t="s">
        <v>2111</v>
      </c>
      <c r="B94" s="246" t="s">
        <v>2286</v>
      </c>
      <c r="C94" s="245" t="s">
        <v>2282</v>
      </c>
      <c r="D94" s="81">
        <f>I91*3.2</f>
        <v>86.111999999999966</v>
      </c>
      <c r="E94" s="314" t="s">
        <v>2483</v>
      </c>
      <c r="N94" s="81">
        <f t="shared" si="17"/>
        <v>54.6</v>
      </c>
      <c r="O94" s="81">
        <f t="shared" si="18"/>
        <v>50.097600000000007</v>
      </c>
    </row>
    <row r="95" spans="1:15">
      <c r="N95" s="81">
        <f t="shared" si="17"/>
        <v>40.4</v>
      </c>
      <c r="O95" s="81">
        <f t="shared" si="18"/>
        <v>40.820266666666669</v>
      </c>
    </row>
    <row r="96" spans="1:15">
      <c r="N96" s="81">
        <f t="shared" si="17"/>
        <v>44.46</v>
      </c>
      <c r="O96" s="81">
        <f t="shared" si="18"/>
        <v>43.470933333333335</v>
      </c>
    </row>
    <row r="97" spans="13:15">
      <c r="N97" s="81">
        <f t="shared" si="17"/>
        <v>40.4</v>
      </c>
      <c r="O97" s="81">
        <f t="shared" si="18"/>
        <v>40.820266666666669</v>
      </c>
    </row>
    <row r="98" spans="13:15" ht="13.5">
      <c r="M98" s="148" t="s">
        <v>2076</v>
      </c>
      <c r="N98" s="81">
        <f>SUM(N39:N97)</f>
        <v>2678.2099999999991</v>
      </c>
      <c r="O98" s="81">
        <f>SUM(O39:O97)</f>
        <v>2571.9418666666679</v>
      </c>
    </row>
    <row r="99" spans="13:15" ht="13.5">
      <c r="M99" s="148" t="s">
        <v>142</v>
      </c>
      <c r="N99" s="81">
        <f>N37+N98</f>
        <v>15842.49</v>
      </c>
      <c r="O99" s="81">
        <f>O37+O98</f>
        <v>31024.35162666667</v>
      </c>
    </row>
  </sheetData>
  <mergeCells count="2">
    <mergeCell ref="O13:P13"/>
    <mergeCell ref="D92:E92"/>
  </mergeCells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7EEE7-675A-4EF4-A191-D77BCA041091}">
  <dimension ref="A1:U50"/>
  <sheetViews>
    <sheetView zoomScale="112" zoomScaleNormal="112" workbookViewId="0">
      <selection activeCell="L22" sqref="L22"/>
    </sheetView>
  </sheetViews>
  <sheetFormatPr defaultColWidth="9.140625" defaultRowHeight="12.75"/>
  <cols>
    <col min="1" max="2" width="9.140625" style="82"/>
    <col min="3" max="3" width="12.7109375" style="82" customWidth="1"/>
    <col min="4" max="4" width="7.7109375" style="81" customWidth="1"/>
    <col min="5" max="5" width="7.5703125" style="82" customWidth="1"/>
    <col min="6" max="6" width="14.7109375" style="82" customWidth="1"/>
    <col min="7" max="7" width="22.28515625" style="82" customWidth="1"/>
    <col min="8" max="8" width="6.7109375" style="82" customWidth="1"/>
    <col min="9" max="9" width="9.140625" style="81"/>
    <col min="10" max="17" width="9.140625" style="82"/>
    <col min="18" max="18" width="17" style="82" customWidth="1"/>
    <col min="19" max="16384" width="9.140625" style="82"/>
  </cols>
  <sheetData>
    <row r="1" spans="1:21">
      <c r="A1" s="1039" t="s">
        <v>2748</v>
      </c>
      <c r="B1" s="1039"/>
      <c r="C1" s="1039"/>
      <c r="D1" s="1039"/>
      <c r="E1" s="1039"/>
      <c r="F1" s="1039"/>
      <c r="G1" s="81"/>
      <c r="M1" s="91"/>
      <c r="N1" s="731" t="s">
        <v>2750</v>
      </c>
      <c r="O1" s="731" t="s">
        <v>2751</v>
      </c>
      <c r="P1" s="731" t="s">
        <v>2822</v>
      </c>
      <c r="Q1" s="732" t="s">
        <v>2823</v>
      </c>
      <c r="R1" s="731" t="s">
        <v>2753</v>
      </c>
    </row>
    <row r="2" spans="1:21">
      <c r="A2" s="90" t="s">
        <v>2749</v>
      </c>
      <c r="B2" s="90" t="s">
        <v>2750</v>
      </c>
      <c r="C2" s="90" t="s">
        <v>2751</v>
      </c>
      <c r="D2" s="90" t="s">
        <v>2752</v>
      </c>
      <c r="E2" s="686" t="s">
        <v>1800</v>
      </c>
      <c r="F2" s="90" t="s">
        <v>2753</v>
      </c>
      <c r="G2" s="90"/>
      <c r="M2" s="91">
        <v>1</v>
      </c>
      <c r="N2" s="90" t="s">
        <v>2824</v>
      </c>
      <c r="O2" s="90" t="s">
        <v>2825</v>
      </c>
      <c r="P2" s="693">
        <v>13</v>
      </c>
      <c r="Q2" s="686">
        <v>3.8</v>
      </c>
      <c r="R2" s="90" t="s">
        <v>2826</v>
      </c>
      <c r="T2" s="82" t="s">
        <v>2827</v>
      </c>
      <c r="U2" s="307">
        <v>2</v>
      </c>
    </row>
    <row r="3" spans="1:21">
      <c r="A3" s="90">
        <v>1</v>
      </c>
      <c r="B3" s="90" t="s">
        <v>2754</v>
      </c>
      <c r="C3" s="90" t="s">
        <v>2755</v>
      </c>
      <c r="D3" s="687">
        <v>18</v>
      </c>
      <c r="E3" s="686">
        <v>5.3</v>
      </c>
      <c r="F3" s="90" t="s">
        <v>2756</v>
      </c>
      <c r="G3" s="90"/>
      <c r="H3" s="312">
        <v>1</v>
      </c>
      <c r="I3" s="688" t="s">
        <v>2757</v>
      </c>
      <c r="J3" s="81">
        <f>H5+H9+H15+H28+H31+H32+H33+H34+H35+H36+H37+H38+H42+H43+H46</f>
        <v>15</v>
      </c>
      <c r="M3" s="91">
        <v>2</v>
      </c>
      <c r="N3" s="90" t="s">
        <v>2828</v>
      </c>
      <c r="O3" s="90" t="s">
        <v>2825</v>
      </c>
      <c r="P3" s="693">
        <v>12</v>
      </c>
      <c r="Q3" s="686">
        <v>2.9</v>
      </c>
      <c r="R3" s="90" t="s">
        <v>2826</v>
      </c>
      <c r="T3" s="82" t="s">
        <v>2829</v>
      </c>
      <c r="U3" s="694">
        <v>7</v>
      </c>
    </row>
    <row r="4" spans="1:21" ht="16.5">
      <c r="A4" s="90">
        <v>2</v>
      </c>
      <c r="B4" s="90" t="s">
        <v>2758</v>
      </c>
      <c r="C4" s="90" t="s">
        <v>2755</v>
      </c>
      <c r="D4" s="687">
        <v>18</v>
      </c>
      <c r="E4" s="686">
        <v>5.9</v>
      </c>
      <c r="F4" s="90" t="s">
        <v>2756</v>
      </c>
      <c r="G4" s="90"/>
      <c r="H4" s="312">
        <v>1</v>
      </c>
      <c r="I4" s="689" t="s">
        <v>2759</v>
      </c>
      <c r="J4" s="81">
        <f>H12+H48</f>
        <v>2</v>
      </c>
      <c r="M4" s="91">
        <v>3</v>
      </c>
      <c r="N4" s="90" t="s">
        <v>2830</v>
      </c>
      <c r="O4" s="90" t="s">
        <v>2831</v>
      </c>
      <c r="P4" s="733">
        <v>8</v>
      </c>
      <c r="Q4" s="686">
        <v>3</v>
      </c>
      <c r="R4" s="90" t="s">
        <v>2826</v>
      </c>
      <c r="T4" s="734" t="s">
        <v>2832</v>
      </c>
      <c r="U4" s="574">
        <v>3</v>
      </c>
    </row>
    <row r="5" spans="1:21">
      <c r="A5" s="90">
        <v>3</v>
      </c>
      <c r="B5" s="90" t="s">
        <v>2760</v>
      </c>
      <c r="C5" s="90" t="s">
        <v>2755</v>
      </c>
      <c r="D5" s="690">
        <v>6</v>
      </c>
      <c r="E5" s="686">
        <v>4.5999999999999996</v>
      </c>
      <c r="F5" s="90" t="s">
        <v>2756</v>
      </c>
      <c r="G5" s="90"/>
      <c r="H5" s="557">
        <v>1</v>
      </c>
      <c r="I5" s="691" t="s">
        <v>2761</v>
      </c>
      <c r="J5" s="81">
        <f>H3+H4+H6+H11+H17+H19+H21+H29+H40</f>
        <v>9</v>
      </c>
      <c r="M5" s="91">
        <v>4</v>
      </c>
      <c r="N5" s="90" t="s">
        <v>2833</v>
      </c>
      <c r="O5" s="90" t="s">
        <v>2831</v>
      </c>
      <c r="P5" s="693">
        <v>19</v>
      </c>
      <c r="Q5" s="686">
        <v>3</v>
      </c>
      <c r="R5" s="90" t="s">
        <v>2826</v>
      </c>
      <c r="T5" s="82" t="s">
        <v>2834</v>
      </c>
      <c r="U5" s="739">
        <v>6</v>
      </c>
    </row>
    <row r="6" spans="1:21">
      <c r="A6" s="90">
        <v>4</v>
      </c>
      <c r="B6" s="90" t="s">
        <v>2762</v>
      </c>
      <c r="C6" s="90" t="s">
        <v>2755</v>
      </c>
      <c r="D6" s="687">
        <v>17</v>
      </c>
      <c r="E6" s="686">
        <v>6</v>
      </c>
      <c r="F6" s="90" t="s">
        <v>2756</v>
      </c>
      <c r="G6" s="90"/>
      <c r="H6" s="312">
        <v>1</v>
      </c>
      <c r="I6" s="692" t="s">
        <v>2763</v>
      </c>
      <c r="J6" s="81">
        <f>H7+H14+H16+H18+H20+H27+H30+H47</f>
        <v>8</v>
      </c>
      <c r="M6" s="91">
        <v>5</v>
      </c>
      <c r="N6" s="90" t="s">
        <v>2835</v>
      </c>
      <c r="O6" s="90" t="s">
        <v>2836</v>
      </c>
      <c r="P6" s="740">
        <v>50</v>
      </c>
      <c r="Q6" s="686">
        <v>4.0999999999999996</v>
      </c>
      <c r="R6" s="90" t="s">
        <v>2826</v>
      </c>
      <c r="U6" s="82">
        <f>SUM(U2:U5)</f>
        <v>18</v>
      </c>
    </row>
    <row r="7" spans="1:21" ht="13.5">
      <c r="A7" s="90">
        <v>5</v>
      </c>
      <c r="B7" s="90" t="s">
        <v>2764</v>
      </c>
      <c r="C7" s="90" t="s">
        <v>2765</v>
      </c>
      <c r="D7" s="693">
        <v>24</v>
      </c>
      <c r="E7" s="686">
        <v>4.4000000000000004</v>
      </c>
      <c r="F7" s="90" t="s">
        <v>2756</v>
      </c>
      <c r="G7" s="90"/>
      <c r="H7" s="694">
        <v>1</v>
      </c>
      <c r="I7" s="695" t="s">
        <v>2766</v>
      </c>
      <c r="J7" s="81">
        <f>H13+H22+H24+H26+H44</f>
        <v>5</v>
      </c>
      <c r="M7" s="91">
        <v>6</v>
      </c>
      <c r="N7" s="90" t="s">
        <v>2837</v>
      </c>
      <c r="O7" s="90" t="s">
        <v>2838</v>
      </c>
      <c r="P7" s="693">
        <v>12</v>
      </c>
      <c r="Q7" s="686">
        <v>7.6</v>
      </c>
      <c r="R7" s="90" t="s">
        <v>2826</v>
      </c>
      <c r="T7" s="556" t="s">
        <v>2856</v>
      </c>
    </row>
    <row r="8" spans="1:21" ht="13.5">
      <c r="A8" s="90">
        <v>6</v>
      </c>
      <c r="B8" s="90" t="s">
        <v>2767</v>
      </c>
      <c r="C8" s="90" t="s">
        <v>2768</v>
      </c>
      <c r="D8" s="696">
        <v>46</v>
      </c>
      <c r="E8" s="686">
        <v>9.6999999999999993</v>
      </c>
      <c r="F8" s="90" t="s">
        <v>2756</v>
      </c>
      <c r="G8" s="90"/>
      <c r="H8" s="697">
        <v>1</v>
      </c>
      <c r="I8" s="698" t="s">
        <v>2769</v>
      </c>
      <c r="J8" s="81">
        <f>H23+H25+H45</f>
        <v>3</v>
      </c>
      <c r="M8" s="91">
        <v>7</v>
      </c>
      <c r="N8" s="90" t="s">
        <v>2839</v>
      </c>
      <c r="O8" s="90" t="s">
        <v>2825</v>
      </c>
      <c r="P8" s="738">
        <v>21</v>
      </c>
      <c r="Q8" s="686">
        <v>4.5999999999999996</v>
      </c>
      <c r="R8" s="90" t="s">
        <v>2826</v>
      </c>
      <c r="T8" s="556" t="s">
        <v>2857</v>
      </c>
    </row>
    <row r="9" spans="1:21" ht="13.5">
      <c r="A9" s="90">
        <v>7</v>
      </c>
      <c r="B9" s="90" t="s">
        <v>2770</v>
      </c>
      <c r="C9" s="90" t="s">
        <v>2755</v>
      </c>
      <c r="D9" s="690">
        <v>7</v>
      </c>
      <c r="E9" s="686">
        <v>3.6</v>
      </c>
      <c r="F9" s="90" t="s">
        <v>2756</v>
      </c>
      <c r="G9" s="90"/>
      <c r="H9" s="557">
        <v>1</v>
      </c>
      <c r="I9" s="699" t="s">
        <v>2771</v>
      </c>
      <c r="J9" s="81">
        <f>H8+H39</f>
        <v>2</v>
      </c>
      <c r="M9" s="91">
        <v>8</v>
      </c>
      <c r="N9" s="90" t="s">
        <v>2840</v>
      </c>
      <c r="O9" s="90" t="s">
        <v>2768</v>
      </c>
      <c r="P9" s="740">
        <v>59</v>
      </c>
      <c r="Q9" s="686">
        <v>13.1</v>
      </c>
      <c r="R9" s="772" t="s">
        <v>2841</v>
      </c>
    </row>
    <row r="10" spans="1:21" ht="13.5">
      <c r="A10" s="90">
        <v>8</v>
      </c>
      <c r="B10" s="90" t="s">
        <v>2772</v>
      </c>
      <c r="C10" s="90" t="s">
        <v>2773</v>
      </c>
      <c r="D10" s="700">
        <v>53</v>
      </c>
      <c r="E10" s="686">
        <v>11.6</v>
      </c>
      <c r="F10" s="90" t="s">
        <v>2756</v>
      </c>
      <c r="G10" s="90"/>
      <c r="H10" s="701">
        <v>1</v>
      </c>
      <c r="I10" s="702" t="s">
        <v>2774</v>
      </c>
      <c r="J10" s="81">
        <f>H10</f>
        <v>1</v>
      </c>
      <c r="M10" s="91">
        <v>9</v>
      </c>
      <c r="N10" s="90" t="s">
        <v>2842</v>
      </c>
      <c r="O10" s="90" t="s">
        <v>2755</v>
      </c>
      <c r="P10" s="693">
        <v>17</v>
      </c>
      <c r="Q10" s="90">
        <v>5.0999999999999996</v>
      </c>
      <c r="R10" s="772" t="s">
        <v>2843</v>
      </c>
    </row>
    <row r="11" spans="1:21" ht="13.5">
      <c r="A11" s="90">
        <v>9</v>
      </c>
      <c r="B11" s="90" t="s">
        <v>2775</v>
      </c>
      <c r="C11" s="90" t="s">
        <v>2755</v>
      </c>
      <c r="D11" s="687">
        <v>17</v>
      </c>
      <c r="E11" s="686">
        <v>5.0999999999999996</v>
      </c>
      <c r="F11" s="90" t="s">
        <v>2756</v>
      </c>
      <c r="G11" s="736" t="s">
        <v>2855</v>
      </c>
      <c r="H11" s="312">
        <v>1</v>
      </c>
      <c r="I11" s="703" t="s">
        <v>2776</v>
      </c>
      <c r="J11" s="81">
        <f>H41</f>
        <v>1</v>
      </c>
      <c r="M11" s="91">
        <v>10</v>
      </c>
      <c r="N11" s="90" t="s">
        <v>2844</v>
      </c>
      <c r="O11" s="90" t="s">
        <v>2836</v>
      </c>
      <c r="P11" s="740">
        <v>49</v>
      </c>
      <c r="Q11" s="90">
        <v>8.5</v>
      </c>
      <c r="R11" s="90" t="s">
        <v>2843</v>
      </c>
    </row>
    <row r="12" spans="1:21">
      <c r="A12" s="90">
        <v>10</v>
      </c>
      <c r="B12" s="90" t="s">
        <v>2777</v>
      </c>
      <c r="C12" s="90" t="s">
        <v>2755</v>
      </c>
      <c r="D12" s="704">
        <v>13</v>
      </c>
      <c r="E12" s="686">
        <v>5.0999999999999996</v>
      </c>
      <c r="F12" s="90" t="s">
        <v>2756</v>
      </c>
      <c r="G12" s="90"/>
      <c r="H12" s="705">
        <v>1</v>
      </c>
      <c r="I12" s="81" t="s">
        <v>1704</v>
      </c>
      <c r="J12" s="81">
        <f>SUM(J3:J11)</f>
        <v>46</v>
      </c>
      <c r="K12" s="82" t="s">
        <v>2778</v>
      </c>
      <c r="M12" s="91">
        <v>11</v>
      </c>
      <c r="N12" s="90" t="s">
        <v>2845</v>
      </c>
      <c r="O12" s="90" t="s">
        <v>2755</v>
      </c>
      <c r="P12" s="738">
        <v>20</v>
      </c>
      <c r="Q12" s="90">
        <v>6.8</v>
      </c>
      <c r="R12" s="90" t="s">
        <v>2843</v>
      </c>
    </row>
    <row r="13" spans="1:21">
      <c r="A13" s="90">
        <v>11</v>
      </c>
      <c r="B13" s="90" t="s">
        <v>2779</v>
      </c>
      <c r="C13" s="90" t="s">
        <v>2780</v>
      </c>
      <c r="D13" s="706">
        <v>28</v>
      </c>
      <c r="E13" s="686">
        <v>8.8000000000000007</v>
      </c>
      <c r="F13" s="90" t="s">
        <v>2756</v>
      </c>
      <c r="G13" s="90"/>
      <c r="H13" s="707">
        <v>1</v>
      </c>
      <c r="J13" s="81"/>
      <c r="M13" s="91">
        <v>12</v>
      </c>
      <c r="N13" s="90" t="s">
        <v>2846</v>
      </c>
      <c r="O13" s="90" t="s">
        <v>2755</v>
      </c>
      <c r="P13" s="693">
        <v>16</v>
      </c>
      <c r="Q13" s="90">
        <v>5</v>
      </c>
      <c r="R13" s="90" t="s">
        <v>2843</v>
      </c>
    </row>
    <row r="14" spans="1:21">
      <c r="A14" s="90">
        <v>12</v>
      </c>
      <c r="B14" s="90" t="s">
        <v>2781</v>
      </c>
      <c r="C14" s="90" t="s">
        <v>2773</v>
      </c>
      <c r="D14" s="693">
        <v>20</v>
      </c>
      <c r="E14" s="686">
        <v>6.7</v>
      </c>
      <c r="F14" s="90" t="s">
        <v>2756</v>
      </c>
      <c r="G14" s="90"/>
      <c r="H14" s="694">
        <v>1</v>
      </c>
      <c r="J14" s="81"/>
      <c r="M14" s="91">
        <v>13</v>
      </c>
      <c r="N14" s="90" t="s">
        <v>2800</v>
      </c>
      <c r="O14" s="90" t="s">
        <v>2801</v>
      </c>
      <c r="P14" s="733">
        <v>7</v>
      </c>
      <c r="Q14" s="686">
        <v>3.7</v>
      </c>
      <c r="R14" s="90" t="s">
        <v>2843</v>
      </c>
    </row>
    <row r="15" spans="1:21">
      <c r="A15" s="90">
        <v>13</v>
      </c>
      <c r="B15" s="90" t="s">
        <v>2782</v>
      </c>
      <c r="C15" s="90" t="s">
        <v>2783</v>
      </c>
      <c r="D15" s="690">
        <v>9</v>
      </c>
      <c r="E15" s="686">
        <v>5.5</v>
      </c>
      <c r="F15" s="90" t="s">
        <v>2756</v>
      </c>
      <c r="G15" s="90"/>
      <c r="H15" s="557">
        <v>1</v>
      </c>
      <c r="J15" s="81"/>
      <c r="M15" s="91">
        <v>14</v>
      </c>
      <c r="N15" s="90" t="s">
        <v>2847</v>
      </c>
      <c r="O15" s="90" t="s">
        <v>2801</v>
      </c>
      <c r="P15" s="693">
        <v>10</v>
      </c>
      <c r="Q15" s="90">
        <v>2.1</v>
      </c>
      <c r="R15" s="90" t="s">
        <v>2843</v>
      </c>
    </row>
    <row r="16" spans="1:21">
      <c r="A16" s="90">
        <v>14</v>
      </c>
      <c r="B16" s="90" t="s">
        <v>2784</v>
      </c>
      <c r="C16" s="90" t="s">
        <v>2773</v>
      </c>
      <c r="D16" s="693">
        <v>20</v>
      </c>
      <c r="E16" s="686">
        <v>7.8</v>
      </c>
      <c r="F16" s="90" t="s">
        <v>2756</v>
      </c>
      <c r="G16" s="90"/>
      <c r="H16" s="694">
        <v>1</v>
      </c>
      <c r="J16" s="81"/>
      <c r="M16" s="91">
        <v>15</v>
      </c>
      <c r="N16" s="90" t="s">
        <v>2848</v>
      </c>
      <c r="O16" s="90" t="s">
        <v>2768</v>
      </c>
      <c r="P16" s="740">
        <v>56</v>
      </c>
      <c r="Q16" s="90">
        <v>7.4</v>
      </c>
      <c r="R16" s="90" t="s">
        <v>2849</v>
      </c>
    </row>
    <row r="17" spans="1:18">
      <c r="A17" s="90">
        <v>15</v>
      </c>
      <c r="B17" s="90" t="s">
        <v>2785</v>
      </c>
      <c r="C17" s="90" t="s">
        <v>2786</v>
      </c>
      <c r="D17" s="687">
        <v>17</v>
      </c>
      <c r="E17" s="686">
        <v>6.8</v>
      </c>
      <c r="F17" s="90" t="s">
        <v>2756</v>
      </c>
      <c r="G17" s="90"/>
      <c r="H17" s="312">
        <v>1</v>
      </c>
      <c r="J17" s="81"/>
      <c r="M17" s="91">
        <v>16</v>
      </c>
      <c r="N17" s="90" t="s">
        <v>2850</v>
      </c>
      <c r="O17" s="90" t="s">
        <v>2768</v>
      </c>
      <c r="P17" s="740">
        <v>40</v>
      </c>
      <c r="Q17" s="90">
        <v>10.9</v>
      </c>
      <c r="R17" s="90" t="s">
        <v>2849</v>
      </c>
    </row>
    <row r="18" spans="1:18">
      <c r="A18" s="90">
        <v>16</v>
      </c>
      <c r="B18" s="90" t="s">
        <v>2787</v>
      </c>
      <c r="C18" s="90" t="s">
        <v>2786</v>
      </c>
      <c r="D18" s="693">
        <v>21</v>
      </c>
      <c r="E18" s="686">
        <v>6.1</v>
      </c>
      <c r="F18" s="90" t="s">
        <v>2756</v>
      </c>
      <c r="G18" s="90"/>
      <c r="H18" s="694">
        <v>1</v>
      </c>
      <c r="J18" s="81"/>
      <c r="M18" s="91">
        <v>17</v>
      </c>
      <c r="N18" s="90" t="s">
        <v>2851</v>
      </c>
      <c r="O18" s="90" t="s">
        <v>2852</v>
      </c>
      <c r="P18" s="738">
        <v>36</v>
      </c>
      <c r="Q18" s="90">
        <v>7.9</v>
      </c>
      <c r="R18" s="90" t="s">
        <v>2849</v>
      </c>
    </row>
    <row r="19" spans="1:18" ht="16.5">
      <c r="A19" s="90">
        <v>17</v>
      </c>
      <c r="B19" s="90" t="s">
        <v>2788</v>
      </c>
      <c r="C19" s="90" t="s">
        <v>2789</v>
      </c>
      <c r="D19" s="687">
        <v>18</v>
      </c>
      <c r="E19" s="686">
        <v>6.9</v>
      </c>
      <c r="F19" s="90" t="s">
        <v>2756</v>
      </c>
      <c r="G19" s="90"/>
      <c r="H19" s="312">
        <v>1</v>
      </c>
      <c r="M19" s="91">
        <v>18</v>
      </c>
      <c r="N19" s="90" t="s">
        <v>2853</v>
      </c>
      <c r="O19" s="735" t="s">
        <v>2854</v>
      </c>
      <c r="P19" s="740">
        <v>59</v>
      </c>
      <c r="Q19" s="90">
        <v>11.1</v>
      </c>
      <c r="R19" s="90" t="s">
        <v>2849</v>
      </c>
    </row>
    <row r="20" spans="1:18" ht="13.5">
      <c r="A20" s="90">
        <v>18</v>
      </c>
      <c r="B20" s="90" t="s">
        <v>2790</v>
      </c>
      <c r="C20" s="90" t="s">
        <v>2755</v>
      </c>
      <c r="D20" s="693">
        <v>20</v>
      </c>
      <c r="E20" s="686">
        <v>6.8</v>
      </c>
      <c r="F20" s="90" t="s">
        <v>2756</v>
      </c>
      <c r="G20" s="736" t="s">
        <v>2855</v>
      </c>
      <c r="H20" s="694">
        <v>1</v>
      </c>
      <c r="M20" s="91"/>
      <c r="N20" s="90"/>
      <c r="O20" s="90"/>
      <c r="P20" s="90"/>
      <c r="Q20" s="90"/>
      <c r="R20" s="91"/>
    </row>
    <row r="21" spans="1:18">
      <c r="A21" s="90">
        <v>19</v>
      </c>
      <c r="B21" s="90" t="s">
        <v>2791</v>
      </c>
      <c r="C21" s="90" t="s">
        <v>2755</v>
      </c>
      <c r="D21" s="687">
        <v>17</v>
      </c>
      <c r="E21" s="686">
        <v>9.3000000000000007</v>
      </c>
      <c r="F21" s="90" t="s">
        <v>2756</v>
      </c>
      <c r="G21" s="90"/>
      <c r="H21" s="312">
        <v>1</v>
      </c>
      <c r="M21" s="91"/>
      <c r="N21" s="90"/>
      <c r="O21" s="90"/>
      <c r="P21" s="90"/>
      <c r="Q21" s="90"/>
      <c r="R21" s="91"/>
    </row>
    <row r="22" spans="1:18">
      <c r="A22" s="90">
        <v>20</v>
      </c>
      <c r="B22" s="90" t="s">
        <v>2792</v>
      </c>
      <c r="C22" s="90" t="s">
        <v>2780</v>
      </c>
      <c r="D22" s="706">
        <v>25</v>
      </c>
      <c r="E22" s="686">
        <v>9</v>
      </c>
      <c r="F22" s="90" t="s">
        <v>2756</v>
      </c>
      <c r="G22" s="90" t="s">
        <v>2793</v>
      </c>
      <c r="H22" s="707">
        <v>1</v>
      </c>
      <c r="M22" s="91"/>
      <c r="N22" s="90"/>
      <c r="O22" s="90"/>
      <c r="P22" s="90"/>
      <c r="Q22" s="90"/>
      <c r="R22" s="91"/>
    </row>
    <row r="23" spans="1:18">
      <c r="A23" s="90">
        <v>21</v>
      </c>
      <c r="B23" s="90" t="s">
        <v>2794</v>
      </c>
      <c r="C23" s="90" t="s">
        <v>2780</v>
      </c>
      <c r="D23" s="708">
        <v>34</v>
      </c>
      <c r="E23" s="686">
        <v>9.8000000000000007</v>
      </c>
      <c r="F23" s="90" t="s">
        <v>2756</v>
      </c>
      <c r="G23" s="90" t="s">
        <v>2793</v>
      </c>
      <c r="H23" s="709">
        <v>1</v>
      </c>
    </row>
    <row r="24" spans="1:18">
      <c r="A24" s="90">
        <v>22</v>
      </c>
      <c r="B24" s="90" t="s">
        <v>2795</v>
      </c>
      <c r="C24" s="90" t="s">
        <v>2780</v>
      </c>
      <c r="D24" s="706">
        <v>28</v>
      </c>
      <c r="E24" s="686">
        <v>10</v>
      </c>
      <c r="F24" s="90" t="s">
        <v>2756</v>
      </c>
      <c r="G24" s="90" t="s">
        <v>2793</v>
      </c>
      <c r="H24" s="707">
        <v>1</v>
      </c>
    </row>
    <row r="25" spans="1:18">
      <c r="A25" s="90">
        <v>23</v>
      </c>
      <c r="B25" s="90" t="s">
        <v>2796</v>
      </c>
      <c r="C25" s="90" t="s">
        <v>2780</v>
      </c>
      <c r="D25" s="708">
        <v>31</v>
      </c>
      <c r="E25" s="686">
        <v>9.5</v>
      </c>
      <c r="F25" s="90" t="s">
        <v>2756</v>
      </c>
      <c r="G25" s="90"/>
      <c r="H25" s="709">
        <v>1</v>
      </c>
    </row>
    <row r="26" spans="1:18">
      <c r="A26" s="90">
        <v>24</v>
      </c>
      <c r="B26" s="90" t="s">
        <v>2797</v>
      </c>
      <c r="C26" s="90" t="s">
        <v>2780</v>
      </c>
      <c r="D26" s="706">
        <v>29</v>
      </c>
      <c r="E26" s="686">
        <v>10.6</v>
      </c>
      <c r="F26" s="90" t="s">
        <v>2756</v>
      </c>
      <c r="G26" s="90"/>
      <c r="H26" s="707">
        <v>1</v>
      </c>
    </row>
    <row r="27" spans="1:18">
      <c r="A27" s="90">
        <v>25</v>
      </c>
      <c r="B27" s="90" t="s">
        <v>2798</v>
      </c>
      <c r="C27" s="90" t="s">
        <v>2799</v>
      </c>
      <c r="D27" s="693">
        <v>23</v>
      </c>
      <c r="E27" s="686">
        <v>6.5</v>
      </c>
      <c r="F27" s="90" t="s">
        <v>2756</v>
      </c>
      <c r="G27" s="90"/>
      <c r="H27" s="694">
        <v>1</v>
      </c>
    </row>
    <row r="28" spans="1:18" ht="13.5">
      <c r="A28" s="90">
        <v>26</v>
      </c>
      <c r="B28" s="90" t="s">
        <v>2800</v>
      </c>
      <c r="C28" s="90" t="s">
        <v>2801</v>
      </c>
      <c r="D28" s="690">
        <v>7</v>
      </c>
      <c r="E28" s="686">
        <v>3.7</v>
      </c>
      <c r="F28" s="90" t="s">
        <v>2756</v>
      </c>
      <c r="G28" s="736" t="s">
        <v>2855</v>
      </c>
      <c r="H28" s="557">
        <v>1</v>
      </c>
    </row>
    <row r="29" spans="1:18" ht="16.5">
      <c r="A29" s="90">
        <v>27</v>
      </c>
      <c r="B29" s="90" t="s">
        <v>2802</v>
      </c>
      <c r="C29" s="710" t="s">
        <v>2755</v>
      </c>
      <c r="D29" s="711">
        <v>16</v>
      </c>
      <c r="E29" s="712" t="s">
        <v>2803</v>
      </c>
      <c r="F29" s="90" t="s">
        <v>2756</v>
      </c>
      <c r="G29" s="90"/>
      <c r="H29" s="312">
        <v>1</v>
      </c>
    </row>
    <row r="30" spans="1:18" ht="16.5">
      <c r="A30" s="90">
        <v>28</v>
      </c>
      <c r="B30" s="90" t="s">
        <v>2802</v>
      </c>
      <c r="C30" s="710" t="s">
        <v>2755</v>
      </c>
      <c r="D30" s="713">
        <v>23</v>
      </c>
      <c r="E30" s="712" t="s">
        <v>2803</v>
      </c>
      <c r="F30" s="90" t="s">
        <v>2756</v>
      </c>
      <c r="G30" s="90"/>
      <c r="H30" s="694">
        <v>1</v>
      </c>
    </row>
    <row r="31" spans="1:18" ht="16.5">
      <c r="A31" s="90">
        <v>29</v>
      </c>
      <c r="B31" s="90" t="s">
        <v>2802</v>
      </c>
      <c r="C31" s="710" t="s">
        <v>2804</v>
      </c>
      <c r="D31" s="714">
        <v>7</v>
      </c>
      <c r="E31" s="712" t="s">
        <v>2805</v>
      </c>
      <c r="F31" s="90" t="s">
        <v>2756</v>
      </c>
      <c r="G31" s="90"/>
      <c r="H31" s="557">
        <v>1</v>
      </c>
    </row>
    <row r="32" spans="1:18" ht="16.5">
      <c r="A32" s="90">
        <v>30</v>
      </c>
      <c r="B32" s="90" t="s">
        <v>2802</v>
      </c>
      <c r="C32" s="710" t="s">
        <v>2806</v>
      </c>
      <c r="D32" s="714">
        <v>5</v>
      </c>
      <c r="E32" s="710">
        <v>2.1</v>
      </c>
      <c r="F32" s="90" t="s">
        <v>2756</v>
      </c>
      <c r="G32" s="90"/>
      <c r="H32" s="557">
        <v>1</v>
      </c>
    </row>
    <row r="33" spans="1:8" ht="16.5">
      <c r="A33" s="90">
        <v>31</v>
      </c>
      <c r="B33" s="90" t="s">
        <v>2802</v>
      </c>
      <c r="C33" s="710" t="s">
        <v>2807</v>
      </c>
      <c r="D33" s="714">
        <v>5</v>
      </c>
      <c r="E33" s="710">
        <v>2.1</v>
      </c>
      <c r="F33" s="90" t="s">
        <v>2756</v>
      </c>
      <c r="G33" s="90"/>
      <c r="H33" s="557">
        <v>1</v>
      </c>
    </row>
    <row r="34" spans="1:8" ht="16.5">
      <c r="A34" s="90">
        <v>32</v>
      </c>
      <c r="B34" s="90" t="s">
        <v>2802</v>
      </c>
      <c r="C34" s="710" t="s">
        <v>2807</v>
      </c>
      <c r="D34" s="714">
        <v>5</v>
      </c>
      <c r="E34" s="710">
        <v>2.1</v>
      </c>
      <c r="F34" s="90" t="s">
        <v>2756</v>
      </c>
      <c r="G34" s="90"/>
      <c r="H34" s="557">
        <v>1</v>
      </c>
    </row>
    <row r="35" spans="1:8" ht="16.5">
      <c r="A35" s="90">
        <v>33</v>
      </c>
      <c r="B35" s="90" t="s">
        <v>2802</v>
      </c>
      <c r="C35" s="710" t="s">
        <v>2807</v>
      </c>
      <c r="D35" s="714">
        <v>5</v>
      </c>
      <c r="E35" s="710">
        <v>2.1</v>
      </c>
      <c r="F35" s="90" t="s">
        <v>2756</v>
      </c>
      <c r="G35" s="90"/>
      <c r="H35" s="557">
        <v>1</v>
      </c>
    </row>
    <row r="36" spans="1:8" ht="16.5">
      <c r="A36" s="90">
        <v>34</v>
      </c>
      <c r="B36" s="90" t="s">
        <v>2802</v>
      </c>
      <c r="C36" s="710" t="s">
        <v>2807</v>
      </c>
      <c r="D36" s="714">
        <v>5</v>
      </c>
      <c r="E36" s="710">
        <v>2.1</v>
      </c>
      <c r="F36" s="90" t="s">
        <v>2756</v>
      </c>
      <c r="G36" s="90"/>
      <c r="H36" s="557">
        <v>1</v>
      </c>
    </row>
    <row r="37" spans="1:8" ht="16.5">
      <c r="A37" s="90">
        <v>35</v>
      </c>
      <c r="B37" s="90" t="s">
        <v>2802</v>
      </c>
      <c r="C37" s="710" t="s">
        <v>2807</v>
      </c>
      <c r="D37" s="714">
        <v>5</v>
      </c>
      <c r="E37" s="710">
        <v>2.1</v>
      </c>
      <c r="F37" s="90" t="s">
        <v>2756</v>
      </c>
      <c r="G37" s="90"/>
      <c r="H37" s="557">
        <v>1</v>
      </c>
    </row>
    <row r="38" spans="1:8" ht="16.5">
      <c r="A38" s="90">
        <v>36</v>
      </c>
      <c r="B38" s="90" t="s">
        <v>2802</v>
      </c>
      <c r="C38" s="710" t="s">
        <v>2807</v>
      </c>
      <c r="D38" s="714">
        <v>5</v>
      </c>
      <c r="E38" s="710">
        <v>2.1</v>
      </c>
      <c r="F38" s="90" t="s">
        <v>2756</v>
      </c>
      <c r="G38" s="90"/>
      <c r="H38" s="557">
        <v>1</v>
      </c>
    </row>
    <row r="39" spans="1:8" ht="16.5">
      <c r="A39" s="710">
        <v>37</v>
      </c>
      <c r="B39" s="710" t="s">
        <v>2808</v>
      </c>
      <c r="C39" s="710" t="s">
        <v>2768</v>
      </c>
      <c r="D39" s="715">
        <v>47</v>
      </c>
      <c r="E39" s="710">
        <v>6.6</v>
      </c>
      <c r="F39" s="710" t="s">
        <v>2756</v>
      </c>
      <c r="G39" s="710"/>
      <c r="H39" s="697">
        <v>1</v>
      </c>
    </row>
    <row r="40" spans="1:8" ht="16.5">
      <c r="A40" s="710">
        <v>38</v>
      </c>
      <c r="B40" s="710" t="s">
        <v>2809</v>
      </c>
      <c r="C40" s="710" t="s">
        <v>2755</v>
      </c>
      <c r="D40" s="711">
        <v>18</v>
      </c>
      <c r="E40" s="710">
        <v>5.6</v>
      </c>
      <c r="F40" s="710" t="s">
        <v>2756</v>
      </c>
      <c r="G40" s="710"/>
      <c r="H40" s="312">
        <v>1</v>
      </c>
    </row>
    <row r="41" spans="1:8" ht="16.5">
      <c r="A41" s="710">
        <v>39</v>
      </c>
      <c r="B41" s="710" t="s">
        <v>2810</v>
      </c>
      <c r="C41" s="710" t="s">
        <v>2768</v>
      </c>
      <c r="D41" s="716">
        <v>79</v>
      </c>
      <c r="E41" s="710">
        <v>9.1</v>
      </c>
      <c r="F41" s="710" t="s">
        <v>2756</v>
      </c>
      <c r="G41" s="710"/>
      <c r="H41" s="717">
        <v>1</v>
      </c>
    </row>
    <row r="42" spans="1:8" ht="16.5">
      <c r="A42" s="710">
        <v>40</v>
      </c>
      <c r="B42" s="710" t="s">
        <v>2811</v>
      </c>
      <c r="C42" s="718" t="s">
        <v>2812</v>
      </c>
      <c r="D42" s="714">
        <v>6</v>
      </c>
      <c r="E42" s="710">
        <v>1.5</v>
      </c>
      <c r="F42" s="710" t="s">
        <v>2756</v>
      </c>
      <c r="G42" s="710"/>
      <c r="H42" s="557">
        <v>1</v>
      </c>
    </row>
    <row r="43" spans="1:8" ht="16.5">
      <c r="A43" s="710">
        <v>41</v>
      </c>
      <c r="B43" s="710" t="s">
        <v>2813</v>
      </c>
      <c r="C43" s="718" t="s">
        <v>2812</v>
      </c>
      <c r="D43" s="714">
        <v>6</v>
      </c>
      <c r="E43" s="719">
        <v>2</v>
      </c>
      <c r="F43" s="710" t="s">
        <v>2756</v>
      </c>
      <c r="G43" s="710"/>
      <c r="H43" s="557">
        <v>1</v>
      </c>
    </row>
    <row r="44" spans="1:8" ht="16.5">
      <c r="A44" s="720">
        <v>42</v>
      </c>
      <c r="B44" s="721" t="s">
        <v>2814</v>
      </c>
      <c r="C44" s="91"/>
      <c r="D44" s="722">
        <v>25</v>
      </c>
      <c r="E44" s="91"/>
      <c r="F44" s="723" t="s">
        <v>2815</v>
      </c>
      <c r="G44" s="723"/>
      <c r="H44" s="707">
        <v>1</v>
      </c>
    </row>
    <row r="45" spans="1:8" ht="16.5">
      <c r="A45" s="720">
        <v>43</v>
      </c>
      <c r="B45" s="721" t="s">
        <v>2816</v>
      </c>
      <c r="C45" s="91"/>
      <c r="D45" s="708">
        <v>35</v>
      </c>
      <c r="E45" s="91"/>
      <c r="F45" s="724" t="s">
        <v>2815</v>
      </c>
      <c r="G45" s="724"/>
      <c r="H45" s="725">
        <v>1</v>
      </c>
    </row>
    <row r="46" spans="1:8" ht="16.5">
      <c r="A46" s="720">
        <v>44</v>
      </c>
      <c r="B46" s="721" t="s">
        <v>2817</v>
      </c>
      <c r="C46" s="91"/>
      <c r="D46" s="726">
        <v>9</v>
      </c>
      <c r="E46" s="91"/>
      <c r="F46" s="724" t="s">
        <v>2815</v>
      </c>
      <c r="G46" s="724"/>
      <c r="H46" s="557">
        <v>1</v>
      </c>
    </row>
    <row r="47" spans="1:8" ht="16.5">
      <c r="A47" s="720">
        <v>45</v>
      </c>
      <c r="B47" s="721" t="s">
        <v>2818</v>
      </c>
      <c r="C47" s="91"/>
      <c r="D47" s="727">
        <v>22</v>
      </c>
      <c r="E47" s="91"/>
      <c r="F47" s="724" t="s">
        <v>2815</v>
      </c>
      <c r="G47" s="724"/>
      <c r="H47" s="694">
        <v>1</v>
      </c>
    </row>
    <row r="48" spans="1:8" ht="16.5">
      <c r="A48" s="720">
        <v>46</v>
      </c>
      <c r="B48" s="721" t="s">
        <v>2819</v>
      </c>
      <c r="C48" s="91"/>
      <c r="D48" s="728">
        <v>13</v>
      </c>
      <c r="E48" s="91"/>
      <c r="F48" s="724" t="s">
        <v>2815</v>
      </c>
      <c r="G48" s="724"/>
      <c r="H48" s="705">
        <v>1</v>
      </c>
    </row>
    <row r="49" spans="1:7" ht="16.5">
      <c r="A49" s="91"/>
      <c r="B49" s="721" t="s">
        <v>2820</v>
      </c>
      <c r="C49" s="90" t="s">
        <v>2799</v>
      </c>
      <c r="D49" s="90">
        <v>24</v>
      </c>
      <c r="E49" s="91"/>
      <c r="F49" s="710" t="s">
        <v>2756</v>
      </c>
      <c r="G49" s="710" t="s">
        <v>2821</v>
      </c>
    </row>
    <row r="50" spans="1:7" ht="16.5">
      <c r="B50" s="729"/>
      <c r="C50" s="81"/>
      <c r="F50" s="737"/>
      <c r="G50" s="730"/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21B04-184B-4874-B6F1-9E94595A7AA9}">
  <dimension ref="A1:S30"/>
  <sheetViews>
    <sheetView workbookViewId="0">
      <selection activeCell="M22" sqref="M22"/>
    </sheetView>
  </sheetViews>
  <sheetFormatPr defaultRowHeight="12.75"/>
  <cols>
    <col min="4" max="4" width="12" customWidth="1"/>
    <col min="5" max="5" width="9.5703125" customWidth="1"/>
    <col min="6" max="6" width="18.140625" customWidth="1"/>
    <col min="7" max="7" width="12.42578125" customWidth="1"/>
    <col min="13" max="13" width="48" customWidth="1"/>
    <col min="18" max="18" width="14.28515625" customWidth="1"/>
    <col min="19" max="19" width="14.5703125" customWidth="1"/>
  </cols>
  <sheetData>
    <row r="1" spans="1:19" ht="13.5">
      <c r="A1" s="283" t="s">
        <v>3830</v>
      </c>
      <c r="B1" s="283"/>
      <c r="C1" s="283" t="s">
        <v>3829</v>
      </c>
      <c r="D1" s="455" t="s">
        <v>3833</v>
      </c>
      <c r="E1" s="283" t="s">
        <v>3826</v>
      </c>
      <c r="G1" s="455" t="s">
        <v>3834</v>
      </c>
      <c r="I1" s="455" t="s">
        <v>3833</v>
      </c>
      <c r="J1" s="283" t="s">
        <v>3826</v>
      </c>
      <c r="L1" s="1027" t="s">
        <v>235</v>
      </c>
      <c r="M1" s="1029" t="s">
        <v>2303</v>
      </c>
      <c r="N1" s="1013" t="s">
        <v>237</v>
      </c>
      <c r="O1" s="1012" t="s">
        <v>2304</v>
      </c>
      <c r="P1" s="1012" t="s">
        <v>3157</v>
      </c>
      <c r="Q1" s="1012" t="s">
        <v>3778</v>
      </c>
      <c r="R1" s="1040" t="s">
        <v>3820</v>
      </c>
      <c r="S1" s="1040" t="s">
        <v>3827</v>
      </c>
    </row>
    <row r="2" spans="1:19" ht="13.5">
      <c r="A2" s="18">
        <v>617.85</v>
      </c>
      <c r="B2" s="18"/>
      <c r="C2" s="18"/>
      <c r="E2" s="934">
        <f>ROUND(C2*D2,2)</f>
        <v>0</v>
      </c>
      <c r="G2">
        <v>265.16000000000003</v>
      </c>
      <c r="H2" t="s">
        <v>3828</v>
      </c>
      <c r="I2">
        <v>0.25</v>
      </c>
      <c r="J2">
        <f>G2*I2</f>
        <v>66.290000000000006</v>
      </c>
      <c r="L2" s="1028"/>
      <c r="M2" s="1030"/>
      <c r="N2" s="1013"/>
      <c r="O2" s="1013"/>
      <c r="P2" s="1013"/>
      <c r="Q2" s="1013"/>
      <c r="R2" s="1040"/>
      <c r="S2" s="1040"/>
    </row>
    <row r="3" spans="1:19" ht="13.5">
      <c r="A3">
        <v>573.32000000000005</v>
      </c>
      <c r="C3" s="907">
        <v>245.16</v>
      </c>
      <c r="D3">
        <v>0.2</v>
      </c>
      <c r="E3" s="934">
        <f t="shared" ref="E3:E14" si="0">ROUND(C3*D3,2)</f>
        <v>49.03</v>
      </c>
      <c r="G3">
        <v>490.71</v>
      </c>
      <c r="H3" t="s">
        <v>3832</v>
      </c>
      <c r="I3">
        <v>0.3</v>
      </c>
      <c r="J3">
        <f t="shared" ref="J3:J15" si="1">G3*I3</f>
        <v>147.21299999999999</v>
      </c>
    </row>
    <row r="4" spans="1:19" ht="13.5">
      <c r="A4" s="18">
        <v>-265.37</v>
      </c>
      <c r="B4" s="18"/>
      <c r="C4" s="907">
        <v>265.37</v>
      </c>
      <c r="D4">
        <v>0.23</v>
      </c>
      <c r="E4" s="934">
        <f t="shared" si="0"/>
        <v>61.04</v>
      </c>
      <c r="G4">
        <v>183.79</v>
      </c>
      <c r="H4" t="s">
        <v>3832</v>
      </c>
      <c r="I4">
        <v>0.3</v>
      </c>
      <c r="J4">
        <f t="shared" si="1"/>
        <v>55.136999999999993</v>
      </c>
      <c r="L4" t="s">
        <v>2154</v>
      </c>
      <c r="M4" s="188" t="s">
        <v>245</v>
      </c>
      <c r="N4" t="s">
        <v>6</v>
      </c>
      <c r="O4">
        <v>720.24</v>
      </c>
      <c r="P4">
        <v>720.24</v>
      </c>
      <c r="Q4">
        <v>193.11</v>
      </c>
      <c r="R4">
        <f>ROUND(O4*Q4,2)</f>
        <v>139085.54999999999</v>
      </c>
      <c r="S4">
        <f>ROUND(P4*Q4,2)</f>
        <v>139085.54999999999</v>
      </c>
    </row>
    <row r="5" spans="1:19">
      <c r="A5">
        <v>363.7</v>
      </c>
      <c r="C5">
        <v>571.09</v>
      </c>
      <c r="D5">
        <v>0.2</v>
      </c>
      <c r="E5" s="934">
        <f t="shared" si="0"/>
        <v>114.22</v>
      </c>
      <c r="L5" t="s">
        <v>2158</v>
      </c>
      <c r="M5" s="188" t="s">
        <v>252</v>
      </c>
      <c r="N5" t="s">
        <v>6</v>
      </c>
      <c r="O5">
        <v>4726.67</v>
      </c>
      <c r="P5">
        <f>P6*0.05+P7*0.1+P4</f>
        <v>1650.7765000000002</v>
      </c>
      <c r="Q5">
        <v>599.71</v>
      </c>
      <c r="R5">
        <f>ROUND(O5*Q5,2)</f>
        <v>2834631.27</v>
      </c>
      <c r="S5">
        <f t="shared" ref="S5:S7" si="2">ROUND(P5*Q5,2)</f>
        <v>989987.17</v>
      </c>
    </row>
    <row r="6" spans="1:19" ht="25.5">
      <c r="A6">
        <v>233.22</v>
      </c>
      <c r="C6">
        <v>547.65</v>
      </c>
      <c r="D6">
        <v>0.2</v>
      </c>
      <c r="E6" s="934">
        <f t="shared" si="0"/>
        <v>109.53</v>
      </c>
      <c r="L6" t="s">
        <v>2162</v>
      </c>
      <c r="M6" s="188" t="s">
        <v>264</v>
      </c>
      <c r="N6" t="s">
        <v>13</v>
      </c>
      <c r="O6">
        <v>2588.5</v>
      </c>
      <c r="P6">
        <f>A25</f>
        <v>2373.5300000000002</v>
      </c>
      <c r="Q6">
        <v>30.45</v>
      </c>
      <c r="R6">
        <f>ROUND(O6*Q6,2)</f>
        <v>78819.83</v>
      </c>
      <c r="S6">
        <f t="shared" si="2"/>
        <v>72273.990000000005</v>
      </c>
    </row>
    <row r="7" spans="1:19" ht="26.25">
      <c r="A7">
        <v>408</v>
      </c>
      <c r="C7">
        <v>605.74</v>
      </c>
      <c r="D7">
        <v>0.2</v>
      </c>
      <c r="E7" s="934">
        <f t="shared" si="0"/>
        <v>121.15</v>
      </c>
      <c r="F7" s="934">
        <f>E2+E5+E6+E7+E8+E9</f>
        <v>418.59</v>
      </c>
      <c r="G7" s="907">
        <v>77.510000000000005</v>
      </c>
      <c r="H7" s="775" t="s">
        <v>3817</v>
      </c>
      <c r="I7">
        <v>0.2</v>
      </c>
      <c r="J7">
        <f t="shared" si="1"/>
        <v>15.502000000000002</v>
      </c>
      <c r="L7" t="s">
        <v>2163</v>
      </c>
      <c r="M7" s="188" t="s">
        <v>267</v>
      </c>
      <c r="N7" t="s">
        <v>13</v>
      </c>
      <c r="O7">
        <v>9177</v>
      </c>
      <c r="P7" s="933">
        <f>C26</f>
        <v>8118.6000000000013</v>
      </c>
      <c r="Q7">
        <v>28.48</v>
      </c>
      <c r="R7">
        <f>ROUND(O7*Q7,2)</f>
        <v>261360.96</v>
      </c>
      <c r="S7">
        <f t="shared" si="2"/>
        <v>231217.73</v>
      </c>
    </row>
    <row r="8" spans="1:19" ht="13.5">
      <c r="A8">
        <v>442.81</v>
      </c>
      <c r="E8" s="934">
        <f t="shared" si="0"/>
        <v>0</v>
      </c>
      <c r="G8" s="907">
        <v>28.45</v>
      </c>
      <c r="H8" s="775" t="s">
        <v>3817</v>
      </c>
      <c r="I8">
        <v>0.2</v>
      </c>
      <c r="J8">
        <f t="shared" si="1"/>
        <v>5.69</v>
      </c>
      <c r="M8" s="188"/>
      <c r="R8">
        <f>SUM(R4:R7)</f>
        <v>3313897.61</v>
      </c>
      <c r="S8">
        <f>SUM(S4:S7)</f>
        <v>1432564.44</v>
      </c>
    </row>
    <row r="9" spans="1:19" ht="13.5">
      <c r="C9">
        <v>307.06</v>
      </c>
      <c r="D9">
        <v>0.24</v>
      </c>
      <c r="E9" s="934">
        <f t="shared" si="0"/>
        <v>73.69</v>
      </c>
      <c r="G9" s="907">
        <v>140.85</v>
      </c>
      <c r="H9" s="775" t="s">
        <v>3817</v>
      </c>
      <c r="I9">
        <v>0.2</v>
      </c>
      <c r="J9">
        <f t="shared" si="1"/>
        <v>28.17</v>
      </c>
      <c r="L9" s="455" t="s">
        <v>3818</v>
      </c>
      <c r="M9" s="776" t="s">
        <v>3819</v>
      </c>
      <c r="O9">
        <v>1767.29</v>
      </c>
      <c r="P9">
        <f>P4+P6*0.05+P7*0.1</f>
        <v>1650.7765000000002</v>
      </c>
      <c r="Q9">
        <v>575</v>
      </c>
      <c r="R9">
        <f>ROUND(O9*Q9,2)</f>
        <v>1016191.75</v>
      </c>
    </row>
    <row r="10" spans="1:19" ht="13.5">
      <c r="C10" s="907">
        <v>271.19</v>
      </c>
      <c r="D10">
        <v>0.23</v>
      </c>
      <c r="E10" s="934">
        <f t="shared" si="0"/>
        <v>62.37</v>
      </c>
      <c r="F10">
        <f>C3</f>
        <v>245.16</v>
      </c>
      <c r="G10" s="907">
        <v>62.94</v>
      </c>
      <c r="H10" s="775" t="s">
        <v>3817</v>
      </c>
      <c r="I10">
        <v>0.2</v>
      </c>
      <c r="J10">
        <f t="shared" si="1"/>
        <v>12.588000000000001</v>
      </c>
    </row>
    <row r="11" spans="1:19" ht="13.5">
      <c r="C11" s="907">
        <v>53.43</v>
      </c>
      <c r="D11" s="455">
        <v>0.2</v>
      </c>
      <c r="E11" s="934">
        <f t="shared" si="0"/>
        <v>10.69</v>
      </c>
      <c r="G11" s="907">
        <v>85.58</v>
      </c>
      <c r="H11" s="775" t="s">
        <v>3817</v>
      </c>
      <c r="I11">
        <v>0.2</v>
      </c>
      <c r="J11">
        <f t="shared" si="1"/>
        <v>17.116</v>
      </c>
    </row>
    <row r="12" spans="1:19" ht="13.5">
      <c r="C12" s="907"/>
      <c r="E12" s="934">
        <f t="shared" si="0"/>
        <v>0</v>
      </c>
      <c r="G12" s="907">
        <v>22.37</v>
      </c>
      <c r="H12" s="775" t="s">
        <v>3817</v>
      </c>
      <c r="I12">
        <v>0.2</v>
      </c>
      <c r="J12">
        <f t="shared" si="1"/>
        <v>4.4740000000000002</v>
      </c>
    </row>
    <row r="13" spans="1:19" ht="13.5">
      <c r="C13" s="907">
        <v>440</v>
      </c>
      <c r="D13">
        <v>0.2</v>
      </c>
      <c r="E13" s="934">
        <f t="shared" si="0"/>
        <v>88</v>
      </c>
      <c r="G13" s="907">
        <v>49.44</v>
      </c>
      <c r="H13" s="775" t="s">
        <v>3817</v>
      </c>
      <c r="I13">
        <v>0.2</v>
      </c>
      <c r="J13">
        <f t="shared" si="1"/>
        <v>9.8879999999999999</v>
      </c>
    </row>
    <row r="14" spans="1:19" ht="13.5">
      <c r="C14" s="907">
        <f>617.85-7.13</f>
        <v>610.72</v>
      </c>
      <c r="D14">
        <v>0.2</v>
      </c>
      <c r="E14" s="934">
        <f t="shared" si="0"/>
        <v>122.14</v>
      </c>
      <c r="G14" s="907">
        <f>(43+9.4+9.1+20.1+67.4+58.5+29.6+21.4+26.4)*0.9</f>
        <v>256.40999999999997</v>
      </c>
      <c r="H14" s="455" t="s">
        <v>3831</v>
      </c>
      <c r="I14">
        <v>0.25</v>
      </c>
      <c r="J14">
        <f t="shared" si="1"/>
        <v>64.102499999999992</v>
      </c>
    </row>
    <row r="15" spans="1:19" ht="13.5">
      <c r="C15" s="907"/>
      <c r="G15" s="907">
        <f>(4.8+6.8+17.5+20.6+11.1)*1</f>
        <v>60.800000000000004</v>
      </c>
      <c r="H15" s="455" t="s">
        <v>3825</v>
      </c>
      <c r="I15">
        <v>0.25</v>
      </c>
      <c r="J15">
        <f t="shared" si="1"/>
        <v>15.200000000000001</v>
      </c>
    </row>
    <row r="16" spans="1:19" ht="13.5">
      <c r="C16" s="907"/>
      <c r="D16" s="775"/>
      <c r="E16" s="934"/>
    </row>
    <row r="17" spans="1:10" ht="13.5">
      <c r="C17" s="907"/>
      <c r="D17" s="775"/>
      <c r="E17" s="934"/>
    </row>
    <row r="18" spans="1:10" ht="13.5">
      <c r="C18" s="907"/>
      <c r="D18" s="775"/>
      <c r="E18" s="934"/>
    </row>
    <row r="19" spans="1:10" ht="13.5">
      <c r="C19" s="907"/>
      <c r="D19" s="775"/>
      <c r="E19" s="934"/>
    </row>
    <row r="20" spans="1:10" ht="13.5">
      <c r="C20" s="907"/>
      <c r="D20" s="775"/>
      <c r="E20" s="934"/>
    </row>
    <row r="21" spans="1:10" ht="13.5">
      <c r="C21" s="907"/>
      <c r="D21" s="775"/>
      <c r="E21" s="934"/>
    </row>
    <row r="22" spans="1:10" ht="13.5">
      <c r="C22" s="907"/>
      <c r="D22" s="775"/>
      <c r="E22" s="934"/>
      <c r="F22">
        <f>SUM(C16:C22)</f>
        <v>0</v>
      </c>
      <c r="H22" s="455"/>
    </row>
    <row r="23" spans="1:10" ht="27">
      <c r="C23" s="907"/>
      <c r="D23" s="455"/>
      <c r="E23" s="934"/>
      <c r="F23" s="776" t="s">
        <v>3823</v>
      </c>
      <c r="H23" s="455"/>
    </row>
    <row r="24" spans="1:10" ht="13.5">
      <c r="C24" s="907"/>
      <c r="D24" s="455"/>
      <c r="E24" s="934"/>
      <c r="F24" s="455" t="s">
        <v>3824</v>
      </c>
      <c r="H24" s="455"/>
    </row>
    <row r="25" spans="1:10" ht="13.5">
      <c r="A25">
        <f>SUM(A2:A24)</f>
        <v>2373.5300000000002</v>
      </c>
      <c r="B25" t="s">
        <v>3176</v>
      </c>
      <c r="C25">
        <f>SUM(C2:C24)</f>
        <v>3917.41</v>
      </c>
      <c r="E25">
        <f>SUM(E2:E24)</f>
        <v>811.86000000000013</v>
      </c>
      <c r="G25">
        <f>SUM(G2:G24)</f>
        <v>1724.0099999999995</v>
      </c>
      <c r="H25" s="455" t="s">
        <v>3826</v>
      </c>
      <c r="J25">
        <f>SUM(J2:J24)</f>
        <v>441.37049999999994</v>
      </c>
    </row>
    <row r="26" spans="1:10">
      <c r="C26" s="933">
        <f>E25/0.1</f>
        <v>8118.6000000000013</v>
      </c>
      <c r="D26" t="s">
        <v>3176</v>
      </c>
    </row>
    <row r="28" spans="1:10">
      <c r="A28">
        <f>ROUND(A25*0.05,2)</f>
        <v>118.68</v>
      </c>
      <c r="B28" t="s">
        <v>3826</v>
      </c>
    </row>
    <row r="30" spans="1:10">
      <c r="A30">
        <f>A25*0.05</f>
        <v>118.67650000000002</v>
      </c>
      <c r="C30">
        <f>E25</f>
        <v>811.86000000000013</v>
      </c>
      <c r="D30">
        <f>A30+C30+J25</f>
        <v>1371.9070000000002</v>
      </c>
    </row>
  </sheetData>
  <mergeCells count="8">
    <mergeCell ref="R1:R2"/>
    <mergeCell ref="S1:S2"/>
    <mergeCell ref="L1:L2"/>
    <mergeCell ref="M1:M2"/>
    <mergeCell ref="N1:N2"/>
    <mergeCell ref="O1:O2"/>
    <mergeCell ref="P1:P2"/>
    <mergeCell ref="Q1:Q2"/>
  </mergeCells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6B86A-B728-4455-A2FD-466354B4A88A}">
  <dimension ref="B1:G21"/>
  <sheetViews>
    <sheetView workbookViewId="0">
      <selection activeCell="I17" sqref="I17"/>
    </sheetView>
  </sheetViews>
  <sheetFormatPr defaultRowHeight="12.75"/>
  <sheetData>
    <row r="1" spans="2:7" ht="13.5">
      <c r="B1" s="455" t="s">
        <v>3984</v>
      </c>
      <c r="C1" s="455" t="s">
        <v>3985</v>
      </c>
      <c r="D1" s="455" t="s">
        <v>3986</v>
      </c>
      <c r="E1" s="455" t="s">
        <v>3987</v>
      </c>
      <c r="F1" s="455" t="s">
        <v>3988</v>
      </c>
      <c r="G1" s="455" t="s">
        <v>3989</v>
      </c>
    </row>
    <row r="2" spans="2:7">
      <c r="B2">
        <v>0</v>
      </c>
    </row>
    <row r="3" spans="2:7">
      <c r="B3">
        <v>20</v>
      </c>
    </row>
    <row r="4" spans="2:7">
      <c r="B4">
        <v>37.6</v>
      </c>
    </row>
    <row r="5" spans="2:7">
      <c r="B5">
        <v>37.6</v>
      </c>
    </row>
    <row r="6" spans="2:7">
      <c r="B6">
        <v>40</v>
      </c>
    </row>
    <row r="7" spans="2:7">
      <c r="B7">
        <v>43.5</v>
      </c>
    </row>
    <row r="8" spans="2:7">
      <c r="B8">
        <v>43.5</v>
      </c>
    </row>
    <row r="9" spans="2:7">
      <c r="B9">
        <v>60</v>
      </c>
    </row>
    <row r="10" spans="2:7">
      <c r="B10">
        <v>80</v>
      </c>
    </row>
    <row r="11" spans="2:7">
      <c r="B11">
        <v>100</v>
      </c>
    </row>
    <row r="12" spans="2:7">
      <c r="B12">
        <v>110</v>
      </c>
    </row>
    <row r="13" spans="2:7">
      <c r="B13">
        <v>110</v>
      </c>
    </row>
    <row r="14" spans="2:7">
      <c r="B14">
        <v>120</v>
      </c>
    </row>
    <row r="15" spans="2:7">
      <c r="B15">
        <v>130</v>
      </c>
    </row>
    <row r="16" spans="2:7">
      <c r="B16">
        <v>130</v>
      </c>
    </row>
    <row r="17" spans="2:2">
      <c r="B17">
        <v>140</v>
      </c>
    </row>
    <row r="18" spans="2:2">
      <c r="B18">
        <v>160</v>
      </c>
    </row>
    <row r="19" spans="2:2">
      <c r="B19">
        <v>166.7</v>
      </c>
    </row>
    <row r="20" spans="2:2">
      <c r="B20">
        <v>166.7</v>
      </c>
    </row>
    <row r="21" spans="2:2">
      <c r="B21">
        <v>178.5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C90EB-0BEF-473F-A5ED-43E5C246BD7F}">
  <dimension ref="A1:P31"/>
  <sheetViews>
    <sheetView view="pageBreakPreview" zoomScale="106" zoomScaleNormal="100" zoomScaleSheetLayoutView="106" workbookViewId="0">
      <selection activeCell="E22" sqref="E22"/>
    </sheetView>
  </sheetViews>
  <sheetFormatPr defaultColWidth="9.140625" defaultRowHeight="14.25"/>
  <cols>
    <col min="1" max="1" width="9.140625" style="589"/>
    <col min="2" max="2" width="13.28515625" style="589" bestFit="1" customWidth="1"/>
    <col min="3" max="3" width="12" style="589" bestFit="1" customWidth="1"/>
    <col min="4" max="4" width="11.85546875" style="589" bestFit="1" customWidth="1"/>
    <col min="5" max="5" width="9.140625" style="589"/>
    <col min="6" max="6" width="13.28515625" style="589" bestFit="1" customWidth="1"/>
    <col min="7" max="7" width="18" style="589" customWidth="1"/>
    <col min="8" max="8" width="10.7109375" style="589" customWidth="1"/>
    <col min="9" max="11" width="9.140625" style="589"/>
    <col min="12" max="12" width="12.85546875" style="589" customWidth="1"/>
    <col min="13" max="13" width="19.7109375" style="589" bestFit="1" customWidth="1"/>
    <col min="14" max="15" width="10.5703125" style="589" bestFit="1" customWidth="1"/>
    <col min="16" max="16384" width="9.140625" style="589"/>
  </cols>
  <sheetData>
    <row r="1" spans="1:15">
      <c r="A1" s="603" t="s">
        <v>2715</v>
      </c>
      <c r="B1" s="588"/>
      <c r="I1" s="588" t="s">
        <v>2663</v>
      </c>
      <c r="K1" s="590"/>
    </row>
    <row r="2" spans="1:15">
      <c r="A2" s="591" t="s">
        <v>2649</v>
      </c>
      <c r="B2" s="764">
        <v>26370</v>
      </c>
      <c r="C2" s="592" t="s">
        <v>2661</v>
      </c>
      <c r="E2" s="591" t="s">
        <v>2659</v>
      </c>
      <c r="F2" s="589">
        <f>ROUND(9083/0.9*1.3,0)</f>
        <v>13120</v>
      </c>
      <c r="G2" s="592" t="s">
        <v>2662</v>
      </c>
      <c r="I2" s="591">
        <f>B2-F2</f>
        <v>13250</v>
      </c>
      <c r="K2" s="591" t="s">
        <v>2720</v>
      </c>
      <c r="L2" s="592" t="s">
        <v>2665</v>
      </c>
      <c r="M2" s="593">
        <v>13251</v>
      </c>
    </row>
    <row r="3" spans="1:15">
      <c r="A3" s="588"/>
      <c r="B3" s="764">
        <v>1639.56</v>
      </c>
      <c r="C3" s="592" t="s">
        <v>2667</v>
      </c>
      <c r="F3" s="589">
        <v>1639.56</v>
      </c>
      <c r="G3" s="592" t="s">
        <v>2667</v>
      </c>
      <c r="I3" s="591">
        <f t="shared" ref="I3:I13" si="0">B3-F3</f>
        <v>0</v>
      </c>
      <c r="K3" s="590"/>
      <c r="L3" s="592" t="s">
        <v>2668</v>
      </c>
      <c r="M3" s="594">
        <v>782.66</v>
      </c>
    </row>
    <row r="4" spans="1:15">
      <c r="A4" s="588"/>
      <c r="B4" s="590">
        <v>5217.7</v>
      </c>
      <c r="C4" s="592" t="s">
        <v>2988</v>
      </c>
      <c r="F4" s="589">
        <f>1887.64+402.21</f>
        <v>2289.85</v>
      </c>
      <c r="G4" s="592" t="s">
        <v>2721</v>
      </c>
      <c r="I4" s="591">
        <f t="shared" si="0"/>
        <v>2927.85</v>
      </c>
      <c r="K4" s="590"/>
      <c r="L4" s="592" t="s">
        <v>2670</v>
      </c>
      <c r="M4" s="594">
        <v>4601.4399999999996</v>
      </c>
      <c r="N4" s="592" t="s">
        <v>2671</v>
      </c>
    </row>
    <row r="5" spans="1:15">
      <c r="A5" s="588"/>
      <c r="B5" s="590">
        <f>342.71</f>
        <v>342.71</v>
      </c>
      <c r="C5" s="589" t="s">
        <v>2989</v>
      </c>
      <c r="F5" s="589">
        <v>928.51</v>
      </c>
      <c r="G5" s="589" t="s">
        <v>2722</v>
      </c>
      <c r="I5" s="591">
        <f t="shared" si="0"/>
        <v>-585.79999999999995</v>
      </c>
      <c r="K5" s="590"/>
      <c r="L5" s="589" t="s">
        <v>2723</v>
      </c>
      <c r="M5" s="594">
        <v>161.38999999999999</v>
      </c>
      <c r="N5" s="592" t="s">
        <v>2674</v>
      </c>
    </row>
    <row r="6" spans="1:15">
      <c r="A6" s="588"/>
      <c r="B6" s="590">
        <f>ROUND(322/30*35,2)</f>
        <v>375.67</v>
      </c>
      <c r="C6" s="589" t="s">
        <v>2724</v>
      </c>
      <c r="F6" s="589">
        <v>0</v>
      </c>
      <c r="G6" s="589" t="s">
        <v>2724</v>
      </c>
      <c r="I6" s="591">
        <f t="shared" si="0"/>
        <v>375.67</v>
      </c>
      <c r="K6" s="590"/>
      <c r="L6" s="592" t="s">
        <v>2676</v>
      </c>
      <c r="M6" s="594">
        <v>375.67</v>
      </c>
      <c r="N6" s="592" t="s">
        <v>2677</v>
      </c>
    </row>
    <row r="7" spans="1:15">
      <c r="A7" s="588"/>
      <c r="B7" s="590">
        <v>4813.4399999999996</v>
      </c>
      <c r="C7" s="592" t="s">
        <v>2678</v>
      </c>
      <c r="F7" s="589">
        <v>212.1</v>
      </c>
      <c r="G7" s="592" t="s">
        <v>2679</v>
      </c>
      <c r="I7" s="591">
        <f t="shared" si="0"/>
        <v>4601.3399999999992</v>
      </c>
      <c r="K7" s="591" t="s">
        <v>2716</v>
      </c>
      <c r="M7" s="590">
        <f>SUM(M2:M6)</f>
        <v>19172.159999999996</v>
      </c>
    </row>
    <row r="8" spans="1:15">
      <c r="A8" s="588"/>
      <c r="B8" s="764">
        <f>-I23</f>
        <v>-485.09999999999997</v>
      </c>
      <c r="C8" s="592" t="s">
        <v>2718</v>
      </c>
      <c r="F8" s="589">
        <f>I19</f>
        <v>529.71</v>
      </c>
      <c r="G8" s="592" t="s">
        <v>2990</v>
      </c>
      <c r="I8" s="591">
        <f t="shared" si="0"/>
        <v>-1014.81</v>
      </c>
      <c r="K8" s="591" t="s">
        <v>2681</v>
      </c>
      <c r="L8" s="592" t="s">
        <v>2714</v>
      </c>
      <c r="M8" s="594">
        <f>F16-M7</f>
        <v>-203.37999999999374</v>
      </c>
    </row>
    <row r="9" spans="1:15">
      <c r="A9" s="588"/>
      <c r="B9" s="764">
        <f>-I24</f>
        <v>-28.82</v>
      </c>
      <c r="C9" s="592" t="s">
        <v>2978</v>
      </c>
      <c r="F9" s="589">
        <f>I20</f>
        <v>59.07</v>
      </c>
      <c r="G9" s="592" t="s">
        <v>2689</v>
      </c>
      <c r="I9" s="591">
        <f t="shared" si="0"/>
        <v>-87.89</v>
      </c>
      <c r="K9" s="591" t="s">
        <v>2683</v>
      </c>
      <c r="M9" s="595">
        <f>M7+M8</f>
        <v>18968.780000000002</v>
      </c>
    </row>
    <row r="10" spans="1:15">
      <c r="A10" s="588"/>
      <c r="B10" s="590"/>
      <c r="F10" s="589">
        <f>I22</f>
        <v>331.49999999999994</v>
      </c>
      <c r="G10" s="592" t="s">
        <v>2693</v>
      </c>
      <c r="I10" s="591">
        <f t="shared" si="0"/>
        <v>-331.49999999999994</v>
      </c>
      <c r="K10" s="591" t="s">
        <v>2717</v>
      </c>
      <c r="M10" s="594">
        <f>ROUND(M4+M5+M6+M8,0)</f>
        <v>4935</v>
      </c>
    </row>
    <row r="11" spans="1:15">
      <c r="A11" s="588"/>
      <c r="B11" s="588"/>
      <c r="F11" s="589">
        <f>I21</f>
        <v>28.82</v>
      </c>
      <c r="G11" s="592" t="s">
        <v>2977</v>
      </c>
      <c r="I11" s="591">
        <f t="shared" si="0"/>
        <v>-28.82</v>
      </c>
      <c r="J11" s="596"/>
      <c r="K11" s="597"/>
      <c r="L11" s="596"/>
      <c r="M11" s="596"/>
      <c r="N11" s="596"/>
      <c r="O11" s="596"/>
    </row>
    <row r="12" spans="1:15">
      <c r="A12" s="596"/>
      <c r="F12" s="589">
        <f>I25</f>
        <v>137.26</v>
      </c>
      <c r="G12" s="589" t="s">
        <v>2974</v>
      </c>
      <c r="H12" s="596"/>
      <c r="I12" s="591">
        <f t="shared" si="0"/>
        <v>-137.26</v>
      </c>
    </row>
    <row r="13" spans="1:15">
      <c r="G13" s="589">
        <f>F2+F3+F4+F5+F8+F9+F10+F11+F12</f>
        <v>19064.279999999995</v>
      </c>
      <c r="I13" s="591">
        <f t="shared" si="0"/>
        <v>0</v>
      </c>
    </row>
    <row r="15" spans="1:15">
      <c r="A15" s="591" t="s">
        <v>142</v>
      </c>
      <c r="B15" s="590">
        <f>ROUND(SUM(B2:B14),2)</f>
        <v>38245.160000000003</v>
      </c>
      <c r="E15" s="591" t="s">
        <v>142</v>
      </c>
      <c r="F15" s="590">
        <f>ROUND(SUM(F2:F14),2)</f>
        <v>19276.38</v>
      </c>
      <c r="I15" s="590">
        <f>ROUND(SUM(I2:I14),2)</f>
        <v>18968.78</v>
      </c>
      <c r="J15" s="588"/>
      <c r="K15" s="591" t="s">
        <v>2710</v>
      </c>
      <c r="L15" s="592" t="s">
        <v>2708</v>
      </c>
      <c r="M15" s="592" t="s">
        <v>2709</v>
      </c>
      <c r="N15" s="592" t="s">
        <v>2711</v>
      </c>
      <c r="O15" s="592" t="s">
        <v>2712</v>
      </c>
    </row>
    <row r="16" spans="1:15">
      <c r="A16" s="588"/>
      <c r="B16" s="588"/>
      <c r="E16" s="590" t="s">
        <v>2726</v>
      </c>
      <c r="F16" s="595">
        <f>B15-F15</f>
        <v>18968.780000000002</v>
      </c>
      <c r="K16" s="598" t="s">
        <v>2699</v>
      </c>
      <c r="L16" s="589">
        <v>5.31</v>
      </c>
      <c r="M16" s="589">
        <v>5.31</v>
      </c>
      <c r="N16" s="589">
        <v>0</v>
      </c>
      <c r="O16" s="596"/>
    </row>
    <row r="17" spans="1:16">
      <c r="A17" s="588"/>
      <c r="B17" s="588"/>
      <c r="K17" s="590" t="s">
        <v>2700</v>
      </c>
      <c r="L17" s="589">
        <v>4.96</v>
      </c>
      <c r="M17" s="593">
        <f>5.25-0.15</f>
        <v>5.0999999999999996</v>
      </c>
      <c r="N17" s="589">
        <f>M17-L17</f>
        <v>0.13999999999999968</v>
      </c>
      <c r="O17" s="589">
        <f>ROUND((N16+N17)/2*8.5*20,2)</f>
        <v>11.9</v>
      </c>
    </row>
    <row r="18" spans="1:16">
      <c r="A18" s="587" t="s">
        <v>2684</v>
      </c>
      <c r="B18" s="592" t="s">
        <v>2670</v>
      </c>
      <c r="C18" s="589">
        <v>4601.4399999999996</v>
      </c>
      <c r="D18" s="592" t="s">
        <v>2685</v>
      </c>
      <c r="K18" s="590" t="s">
        <v>2701</v>
      </c>
      <c r="L18" s="589">
        <v>4.97</v>
      </c>
      <c r="M18" s="589">
        <f>5.37-0.15</f>
        <v>5.22</v>
      </c>
      <c r="N18" s="589">
        <f t="shared" ref="N18:N24" si="1">M18-L18</f>
        <v>0.25</v>
      </c>
      <c r="O18" s="589">
        <f>ROUND((N17+N18)/2*8.5*20,2)</f>
        <v>33.15</v>
      </c>
    </row>
    <row r="19" spans="1:16">
      <c r="A19" s="588"/>
      <c r="B19" s="592" t="s">
        <v>2979</v>
      </c>
      <c r="E19" s="599" t="s">
        <v>2980</v>
      </c>
      <c r="F19" s="599"/>
      <c r="G19" s="599"/>
      <c r="H19" s="599"/>
      <c r="I19" s="589">
        <f>ROUND((5.46*7.42/2-5.46*3.71/2)*52.3,2)</f>
        <v>529.71</v>
      </c>
      <c r="K19" s="590" t="s">
        <v>2702</v>
      </c>
      <c r="L19" s="589">
        <v>4.99</v>
      </c>
      <c r="M19" s="589">
        <f>5.44-0.15</f>
        <v>5.29</v>
      </c>
      <c r="N19" s="589">
        <f t="shared" si="1"/>
        <v>0.29999999999999982</v>
      </c>
      <c r="O19" s="589">
        <f t="shared" ref="O19:O24" si="2">ROUND((N18+N19)/2*8.5*20,2)</f>
        <v>46.75</v>
      </c>
    </row>
    <row r="20" spans="1:16">
      <c r="A20" s="588"/>
      <c r="B20" s="592" t="s">
        <v>2689</v>
      </c>
      <c r="E20" s="599" t="s">
        <v>2690</v>
      </c>
      <c r="F20" s="599"/>
      <c r="G20" s="599"/>
      <c r="H20" s="599"/>
      <c r="I20" s="589">
        <f>ROUND((3.9625*21.55-1*1)*0.7,2)</f>
        <v>59.07</v>
      </c>
      <c r="K20" s="590" t="s">
        <v>2703</v>
      </c>
      <c r="L20" s="589">
        <v>5.01</v>
      </c>
      <c r="M20" s="589">
        <f>5.5-0.15</f>
        <v>5.35</v>
      </c>
      <c r="N20" s="589">
        <f t="shared" si="1"/>
        <v>0.33999999999999986</v>
      </c>
      <c r="O20" s="589">
        <f t="shared" si="2"/>
        <v>54.4</v>
      </c>
    </row>
    <row r="21" spans="1:16">
      <c r="A21" s="588"/>
      <c r="B21" s="592" t="s">
        <v>2976</v>
      </c>
      <c r="E21" s="599" t="s">
        <v>3371</v>
      </c>
      <c r="F21" s="599"/>
      <c r="G21" s="599"/>
      <c r="H21" s="599"/>
      <c r="I21" s="589">
        <f>ROUND(0.32*0.32*3.14*36+0.25*0.25*3.14*59.2+1*1*3.1+1*1*2.53,2)</f>
        <v>28.82</v>
      </c>
      <c r="K21" s="590" t="s">
        <v>2704</v>
      </c>
      <c r="L21" s="589">
        <v>5.04</v>
      </c>
      <c r="M21" s="589">
        <f>5.5-0.15</f>
        <v>5.35</v>
      </c>
      <c r="N21" s="589">
        <f t="shared" si="1"/>
        <v>0.30999999999999961</v>
      </c>
      <c r="O21" s="589">
        <f t="shared" si="2"/>
        <v>55.25</v>
      </c>
    </row>
    <row r="22" spans="1:16">
      <c r="A22" s="588"/>
      <c r="B22" s="592" t="s">
        <v>2693</v>
      </c>
      <c r="E22" s="599" t="s">
        <v>2728</v>
      </c>
      <c r="F22" s="599"/>
      <c r="G22" s="599"/>
      <c r="H22" s="599"/>
      <c r="I22" s="593">
        <f>O25</f>
        <v>331.49999999999994</v>
      </c>
      <c r="K22" s="590" t="s">
        <v>2705</v>
      </c>
      <c r="L22" s="589">
        <v>5.09</v>
      </c>
      <c r="M22" s="589">
        <f>5.5-0.15</f>
        <v>5.35</v>
      </c>
      <c r="N22" s="589">
        <f t="shared" si="1"/>
        <v>0.25999999999999979</v>
      </c>
      <c r="O22" s="589">
        <f t="shared" si="2"/>
        <v>48.45</v>
      </c>
    </row>
    <row r="23" spans="1:16">
      <c r="A23" s="588" t="s">
        <v>2971</v>
      </c>
      <c r="B23" s="592" t="s">
        <v>2718</v>
      </c>
      <c r="E23" s="599" t="s">
        <v>2688</v>
      </c>
      <c r="F23" s="599"/>
      <c r="G23" s="599"/>
      <c r="H23" s="599"/>
      <c r="I23" s="589">
        <f>(280-60)*7.35*0.3</f>
        <v>485.09999999999997</v>
      </c>
      <c r="K23" s="590" t="s">
        <v>2706</v>
      </c>
      <c r="L23" s="589">
        <v>5.15</v>
      </c>
      <c r="M23" s="589">
        <f>5.56-0.15</f>
        <v>5.4099999999999993</v>
      </c>
      <c r="N23" s="589">
        <f t="shared" si="1"/>
        <v>0.2599999999999989</v>
      </c>
      <c r="O23" s="589">
        <f t="shared" si="2"/>
        <v>44.2</v>
      </c>
      <c r="P23" s="596"/>
    </row>
    <row r="24" spans="1:16">
      <c r="A24" s="588"/>
      <c r="B24" s="592" t="s">
        <v>2975</v>
      </c>
      <c r="E24" s="599" t="s">
        <v>2981</v>
      </c>
      <c r="F24" s="599"/>
      <c r="G24" s="599"/>
      <c r="H24" s="599"/>
      <c r="I24" s="589">
        <f>ROUND((0.32*0.32*3.14*36)+(0.25*0.25*3.14*59.2)+3.1+2.53,2)</f>
        <v>28.82</v>
      </c>
      <c r="K24" s="590" t="s">
        <v>2707</v>
      </c>
      <c r="L24" s="589">
        <v>5.21</v>
      </c>
      <c r="M24" s="589">
        <f>5.54-0.15</f>
        <v>5.39</v>
      </c>
      <c r="N24" s="589">
        <f t="shared" si="1"/>
        <v>0.17999999999999972</v>
      </c>
      <c r="O24" s="589">
        <f t="shared" si="2"/>
        <v>37.4</v>
      </c>
      <c r="P24" s="596"/>
    </row>
    <row r="25" spans="1:16">
      <c r="A25" s="588"/>
      <c r="B25" s="589" t="s">
        <v>2972</v>
      </c>
      <c r="E25" s="599" t="s">
        <v>2973</v>
      </c>
      <c r="F25" s="599"/>
      <c r="G25" s="599"/>
      <c r="H25" s="599"/>
      <c r="I25" s="589">
        <f>3.6*2/2*24.3+3.8*26.2/2</f>
        <v>137.26</v>
      </c>
      <c r="K25" s="600" t="s">
        <v>142</v>
      </c>
      <c r="O25" s="596">
        <f>SUM(O16:O24)</f>
        <v>331.49999999999994</v>
      </c>
      <c r="P25" s="596"/>
    </row>
    <row r="26" spans="1:16">
      <c r="A26" s="596"/>
      <c r="C26" s="596"/>
      <c r="D26" s="596"/>
      <c r="E26" s="596"/>
      <c r="F26" s="596"/>
      <c r="G26" s="596"/>
      <c r="H26" s="596"/>
      <c r="J26" s="596"/>
      <c r="K26" s="601"/>
    </row>
    <row r="27" spans="1:16">
      <c r="A27" s="596"/>
      <c r="B27" s="596">
        <f>B2+B3</f>
        <v>28009.56</v>
      </c>
      <c r="C27" s="596">
        <f>B8+B9</f>
        <v>-513.91999999999996</v>
      </c>
      <c r="D27" s="596">
        <f>B27+C27</f>
        <v>27495.640000000003</v>
      </c>
      <c r="E27" s="596"/>
      <c r="F27" s="596">
        <f>F2+F3+F8+F9+F10+F11+F12</f>
        <v>15845.92</v>
      </c>
      <c r="G27" s="596"/>
      <c r="H27" s="596"/>
      <c r="J27" s="596"/>
      <c r="K27" s="598"/>
      <c r="L27" s="596"/>
      <c r="M27" s="596"/>
      <c r="N27" s="596"/>
      <c r="O27" s="596"/>
    </row>
    <row r="28" spans="1:16">
      <c r="A28" s="596"/>
      <c r="H28" s="596"/>
      <c r="J28" s="596"/>
      <c r="K28" s="602"/>
      <c r="L28" s="596"/>
      <c r="M28" s="596"/>
      <c r="N28" s="596"/>
      <c r="O28" s="596"/>
    </row>
    <row r="29" spans="1:16">
      <c r="K29" s="597"/>
      <c r="L29" s="596"/>
      <c r="M29" s="596"/>
      <c r="N29" s="596"/>
      <c r="O29" s="596"/>
    </row>
    <row r="30" spans="1:16">
      <c r="B30" s="589">
        <f>B2+B3+B8+B9</f>
        <v>27495.640000000003</v>
      </c>
      <c r="M30" s="762">
        <f>M2-10560+M10</f>
        <v>7626</v>
      </c>
      <c r="N30" s="589" t="s">
        <v>2984</v>
      </c>
    </row>
    <row r="31" spans="1:16">
      <c r="A31" s="589" t="s">
        <v>2982</v>
      </c>
      <c r="B31" s="589">
        <v>27470.86</v>
      </c>
      <c r="M31" s="589">
        <f>13248-10560</f>
        <v>2688</v>
      </c>
      <c r="N31" s="589" t="s">
        <v>2983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8" orientation="landscape" r:id="rId1"/>
  <colBreaks count="1" manualBreakCount="1">
    <brk id="17" max="2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4DB7F-5993-452F-91B0-F3B53E359AE9}">
  <dimension ref="A1:T210"/>
  <sheetViews>
    <sheetView topLeftCell="A158" zoomScale="95" zoomScaleNormal="95" workbookViewId="0">
      <selection activeCell="K175" sqref="K175"/>
    </sheetView>
  </sheetViews>
  <sheetFormatPr defaultColWidth="9.140625" defaultRowHeight="12.75"/>
  <cols>
    <col min="1" max="2" width="9.140625" style="81"/>
    <col min="3" max="3" width="14.7109375" style="81" customWidth="1"/>
    <col min="4" max="4" width="9.140625" style="82"/>
    <col min="5" max="13" width="14.42578125" style="82" customWidth="1"/>
    <col min="14" max="14" width="16.85546875" style="82" customWidth="1"/>
    <col min="15" max="15" width="17.42578125" style="82" customWidth="1"/>
    <col min="16" max="16384" width="9.140625" style="82"/>
  </cols>
  <sheetData>
    <row r="1" spans="1:15" ht="21" hidden="1">
      <c r="A1" s="1041" t="s">
        <v>1614</v>
      </c>
      <c r="B1" s="1041"/>
      <c r="C1" s="1041"/>
      <c r="D1" s="1041"/>
      <c r="E1" s="1041"/>
      <c r="F1" s="1041"/>
      <c r="G1" s="1041"/>
      <c r="H1" s="1041"/>
      <c r="I1" s="1041"/>
      <c r="J1" s="1041"/>
      <c r="K1" s="1041"/>
      <c r="L1" s="1041"/>
      <c r="M1" s="1041"/>
      <c r="N1" s="1041"/>
    </row>
    <row r="2" spans="1:15" s="81" customFormat="1" hidden="1">
      <c r="A2" s="90" t="s">
        <v>1615</v>
      </c>
      <c r="B2" s="90" t="s">
        <v>1616</v>
      </c>
      <c r="C2" s="90" t="s">
        <v>1617</v>
      </c>
      <c r="D2" s="90" t="s">
        <v>1618</v>
      </c>
      <c r="E2" s="90" t="s">
        <v>1619</v>
      </c>
      <c r="F2" s="90" t="s">
        <v>1620</v>
      </c>
      <c r="G2" s="90" t="s">
        <v>1621</v>
      </c>
      <c r="H2" s="90" t="s">
        <v>1622</v>
      </c>
      <c r="I2" s="90" t="s">
        <v>1623</v>
      </c>
      <c r="J2" s="90" t="s">
        <v>1624</v>
      </c>
      <c r="K2" s="90" t="s">
        <v>1625</v>
      </c>
      <c r="L2" s="90" t="s">
        <v>1626</v>
      </c>
      <c r="M2" s="90" t="s">
        <v>1627</v>
      </c>
      <c r="N2" s="90" t="s">
        <v>1628</v>
      </c>
    </row>
    <row r="3" spans="1:15" s="81" customFormat="1" hidden="1">
      <c r="A3" s="90"/>
      <c r="B3" s="90"/>
      <c r="C3" s="90" t="s">
        <v>1629</v>
      </c>
      <c r="D3" s="90"/>
      <c r="E3" s="90" t="s">
        <v>1630</v>
      </c>
      <c r="F3" s="90" t="s">
        <v>1631</v>
      </c>
      <c r="G3" s="90" t="s">
        <v>1632</v>
      </c>
      <c r="H3" s="90" t="s">
        <v>1633</v>
      </c>
      <c r="I3" s="90" t="s">
        <v>1634</v>
      </c>
      <c r="J3" s="90" t="s">
        <v>1635</v>
      </c>
      <c r="K3" s="90" t="s">
        <v>1636</v>
      </c>
      <c r="L3" s="90" t="s">
        <v>1637</v>
      </c>
      <c r="M3" s="90"/>
      <c r="N3" s="90"/>
    </row>
    <row r="4" spans="1:15" hidden="1">
      <c r="A4" s="90" t="s">
        <v>1638</v>
      </c>
      <c r="B4" s="90" t="s">
        <v>1639</v>
      </c>
      <c r="C4" s="93">
        <v>6240.88</v>
      </c>
      <c r="D4" s="90" t="s">
        <v>1640</v>
      </c>
      <c r="E4" s="93"/>
      <c r="F4" s="93"/>
      <c r="G4" s="93"/>
      <c r="H4" s="93"/>
      <c r="I4" s="93"/>
      <c r="J4" s="93"/>
      <c r="K4" s="93"/>
      <c r="L4" s="93"/>
      <c r="M4" s="93"/>
      <c r="N4" s="93">
        <f>SUM(E4:M4)</f>
        <v>0</v>
      </c>
      <c r="O4" s="94">
        <f>C4-N4</f>
        <v>6240.88</v>
      </c>
    </row>
    <row r="5" spans="1:15" s="98" customFormat="1" hidden="1">
      <c r="A5" s="95" t="s">
        <v>1638</v>
      </c>
      <c r="B5" s="95" t="s">
        <v>1641</v>
      </c>
      <c r="C5" s="96">
        <v>102796.95</v>
      </c>
      <c r="D5" s="95" t="s">
        <v>1642</v>
      </c>
      <c r="E5" s="96"/>
      <c r="F5" s="96"/>
      <c r="G5" s="96">
        <v>18695</v>
      </c>
      <c r="H5" s="96">
        <v>7520</v>
      </c>
      <c r="I5" s="96"/>
      <c r="J5" s="96"/>
      <c r="K5" s="96"/>
      <c r="L5" s="96">
        <f>3360+10360+18510+3650</f>
        <v>35880</v>
      </c>
      <c r="M5" s="96"/>
      <c r="N5" s="96">
        <f t="shared" ref="N5:N11" si="0">SUM(E5:M5)</f>
        <v>62095</v>
      </c>
      <c r="O5" s="97">
        <f t="shared" ref="O5:O12" si="1">C5-N5</f>
        <v>40701.949999999997</v>
      </c>
    </row>
    <row r="6" spans="1:15" s="98" customFormat="1" hidden="1">
      <c r="A6" s="95" t="s">
        <v>1643</v>
      </c>
      <c r="B6" s="95" t="s">
        <v>1644</v>
      </c>
      <c r="C6" s="96">
        <v>45080</v>
      </c>
      <c r="D6" s="95" t="s">
        <v>1642</v>
      </c>
      <c r="E6" s="96">
        <f>14505+36440</f>
        <v>50945</v>
      </c>
      <c r="F6" s="96"/>
      <c r="G6" s="96"/>
      <c r="H6" s="96"/>
      <c r="I6" s="96"/>
      <c r="J6" s="96"/>
      <c r="K6" s="96"/>
      <c r="L6" s="96"/>
      <c r="M6" s="96"/>
      <c r="N6" s="96">
        <f t="shared" si="0"/>
        <v>50945</v>
      </c>
      <c r="O6" s="97">
        <f t="shared" si="1"/>
        <v>-5865</v>
      </c>
    </row>
    <row r="7" spans="1:15" hidden="1">
      <c r="A7" s="90" t="s">
        <v>1645</v>
      </c>
      <c r="B7" s="90" t="s">
        <v>1646</v>
      </c>
      <c r="C7" s="93">
        <v>13138</v>
      </c>
      <c r="D7" s="90" t="s">
        <v>1640</v>
      </c>
      <c r="E7" s="93"/>
      <c r="F7" s="93">
        <v>6450</v>
      </c>
      <c r="G7" s="93"/>
      <c r="H7" s="93">
        <v>16651</v>
      </c>
      <c r="I7" s="93"/>
      <c r="J7" s="93"/>
      <c r="K7" s="93"/>
      <c r="L7" s="93"/>
      <c r="M7" s="93"/>
      <c r="N7" s="93">
        <f t="shared" si="0"/>
        <v>23101</v>
      </c>
      <c r="O7" s="94">
        <f t="shared" si="1"/>
        <v>-9963</v>
      </c>
    </row>
    <row r="8" spans="1:15" s="98" customFormat="1" hidden="1">
      <c r="A8" s="95" t="s">
        <v>1645</v>
      </c>
      <c r="B8" s="95" t="s">
        <v>1647</v>
      </c>
      <c r="C8" s="96">
        <v>15589</v>
      </c>
      <c r="D8" s="95" t="s">
        <v>1642</v>
      </c>
      <c r="E8" s="96"/>
      <c r="F8" s="96"/>
      <c r="G8" s="96"/>
      <c r="H8" s="96">
        <v>23840</v>
      </c>
      <c r="I8" s="96"/>
      <c r="J8" s="96"/>
      <c r="K8" s="96"/>
      <c r="L8" s="96"/>
      <c r="M8" s="96"/>
      <c r="N8" s="96">
        <f t="shared" si="0"/>
        <v>23840</v>
      </c>
      <c r="O8" s="97">
        <f t="shared" si="1"/>
        <v>-8251</v>
      </c>
    </row>
    <row r="9" spans="1:15" hidden="1">
      <c r="A9" s="90" t="s">
        <v>1648</v>
      </c>
      <c r="B9" s="90" t="s">
        <v>1649</v>
      </c>
      <c r="C9" s="93">
        <v>137462</v>
      </c>
      <c r="D9" s="90" t="s">
        <v>1640</v>
      </c>
      <c r="E9" s="93"/>
      <c r="F9" s="93">
        <v>16650</v>
      </c>
      <c r="G9" s="93">
        <v>23095</v>
      </c>
      <c r="H9" s="93">
        <v>394</v>
      </c>
      <c r="I9" s="93">
        <v>16715</v>
      </c>
      <c r="J9" s="93">
        <v>45120</v>
      </c>
      <c r="K9" s="93">
        <f>44780+20900</f>
        <v>65680</v>
      </c>
      <c r="L9" s="93">
        <f>21900+8440</f>
        <v>30340</v>
      </c>
      <c r="M9" s="93">
        <v>23895</v>
      </c>
      <c r="N9" s="93">
        <f t="shared" si="0"/>
        <v>221889</v>
      </c>
      <c r="O9" s="94">
        <f t="shared" si="1"/>
        <v>-84427</v>
      </c>
    </row>
    <row r="10" spans="1:15" s="98" customFormat="1" hidden="1">
      <c r="A10" s="95" t="s">
        <v>1648</v>
      </c>
      <c r="B10" s="95" t="s">
        <v>1650</v>
      </c>
      <c r="C10" s="96">
        <v>116638</v>
      </c>
      <c r="D10" s="95" t="s">
        <v>1642</v>
      </c>
      <c r="E10" s="96"/>
      <c r="F10" s="96">
        <v>26170</v>
      </c>
      <c r="G10" s="96">
        <v>14390</v>
      </c>
      <c r="H10" s="96">
        <v>5695</v>
      </c>
      <c r="I10" s="96"/>
      <c r="J10" s="96"/>
      <c r="K10" s="96">
        <v>57640</v>
      </c>
      <c r="L10" s="96">
        <v>29305</v>
      </c>
      <c r="M10" s="96">
        <v>45750</v>
      </c>
      <c r="N10" s="96">
        <f t="shared" si="0"/>
        <v>178950</v>
      </c>
      <c r="O10" s="97">
        <f t="shared" si="1"/>
        <v>-62312</v>
      </c>
    </row>
    <row r="11" spans="1:15" hidden="1">
      <c r="A11" s="90" t="s">
        <v>1651</v>
      </c>
      <c r="B11" s="90" t="s">
        <v>1652</v>
      </c>
      <c r="C11" s="93">
        <v>18865.759999999998</v>
      </c>
      <c r="D11" s="90" t="s">
        <v>1640</v>
      </c>
      <c r="E11" s="93"/>
      <c r="F11" s="93"/>
      <c r="G11" s="93"/>
      <c r="H11" s="93"/>
      <c r="I11" s="93"/>
      <c r="J11" s="93">
        <v>3130</v>
      </c>
      <c r="K11" s="93"/>
      <c r="L11" s="99"/>
      <c r="M11" s="93">
        <f>1500+1720</f>
        <v>3220</v>
      </c>
      <c r="N11" s="93">
        <f t="shared" si="0"/>
        <v>6350</v>
      </c>
      <c r="O11" s="94">
        <f t="shared" si="1"/>
        <v>12515.759999999998</v>
      </c>
    </row>
    <row r="12" spans="1:15" hidden="1">
      <c r="A12" s="90" t="s">
        <v>1653</v>
      </c>
      <c r="B12" s="90" t="s">
        <v>1654</v>
      </c>
      <c r="C12" s="93">
        <v>12810</v>
      </c>
      <c r="D12" s="90" t="s">
        <v>1640</v>
      </c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4">
        <f t="shared" si="1"/>
        <v>12810</v>
      </c>
    </row>
    <row r="13" spans="1:15" hidden="1">
      <c r="A13" s="90"/>
      <c r="B13" s="90"/>
      <c r="C13" s="100"/>
      <c r="D13" s="91"/>
      <c r="E13" s="93"/>
      <c r="F13" s="93"/>
      <c r="G13" s="93"/>
      <c r="H13" s="93"/>
      <c r="I13" s="93"/>
      <c r="J13" s="93"/>
      <c r="K13" s="93"/>
      <c r="L13" s="93"/>
      <c r="M13" s="93"/>
      <c r="N13" s="93"/>
    </row>
    <row r="14" spans="1:15" hidden="1">
      <c r="A14" s="90"/>
      <c r="B14" s="90"/>
      <c r="C14" s="93">
        <f>SUM(C4:C13)</f>
        <v>468620.59</v>
      </c>
      <c r="D14" s="90" t="s">
        <v>1602</v>
      </c>
      <c r="E14" s="93">
        <f t="shared" ref="E14:N14" si="2">SUM(E4:E13)</f>
        <v>50945</v>
      </c>
      <c r="F14" s="93">
        <f t="shared" si="2"/>
        <v>49270</v>
      </c>
      <c r="G14" s="93">
        <f t="shared" si="2"/>
        <v>56180</v>
      </c>
      <c r="H14" s="93">
        <f t="shared" si="2"/>
        <v>54100</v>
      </c>
      <c r="I14" s="93">
        <f t="shared" si="2"/>
        <v>16715</v>
      </c>
      <c r="J14" s="93">
        <f t="shared" si="2"/>
        <v>48250</v>
      </c>
      <c r="K14" s="93">
        <f t="shared" si="2"/>
        <v>123320</v>
      </c>
      <c r="L14" s="93">
        <f t="shared" si="2"/>
        <v>95525</v>
      </c>
      <c r="M14" s="93">
        <f t="shared" si="2"/>
        <v>72865</v>
      </c>
      <c r="N14" s="93">
        <f t="shared" si="2"/>
        <v>567170</v>
      </c>
    </row>
    <row r="15" spans="1:15" hidden="1">
      <c r="A15" s="90"/>
      <c r="B15" s="90"/>
      <c r="C15" s="90"/>
      <c r="D15" s="91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81" t="s">
        <v>1655</v>
      </c>
    </row>
    <row r="16" spans="1:15" hidden="1">
      <c r="A16" s="90"/>
      <c r="B16" s="90"/>
      <c r="C16" s="1042" t="s">
        <v>1656</v>
      </c>
      <c r="D16" s="90" t="s">
        <v>1640</v>
      </c>
      <c r="E16" s="93">
        <f>E4+E7+E9+E11</f>
        <v>0</v>
      </c>
      <c r="F16" s="93">
        <f t="shared" ref="F16:N16" si="3">F4+F7+F9+F11</f>
        <v>23100</v>
      </c>
      <c r="G16" s="93">
        <f t="shared" si="3"/>
        <v>23095</v>
      </c>
      <c r="H16" s="93">
        <f t="shared" si="3"/>
        <v>17045</v>
      </c>
      <c r="I16" s="93">
        <f t="shared" si="3"/>
        <v>16715</v>
      </c>
      <c r="J16" s="93">
        <f t="shared" si="3"/>
        <v>48250</v>
      </c>
      <c r="K16" s="93">
        <f t="shared" si="3"/>
        <v>65680</v>
      </c>
      <c r="L16" s="93">
        <f t="shared" si="3"/>
        <v>30340</v>
      </c>
      <c r="M16" s="93">
        <f>M4+M7+M9+M11+M12</f>
        <v>27115</v>
      </c>
      <c r="N16" s="93">
        <f t="shared" si="3"/>
        <v>251340</v>
      </c>
      <c r="O16" s="101">
        <f>N16-C20</f>
        <v>62823.359999999986</v>
      </c>
    </row>
    <row r="17" spans="1:15" s="98" customFormat="1" hidden="1">
      <c r="A17" s="95"/>
      <c r="B17" s="95"/>
      <c r="C17" s="1043"/>
      <c r="D17" s="95" t="s">
        <v>1642</v>
      </c>
      <c r="E17" s="96">
        <f>E5+E6+E8+E10</f>
        <v>50945</v>
      </c>
      <c r="F17" s="96">
        <f t="shared" ref="F17:N17" si="4">F5+F6+F8+F10</f>
        <v>26170</v>
      </c>
      <c r="G17" s="96">
        <f t="shared" si="4"/>
        <v>33085</v>
      </c>
      <c r="H17" s="96">
        <f t="shared" si="4"/>
        <v>37055</v>
      </c>
      <c r="I17" s="96">
        <f t="shared" si="4"/>
        <v>0</v>
      </c>
      <c r="J17" s="96">
        <f t="shared" si="4"/>
        <v>0</v>
      </c>
      <c r="K17" s="96">
        <f t="shared" si="4"/>
        <v>57640</v>
      </c>
      <c r="L17" s="96">
        <f t="shared" si="4"/>
        <v>65185</v>
      </c>
      <c r="M17" s="96">
        <f t="shared" si="4"/>
        <v>45750</v>
      </c>
      <c r="N17" s="96">
        <f t="shared" si="4"/>
        <v>315830</v>
      </c>
      <c r="O17" s="103">
        <f>N17-C21</f>
        <v>35726.049999999988</v>
      </c>
    </row>
    <row r="18" spans="1:15" hidden="1">
      <c r="D18" s="81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1"/>
    </row>
    <row r="19" spans="1:15" hidden="1">
      <c r="B19" s="81" t="s">
        <v>1657</v>
      </c>
      <c r="D19" s="81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1"/>
    </row>
    <row r="20" spans="1:15" hidden="1">
      <c r="B20" s="81" t="s">
        <v>1658</v>
      </c>
      <c r="C20" s="105">
        <f>C4+C7+C9+C11+C12</f>
        <v>188516.64</v>
      </c>
      <c r="E20" s="105">
        <f>197.94*1000</f>
        <v>197940</v>
      </c>
      <c r="N20" s="101">
        <f>N16+N17</f>
        <v>567170</v>
      </c>
    </row>
    <row r="21" spans="1:15" s="98" customFormat="1" hidden="1">
      <c r="A21" s="106"/>
      <c r="B21" s="106" t="s">
        <v>1659</v>
      </c>
      <c r="C21" s="107">
        <f>C5+C6+C8+C10</f>
        <v>280103.95</v>
      </c>
      <c r="E21" s="107">
        <f>308.11*1000</f>
        <v>308110</v>
      </c>
    </row>
    <row r="22" spans="1:15" hidden="1">
      <c r="C22" s="105">
        <f>C20+C21</f>
        <v>468620.59</v>
      </c>
      <c r="L22" s="82">
        <v>280</v>
      </c>
      <c r="M22" s="101">
        <f>N7+N9</f>
        <v>244990</v>
      </c>
    </row>
    <row r="23" spans="1:15" hidden="1">
      <c r="L23" s="82">
        <v>420</v>
      </c>
      <c r="M23" s="101">
        <f>N8+N10</f>
        <v>202790</v>
      </c>
    </row>
    <row r="24" spans="1:15" ht="13.5" hidden="1">
      <c r="H24" s="147"/>
    </row>
    <row r="25" spans="1:15" ht="13.5" hidden="1">
      <c r="C25" s="148" t="s">
        <v>1747</v>
      </c>
      <c r="E25" s="82">
        <v>380</v>
      </c>
      <c r="F25" s="160">
        <f>300/20</f>
        <v>15</v>
      </c>
      <c r="G25" s="161">
        <f>E25*F25</f>
        <v>5700</v>
      </c>
      <c r="H25" s="161"/>
    </row>
    <row r="26" spans="1:15" ht="13.5" hidden="1">
      <c r="C26" s="148" t="s">
        <v>1748</v>
      </c>
      <c r="E26" s="82">
        <f>119+315+48+140+46+70+119+101</f>
        <v>958</v>
      </c>
      <c r="F26" s="160">
        <f>280/20</f>
        <v>14</v>
      </c>
      <c r="G26" s="161">
        <f>E26*F26</f>
        <v>13412</v>
      </c>
      <c r="H26" s="101">
        <f>N9</f>
        <v>221889</v>
      </c>
      <c r="I26" s="161">
        <f>H26-G25-G27-G29</f>
        <v>207083</v>
      </c>
    </row>
    <row r="27" spans="1:15" ht="13.5" hidden="1">
      <c r="B27" s="1038" t="s">
        <v>1953</v>
      </c>
      <c r="C27" s="1038"/>
      <c r="D27" s="87" t="s">
        <v>1754</v>
      </c>
      <c r="E27" s="82">
        <f>E26-E28</f>
        <v>643</v>
      </c>
      <c r="F27" s="160">
        <f>280/20</f>
        <v>14</v>
      </c>
      <c r="G27" s="161">
        <f>E27*F27</f>
        <v>9002</v>
      </c>
      <c r="H27" s="101">
        <f>N10</f>
        <v>178950</v>
      </c>
      <c r="I27" s="161">
        <f>H27-G28-G30</f>
        <v>174262</v>
      </c>
    </row>
    <row r="28" spans="1:15" ht="13.5" hidden="1">
      <c r="C28" s="148"/>
      <c r="D28" s="87" t="s">
        <v>1755</v>
      </c>
      <c r="E28" s="82">
        <v>315</v>
      </c>
      <c r="F28" s="160">
        <f>280/20</f>
        <v>14</v>
      </c>
      <c r="G28" s="161">
        <f>E28*F27</f>
        <v>4410</v>
      </c>
    </row>
    <row r="29" spans="1:15" ht="13.5" hidden="1">
      <c r="C29" s="148" t="s">
        <v>1749</v>
      </c>
      <c r="D29" s="87" t="s">
        <v>1754</v>
      </c>
      <c r="E29" s="82">
        <f>16+24+48+16</f>
        <v>104</v>
      </c>
      <c r="F29" s="162">
        <v>1</v>
      </c>
      <c r="G29" s="161">
        <f>E29*F29</f>
        <v>104</v>
      </c>
    </row>
    <row r="30" spans="1:15" hidden="1">
      <c r="D30" s="87" t="s">
        <v>1755</v>
      </c>
      <c r="E30" s="82">
        <f>73+66+73+66</f>
        <v>278</v>
      </c>
      <c r="G30" s="161">
        <f>E30*F29</f>
        <v>278</v>
      </c>
    </row>
    <row r="31" spans="1:15" ht="13.5" hidden="1">
      <c r="C31" s="148" t="s">
        <v>1753</v>
      </c>
      <c r="D31" s="87" t="s">
        <v>1755</v>
      </c>
      <c r="E31" s="82">
        <f>630+313+608</f>
        <v>1551</v>
      </c>
      <c r="F31" s="162">
        <v>1</v>
      </c>
      <c r="G31" s="161">
        <f>E31*F31</f>
        <v>1551</v>
      </c>
    </row>
    <row r="32" spans="1:15" hidden="1"/>
    <row r="33" spans="1:18" ht="15">
      <c r="B33" s="164">
        <v>4</v>
      </c>
      <c r="C33" s="164">
        <v>5</v>
      </c>
      <c r="D33" s="164">
        <v>6</v>
      </c>
      <c r="E33" s="164">
        <v>7</v>
      </c>
      <c r="F33" s="164">
        <v>8</v>
      </c>
      <c r="G33" s="164">
        <v>9</v>
      </c>
      <c r="H33" s="164">
        <v>10</v>
      </c>
      <c r="I33" s="164"/>
      <c r="J33" s="164">
        <v>4</v>
      </c>
      <c r="K33" s="164">
        <v>5</v>
      </c>
      <c r="L33" s="164">
        <v>6</v>
      </c>
      <c r="M33" s="164">
        <v>7</v>
      </c>
      <c r="N33" s="164">
        <v>8</v>
      </c>
      <c r="O33" s="164">
        <v>9</v>
      </c>
      <c r="P33" s="164">
        <v>10</v>
      </c>
    </row>
    <row r="34" spans="1:18" ht="15">
      <c r="B34" s="164">
        <v>0.99399999999999999</v>
      </c>
      <c r="C34" s="164">
        <v>1.56</v>
      </c>
      <c r="D34" s="164">
        <v>2.25</v>
      </c>
      <c r="E34" s="164">
        <v>3.04</v>
      </c>
      <c r="F34" s="164">
        <v>3.98</v>
      </c>
      <c r="G34" s="164">
        <v>5.08</v>
      </c>
      <c r="H34" s="164">
        <v>6.39</v>
      </c>
      <c r="I34" s="164"/>
      <c r="J34" s="164">
        <v>0.99399999999999999</v>
      </c>
      <c r="K34" s="164">
        <v>1.56</v>
      </c>
      <c r="L34" s="164">
        <v>2.25</v>
      </c>
      <c r="M34" s="164">
        <v>3.04</v>
      </c>
      <c r="N34" s="164">
        <v>3.98</v>
      </c>
      <c r="O34" s="164">
        <v>5.08</v>
      </c>
      <c r="P34" s="164">
        <v>6.39</v>
      </c>
    </row>
    <row r="35" spans="1:18" ht="16.5">
      <c r="A35" s="163"/>
      <c r="B35" s="808" t="s">
        <v>1234</v>
      </c>
      <c r="C35" s="809" t="s">
        <v>1758</v>
      </c>
      <c r="D35" s="164"/>
      <c r="E35" s="164"/>
      <c r="F35" s="164"/>
      <c r="G35" s="163"/>
      <c r="H35" s="808" t="s">
        <v>1234</v>
      </c>
      <c r="I35" s="809" t="s">
        <v>1759</v>
      </c>
      <c r="J35" s="164"/>
      <c r="K35" s="164"/>
      <c r="L35" s="164"/>
      <c r="M35" s="164"/>
      <c r="N35" s="810" t="s">
        <v>1760</v>
      </c>
      <c r="O35" s="164" t="s">
        <v>1761</v>
      </c>
      <c r="P35" s="164" t="s">
        <v>1762</v>
      </c>
      <c r="Q35" s="164"/>
      <c r="R35" s="164"/>
    </row>
    <row r="36" spans="1:18" ht="15.75">
      <c r="A36" s="165" t="s">
        <v>1763</v>
      </c>
      <c r="B36" s="165" t="s">
        <v>1764</v>
      </c>
      <c r="C36" s="165" t="s">
        <v>1765</v>
      </c>
      <c r="D36" s="166" t="s">
        <v>1766</v>
      </c>
      <c r="E36" s="165" t="s">
        <v>1767</v>
      </c>
      <c r="F36" s="164"/>
      <c r="G36" s="165" t="s">
        <v>1763</v>
      </c>
      <c r="H36" s="165" t="s">
        <v>1764</v>
      </c>
      <c r="I36" s="165" t="s">
        <v>1765</v>
      </c>
      <c r="J36" s="166" t="s">
        <v>1766</v>
      </c>
      <c r="K36" s="165" t="s">
        <v>1767</v>
      </c>
      <c r="L36" s="164"/>
      <c r="M36" s="164" t="s">
        <v>1768</v>
      </c>
      <c r="N36" s="164" t="s">
        <v>1769</v>
      </c>
      <c r="O36" s="164" t="s">
        <v>1770</v>
      </c>
      <c r="P36" s="164" t="s">
        <v>1771</v>
      </c>
      <c r="Q36" s="164" t="s">
        <v>1772</v>
      </c>
      <c r="R36" s="164"/>
    </row>
    <row r="37" spans="1:18" ht="15">
      <c r="A37" s="164">
        <v>1</v>
      </c>
      <c r="B37" s="164">
        <v>10</v>
      </c>
      <c r="C37" s="164">
        <f>6.8+9.5+0.7*2</f>
        <v>17.7</v>
      </c>
      <c r="D37" s="164">
        <v>15</v>
      </c>
      <c r="E37" s="164">
        <f>C37*D37*H34</f>
        <v>1696.5449999999998</v>
      </c>
      <c r="F37" s="164"/>
      <c r="G37" s="164">
        <v>1</v>
      </c>
      <c r="H37" s="164">
        <v>10</v>
      </c>
      <c r="I37" s="164">
        <f>6.8+10.7+0.7*2</f>
        <v>18.899999999999999</v>
      </c>
      <c r="J37" s="164">
        <v>15</v>
      </c>
      <c r="K37" s="164">
        <f>I37*J37*P34</f>
        <v>1811.5649999999998</v>
      </c>
      <c r="L37" s="164"/>
      <c r="M37" s="164">
        <v>1</v>
      </c>
      <c r="N37" s="164">
        <v>6</v>
      </c>
      <c r="O37" s="164">
        <f>1.78+0.26*2</f>
        <v>2.2999999999999998</v>
      </c>
      <c r="P37" s="164">
        <f>4*18</f>
        <v>72</v>
      </c>
      <c r="Q37" s="164">
        <f>O37*P37*L34</f>
        <v>372.59999999999997</v>
      </c>
      <c r="R37" s="164"/>
    </row>
    <row r="38" spans="1:18" ht="15">
      <c r="A38" s="164">
        <v>2</v>
      </c>
      <c r="B38" s="164">
        <v>10</v>
      </c>
      <c r="C38" s="164">
        <f>6.8+8.9+0.7*2</f>
        <v>17.099999999999998</v>
      </c>
      <c r="D38" s="164">
        <v>15</v>
      </c>
      <c r="E38" s="164">
        <f>C38*D38*H34</f>
        <v>1639.0349999999996</v>
      </c>
      <c r="F38" s="164"/>
      <c r="G38" s="164">
        <v>2</v>
      </c>
      <c r="H38" s="164">
        <v>10</v>
      </c>
      <c r="I38" s="164">
        <f>6.8+10.1+0.7*2</f>
        <v>18.299999999999997</v>
      </c>
      <c r="J38" s="164">
        <v>15</v>
      </c>
      <c r="K38" s="164">
        <f>I38*J38*P34</f>
        <v>1754.0549999999996</v>
      </c>
      <c r="L38" s="164"/>
      <c r="M38" s="164">
        <v>4</v>
      </c>
      <c r="N38" s="164">
        <v>10</v>
      </c>
      <c r="O38" s="164">
        <f>1.08+0.46</f>
        <v>1.54</v>
      </c>
      <c r="P38" s="164">
        <f>7*18</f>
        <v>126</v>
      </c>
      <c r="Q38" s="164">
        <f>O38*P38*P34</f>
        <v>1239.9155999999998</v>
      </c>
      <c r="R38" s="164"/>
    </row>
    <row r="39" spans="1:18" ht="15">
      <c r="A39" s="164">
        <v>3</v>
      </c>
      <c r="B39" s="164">
        <v>8</v>
      </c>
      <c r="C39" s="164">
        <f>6.3+9.1+1.2*2</f>
        <v>17.799999999999997</v>
      </c>
      <c r="D39" s="164">
        <v>12</v>
      </c>
      <c r="E39" s="164">
        <f>C39*D39*F34</f>
        <v>850.12799999999982</v>
      </c>
      <c r="F39" s="164"/>
      <c r="G39" s="164">
        <v>3</v>
      </c>
      <c r="H39" s="164">
        <v>8</v>
      </c>
      <c r="I39" s="164">
        <f>6.3+10.3+1.2*2</f>
        <v>19</v>
      </c>
      <c r="J39" s="164">
        <v>12</v>
      </c>
      <c r="K39" s="164">
        <f>I39*J39*N34</f>
        <v>907.43999999999994</v>
      </c>
      <c r="L39" s="164"/>
      <c r="M39" s="164">
        <v>5</v>
      </c>
      <c r="N39" s="164">
        <v>6</v>
      </c>
      <c r="O39" s="164">
        <f>0.8+0.7+0.21+0.26</f>
        <v>1.97</v>
      </c>
      <c r="P39" s="164">
        <f>7*18</f>
        <v>126</v>
      </c>
      <c r="Q39" s="164">
        <f>O39*P39*L34</f>
        <v>558.495</v>
      </c>
      <c r="R39" s="164"/>
    </row>
    <row r="40" spans="1:18" ht="15">
      <c r="A40" s="164">
        <v>4</v>
      </c>
      <c r="B40" s="164">
        <v>5</v>
      </c>
      <c r="C40" s="164">
        <f>0.87*2+1.35+0.15*2</f>
        <v>3.3899999999999997</v>
      </c>
      <c r="D40" s="164">
        <v>95</v>
      </c>
      <c r="E40" s="164">
        <f>C40*D40*C34</f>
        <v>502.39799999999997</v>
      </c>
      <c r="F40" s="164"/>
      <c r="G40" s="164">
        <v>4</v>
      </c>
      <c r="H40" s="164">
        <v>5</v>
      </c>
      <c r="I40" s="164">
        <f>0.87*2+1.35+0.15*2</f>
        <v>3.3899999999999997</v>
      </c>
      <c r="J40" s="164">
        <v>104</v>
      </c>
      <c r="K40" s="164">
        <f>I40*J40*K34</f>
        <v>549.9935999999999</v>
      </c>
      <c r="L40" s="164"/>
      <c r="M40" s="164">
        <v>6</v>
      </c>
      <c r="N40" s="164">
        <v>5</v>
      </c>
      <c r="O40" s="164">
        <f>0.6+0.62*2</f>
        <v>1.8399999999999999</v>
      </c>
      <c r="P40" s="164">
        <f>7*18</f>
        <v>126</v>
      </c>
      <c r="Q40" s="164">
        <f>O40*P40*K34</f>
        <v>361.67039999999997</v>
      </c>
      <c r="R40" s="164"/>
    </row>
    <row r="41" spans="1:18" ht="15">
      <c r="A41" s="164"/>
      <c r="B41" s="164">
        <v>5</v>
      </c>
      <c r="C41" s="164">
        <v>1.65</v>
      </c>
      <c r="D41" s="164">
        <v>95</v>
      </c>
      <c r="E41" s="164">
        <f>C41*D41*C34</f>
        <v>244.53</v>
      </c>
      <c r="F41" s="164"/>
      <c r="G41" s="164"/>
      <c r="H41" s="164">
        <v>5</v>
      </c>
      <c r="I41" s="164">
        <v>1.65</v>
      </c>
      <c r="J41" s="164">
        <v>104</v>
      </c>
      <c r="K41" s="164">
        <f>I41*J41*K34</f>
        <v>267.69600000000003</v>
      </c>
      <c r="L41" s="164"/>
      <c r="M41" s="164"/>
      <c r="N41" s="164">
        <v>5</v>
      </c>
      <c r="O41" s="164">
        <f>0.6+0.82*2</f>
        <v>2.2399999999999998</v>
      </c>
      <c r="P41" s="164">
        <f>8*18</f>
        <v>144</v>
      </c>
      <c r="Q41" s="164">
        <f>O41*P41*K34</f>
        <v>503.19359999999995</v>
      </c>
      <c r="R41" s="164"/>
    </row>
    <row r="42" spans="1:18" ht="15.75">
      <c r="A42" s="164">
        <v>5</v>
      </c>
      <c r="B42" s="164">
        <v>5</v>
      </c>
      <c r="C42" s="164">
        <f>0.87*2+1.35+0.15*2</f>
        <v>3.3899999999999997</v>
      </c>
      <c r="D42" s="164">
        <v>95</v>
      </c>
      <c r="E42" s="164">
        <f>C42*D42*C34</f>
        <v>502.39799999999997</v>
      </c>
      <c r="F42" s="164"/>
      <c r="G42" s="164">
        <v>5</v>
      </c>
      <c r="H42" s="164">
        <v>5</v>
      </c>
      <c r="I42" s="164">
        <f>0.87*2+1.35+0.15*2</f>
        <v>3.3899999999999997</v>
      </c>
      <c r="J42" s="164">
        <v>104</v>
      </c>
      <c r="K42" s="164">
        <f>I42*J42*K34</f>
        <v>549.9935999999999</v>
      </c>
      <c r="L42" s="164"/>
      <c r="M42" s="165" t="s">
        <v>1773</v>
      </c>
      <c r="N42" s="164">
        <v>6</v>
      </c>
      <c r="O42" s="164">
        <v>0.8</v>
      </c>
      <c r="P42" s="164">
        <f>8*18</f>
        <v>144</v>
      </c>
      <c r="Q42" s="164">
        <f>O42*P42*L34</f>
        <v>259.2</v>
      </c>
      <c r="R42" s="164"/>
    </row>
    <row r="43" spans="1:18" ht="15.75">
      <c r="A43" s="164">
        <v>6</v>
      </c>
      <c r="B43" s="164">
        <v>8</v>
      </c>
      <c r="C43" s="164">
        <f>7.5</f>
        <v>7.5</v>
      </c>
      <c r="D43" s="164">
        <v>6</v>
      </c>
      <c r="E43" s="164">
        <f>C43*D43*F34</f>
        <v>179.1</v>
      </c>
      <c r="F43" s="164"/>
      <c r="G43" s="164">
        <v>6</v>
      </c>
      <c r="H43" s="164">
        <v>8</v>
      </c>
      <c r="I43" s="164">
        <f>7.5</f>
        <v>7.5</v>
      </c>
      <c r="J43" s="164">
        <v>6</v>
      </c>
      <c r="K43" s="164">
        <f>I43*J43*N34</f>
        <v>179.1</v>
      </c>
      <c r="L43" s="164"/>
      <c r="M43" s="165" t="s">
        <v>1773</v>
      </c>
      <c r="N43" s="164">
        <v>6</v>
      </c>
      <c r="O43" s="164">
        <v>1</v>
      </c>
      <c r="P43" s="164">
        <f>6*18</f>
        <v>108</v>
      </c>
      <c r="Q43" s="164">
        <f>O43*P43*L34</f>
        <v>243</v>
      </c>
      <c r="R43" s="164"/>
    </row>
    <row r="44" spans="1:18" ht="15.75">
      <c r="A44" s="164"/>
      <c r="B44" s="164">
        <v>5</v>
      </c>
      <c r="C44" s="164">
        <v>2.8</v>
      </c>
      <c r="D44" s="164">
        <v>30</v>
      </c>
      <c r="E44" s="164">
        <f>C44*D44*C34</f>
        <v>131.04</v>
      </c>
      <c r="F44" s="164"/>
      <c r="G44" s="164"/>
      <c r="H44" s="164">
        <v>5</v>
      </c>
      <c r="I44" s="164">
        <v>2.8</v>
      </c>
      <c r="J44" s="164">
        <v>30</v>
      </c>
      <c r="K44" s="164">
        <f>I44*J44*K34</f>
        <v>131.04</v>
      </c>
      <c r="L44" s="164"/>
      <c r="M44" s="166" t="s">
        <v>1774</v>
      </c>
      <c r="N44" s="164">
        <v>6</v>
      </c>
      <c r="O44" s="164">
        <f>0.36+0.65*2</f>
        <v>1.6600000000000001</v>
      </c>
      <c r="P44" s="164">
        <f>6*18</f>
        <v>108</v>
      </c>
      <c r="Q44" s="164">
        <f>O44*P44*L34</f>
        <v>403.38000000000005</v>
      </c>
      <c r="R44" s="164"/>
    </row>
    <row r="45" spans="1:18" ht="15">
      <c r="A45" s="164"/>
      <c r="B45" s="164">
        <v>8</v>
      </c>
      <c r="C45" s="164">
        <f>0.95*2+0.25</f>
        <v>2.15</v>
      </c>
      <c r="D45" s="164">
        <v>20</v>
      </c>
      <c r="E45" s="164">
        <f>C45*D45*F34</f>
        <v>171.14</v>
      </c>
      <c r="F45" s="164"/>
      <c r="G45" s="164"/>
      <c r="H45" s="164">
        <v>8</v>
      </c>
      <c r="I45" s="164">
        <f>0.95*2+0.25</f>
        <v>2.15</v>
      </c>
      <c r="J45" s="164">
        <v>20</v>
      </c>
      <c r="K45" s="164">
        <f>I45*J45*N34</f>
        <v>171.14</v>
      </c>
      <c r="L45" s="164"/>
      <c r="M45" s="164"/>
      <c r="N45" s="164">
        <v>6</v>
      </c>
      <c r="O45" s="164">
        <f>0.28+0.65*2</f>
        <v>1.58</v>
      </c>
      <c r="P45" s="164">
        <f>6*18</f>
        <v>108</v>
      </c>
      <c r="Q45" s="164">
        <f>O45*P45*L34</f>
        <v>383.94000000000005</v>
      </c>
      <c r="R45" s="164"/>
    </row>
    <row r="46" spans="1:18" ht="15">
      <c r="A46" s="164">
        <v>7</v>
      </c>
      <c r="B46" s="164">
        <v>5</v>
      </c>
      <c r="C46" s="164">
        <f>1.95+0.25*2</f>
        <v>2.4500000000000002</v>
      </c>
      <c r="D46" s="164">
        <v>95</v>
      </c>
      <c r="E46" s="164">
        <f>C46*D46*C34</f>
        <v>363.09000000000003</v>
      </c>
      <c r="F46" s="164"/>
      <c r="G46" s="164">
        <v>7</v>
      </c>
      <c r="H46" s="164">
        <v>5</v>
      </c>
      <c r="I46" s="164">
        <f>1.95+0.25*2</f>
        <v>2.4500000000000002</v>
      </c>
      <c r="J46" s="164">
        <v>104</v>
      </c>
      <c r="K46" s="164">
        <f>I46*J46*K34</f>
        <v>397.48800000000006</v>
      </c>
      <c r="L46" s="164"/>
      <c r="M46" s="164"/>
      <c r="N46" s="164"/>
      <c r="O46" s="164"/>
      <c r="P46" s="164" t="s">
        <v>1775</v>
      </c>
      <c r="Q46" s="167">
        <f>SUM(Q37:Q45)</f>
        <v>4325.3945999999996</v>
      </c>
      <c r="R46" s="164"/>
    </row>
    <row r="47" spans="1:18" ht="15">
      <c r="A47" s="164">
        <v>8</v>
      </c>
      <c r="B47" s="164">
        <v>4</v>
      </c>
      <c r="C47" s="164">
        <f>1.95+0.2*2</f>
        <v>2.35</v>
      </c>
      <c r="D47" s="164">
        <v>95</v>
      </c>
      <c r="E47" s="164">
        <f>C47*D47*B34</f>
        <v>221.91049999999998</v>
      </c>
      <c r="F47" s="164"/>
      <c r="G47" s="164">
        <v>8</v>
      </c>
      <c r="H47" s="164">
        <v>4</v>
      </c>
      <c r="I47" s="164">
        <f>1.95+0.2*2</f>
        <v>2.35</v>
      </c>
      <c r="J47" s="164">
        <v>104</v>
      </c>
      <c r="K47" s="164">
        <f>I47*J47*J34</f>
        <v>242.93360000000001</v>
      </c>
      <c r="L47" s="164"/>
      <c r="M47" s="164"/>
      <c r="N47" s="164"/>
      <c r="O47" s="164"/>
      <c r="P47" s="164"/>
      <c r="Q47" s="164"/>
      <c r="R47" s="164"/>
    </row>
    <row r="48" spans="1:18" ht="15">
      <c r="A48" s="164">
        <v>9</v>
      </c>
      <c r="B48" s="164">
        <v>4</v>
      </c>
      <c r="C48" s="164">
        <f>4+6+5.2+0.2*2</f>
        <v>15.6</v>
      </c>
      <c r="D48" s="164">
        <v>22</v>
      </c>
      <c r="E48" s="164">
        <f>C48*D48*B34</f>
        <v>341.14080000000001</v>
      </c>
      <c r="F48" s="164"/>
      <c r="G48" s="164">
        <v>9</v>
      </c>
      <c r="H48" s="164">
        <v>4</v>
      </c>
      <c r="I48" s="164">
        <f>4.6+6+5.8+0.2*2</f>
        <v>16.799999999999997</v>
      </c>
      <c r="J48" s="164">
        <v>22</v>
      </c>
      <c r="K48" s="164">
        <f>I48*J48*J34</f>
        <v>367.3823999999999</v>
      </c>
      <c r="L48" s="164"/>
      <c r="M48" s="164"/>
      <c r="N48" s="164"/>
      <c r="O48" s="164"/>
      <c r="P48" s="164"/>
      <c r="Q48" s="164"/>
      <c r="R48" s="164"/>
    </row>
    <row r="49" spans="1:18" ht="15">
      <c r="A49" s="164">
        <v>10</v>
      </c>
      <c r="B49" s="164">
        <v>4</v>
      </c>
      <c r="C49" s="164">
        <f>0.77+0.85+0.15*2</f>
        <v>1.9200000000000002</v>
      </c>
      <c r="D49" s="164">
        <v>95</v>
      </c>
      <c r="E49" s="164">
        <f>C49*D49*B34</f>
        <v>181.3056</v>
      </c>
      <c r="F49" s="164"/>
      <c r="G49" s="164">
        <v>10</v>
      </c>
      <c r="H49" s="164">
        <v>4</v>
      </c>
      <c r="I49" s="164">
        <f>0.77+0.85+0.15*2</f>
        <v>1.9200000000000002</v>
      </c>
      <c r="J49" s="164">
        <v>104</v>
      </c>
      <c r="K49" s="164">
        <f>I49*J49*J34</f>
        <v>198.48192</v>
      </c>
      <c r="L49" s="164"/>
      <c r="M49" s="164"/>
      <c r="N49" s="164"/>
      <c r="O49" s="164"/>
      <c r="P49" s="164"/>
      <c r="Q49" s="164"/>
      <c r="R49" s="164"/>
    </row>
    <row r="50" spans="1:18" ht="15">
      <c r="A50" s="164">
        <v>11</v>
      </c>
      <c r="B50" s="164">
        <v>4</v>
      </c>
      <c r="C50" s="164">
        <f>4+6+5.2+0.2*2</f>
        <v>15.6</v>
      </c>
      <c r="D50" s="164">
        <v>4</v>
      </c>
      <c r="E50" s="164">
        <f>C50*D50*B34</f>
        <v>62.025599999999997</v>
      </c>
      <c r="F50" s="164"/>
      <c r="G50" s="164">
        <v>11</v>
      </c>
      <c r="H50" s="164">
        <v>4</v>
      </c>
      <c r="I50" s="164">
        <f>4.6+6+5.8+0.2*2</f>
        <v>16.799999999999997</v>
      </c>
      <c r="J50" s="164">
        <v>4</v>
      </c>
      <c r="K50" s="164">
        <f>I50*J50*J34</f>
        <v>66.79679999999999</v>
      </c>
      <c r="L50" s="164"/>
      <c r="M50" s="164"/>
      <c r="N50" s="164"/>
      <c r="O50" s="164"/>
      <c r="P50" s="164"/>
      <c r="Q50" s="164"/>
      <c r="R50" s="164"/>
    </row>
    <row r="51" spans="1:18" ht="15">
      <c r="A51" s="164">
        <v>12</v>
      </c>
      <c r="B51" s="164">
        <v>6</v>
      </c>
      <c r="C51" s="164">
        <f>0.85*2+0.18</f>
        <v>1.88</v>
      </c>
      <c r="D51" s="164">
        <v>14</v>
      </c>
      <c r="E51" s="164">
        <f>C51*D51*D34</f>
        <v>59.22</v>
      </c>
      <c r="F51" s="164"/>
      <c r="G51" s="164">
        <v>12</v>
      </c>
      <c r="H51" s="164">
        <v>6</v>
      </c>
      <c r="I51" s="164">
        <f>0.85*2+0.18</f>
        <v>1.88</v>
      </c>
      <c r="J51" s="164">
        <v>14</v>
      </c>
      <c r="K51" s="164">
        <f>I51*J51*L34</f>
        <v>59.22</v>
      </c>
      <c r="L51" s="164"/>
      <c r="M51" s="164"/>
      <c r="N51" s="164"/>
      <c r="O51" s="164"/>
      <c r="P51" s="164"/>
      <c r="Q51" s="164"/>
      <c r="R51" s="164"/>
    </row>
    <row r="52" spans="1:18" ht="15">
      <c r="A52" s="164">
        <v>13</v>
      </c>
      <c r="B52" s="164">
        <v>5</v>
      </c>
      <c r="C52" s="164">
        <f>0.18*2+0.9</f>
        <v>1.26</v>
      </c>
      <c r="D52" s="164">
        <v>16</v>
      </c>
      <c r="E52" s="164">
        <f>C52*D52*C34</f>
        <v>31.4496</v>
      </c>
      <c r="F52" s="164"/>
      <c r="G52" s="164">
        <v>13</v>
      </c>
      <c r="H52" s="164">
        <v>5</v>
      </c>
      <c r="I52" s="164">
        <f>0.18*2+0.9</f>
        <v>1.26</v>
      </c>
      <c r="J52" s="164">
        <v>16</v>
      </c>
      <c r="K52" s="164">
        <f>I52*J52*K34</f>
        <v>31.4496</v>
      </c>
      <c r="L52" s="164"/>
      <c r="M52" s="164"/>
      <c r="N52" s="164"/>
      <c r="O52" s="164"/>
      <c r="P52" s="164"/>
      <c r="Q52" s="164"/>
      <c r="R52" s="164"/>
    </row>
    <row r="53" spans="1:18" ht="15">
      <c r="A53" s="164">
        <v>14</v>
      </c>
      <c r="B53" s="164">
        <v>4</v>
      </c>
      <c r="C53" s="164">
        <f>0.3*3</f>
        <v>0.89999999999999991</v>
      </c>
      <c r="D53" s="164">
        <v>20</v>
      </c>
      <c r="E53" s="164">
        <f>C53*D53*B34</f>
        <v>17.891999999999999</v>
      </c>
      <c r="F53" s="164"/>
      <c r="G53" s="164">
        <v>14</v>
      </c>
      <c r="H53" s="164">
        <v>4</v>
      </c>
      <c r="I53" s="164">
        <f>0.3*3</f>
        <v>0.89999999999999991</v>
      </c>
      <c r="J53" s="164">
        <v>20</v>
      </c>
      <c r="K53" s="164">
        <f>I53*J53*J34</f>
        <v>17.891999999999999</v>
      </c>
      <c r="L53" s="164"/>
      <c r="M53" s="164"/>
      <c r="N53" s="164"/>
      <c r="O53" s="164"/>
      <c r="P53" s="164"/>
      <c r="Q53" s="164"/>
      <c r="R53" s="164"/>
    </row>
    <row r="54" spans="1:18" ht="15.75">
      <c r="A54" s="164"/>
      <c r="B54" s="164"/>
      <c r="C54" s="164"/>
      <c r="D54" s="164"/>
      <c r="E54" s="167">
        <f>SUM(E37:E53)</f>
        <v>7194.3481000000002</v>
      </c>
      <c r="F54" s="164"/>
      <c r="G54" s="164"/>
      <c r="H54" s="164"/>
      <c r="I54" s="164"/>
      <c r="J54" s="165" t="s">
        <v>1776</v>
      </c>
      <c r="K54" s="167">
        <f>SUM(K37:K53)</f>
        <v>7703.66752</v>
      </c>
      <c r="L54" s="164"/>
      <c r="M54" s="164"/>
      <c r="N54" s="164"/>
      <c r="O54" s="164"/>
      <c r="P54" s="164"/>
      <c r="Q54" s="164"/>
      <c r="R54" s="164"/>
    </row>
    <row r="55" spans="1:18" ht="15">
      <c r="A55" s="164"/>
      <c r="B55" s="164"/>
      <c r="C55" s="246"/>
      <c r="D55" s="245"/>
      <c r="E55" s="164"/>
      <c r="F55" s="164"/>
      <c r="G55" s="164"/>
      <c r="H55" s="246" t="s">
        <v>2286</v>
      </c>
      <c r="I55" s="245" t="s">
        <v>2282</v>
      </c>
      <c r="J55" s="164">
        <f>('數量計算(FOR4變)'!H204+'數量計算(FOR4變)'!H208+'數量計算(FOR4變)'!H209+'數量計算(FOR4變)'!H210)*3.2</f>
        <v>664.75319999999999</v>
      </c>
      <c r="K55" s="168">
        <f>E54+K54+Q46</f>
        <v>19223.410219999998</v>
      </c>
      <c r="L55" s="164"/>
      <c r="M55" s="164"/>
      <c r="N55" s="164"/>
      <c r="O55" s="164"/>
      <c r="P55" s="164"/>
      <c r="Q55" s="164"/>
      <c r="R55" s="164"/>
    </row>
    <row r="56" spans="1:18" ht="15">
      <c r="A56" s="164"/>
      <c r="B56" s="164"/>
      <c r="C56" s="164"/>
      <c r="D56" s="164"/>
      <c r="E56" s="164"/>
      <c r="F56" s="164"/>
      <c r="G56" s="164"/>
      <c r="H56" s="164"/>
      <c r="I56" s="164"/>
      <c r="J56" s="164"/>
      <c r="K56" s="311">
        <f>K55+J55</f>
        <v>19888.163419999997</v>
      </c>
      <c r="L56" s="164"/>
      <c r="M56" s="164"/>
      <c r="N56" s="164"/>
      <c r="O56" s="164"/>
      <c r="P56" s="164"/>
      <c r="Q56" s="164"/>
      <c r="R56" s="164"/>
    </row>
    <row r="57" spans="1:18" ht="15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</row>
    <row r="58" spans="1:18" ht="16.5">
      <c r="A58" s="163"/>
      <c r="B58" s="808" t="s">
        <v>1324</v>
      </c>
      <c r="C58" s="809" t="s">
        <v>1758</v>
      </c>
      <c r="D58" s="164"/>
      <c r="E58" s="164"/>
      <c r="F58" s="164"/>
      <c r="G58" s="163"/>
      <c r="H58" s="808" t="s">
        <v>1324</v>
      </c>
      <c r="I58" s="809" t="s">
        <v>1759</v>
      </c>
      <c r="J58" s="164"/>
      <c r="K58" s="164"/>
      <c r="L58" s="164"/>
      <c r="M58" s="810" t="s">
        <v>1777</v>
      </c>
      <c r="N58" s="810" t="s">
        <v>1778</v>
      </c>
      <c r="O58" s="164"/>
      <c r="P58" s="164"/>
      <c r="Q58" s="164"/>
      <c r="R58" s="164"/>
    </row>
    <row r="59" spans="1:18" ht="15.75">
      <c r="A59" s="165" t="s">
        <v>1763</v>
      </c>
      <c r="B59" s="165" t="s">
        <v>1764</v>
      </c>
      <c r="C59" s="165" t="s">
        <v>1765</v>
      </c>
      <c r="D59" s="166" t="s">
        <v>1766</v>
      </c>
      <c r="E59" s="165" t="s">
        <v>1767</v>
      </c>
      <c r="F59" s="164"/>
      <c r="G59" s="165" t="s">
        <v>1763</v>
      </c>
      <c r="H59" s="165" t="s">
        <v>1764</v>
      </c>
      <c r="I59" s="165" t="s">
        <v>1765</v>
      </c>
      <c r="J59" s="166" t="s">
        <v>1766</v>
      </c>
      <c r="K59" s="165" t="s">
        <v>1767</v>
      </c>
      <c r="L59" s="164"/>
      <c r="M59" s="164" t="s">
        <v>1768</v>
      </c>
      <c r="N59" s="164" t="s">
        <v>1769</v>
      </c>
      <c r="O59" s="164" t="s">
        <v>1770</v>
      </c>
      <c r="P59" s="164" t="s">
        <v>1771</v>
      </c>
      <c r="Q59" s="164" t="s">
        <v>1772</v>
      </c>
      <c r="R59" s="164"/>
    </row>
    <row r="60" spans="1:18" ht="15">
      <c r="A60" s="164">
        <v>1</v>
      </c>
      <c r="B60" s="164">
        <v>8</v>
      </c>
      <c r="C60" s="164">
        <f>4.52+0.7*2</f>
        <v>5.92</v>
      </c>
      <c r="D60" s="164">
        <v>40</v>
      </c>
      <c r="E60" s="164">
        <f>C60*D60*F34</f>
        <v>942.46400000000006</v>
      </c>
      <c r="F60" s="164"/>
      <c r="G60" s="164">
        <v>1</v>
      </c>
      <c r="H60" s="164">
        <v>8</v>
      </c>
      <c r="I60" s="164">
        <f>3.35+0.7*2</f>
        <v>4.75</v>
      </c>
      <c r="J60" s="164">
        <v>22</v>
      </c>
      <c r="K60" s="164">
        <f>I60*J60*N34</f>
        <v>415.91</v>
      </c>
      <c r="L60" s="164"/>
      <c r="M60" s="164"/>
      <c r="N60" s="164">
        <v>5</v>
      </c>
      <c r="O60" s="164">
        <f>7.7+6.9</f>
        <v>14.600000000000001</v>
      </c>
      <c r="P60" s="164">
        <f>2*18</f>
        <v>36</v>
      </c>
      <c r="Q60" s="164">
        <f>O60*P60*K34</f>
        <v>819.93600000000004</v>
      </c>
      <c r="R60" s="164"/>
    </row>
    <row r="61" spans="1:18" ht="15">
      <c r="A61" s="164">
        <v>2</v>
      </c>
      <c r="B61" s="164">
        <v>5</v>
      </c>
      <c r="C61" s="164">
        <f>4.5+2.7+1*2</f>
        <v>9.1999999999999993</v>
      </c>
      <c r="D61" s="164">
        <v>12</v>
      </c>
      <c r="E61" s="164">
        <f>C61*D61*C34</f>
        <v>172.22399999999999</v>
      </c>
      <c r="F61" s="164"/>
      <c r="G61" s="164">
        <v>2</v>
      </c>
      <c r="H61" s="164">
        <v>5</v>
      </c>
      <c r="I61" s="164">
        <f>3.3+1.3+1*2</f>
        <v>6.6</v>
      </c>
      <c r="J61" s="164">
        <v>12</v>
      </c>
      <c r="K61" s="164">
        <f>I61*J61*K34</f>
        <v>123.55199999999999</v>
      </c>
      <c r="L61" s="164"/>
      <c r="M61" s="164"/>
      <c r="N61" s="164">
        <v>5</v>
      </c>
      <c r="O61" s="164">
        <f>3.45+2.9+0.2*2</f>
        <v>6.75</v>
      </c>
      <c r="P61" s="164">
        <v>80</v>
      </c>
      <c r="Q61" s="164">
        <f>O61*P61*K34</f>
        <v>842.4</v>
      </c>
      <c r="R61" s="164"/>
    </row>
    <row r="62" spans="1:18" ht="15">
      <c r="A62" s="164">
        <v>3</v>
      </c>
      <c r="B62" s="164">
        <v>5</v>
      </c>
      <c r="C62" s="164">
        <f>2.73+1.02*2</f>
        <v>4.7699999999999996</v>
      </c>
      <c r="D62" s="164">
        <v>31</v>
      </c>
      <c r="E62" s="164">
        <f>C62*D62*C34</f>
        <v>230.67719999999997</v>
      </c>
      <c r="F62" s="164"/>
      <c r="G62" s="164">
        <v>3</v>
      </c>
      <c r="H62" s="164">
        <v>5</v>
      </c>
      <c r="I62" s="164">
        <f>1.35+1.02*2</f>
        <v>3.39</v>
      </c>
      <c r="J62" s="164">
        <v>23</v>
      </c>
      <c r="K62" s="164">
        <f>I62*J62*K34</f>
        <v>121.6332</v>
      </c>
      <c r="L62" s="164"/>
      <c r="M62" s="164"/>
      <c r="N62" s="164">
        <v>5</v>
      </c>
      <c r="O62" s="164">
        <f>3.45+0.2</f>
        <v>3.6500000000000004</v>
      </c>
      <c r="P62" s="164">
        <v>80</v>
      </c>
      <c r="Q62" s="164">
        <f>O62*P62*K34</f>
        <v>455.52000000000004</v>
      </c>
      <c r="R62" s="164"/>
    </row>
    <row r="63" spans="1:18" ht="15">
      <c r="A63" s="164"/>
      <c r="B63" s="164">
        <v>5</v>
      </c>
      <c r="C63" s="164">
        <f>2.73+0.15*2</f>
        <v>3.03</v>
      </c>
      <c r="D63" s="164">
        <v>31</v>
      </c>
      <c r="E63" s="164">
        <f>C63*D63*C34</f>
        <v>146.5308</v>
      </c>
      <c r="F63" s="164"/>
      <c r="G63" s="164"/>
      <c r="H63" s="164">
        <v>5</v>
      </c>
      <c r="I63" s="164">
        <f>2.73+0.15*2</f>
        <v>3.03</v>
      </c>
      <c r="J63" s="164">
        <v>23</v>
      </c>
      <c r="K63" s="164">
        <f>I63*J63*K34</f>
        <v>108.71640000000001</v>
      </c>
      <c r="L63" s="164"/>
      <c r="M63" s="164"/>
      <c r="N63" s="164">
        <v>5</v>
      </c>
      <c r="O63" s="164">
        <f>1.35+0.2*2</f>
        <v>1.75</v>
      </c>
      <c r="P63" s="164">
        <v>80</v>
      </c>
      <c r="Q63" s="164">
        <f>O63*P63*K34</f>
        <v>218.4</v>
      </c>
      <c r="R63" s="164"/>
    </row>
    <row r="64" spans="1:18" ht="15">
      <c r="A64" s="164">
        <v>4</v>
      </c>
      <c r="B64" s="164">
        <v>5</v>
      </c>
      <c r="C64" s="164">
        <v>2.8</v>
      </c>
      <c r="D64" s="164">
        <v>30</v>
      </c>
      <c r="E64" s="164">
        <f>C64*D64*C34</f>
        <v>131.04</v>
      </c>
      <c r="F64" s="164"/>
      <c r="G64" s="164">
        <v>4</v>
      </c>
      <c r="H64" s="164">
        <v>5</v>
      </c>
      <c r="I64" s="164">
        <v>2.8</v>
      </c>
      <c r="J64" s="164">
        <v>30</v>
      </c>
      <c r="K64" s="164">
        <f>I64*J64*K34</f>
        <v>131.04</v>
      </c>
      <c r="L64" s="164"/>
      <c r="M64" s="164"/>
      <c r="N64" s="164">
        <v>5</v>
      </c>
      <c r="O64" s="164">
        <v>14.6</v>
      </c>
      <c r="P64" s="164">
        <v>12</v>
      </c>
      <c r="Q64" s="164">
        <f>O64*P64*K34</f>
        <v>273.31200000000001</v>
      </c>
      <c r="R64" s="164"/>
    </row>
    <row r="65" spans="1:20" ht="15.75">
      <c r="A65" s="164"/>
      <c r="B65" s="164">
        <v>5</v>
      </c>
      <c r="C65" s="164">
        <v>4.7</v>
      </c>
      <c r="D65" s="164">
        <v>10</v>
      </c>
      <c r="E65" s="164">
        <f>C65*D65*C34</f>
        <v>73.320000000000007</v>
      </c>
      <c r="F65" s="164"/>
      <c r="G65" s="164"/>
      <c r="H65" s="164">
        <v>5</v>
      </c>
      <c r="I65" s="164">
        <v>3.5</v>
      </c>
      <c r="J65" s="164">
        <v>10</v>
      </c>
      <c r="K65" s="164">
        <f>I65*J65*K34</f>
        <v>54.6</v>
      </c>
      <c r="L65" s="164"/>
      <c r="M65" s="165"/>
      <c r="N65" s="164"/>
      <c r="O65" s="164"/>
      <c r="P65" s="164"/>
      <c r="Q65" s="164"/>
      <c r="R65" s="164"/>
    </row>
    <row r="66" spans="1:20" ht="15.75">
      <c r="A66" s="164"/>
      <c r="B66" s="164">
        <v>6</v>
      </c>
      <c r="C66" s="164">
        <f>0.25+0.95*2</f>
        <v>2.15</v>
      </c>
      <c r="D66" s="164">
        <v>8</v>
      </c>
      <c r="E66" s="164">
        <f>C66*D66*D34</f>
        <v>38.699999999999996</v>
      </c>
      <c r="F66" s="164"/>
      <c r="G66" s="164"/>
      <c r="H66" s="164">
        <v>6</v>
      </c>
      <c r="I66" s="164">
        <f>0.25+0.95*2</f>
        <v>2.15</v>
      </c>
      <c r="J66" s="164">
        <v>6</v>
      </c>
      <c r="K66" s="164">
        <f>I66*J66*L34</f>
        <v>29.024999999999999</v>
      </c>
      <c r="L66" s="164"/>
      <c r="M66" s="165"/>
      <c r="N66" s="164"/>
      <c r="O66" s="164"/>
      <c r="P66" s="164" t="s">
        <v>1775</v>
      </c>
      <c r="Q66" s="168">
        <f>SUM(Q60:Q65)</f>
        <v>2609.5680000000002</v>
      </c>
      <c r="R66" s="164"/>
    </row>
    <row r="67" spans="1:20" ht="15.75">
      <c r="A67" s="164">
        <v>5</v>
      </c>
      <c r="B67" s="164">
        <v>5</v>
      </c>
      <c r="C67" s="164">
        <f>1.82+0.25*2</f>
        <v>2.3200000000000003</v>
      </c>
      <c r="D67" s="164">
        <v>50</v>
      </c>
      <c r="E67" s="164">
        <f>C67*D67*C34</f>
        <v>180.96000000000004</v>
      </c>
      <c r="F67" s="164"/>
      <c r="G67" s="164">
        <v>5</v>
      </c>
      <c r="H67" s="164">
        <v>5</v>
      </c>
      <c r="I67" s="164">
        <f>1.82+0.25*2</f>
        <v>2.3200000000000003</v>
      </c>
      <c r="J67" s="164">
        <v>23</v>
      </c>
      <c r="K67" s="164">
        <f>I67*J67*K34</f>
        <v>83.24160000000002</v>
      </c>
      <c r="L67" s="164"/>
      <c r="M67" s="166"/>
      <c r="N67" s="164"/>
      <c r="O67" s="246" t="s">
        <v>2287</v>
      </c>
      <c r="P67" s="245" t="s">
        <v>2282</v>
      </c>
      <c r="Q67" s="164">
        <f>'數量計算(FOR4變)'!H206*3.2</f>
        <v>76.598400000000012</v>
      </c>
      <c r="R67" s="164"/>
    </row>
    <row r="68" spans="1:20" ht="15">
      <c r="A68" s="164">
        <v>6</v>
      </c>
      <c r="B68" s="164">
        <v>4</v>
      </c>
      <c r="C68" s="164">
        <f>1.82+0.4</f>
        <v>2.2200000000000002</v>
      </c>
      <c r="D68" s="164">
        <v>50</v>
      </c>
      <c r="E68" s="164">
        <f>C68*D68*B34</f>
        <v>110.33400000000002</v>
      </c>
      <c r="F68" s="164"/>
      <c r="G68" s="164">
        <v>6</v>
      </c>
      <c r="H68" s="164">
        <v>4</v>
      </c>
      <c r="I68" s="164">
        <f>1.82+0.4</f>
        <v>2.2200000000000002</v>
      </c>
      <c r="J68" s="164">
        <v>23</v>
      </c>
      <c r="K68" s="164">
        <f>I68*J68*J34</f>
        <v>50.753640000000004</v>
      </c>
      <c r="L68" s="164"/>
      <c r="M68" s="164"/>
      <c r="N68" s="164"/>
      <c r="O68" s="164"/>
      <c r="P68" s="164"/>
      <c r="Q68" s="311">
        <f>Q66+Q67</f>
        <v>2686.1664000000001</v>
      </c>
      <c r="R68" s="164"/>
    </row>
    <row r="69" spans="1:20" ht="15">
      <c r="A69" s="164">
        <v>7</v>
      </c>
      <c r="B69" s="164">
        <v>4</v>
      </c>
      <c r="C69" s="164">
        <f>2.22+0.4</f>
        <v>2.62</v>
      </c>
      <c r="D69" s="164">
        <v>40</v>
      </c>
      <c r="E69" s="164">
        <f>C69*D69*B34</f>
        <v>104.17120000000001</v>
      </c>
      <c r="F69" s="164"/>
      <c r="G69" s="164">
        <v>7</v>
      </c>
      <c r="H69" s="164">
        <v>4</v>
      </c>
      <c r="I69" s="164">
        <f>3.35+0.4</f>
        <v>3.75</v>
      </c>
      <c r="J69" s="164">
        <v>24</v>
      </c>
      <c r="K69" s="164">
        <f>I69*J69*J34</f>
        <v>89.46</v>
      </c>
      <c r="L69" s="164"/>
      <c r="M69" s="164"/>
      <c r="N69" s="164"/>
      <c r="O69" s="164"/>
      <c r="P69" s="164"/>
      <c r="Q69" s="164"/>
      <c r="R69" s="164"/>
    </row>
    <row r="70" spans="1:20" ht="15">
      <c r="A70" s="164">
        <v>8</v>
      </c>
      <c r="B70" s="164">
        <v>4</v>
      </c>
      <c r="C70" s="164">
        <f>3.52+0.2*2</f>
        <v>3.92</v>
      </c>
      <c r="D70" s="164">
        <v>20</v>
      </c>
      <c r="E70" s="164">
        <f>C70*D70*B34</f>
        <v>77.929600000000008</v>
      </c>
      <c r="F70" s="164"/>
      <c r="G70" s="164">
        <v>8</v>
      </c>
      <c r="H70" s="164">
        <v>4</v>
      </c>
      <c r="I70" s="164">
        <v>0.9</v>
      </c>
      <c r="J70" s="164">
        <v>4</v>
      </c>
      <c r="K70" s="164">
        <f>I70*J70*J34</f>
        <v>3.5784000000000002</v>
      </c>
      <c r="L70" s="164"/>
      <c r="M70" s="164"/>
      <c r="N70" s="164"/>
      <c r="O70" s="164"/>
      <c r="P70" s="164"/>
      <c r="Q70" s="164"/>
      <c r="R70" s="164"/>
    </row>
    <row r="71" spans="1:20" ht="15">
      <c r="A71" s="164">
        <v>9</v>
      </c>
      <c r="B71" s="164">
        <v>4</v>
      </c>
      <c r="C71" s="164">
        <f>0.3*3</f>
        <v>0.89999999999999991</v>
      </c>
      <c r="D71" s="164">
        <v>8</v>
      </c>
      <c r="E71" s="164">
        <f>C71*D71*B34</f>
        <v>7.1567999999999996</v>
      </c>
      <c r="F71" s="164"/>
      <c r="G71" s="164">
        <v>9</v>
      </c>
      <c r="H71" s="164">
        <v>4</v>
      </c>
      <c r="I71" s="164">
        <f>0.85+0.77+0.15*2</f>
        <v>1.9200000000000002</v>
      </c>
      <c r="J71" s="164">
        <v>23</v>
      </c>
      <c r="K71" s="164">
        <f>I71*J71*J34</f>
        <v>43.895040000000002</v>
      </c>
      <c r="L71" s="164"/>
      <c r="M71" s="164"/>
      <c r="N71" s="164"/>
      <c r="O71" s="164"/>
      <c r="P71" s="164"/>
      <c r="Q71" s="164"/>
      <c r="R71" s="164"/>
    </row>
    <row r="72" spans="1:20" ht="15">
      <c r="A72" s="164"/>
      <c r="B72" s="164"/>
      <c r="C72" s="164"/>
      <c r="D72" s="164"/>
      <c r="E72" s="164"/>
      <c r="F72" s="164"/>
      <c r="G72" s="164">
        <v>10</v>
      </c>
      <c r="H72" s="164">
        <v>6</v>
      </c>
      <c r="I72" s="164">
        <f>0.18+0.85*2</f>
        <v>1.88</v>
      </c>
      <c r="J72" s="164">
        <v>14</v>
      </c>
      <c r="K72" s="164">
        <f>I72*J72*L34</f>
        <v>59.22</v>
      </c>
      <c r="L72" s="164"/>
      <c r="M72" s="164"/>
      <c r="N72" s="164"/>
      <c r="O72" s="164"/>
      <c r="P72" s="164"/>
      <c r="Q72" s="164"/>
      <c r="R72" s="164"/>
    </row>
    <row r="73" spans="1:20" ht="15">
      <c r="A73" s="164"/>
      <c r="B73" s="164"/>
      <c r="C73" s="164"/>
      <c r="D73" s="164"/>
      <c r="E73" s="164"/>
      <c r="F73" s="164"/>
      <c r="G73" s="164">
        <v>11</v>
      </c>
      <c r="H73" s="164">
        <v>5</v>
      </c>
      <c r="I73" s="164">
        <f>0.9+0.18*2</f>
        <v>1.26</v>
      </c>
      <c r="J73" s="164">
        <v>16</v>
      </c>
      <c r="K73" s="164">
        <f>I73*J73*K34</f>
        <v>31.4496</v>
      </c>
      <c r="L73" s="164"/>
      <c r="M73" s="164"/>
      <c r="N73" s="164"/>
      <c r="O73" s="164"/>
      <c r="P73" s="164"/>
      <c r="Q73" s="164"/>
      <c r="R73" s="164"/>
    </row>
    <row r="74" spans="1:20" ht="15">
      <c r="A74" s="164"/>
      <c r="B74" s="164"/>
      <c r="C74" s="164"/>
      <c r="D74" s="164"/>
      <c r="E74" s="167">
        <f>SUM(E60:E73)</f>
        <v>2215.5076000000004</v>
      </c>
      <c r="F74" s="164"/>
      <c r="G74" s="164"/>
      <c r="H74" s="164"/>
      <c r="I74" s="164"/>
      <c r="J74" s="164"/>
      <c r="K74" s="167">
        <f>SUM(K60:K73)</f>
        <v>1346.0748800000001</v>
      </c>
      <c r="L74" s="164"/>
      <c r="M74" s="164"/>
      <c r="N74" s="164"/>
      <c r="O74" s="164"/>
      <c r="P74" s="164"/>
      <c r="Q74" s="164"/>
      <c r="R74" s="164"/>
    </row>
    <row r="75" spans="1:20" ht="15.75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5" t="s">
        <v>1776</v>
      </c>
      <c r="M75" s="168">
        <f>E74+K74</f>
        <v>3561.5824800000005</v>
      </c>
      <c r="N75" s="164"/>
      <c r="O75" s="164"/>
      <c r="P75" s="164"/>
      <c r="Q75" s="164"/>
      <c r="R75" s="164"/>
      <c r="S75" s="164"/>
      <c r="T75" s="164"/>
    </row>
    <row r="76" spans="1:20" ht="15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246" t="s">
        <v>2287</v>
      </c>
      <c r="L76" s="245" t="s">
        <v>2282</v>
      </c>
      <c r="M76" s="164">
        <f>'數量計算(FOR4變)'!H205*3.2</f>
        <v>109.39756800000001</v>
      </c>
      <c r="N76" s="164"/>
      <c r="O76" s="164"/>
      <c r="P76" s="164"/>
      <c r="Q76" s="164"/>
      <c r="R76" s="164"/>
      <c r="S76" s="164"/>
      <c r="T76" s="164"/>
    </row>
    <row r="77" spans="1:20">
      <c r="M77" s="312">
        <f>M75+M76</f>
        <v>3670.9800480000004</v>
      </c>
    </row>
    <row r="78" spans="1:20">
      <c r="A78" s="811"/>
      <c r="B78" s="81" t="s">
        <v>1782</v>
      </c>
      <c r="E78" s="82">
        <v>246.3</v>
      </c>
      <c r="F78" s="82" t="s">
        <v>8</v>
      </c>
      <c r="J78" s="701" t="s">
        <v>1783</v>
      </c>
      <c r="K78" s="82" t="s">
        <v>1784</v>
      </c>
    </row>
    <row r="79" spans="1:20">
      <c r="A79" s="81" t="s">
        <v>1768</v>
      </c>
      <c r="B79" s="81" t="s">
        <v>1769</v>
      </c>
      <c r="C79" s="81" t="s">
        <v>1770</v>
      </c>
      <c r="D79" s="82" t="s">
        <v>1771</v>
      </c>
      <c r="E79" s="82" t="s">
        <v>1785</v>
      </c>
      <c r="I79" s="82" t="s">
        <v>1768</v>
      </c>
      <c r="J79" s="82" t="s">
        <v>1769</v>
      </c>
      <c r="K79" s="82" t="s">
        <v>1770</v>
      </c>
      <c r="L79" s="82" t="s">
        <v>1771</v>
      </c>
      <c r="M79" s="82" t="s">
        <v>1772</v>
      </c>
    </row>
    <row r="80" spans="1:20">
      <c r="B80" s="81">
        <v>5</v>
      </c>
      <c r="C80" s="81">
        <v>4.66</v>
      </c>
      <c r="D80" s="82">
        <v>334</v>
      </c>
      <c r="E80" s="82">
        <v>5980.2782832000003</v>
      </c>
      <c r="J80" s="82">
        <v>8</v>
      </c>
      <c r="K80" s="82">
        <v>2.95</v>
      </c>
      <c r="L80" s="82">
        <v>228</v>
      </c>
      <c r="M80" s="82">
        <v>2676.9479999999999</v>
      </c>
    </row>
    <row r="81" spans="1:14">
      <c r="B81" s="81">
        <v>4</v>
      </c>
      <c r="C81" s="81">
        <v>5</v>
      </c>
      <c r="D81" s="82">
        <v>16</v>
      </c>
      <c r="E81" s="82">
        <v>195.85775999999998</v>
      </c>
      <c r="J81" s="82">
        <v>4</v>
      </c>
      <c r="K81" s="82">
        <v>5</v>
      </c>
      <c r="L81" s="82">
        <v>16</v>
      </c>
      <c r="M81" s="82">
        <v>79.52</v>
      </c>
    </row>
    <row r="82" spans="1:14">
      <c r="B82" s="81">
        <v>4</v>
      </c>
      <c r="C82" s="81">
        <v>6</v>
      </c>
      <c r="D82" s="82">
        <v>250</v>
      </c>
      <c r="E82" s="82">
        <v>3672.3330000000001</v>
      </c>
      <c r="J82" s="82">
        <v>4</v>
      </c>
      <c r="K82" s="82">
        <v>6</v>
      </c>
      <c r="L82" s="82">
        <v>112</v>
      </c>
      <c r="M82" s="82">
        <v>667.96799999999996</v>
      </c>
    </row>
    <row r="83" spans="1:14">
      <c r="B83" s="81">
        <v>5</v>
      </c>
      <c r="C83" s="81">
        <v>1.8</v>
      </c>
      <c r="D83" s="82">
        <v>60</v>
      </c>
      <c r="E83" s="82">
        <v>414.96624000000008</v>
      </c>
      <c r="J83" s="82">
        <v>4</v>
      </c>
      <c r="K83" s="82">
        <v>1.1499999999999999</v>
      </c>
      <c r="L83" s="82">
        <v>45</v>
      </c>
      <c r="M83" s="82">
        <v>51.439499999999995</v>
      </c>
    </row>
    <row r="84" spans="1:14">
      <c r="J84" s="82">
        <v>4</v>
      </c>
      <c r="K84" s="82">
        <v>0.45</v>
      </c>
      <c r="L84" s="82">
        <v>25</v>
      </c>
      <c r="M84" s="82">
        <v>11.182499999999999</v>
      </c>
    </row>
    <row r="85" spans="1:14">
      <c r="D85" s="82" t="s">
        <v>1750</v>
      </c>
      <c r="E85" s="82">
        <v>10263.4352832</v>
      </c>
      <c r="J85" s="82">
        <v>4</v>
      </c>
      <c r="K85" s="82">
        <v>6</v>
      </c>
      <c r="L85" s="82">
        <v>20</v>
      </c>
      <c r="M85" s="82">
        <v>119.28</v>
      </c>
    </row>
    <row r="86" spans="1:14" ht="13.5">
      <c r="C86" s="81" t="s">
        <v>2284</v>
      </c>
      <c r="D86" s="147" t="s">
        <v>2283</v>
      </c>
      <c r="E86" s="82">
        <f>'數量計算(FOR4變)'!H343*3.2</f>
        <v>886.68799999999999</v>
      </c>
      <c r="J86" s="82">
        <v>8</v>
      </c>
      <c r="K86" s="82">
        <v>2.4</v>
      </c>
      <c r="L86" s="82">
        <v>15</v>
      </c>
      <c r="M86" s="82">
        <v>143.28</v>
      </c>
    </row>
    <row r="87" spans="1:14">
      <c r="E87" s="312">
        <f>E85+E86</f>
        <v>11150.123283200001</v>
      </c>
      <c r="J87" s="82">
        <v>8</v>
      </c>
      <c r="K87" s="82">
        <v>4.3500000000000005</v>
      </c>
      <c r="L87" s="82">
        <v>228</v>
      </c>
      <c r="M87" s="82">
        <v>3947.364</v>
      </c>
    </row>
    <row r="88" spans="1:14">
      <c r="B88" s="811" t="s">
        <v>1786</v>
      </c>
      <c r="C88" s="81" t="s">
        <v>1787</v>
      </c>
      <c r="J88" s="82">
        <v>4</v>
      </c>
      <c r="K88" s="82">
        <v>5</v>
      </c>
      <c r="L88" s="82">
        <v>22</v>
      </c>
      <c r="M88" s="82">
        <v>109.34</v>
      </c>
    </row>
    <row r="89" spans="1:14">
      <c r="A89" s="81" t="s">
        <v>1768</v>
      </c>
      <c r="B89" s="81" t="s">
        <v>1769</v>
      </c>
      <c r="C89" s="81" t="s">
        <v>1770</v>
      </c>
      <c r="D89" s="82" t="s">
        <v>1771</v>
      </c>
      <c r="E89" s="82" t="s">
        <v>1772</v>
      </c>
      <c r="J89" s="82">
        <v>4</v>
      </c>
      <c r="K89" s="82">
        <v>6</v>
      </c>
      <c r="L89" s="82">
        <v>162</v>
      </c>
      <c r="M89" s="82">
        <v>966.16800000000001</v>
      </c>
    </row>
    <row r="90" spans="1:14">
      <c r="B90" s="81">
        <v>6</v>
      </c>
      <c r="C90" s="81">
        <v>2.35</v>
      </c>
      <c r="D90" s="82">
        <v>122</v>
      </c>
      <c r="E90" s="82">
        <v>645.07499999999993</v>
      </c>
      <c r="J90" s="82">
        <v>5</v>
      </c>
      <c r="K90" s="82">
        <v>3.5</v>
      </c>
      <c r="L90" s="82">
        <v>30</v>
      </c>
      <c r="M90" s="82">
        <v>163.80000000000001</v>
      </c>
    </row>
    <row r="91" spans="1:14">
      <c r="B91" s="81">
        <v>4</v>
      </c>
      <c r="C91" s="81">
        <v>5</v>
      </c>
      <c r="D91" s="82">
        <v>21</v>
      </c>
      <c r="E91" s="82">
        <v>104.37</v>
      </c>
      <c r="J91" s="82">
        <v>4</v>
      </c>
      <c r="K91" s="82">
        <v>0.6</v>
      </c>
      <c r="L91" s="82">
        <v>15</v>
      </c>
      <c r="M91" s="82">
        <v>8.9459999999999997</v>
      </c>
    </row>
    <row r="92" spans="1:14">
      <c r="B92" s="81">
        <v>4</v>
      </c>
      <c r="C92" s="81">
        <v>6</v>
      </c>
      <c r="D92" s="82">
        <v>114</v>
      </c>
      <c r="E92" s="82">
        <v>679.89599999999996</v>
      </c>
    </row>
    <row r="93" spans="1:14" ht="13.5">
      <c r="B93" s="81">
        <v>4</v>
      </c>
      <c r="C93" s="81">
        <v>1.5899999999999999</v>
      </c>
      <c r="D93" s="82">
        <v>30</v>
      </c>
      <c r="E93" s="82">
        <v>47.413799999999995</v>
      </c>
      <c r="K93" s="81" t="s">
        <v>2284</v>
      </c>
      <c r="L93" s="147" t="s">
        <v>2283</v>
      </c>
      <c r="M93" s="82">
        <f>'數量計算(FOR4變)'!H344*3.2</f>
        <v>220.96</v>
      </c>
      <c r="N93" s="312">
        <f>M93+M94</f>
        <v>2398.6039999999998</v>
      </c>
    </row>
    <row r="94" spans="1:14">
      <c r="B94" s="81">
        <v>4</v>
      </c>
      <c r="C94" s="81">
        <v>0.6</v>
      </c>
      <c r="D94" s="82">
        <v>20</v>
      </c>
      <c r="E94" s="82">
        <v>11.928000000000001</v>
      </c>
      <c r="L94" s="82" t="s">
        <v>1750</v>
      </c>
      <c r="M94" s="82">
        <v>2177.6439999999998</v>
      </c>
    </row>
    <row r="95" spans="1:14">
      <c r="B95" s="81">
        <v>4</v>
      </c>
      <c r="C95" s="81">
        <v>6</v>
      </c>
      <c r="D95" s="82">
        <v>10</v>
      </c>
      <c r="E95" s="82">
        <v>59.64</v>
      </c>
      <c r="L95" s="82" t="s">
        <v>1751</v>
      </c>
      <c r="M95" s="82">
        <v>6767.5920000000006</v>
      </c>
    </row>
    <row r="96" spans="1:14">
      <c r="B96" s="81">
        <v>6</v>
      </c>
      <c r="C96" s="81">
        <v>1.65</v>
      </c>
      <c r="D96" s="82">
        <v>10</v>
      </c>
      <c r="E96" s="82">
        <v>37.125</v>
      </c>
    </row>
    <row r="97" spans="1:13">
      <c r="B97" s="81">
        <v>4</v>
      </c>
      <c r="C97" s="81">
        <v>5</v>
      </c>
      <c r="D97" s="82">
        <v>2</v>
      </c>
      <c r="E97" s="82">
        <v>9.94</v>
      </c>
    </row>
    <row r="98" spans="1:13">
      <c r="B98" s="81">
        <v>4</v>
      </c>
      <c r="C98" s="81">
        <v>6</v>
      </c>
      <c r="D98" s="82">
        <v>10</v>
      </c>
      <c r="E98" s="82">
        <v>59.64</v>
      </c>
      <c r="J98" s="701" t="s">
        <v>1788</v>
      </c>
      <c r="M98" s="82" t="s">
        <v>1789</v>
      </c>
    </row>
    <row r="99" spans="1:13">
      <c r="B99" s="81">
        <v>6</v>
      </c>
      <c r="C99" s="81">
        <v>6.15</v>
      </c>
      <c r="D99" s="82">
        <v>61</v>
      </c>
      <c r="E99" s="82">
        <v>844.08750000000009</v>
      </c>
      <c r="I99" s="82" t="s">
        <v>1768</v>
      </c>
      <c r="J99" s="82" t="s">
        <v>1769</v>
      </c>
      <c r="K99" s="82" t="s">
        <v>1770</v>
      </c>
      <c r="L99" s="82" t="s">
        <v>1771</v>
      </c>
      <c r="M99" s="82" t="s">
        <v>1772</v>
      </c>
    </row>
    <row r="100" spans="1:13">
      <c r="B100" s="81">
        <v>5</v>
      </c>
      <c r="C100" s="81">
        <v>3.5</v>
      </c>
      <c r="D100" s="82">
        <v>10</v>
      </c>
      <c r="E100" s="82">
        <v>54.6</v>
      </c>
      <c r="J100" s="82">
        <v>6</v>
      </c>
      <c r="K100" s="82">
        <v>2.35</v>
      </c>
      <c r="L100" s="82">
        <v>202</v>
      </c>
      <c r="M100" s="82">
        <v>2194.8941250000003</v>
      </c>
    </row>
    <row r="101" spans="1:13">
      <c r="J101" s="82">
        <v>4</v>
      </c>
      <c r="K101" s="82">
        <v>5</v>
      </c>
      <c r="L101" s="82">
        <v>10</v>
      </c>
      <c r="M101" s="82">
        <v>102.13350000000001</v>
      </c>
    </row>
    <row r="102" spans="1:13" ht="13.5">
      <c r="B102" s="148" t="s">
        <v>2285</v>
      </c>
      <c r="C102" s="81" t="s">
        <v>2284</v>
      </c>
      <c r="D102" s="147" t="s">
        <v>2283</v>
      </c>
      <c r="E102" s="82">
        <f>'數量計算(FOR4變)'!H345*3.2</f>
        <v>678.048</v>
      </c>
      <c r="J102" s="82">
        <v>4</v>
      </c>
      <c r="K102" s="82">
        <v>6</v>
      </c>
      <c r="L102" s="82">
        <v>78</v>
      </c>
      <c r="M102" s="82">
        <v>955.96956000000011</v>
      </c>
    </row>
    <row r="103" spans="1:13">
      <c r="D103" s="82" t="s">
        <v>1750</v>
      </c>
      <c r="E103" s="82">
        <v>1027.4277999999999</v>
      </c>
      <c r="F103" s="312">
        <f>E102+E103</f>
        <v>1705.4757999999999</v>
      </c>
      <c r="J103" s="82">
        <v>4</v>
      </c>
      <c r="K103" s="82">
        <v>1.55</v>
      </c>
      <c r="L103" s="82">
        <v>45</v>
      </c>
      <c r="M103" s="82">
        <v>142.47623250000001</v>
      </c>
    </row>
    <row r="104" spans="1:13">
      <c r="D104" s="82" t="s">
        <v>1751</v>
      </c>
      <c r="E104" s="82">
        <v>1526.2874999999999</v>
      </c>
      <c r="J104" s="82">
        <v>4</v>
      </c>
      <c r="K104" s="82">
        <v>0.6</v>
      </c>
      <c r="L104" s="82">
        <v>40</v>
      </c>
      <c r="M104" s="82">
        <v>23.856000000000002</v>
      </c>
    </row>
    <row r="105" spans="1:13">
      <c r="J105" s="82">
        <v>4</v>
      </c>
      <c r="K105" s="82">
        <v>6</v>
      </c>
      <c r="L105" s="82">
        <v>12</v>
      </c>
      <c r="M105" s="82">
        <v>147.07223999999999</v>
      </c>
    </row>
    <row r="106" spans="1:13">
      <c r="J106" s="82">
        <v>6</v>
      </c>
      <c r="K106" s="82">
        <v>1.65</v>
      </c>
      <c r="L106" s="82">
        <v>15</v>
      </c>
      <c r="M106" s="82">
        <v>55.6875</v>
      </c>
    </row>
    <row r="107" spans="1:13">
      <c r="B107" s="811" t="s">
        <v>1790</v>
      </c>
      <c r="E107" s="82" t="s">
        <v>1791</v>
      </c>
      <c r="J107" s="82">
        <v>4</v>
      </c>
      <c r="K107" s="82">
        <v>5</v>
      </c>
      <c r="L107" s="82">
        <v>10</v>
      </c>
      <c r="M107" s="82">
        <v>102.13350000000001</v>
      </c>
    </row>
    <row r="108" spans="1:13">
      <c r="A108" s="81" t="s">
        <v>1768</v>
      </c>
      <c r="B108" s="81" t="s">
        <v>1769</v>
      </c>
      <c r="C108" s="81" t="s">
        <v>1770</v>
      </c>
      <c r="D108" s="82" t="s">
        <v>1771</v>
      </c>
      <c r="E108" s="82" t="s">
        <v>1772</v>
      </c>
      <c r="J108" s="82">
        <v>4</v>
      </c>
      <c r="K108" s="82">
        <v>6</v>
      </c>
      <c r="L108" s="82">
        <v>74</v>
      </c>
      <c r="M108" s="82">
        <v>906.94548000000009</v>
      </c>
    </row>
    <row r="109" spans="1:13">
      <c r="B109" s="81">
        <v>6</v>
      </c>
      <c r="C109" s="81">
        <v>3.9000000000000004</v>
      </c>
      <c r="D109" s="82">
        <v>168</v>
      </c>
      <c r="E109" s="82">
        <v>1474.2</v>
      </c>
      <c r="G109" s="82">
        <v>83.5</v>
      </c>
      <c r="J109" s="82">
        <v>6</v>
      </c>
      <c r="K109" s="82">
        <v>4.95</v>
      </c>
      <c r="L109" s="82">
        <v>101</v>
      </c>
      <c r="M109" s="82">
        <v>2311.6438125000004</v>
      </c>
    </row>
    <row r="110" spans="1:13">
      <c r="B110" s="81">
        <v>4</v>
      </c>
      <c r="C110" s="81">
        <v>5</v>
      </c>
      <c r="D110" s="82">
        <v>36</v>
      </c>
      <c r="E110" s="82">
        <v>178.92</v>
      </c>
      <c r="J110" s="82">
        <v>5</v>
      </c>
      <c r="K110" s="82">
        <v>3.5</v>
      </c>
      <c r="L110" s="82">
        <v>15</v>
      </c>
      <c r="M110" s="82">
        <v>168.30450000000002</v>
      </c>
    </row>
    <row r="111" spans="1:13">
      <c r="B111" s="81">
        <v>4</v>
      </c>
      <c r="C111" s="81">
        <v>6</v>
      </c>
      <c r="D111" s="82">
        <v>72</v>
      </c>
      <c r="E111" s="82">
        <v>429.40800000000002</v>
      </c>
    </row>
    <row r="112" spans="1:13">
      <c r="B112" s="81">
        <v>4</v>
      </c>
      <c r="C112" s="81">
        <v>1.55</v>
      </c>
      <c r="D112" s="82">
        <v>32</v>
      </c>
      <c r="E112" s="82">
        <v>49.302399999999999</v>
      </c>
    </row>
    <row r="113" spans="1:15">
      <c r="B113" s="81">
        <v>4</v>
      </c>
      <c r="C113" s="81">
        <v>0.6</v>
      </c>
      <c r="D113" s="82">
        <v>28</v>
      </c>
      <c r="E113" s="82">
        <v>16.699200000000001</v>
      </c>
      <c r="L113" s="82" t="s">
        <v>1750</v>
      </c>
      <c r="M113" s="82">
        <v>2548.8910125000002</v>
      </c>
    </row>
    <row r="114" spans="1:15">
      <c r="B114" s="81">
        <v>6</v>
      </c>
      <c r="C114" s="81">
        <v>1.65</v>
      </c>
      <c r="D114" s="82">
        <v>12</v>
      </c>
      <c r="E114" s="82">
        <v>44.55</v>
      </c>
      <c r="L114" s="82" t="s">
        <v>1751</v>
      </c>
      <c r="M114" s="82">
        <v>4562.2254375000011</v>
      </c>
    </row>
    <row r="115" spans="1:15">
      <c r="B115" s="81">
        <v>6</v>
      </c>
      <c r="C115" s="81">
        <v>6.3</v>
      </c>
      <c r="D115" s="82">
        <v>84</v>
      </c>
      <c r="E115" s="82">
        <v>1190.6999999999998</v>
      </c>
    </row>
    <row r="116" spans="1:15">
      <c r="B116" s="81">
        <v>5</v>
      </c>
      <c r="C116" s="81">
        <v>3.5</v>
      </c>
      <c r="D116" s="82">
        <v>8</v>
      </c>
      <c r="E116" s="82">
        <v>43.68</v>
      </c>
    </row>
    <row r="117" spans="1:15">
      <c r="I117" s="307"/>
      <c r="J117" s="307" t="s">
        <v>1792</v>
      </c>
      <c r="K117" s="307"/>
      <c r="L117" s="307"/>
      <c r="M117" s="307" t="s">
        <v>1793</v>
      </c>
    </row>
    <row r="118" spans="1:15">
      <c r="I118" s="307" t="s">
        <v>1768</v>
      </c>
      <c r="J118" s="307" t="s">
        <v>1769</v>
      </c>
      <c r="K118" s="307" t="s">
        <v>1770</v>
      </c>
      <c r="L118" s="307" t="s">
        <v>1771</v>
      </c>
      <c r="M118" s="307" t="s">
        <v>1772</v>
      </c>
    </row>
    <row r="119" spans="1:15">
      <c r="D119" s="82" t="s">
        <v>1750</v>
      </c>
      <c r="E119" s="82">
        <v>718.00959999999998</v>
      </c>
      <c r="I119" s="307"/>
      <c r="J119" s="307">
        <v>5</v>
      </c>
      <c r="K119" s="307">
        <v>14.55</v>
      </c>
      <c r="L119" s="307">
        <v>44</v>
      </c>
      <c r="M119" s="307">
        <v>998.7120000000001</v>
      </c>
      <c r="O119" s="82">
        <v>14.25</v>
      </c>
    </row>
    <row r="120" spans="1:15">
      <c r="D120" s="82" t="s">
        <v>1751</v>
      </c>
      <c r="E120" s="82">
        <v>2709.45</v>
      </c>
      <c r="I120" s="307"/>
      <c r="J120" s="307">
        <v>5</v>
      </c>
      <c r="K120" s="307">
        <v>4.8499999999999996</v>
      </c>
      <c r="L120" s="307">
        <v>71</v>
      </c>
      <c r="M120" s="307">
        <v>537.18599999999992</v>
      </c>
      <c r="O120" s="82">
        <v>69.749999999999986</v>
      </c>
    </row>
    <row r="121" spans="1:15" ht="13.5">
      <c r="I121" s="308"/>
      <c r="J121" s="307">
        <v>5</v>
      </c>
      <c r="K121" s="307">
        <v>3.75</v>
      </c>
      <c r="L121" s="307">
        <v>71</v>
      </c>
      <c r="M121" s="307">
        <v>415.35</v>
      </c>
    </row>
    <row r="122" spans="1:15">
      <c r="I122" s="307"/>
      <c r="J122" s="307">
        <v>5</v>
      </c>
      <c r="K122" s="307">
        <v>2.2000000000000002</v>
      </c>
      <c r="L122" s="307">
        <v>71</v>
      </c>
      <c r="M122" s="307">
        <v>243.67200000000003</v>
      </c>
    </row>
    <row r="123" spans="1:15">
      <c r="I123" s="307"/>
      <c r="J123" s="307"/>
      <c r="K123" s="307"/>
      <c r="L123" s="307"/>
      <c r="M123" s="307"/>
    </row>
    <row r="124" spans="1:15" ht="13.5">
      <c r="I124" s="307"/>
      <c r="J124" s="307"/>
      <c r="K124" s="309" t="s">
        <v>2286</v>
      </c>
      <c r="L124" s="310" t="s">
        <v>2282</v>
      </c>
      <c r="M124" s="307">
        <f>'數量計算(FOR4變)'!H207*3.2</f>
        <v>71.647199999999998</v>
      </c>
    </row>
    <row r="125" spans="1:15">
      <c r="I125" s="307"/>
      <c r="J125" s="307"/>
      <c r="K125" s="307"/>
      <c r="L125" s="307" t="s">
        <v>1750</v>
      </c>
      <c r="M125" s="307">
        <v>2194.92</v>
      </c>
      <c r="N125" s="312">
        <f>M124+M125</f>
        <v>2266.5672</v>
      </c>
    </row>
    <row r="127" spans="1:15" ht="13.5">
      <c r="A127" s="148" t="s">
        <v>1945</v>
      </c>
      <c r="B127" s="81" t="s">
        <v>1947</v>
      </c>
      <c r="C127" s="242">
        <v>14</v>
      </c>
      <c r="H127" s="147" t="s">
        <v>1944</v>
      </c>
      <c r="I127" s="82" t="s">
        <v>1954</v>
      </c>
      <c r="J127" s="242">
        <v>15</v>
      </c>
    </row>
    <row r="128" spans="1:15" ht="13.5">
      <c r="A128" s="81" t="s">
        <v>1769</v>
      </c>
      <c r="C128" s="81" t="s">
        <v>1771</v>
      </c>
      <c r="D128" s="81" t="s">
        <v>1770</v>
      </c>
      <c r="E128" s="148" t="s">
        <v>1946</v>
      </c>
      <c r="H128" s="81" t="s">
        <v>1769</v>
      </c>
      <c r="I128" s="81"/>
      <c r="J128" s="81" t="s">
        <v>1771</v>
      </c>
      <c r="K128" s="81" t="s">
        <v>1770</v>
      </c>
      <c r="L128" s="148" t="s">
        <v>1946</v>
      </c>
    </row>
    <row r="129" spans="1:16">
      <c r="A129" s="81">
        <v>4</v>
      </c>
      <c r="B129" s="81" t="s">
        <v>1931</v>
      </c>
      <c r="C129" s="81">
        <v>100</v>
      </c>
      <c r="D129" s="81">
        <f>680/100</f>
        <v>6.8</v>
      </c>
      <c r="E129" s="243">
        <f>C129*D129*$C$127*0.994</f>
        <v>9462.8799999999992</v>
      </c>
      <c r="F129" s="82" t="s">
        <v>1932</v>
      </c>
      <c r="H129" s="81">
        <v>5</v>
      </c>
      <c r="I129" s="81" t="s">
        <v>1931</v>
      </c>
      <c r="J129" s="81">
        <v>135</v>
      </c>
      <c r="K129" s="81">
        <v>1.65</v>
      </c>
      <c r="L129" s="82">
        <f>J129*K129*$J$127*1.56</f>
        <v>5212.3500000000004</v>
      </c>
      <c r="M129" s="82" t="s">
        <v>1932</v>
      </c>
      <c r="N129" s="82">
        <v>5</v>
      </c>
      <c r="O129" s="82">
        <v>2.15</v>
      </c>
      <c r="P129" s="82">
        <v>268</v>
      </c>
    </row>
    <row r="130" spans="1:16">
      <c r="A130" s="81">
        <v>4</v>
      </c>
      <c r="B130" s="81" t="s">
        <v>1931</v>
      </c>
      <c r="C130" s="81">
        <v>126</v>
      </c>
      <c r="D130" s="81">
        <f>600/100</f>
        <v>6</v>
      </c>
      <c r="E130" s="243">
        <f t="shared" ref="E130:E137" si="5">C130*D130*$C$127*0.994</f>
        <v>10520.495999999999</v>
      </c>
      <c r="F130" s="82" t="s">
        <v>1933</v>
      </c>
      <c r="H130" s="81">
        <v>4</v>
      </c>
      <c r="I130" s="81" t="s">
        <v>1931</v>
      </c>
      <c r="J130" s="81">
        <v>30</v>
      </c>
      <c r="K130" s="81">
        <v>6</v>
      </c>
      <c r="L130" s="82">
        <f>J130*K130*$J$127*0.994</f>
        <v>2683.8</v>
      </c>
      <c r="M130" s="82" t="s">
        <v>1933</v>
      </c>
      <c r="N130" s="82">
        <v>4</v>
      </c>
      <c r="O130" s="82">
        <v>5</v>
      </c>
      <c r="P130" s="82">
        <v>26</v>
      </c>
    </row>
    <row r="131" spans="1:16">
      <c r="A131" s="81">
        <v>4</v>
      </c>
      <c r="B131" s="81" t="s">
        <v>1931</v>
      </c>
      <c r="C131" s="81">
        <v>18</v>
      </c>
      <c r="D131" s="81">
        <f>500/100</f>
        <v>5</v>
      </c>
      <c r="E131" s="243">
        <f t="shared" si="5"/>
        <v>1252.44</v>
      </c>
      <c r="F131" s="82" t="s">
        <v>1933</v>
      </c>
      <c r="H131" s="81">
        <v>4</v>
      </c>
      <c r="I131" s="81" t="s">
        <v>1931</v>
      </c>
      <c r="J131" s="81">
        <v>5</v>
      </c>
      <c r="K131" s="81">
        <v>5</v>
      </c>
      <c r="L131" s="82">
        <f>J131*K131*$J$127*0.994</f>
        <v>372.75</v>
      </c>
      <c r="M131" s="82" t="s">
        <v>1933</v>
      </c>
      <c r="N131" s="82">
        <v>4</v>
      </c>
      <c r="O131" s="82">
        <v>6</v>
      </c>
      <c r="P131" s="82">
        <v>182</v>
      </c>
    </row>
    <row r="132" spans="1:16">
      <c r="A132" s="81">
        <v>7</v>
      </c>
      <c r="B132" s="81" t="s">
        <v>1931</v>
      </c>
      <c r="C132" s="81">
        <v>100</v>
      </c>
      <c r="D132" s="81">
        <f>340/100</f>
        <v>3.4</v>
      </c>
      <c r="E132" s="243">
        <f>C132*D132*$C$127*3.04</f>
        <v>14470.4</v>
      </c>
      <c r="F132" s="82" t="s">
        <v>1934</v>
      </c>
      <c r="H132" s="81">
        <v>5</v>
      </c>
      <c r="I132" s="81" t="s">
        <v>1931</v>
      </c>
      <c r="J132" s="81">
        <v>135</v>
      </c>
      <c r="K132" s="81">
        <v>2.15</v>
      </c>
      <c r="L132" s="82">
        <f t="shared" ref="L132:L141" si="6">J132*K132*$J$127*1.56</f>
        <v>6791.85</v>
      </c>
      <c r="M132" s="82" t="s">
        <v>1934</v>
      </c>
      <c r="N132" s="82">
        <v>5</v>
      </c>
      <c r="O132" s="82">
        <v>1.65</v>
      </c>
      <c r="P132" s="82">
        <v>268</v>
      </c>
    </row>
    <row r="133" spans="1:16">
      <c r="A133" s="81">
        <v>7</v>
      </c>
      <c r="B133" s="81" t="s">
        <v>1931</v>
      </c>
      <c r="C133" s="81">
        <v>100</v>
      </c>
      <c r="D133" s="81">
        <f>520/100</f>
        <v>5.2</v>
      </c>
      <c r="E133" s="243">
        <f>C133*D133*$C$127*3.04</f>
        <v>22131.200000000001</v>
      </c>
      <c r="F133" s="82" t="s">
        <v>1934</v>
      </c>
      <c r="H133" s="81">
        <v>4</v>
      </c>
      <c r="I133" s="81" t="s">
        <v>1931</v>
      </c>
      <c r="J133" s="81">
        <v>30</v>
      </c>
      <c r="K133" s="81">
        <v>6</v>
      </c>
      <c r="L133" s="82">
        <f>J133*K133*$J$127*0.994</f>
        <v>2683.8</v>
      </c>
      <c r="M133" s="82" t="s">
        <v>1935</v>
      </c>
      <c r="N133" s="82">
        <v>5</v>
      </c>
      <c r="O133" s="82">
        <v>3</v>
      </c>
      <c r="P133" s="82">
        <v>268</v>
      </c>
    </row>
    <row r="134" spans="1:16">
      <c r="A134" s="81">
        <v>4</v>
      </c>
      <c r="B134" s="81" t="s">
        <v>1931</v>
      </c>
      <c r="C134" s="81">
        <v>126</v>
      </c>
      <c r="D134" s="81">
        <f>600/100</f>
        <v>6</v>
      </c>
      <c r="E134" s="243">
        <f t="shared" si="5"/>
        <v>10520.495999999999</v>
      </c>
      <c r="F134" s="82" t="s">
        <v>1935</v>
      </c>
      <c r="H134" s="81">
        <v>4</v>
      </c>
      <c r="I134" s="81" t="s">
        <v>1931</v>
      </c>
      <c r="J134" s="81">
        <v>5</v>
      </c>
      <c r="K134" s="81">
        <v>5</v>
      </c>
      <c r="L134" s="82">
        <f>J134*K134*$J$127*0.994</f>
        <v>372.75</v>
      </c>
      <c r="M134" s="82" t="s">
        <v>1935</v>
      </c>
      <c r="N134" s="82">
        <v>5</v>
      </c>
      <c r="O134" s="82">
        <v>2.1</v>
      </c>
      <c r="P134" s="82">
        <v>268</v>
      </c>
    </row>
    <row r="135" spans="1:16">
      <c r="A135" s="81">
        <v>4</v>
      </c>
      <c r="B135" s="81" t="s">
        <v>1931</v>
      </c>
      <c r="C135" s="81">
        <v>18</v>
      </c>
      <c r="D135" s="81">
        <f>500/100</f>
        <v>5</v>
      </c>
      <c r="E135" s="243">
        <f>C135*D135*$C$127*0.994</f>
        <v>1252.44</v>
      </c>
      <c r="F135" s="82" t="s">
        <v>1935</v>
      </c>
      <c r="H135" s="81">
        <v>5</v>
      </c>
      <c r="I135" s="81" t="s">
        <v>1938</v>
      </c>
      <c r="J135" s="81">
        <v>270</v>
      </c>
      <c r="K135" s="81">
        <v>3</v>
      </c>
      <c r="L135" s="82">
        <f t="shared" si="6"/>
        <v>18954</v>
      </c>
      <c r="M135" s="82" t="s">
        <v>1939</v>
      </c>
      <c r="N135" s="82">
        <v>4</v>
      </c>
      <c r="O135" s="82">
        <v>6</v>
      </c>
      <c r="P135" s="82">
        <v>24</v>
      </c>
    </row>
    <row r="136" spans="1:16">
      <c r="A136" s="81">
        <v>7</v>
      </c>
      <c r="B136" s="81" t="s">
        <v>1931</v>
      </c>
      <c r="C136" s="81">
        <v>68</v>
      </c>
      <c r="D136" s="81">
        <f>590/100</f>
        <v>5.9</v>
      </c>
      <c r="E136" s="243">
        <f>C136*D136*$C$127*3.04</f>
        <v>17075.072000000004</v>
      </c>
      <c r="F136" s="82" t="s">
        <v>1936</v>
      </c>
      <c r="H136" s="81">
        <v>5</v>
      </c>
      <c r="I136" s="81" t="s">
        <v>1938</v>
      </c>
      <c r="J136" s="81">
        <v>270</v>
      </c>
      <c r="K136" s="81">
        <v>2.1</v>
      </c>
      <c r="L136" s="82">
        <f t="shared" si="6"/>
        <v>13267.800000000001</v>
      </c>
      <c r="M136" s="82" t="s">
        <v>1940</v>
      </c>
      <c r="N136" s="82">
        <v>5</v>
      </c>
      <c r="O136" s="82">
        <v>1.7</v>
      </c>
      <c r="P136" s="82">
        <v>30</v>
      </c>
    </row>
    <row r="137" spans="1:16">
      <c r="A137" s="81">
        <v>4</v>
      </c>
      <c r="B137" s="81" t="s">
        <v>1931</v>
      </c>
      <c r="C137" s="81">
        <v>400</v>
      </c>
      <c r="D137" s="81">
        <v>1.5</v>
      </c>
      <c r="E137" s="243">
        <f t="shared" si="5"/>
        <v>8349.6</v>
      </c>
      <c r="F137" s="82" t="s">
        <v>1937</v>
      </c>
      <c r="H137" s="81">
        <v>4</v>
      </c>
      <c r="I137" s="81" t="s">
        <v>1938</v>
      </c>
      <c r="J137" s="81">
        <v>70</v>
      </c>
      <c r="K137" s="81">
        <v>6</v>
      </c>
      <c r="L137" s="82">
        <f>J137*K137*$J$127*0.994</f>
        <v>6262.2</v>
      </c>
      <c r="M137" s="82" t="s">
        <v>1941</v>
      </c>
      <c r="N137" s="82">
        <v>5</v>
      </c>
      <c r="O137" s="82">
        <v>2</v>
      </c>
      <c r="P137" s="82">
        <v>30</v>
      </c>
    </row>
    <row r="138" spans="1:16">
      <c r="A138" s="81">
        <v>7</v>
      </c>
      <c r="B138" s="81" t="s">
        <v>1938</v>
      </c>
      <c r="C138" s="81">
        <v>200</v>
      </c>
      <c r="D138" s="81">
        <v>5.0999999999999996</v>
      </c>
      <c r="E138" s="243">
        <f>C138*D138*$C$127*3.04</f>
        <v>43411.199999999997</v>
      </c>
      <c r="F138" s="82" t="s">
        <v>1939</v>
      </c>
      <c r="H138" s="81">
        <v>4</v>
      </c>
      <c r="I138" s="81" t="s">
        <v>1938</v>
      </c>
      <c r="J138" s="81">
        <v>10</v>
      </c>
      <c r="K138" s="81">
        <v>5</v>
      </c>
      <c r="L138" s="82">
        <f>J138*K138*$J$127*0.994</f>
        <v>745.5</v>
      </c>
      <c r="M138" s="82" t="s">
        <v>1941</v>
      </c>
    </row>
    <row r="139" spans="1:16">
      <c r="A139" s="81">
        <v>5</v>
      </c>
      <c r="B139" s="81" t="s">
        <v>1938</v>
      </c>
      <c r="C139" s="81">
        <v>200</v>
      </c>
      <c r="D139" s="81">
        <v>3</v>
      </c>
      <c r="E139" s="243">
        <f>C139*D139*$C$127*1.56</f>
        <v>13104</v>
      </c>
      <c r="F139" s="82" t="s">
        <v>1940</v>
      </c>
      <c r="H139" s="81">
        <v>5</v>
      </c>
      <c r="I139" s="81" t="s">
        <v>1948</v>
      </c>
      <c r="J139" s="81">
        <v>135</v>
      </c>
      <c r="K139" s="81">
        <v>1.65</v>
      </c>
      <c r="L139" s="82">
        <f t="shared" si="6"/>
        <v>5212.3500000000004</v>
      </c>
      <c r="M139" s="82" t="s">
        <v>1934</v>
      </c>
    </row>
    <row r="140" spans="1:16">
      <c r="A140" s="81">
        <v>4</v>
      </c>
      <c r="B140" s="81" t="s">
        <v>1938</v>
      </c>
      <c r="C140" s="81">
        <v>156</v>
      </c>
      <c r="D140" s="81">
        <v>6</v>
      </c>
      <c r="E140" s="243">
        <f>C140*D140*$C$127*0.994</f>
        <v>13025.376</v>
      </c>
      <c r="F140" s="82" t="s">
        <v>1941</v>
      </c>
      <c r="H140" s="81">
        <v>4</v>
      </c>
      <c r="I140" s="81" t="s">
        <v>1948</v>
      </c>
      <c r="J140" s="81">
        <v>35</v>
      </c>
      <c r="K140" s="81">
        <v>6</v>
      </c>
      <c r="L140" s="82">
        <f>J140*K140*$J$127*0.994</f>
        <v>3131.1</v>
      </c>
      <c r="M140" s="82" t="s">
        <v>1935</v>
      </c>
    </row>
    <row r="141" spans="1:16">
      <c r="A141" s="81">
        <v>4</v>
      </c>
      <c r="B141" s="81" t="s">
        <v>1938</v>
      </c>
      <c r="C141" s="81">
        <v>20</v>
      </c>
      <c r="D141" s="81">
        <v>5</v>
      </c>
      <c r="E141" s="243">
        <f>C141*D141*$C$127*0.994</f>
        <v>1391.6</v>
      </c>
      <c r="F141" s="82" t="s">
        <v>1941</v>
      </c>
      <c r="H141" s="81">
        <v>5</v>
      </c>
      <c r="I141" s="81" t="s">
        <v>1948</v>
      </c>
      <c r="J141" s="81">
        <v>135</v>
      </c>
      <c r="K141" s="81">
        <v>2.15</v>
      </c>
      <c r="L141" s="82">
        <f t="shared" si="6"/>
        <v>6791.85</v>
      </c>
      <c r="M141" s="82" t="s">
        <v>1932</v>
      </c>
    </row>
    <row r="142" spans="1:16">
      <c r="A142" s="81">
        <v>4</v>
      </c>
      <c r="B142" s="81" t="s">
        <v>1938</v>
      </c>
      <c r="C142" s="81">
        <v>200</v>
      </c>
      <c r="D142" s="81">
        <v>1.5</v>
      </c>
      <c r="E142" s="243">
        <f>C142*D142*$C$127*0.994</f>
        <v>4174.8</v>
      </c>
      <c r="F142" s="82" t="s">
        <v>1937</v>
      </c>
      <c r="H142" s="81">
        <v>4</v>
      </c>
      <c r="I142" s="81" t="s">
        <v>1948</v>
      </c>
      <c r="J142" s="81">
        <v>35</v>
      </c>
      <c r="K142" s="81">
        <v>6</v>
      </c>
      <c r="L142" s="82">
        <f>J142*K142*$J$127*0.994</f>
        <v>3131.1</v>
      </c>
      <c r="M142" s="82" t="s">
        <v>1933</v>
      </c>
    </row>
    <row r="143" spans="1:16">
      <c r="A143" s="81">
        <v>5</v>
      </c>
      <c r="B143" s="81" t="s">
        <v>1942</v>
      </c>
      <c r="C143" s="81">
        <v>200</v>
      </c>
      <c r="D143" s="81">
        <v>3</v>
      </c>
      <c r="E143" s="243">
        <f>C143*D143*$C$127*1.56</f>
        <v>13104</v>
      </c>
      <c r="F143" s="82" t="s">
        <v>1943</v>
      </c>
      <c r="H143" s="81"/>
      <c r="I143" s="81"/>
      <c r="J143" s="81"/>
      <c r="K143" s="81" t="s">
        <v>1951</v>
      </c>
      <c r="L143" s="82">
        <f>SUM(L129:L142)</f>
        <v>75613.200000000012</v>
      </c>
    </row>
    <row r="144" spans="1:16" ht="13.5">
      <c r="A144" s="81">
        <v>4</v>
      </c>
      <c r="B144" s="81" t="s">
        <v>1942</v>
      </c>
      <c r="C144" s="81">
        <v>78</v>
      </c>
      <c r="D144" s="81">
        <v>6</v>
      </c>
      <c r="E144" s="243">
        <f>C144*D144*$C$127*0.994</f>
        <v>6512.6880000000001</v>
      </c>
      <c r="F144" s="82" t="s">
        <v>1941</v>
      </c>
      <c r="H144" s="81"/>
      <c r="I144" s="81"/>
      <c r="J144" s="246" t="s">
        <v>2286</v>
      </c>
      <c r="K144" s="245" t="s">
        <v>2282</v>
      </c>
      <c r="L144" s="82">
        <f>'數量計算(FOR4變)'!H355*3.2</f>
        <v>1728</v>
      </c>
    </row>
    <row r="145" spans="1:13">
      <c r="A145" s="81">
        <v>4</v>
      </c>
      <c r="B145" s="81" t="s">
        <v>1942</v>
      </c>
      <c r="C145" s="81">
        <v>10</v>
      </c>
      <c r="D145" s="81">
        <v>5</v>
      </c>
      <c r="E145" s="243">
        <f>C145*D145*$C$127*0.994</f>
        <v>695.8</v>
      </c>
      <c r="F145" s="82" t="s">
        <v>1941</v>
      </c>
      <c r="H145" s="81"/>
      <c r="I145" s="81"/>
      <c r="J145" s="81"/>
      <c r="K145" s="81"/>
      <c r="L145" s="312">
        <f>L143+L144</f>
        <v>77341.200000000012</v>
      </c>
    </row>
    <row r="146" spans="1:13" ht="13.5">
      <c r="A146" s="81">
        <v>4</v>
      </c>
      <c r="B146" s="81" t="s">
        <v>1942</v>
      </c>
      <c r="C146" s="81">
        <v>200</v>
      </c>
      <c r="D146" s="81">
        <v>1.5</v>
      </c>
      <c r="E146" s="243">
        <f>C146*D146*$C$127*0.994</f>
        <v>4174.8</v>
      </c>
      <c r="F146" s="82" t="s">
        <v>1937</v>
      </c>
      <c r="H146" s="147" t="s">
        <v>1955</v>
      </c>
    </row>
    <row r="147" spans="1:13" ht="13.5">
      <c r="A147" s="81">
        <v>7</v>
      </c>
      <c r="B147" s="81" t="s">
        <v>1948</v>
      </c>
      <c r="C147" s="81">
        <v>100</v>
      </c>
      <c r="D147" s="81">
        <v>3.4</v>
      </c>
      <c r="E147" s="243">
        <f>C147*D147*$C$127*3.04</f>
        <v>14470.4</v>
      </c>
      <c r="F147" s="82" t="s">
        <v>1932</v>
      </c>
      <c r="H147" s="81" t="s">
        <v>1769</v>
      </c>
      <c r="J147" s="148" t="s">
        <v>1957</v>
      </c>
      <c r="K147" s="246" t="s">
        <v>1958</v>
      </c>
      <c r="L147" s="148" t="s">
        <v>1946</v>
      </c>
    </row>
    <row r="148" spans="1:13">
      <c r="A148" s="81">
        <v>7</v>
      </c>
      <c r="B148" s="81" t="s">
        <v>1948</v>
      </c>
      <c r="C148" s="81">
        <v>100</v>
      </c>
      <c r="D148" s="81">
        <v>5.2</v>
      </c>
      <c r="E148" s="243">
        <f>C148*D148*$C$127*3.04</f>
        <v>22131.200000000001</v>
      </c>
      <c r="F148" s="82" t="s">
        <v>1932</v>
      </c>
      <c r="H148" s="81">
        <v>8</v>
      </c>
      <c r="I148" s="81" t="s">
        <v>1931</v>
      </c>
      <c r="J148" s="81">
        <v>5.35</v>
      </c>
      <c r="K148" s="81">
        <v>34</v>
      </c>
      <c r="L148" s="82">
        <f>J148*K148*3.98</f>
        <v>723.96199999999988</v>
      </c>
      <c r="M148" s="82" t="s">
        <v>1959</v>
      </c>
    </row>
    <row r="149" spans="1:13">
      <c r="A149" s="81">
        <v>4</v>
      </c>
      <c r="B149" s="81" t="s">
        <v>1948</v>
      </c>
      <c r="C149" s="81">
        <v>126</v>
      </c>
      <c r="D149" s="81">
        <v>6</v>
      </c>
      <c r="E149" s="243">
        <f t="shared" ref="E149:E154" si="7">C149*D149*$C$127*0.994</f>
        <v>10520.495999999999</v>
      </c>
      <c r="F149" s="82" t="s">
        <v>1933</v>
      </c>
      <c r="H149" s="81">
        <v>8</v>
      </c>
      <c r="I149" s="81" t="s">
        <v>1931</v>
      </c>
      <c r="J149" s="81">
        <v>4.05</v>
      </c>
      <c r="K149" s="81">
        <v>46</v>
      </c>
      <c r="L149" s="82">
        <f t="shared" ref="L149:L160" si="8">J149*K149*3.98</f>
        <v>741.47399999999993</v>
      </c>
      <c r="M149" s="82" t="s">
        <v>1960</v>
      </c>
    </row>
    <row r="150" spans="1:13">
      <c r="A150" s="81">
        <v>4</v>
      </c>
      <c r="B150" s="81" t="s">
        <v>1948</v>
      </c>
      <c r="C150" s="81">
        <v>18</v>
      </c>
      <c r="D150" s="81">
        <v>5</v>
      </c>
      <c r="E150" s="243">
        <f t="shared" si="7"/>
        <v>1252.44</v>
      </c>
      <c r="F150" s="82" t="s">
        <v>1933</v>
      </c>
      <c r="H150" s="81">
        <v>8</v>
      </c>
      <c r="I150" s="81" t="s">
        <v>1938</v>
      </c>
      <c r="J150" s="81">
        <v>3.9</v>
      </c>
      <c r="K150" s="81">
        <v>164</v>
      </c>
      <c r="L150" s="82">
        <f t="shared" si="8"/>
        <v>2545.6080000000002</v>
      </c>
      <c r="M150" s="82" t="s">
        <v>1961</v>
      </c>
    </row>
    <row r="151" spans="1:13">
      <c r="A151" s="81">
        <v>7</v>
      </c>
      <c r="B151" s="81" t="s">
        <v>1948</v>
      </c>
      <c r="C151" s="81">
        <v>68</v>
      </c>
      <c r="D151" s="81">
        <v>5.9</v>
      </c>
      <c r="E151" s="243">
        <f>C151*D151*$C$127*3.04</f>
        <v>17075.072000000004</v>
      </c>
      <c r="F151" s="82" t="s">
        <v>1949</v>
      </c>
      <c r="H151" s="81">
        <v>4</v>
      </c>
      <c r="I151" s="81" t="s">
        <v>1938</v>
      </c>
      <c r="J151" s="81">
        <v>2.9</v>
      </c>
      <c r="K151" s="81">
        <v>44</v>
      </c>
      <c r="L151" s="82">
        <f>J151*K151*0.994</f>
        <v>126.83439999999999</v>
      </c>
      <c r="M151" s="82" t="s">
        <v>1962</v>
      </c>
    </row>
    <row r="152" spans="1:13">
      <c r="A152" s="81">
        <v>4</v>
      </c>
      <c r="B152" s="81" t="s">
        <v>1948</v>
      </c>
      <c r="C152" s="81">
        <v>100</v>
      </c>
      <c r="D152" s="81">
        <v>6.8</v>
      </c>
      <c r="E152" s="243">
        <f t="shared" si="7"/>
        <v>9462.8799999999992</v>
      </c>
      <c r="F152" s="82" t="s">
        <v>1934</v>
      </c>
      <c r="H152" s="81">
        <v>4</v>
      </c>
      <c r="I152" s="81" t="s">
        <v>1938</v>
      </c>
      <c r="J152" s="81">
        <v>2.2999999999999998</v>
      </c>
      <c r="K152" s="81">
        <v>44</v>
      </c>
      <c r="L152" s="82">
        <f>J152*K152*0.994</f>
        <v>100.59279999999998</v>
      </c>
      <c r="M152" s="82" t="s">
        <v>1962</v>
      </c>
    </row>
    <row r="153" spans="1:13">
      <c r="A153" s="81">
        <v>4</v>
      </c>
      <c r="B153" s="81" t="s">
        <v>1948</v>
      </c>
      <c r="C153" s="81">
        <v>126</v>
      </c>
      <c r="D153" s="81">
        <v>6</v>
      </c>
      <c r="E153" s="243">
        <f t="shared" si="7"/>
        <v>10520.495999999999</v>
      </c>
      <c r="F153" s="82" t="s">
        <v>1935</v>
      </c>
      <c r="H153" s="81">
        <v>8</v>
      </c>
      <c r="I153" s="81" t="s">
        <v>1956</v>
      </c>
      <c r="J153" s="81">
        <v>2.1</v>
      </c>
      <c r="K153" s="81">
        <v>15</v>
      </c>
      <c r="L153" s="82">
        <f t="shared" si="8"/>
        <v>125.37</v>
      </c>
      <c r="M153" s="82" t="s">
        <v>1963</v>
      </c>
    </row>
    <row r="154" spans="1:13">
      <c r="A154" s="81">
        <v>4</v>
      </c>
      <c r="B154" s="81" t="s">
        <v>1948</v>
      </c>
      <c r="C154" s="81">
        <v>18</v>
      </c>
      <c r="D154" s="81">
        <v>5</v>
      </c>
      <c r="E154" s="243">
        <f t="shared" si="7"/>
        <v>1252.44</v>
      </c>
      <c r="F154" s="82" t="s">
        <v>1935</v>
      </c>
      <c r="H154" s="81">
        <v>4</v>
      </c>
      <c r="I154" s="81" t="s">
        <v>1956</v>
      </c>
      <c r="J154" s="81">
        <v>2.2999999999999998</v>
      </c>
      <c r="K154" s="81">
        <v>7</v>
      </c>
      <c r="L154" s="82">
        <f>J154*K154*0.994</f>
        <v>16.003399999999999</v>
      </c>
      <c r="M154" s="82" t="s">
        <v>1964</v>
      </c>
    </row>
    <row r="155" spans="1:13">
      <c r="A155" s="81">
        <v>9</v>
      </c>
      <c r="B155" s="81" t="s">
        <v>1948</v>
      </c>
      <c r="C155" s="81">
        <v>68</v>
      </c>
      <c r="D155" s="81">
        <v>2.5</v>
      </c>
      <c r="E155" s="243">
        <f>C155*D155*$C$127*5.08</f>
        <v>12090.4</v>
      </c>
      <c r="F155" s="82" t="s">
        <v>1950</v>
      </c>
      <c r="H155" s="81">
        <v>8</v>
      </c>
      <c r="I155" s="81" t="s">
        <v>1948</v>
      </c>
      <c r="J155" s="81">
        <v>4</v>
      </c>
      <c r="K155" s="81">
        <v>9</v>
      </c>
      <c r="L155" s="82">
        <f t="shared" si="8"/>
        <v>143.28</v>
      </c>
    </row>
    <row r="156" spans="1:13">
      <c r="D156" s="81" t="s">
        <v>1951</v>
      </c>
      <c r="E156" s="243">
        <f>E129+E130+E131+E134+E135+E137+E139+E140+E141+E142+E143+E144+E145+E146+E149+E150+E152+E153+E154</f>
        <v>130550.16800000001</v>
      </c>
      <c r="F156" s="313">
        <f>E158+E156</f>
        <v>137292.568</v>
      </c>
      <c r="H156" s="81">
        <v>8</v>
      </c>
      <c r="I156" s="81" t="s">
        <v>1948</v>
      </c>
      <c r="J156" s="81">
        <v>3.4</v>
      </c>
      <c r="K156" s="81">
        <f>18+2</f>
        <v>20</v>
      </c>
      <c r="L156" s="82">
        <f t="shared" si="8"/>
        <v>270.64</v>
      </c>
    </row>
    <row r="157" spans="1:13">
      <c r="D157" s="81" t="s">
        <v>1952</v>
      </c>
      <c r="E157" s="244">
        <f>E132+E133+E136+E138+E147+E148+E151+E155</f>
        <v>162854.94400000002</v>
      </c>
      <c r="H157" s="81">
        <v>8</v>
      </c>
      <c r="I157" s="81" t="s">
        <v>1948</v>
      </c>
      <c r="J157" s="81">
        <v>2.7</v>
      </c>
      <c r="K157" s="81">
        <f>9+2</f>
        <v>11</v>
      </c>
      <c r="L157" s="82">
        <f t="shared" si="8"/>
        <v>118.20600000000002</v>
      </c>
    </row>
    <row r="158" spans="1:13" ht="13.5">
      <c r="C158" s="246" t="s">
        <v>2286</v>
      </c>
      <c r="D158" s="245" t="s">
        <v>2282</v>
      </c>
      <c r="E158" s="82">
        <f>'數量計算(FOR4變)'!H357*3.2</f>
        <v>6742.4000000000005</v>
      </c>
      <c r="H158" s="81">
        <v>8</v>
      </c>
      <c r="I158" s="81" t="s">
        <v>1948</v>
      </c>
      <c r="J158" s="81">
        <v>2.2000000000000002</v>
      </c>
      <c r="K158" s="81">
        <v>20</v>
      </c>
      <c r="L158" s="82">
        <f t="shared" si="8"/>
        <v>175.12</v>
      </c>
    </row>
    <row r="159" spans="1:13">
      <c r="D159" s="81"/>
      <c r="H159" s="81">
        <v>8</v>
      </c>
      <c r="I159" s="81" t="s">
        <v>1948</v>
      </c>
      <c r="J159" s="81">
        <v>1.45</v>
      </c>
      <c r="K159" s="81">
        <v>26</v>
      </c>
      <c r="L159" s="82">
        <f t="shared" si="8"/>
        <v>150.04599999999999</v>
      </c>
    </row>
    <row r="160" spans="1:13" ht="13.5">
      <c r="A160" s="813" t="s">
        <v>3152</v>
      </c>
      <c r="D160" s="81"/>
      <c r="H160" s="81">
        <v>8</v>
      </c>
      <c r="I160" s="81" t="s">
        <v>1948</v>
      </c>
      <c r="J160" s="81">
        <v>4</v>
      </c>
      <c r="K160" s="81">
        <v>24</v>
      </c>
      <c r="L160" s="82">
        <f t="shared" si="8"/>
        <v>382.08</v>
      </c>
    </row>
    <row r="161" spans="1:13" ht="13.5">
      <c r="A161" s="814" t="s">
        <v>2944</v>
      </c>
      <c r="C161" s="81" t="s">
        <v>1771</v>
      </c>
      <c r="D161" s="81" t="s">
        <v>1770</v>
      </c>
      <c r="E161" s="148" t="s">
        <v>1767</v>
      </c>
      <c r="H161" s="81">
        <v>4</v>
      </c>
      <c r="I161" s="81" t="s">
        <v>1948</v>
      </c>
      <c r="J161" s="81">
        <v>0.9</v>
      </c>
      <c r="K161" s="81">
        <f>10+11</f>
        <v>21</v>
      </c>
      <c r="L161" s="82">
        <f>J161*K161*0.994</f>
        <v>18.786600000000004</v>
      </c>
      <c r="M161" s="245" t="s">
        <v>2096</v>
      </c>
    </row>
    <row r="162" spans="1:13">
      <c r="A162" s="81">
        <v>6</v>
      </c>
      <c r="B162" s="81" t="s">
        <v>1931</v>
      </c>
      <c r="C162" s="81">
        <f>80*2</f>
        <v>160</v>
      </c>
      <c r="D162" s="81">
        <v>2.1</v>
      </c>
      <c r="E162" s="82">
        <f>C162*D162*2.25</f>
        <v>756</v>
      </c>
      <c r="H162" s="81"/>
      <c r="I162" s="81"/>
      <c r="J162" s="81"/>
      <c r="K162" s="81" t="s">
        <v>1951</v>
      </c>
      <c r="L162" s="82">
        <f>L151+L152+L154+L161</f>
        <v>262.21719999999999</v>
      </c>
      <c r="M162" s="312">
        <f>L162+L164</f>
        <v>333.09719999999999</v>
      </c>
    </row>
    <row r="163" spans="1:13">
      <c r="A163" s="81">
        <v>5</v>
      </c>
      <c r="B163" s="81" t="s">
        <v>1931</v>
      </c>
      <c r="C163" s="81">
        <f>12*2</f>
        <v>24</v>
      </c>
      <c r="D163" s="81">
        <v>6.3</v>
      </c>
      <c r="E163" s="82">
        <f>C163*D163*1.56</f>
        <v>235.87199999999999</v>
      </c>
      <c r="H163" s="81"/>
      <c r="I163" s="81"/>
      <c r="J163" s="81"/>
      <c r="K163" s="81" t="s">
        <v>1952</v>
      </c>
      <c r="L163" s="82">
        <f>L148+L149+L150+L153+L155+L156+L157+L158+L159+L160</f>
        <v>5375.7860000000001</v>
      </c>
    </row>
    <row r="164" spans="1:13" ht="13.5">
      <c r="A164" s="81">
        <v>6</v>
      </c>
      <c r="B164" s="148" t="s">
        <v>2945</v>
      </c>
      <c r="C164" s="81">
        <f>11*2</f>
        <v>22</v>
      </c>
      <c r="D164" s="81">
        <v>0.6</v>
      </c>
      <c r="E164" s="82">
        <f>C164*D164*2.25</f>
        <v>29.7</v>
      </c>
      <c r="F164" s="245" t="s">
        <v>2946</v>
      </c>
      <c r="H164" s="81"/>
      <c r="I164" s="81"/>
      <c r="J164" s="246" t="s">
        <v>2286</v>
      </c>
      <c r="K164" s="245" t="s">
        <v>2282</v>
      </c>
      <c r="L164" s="82">
        <f>'數量計算(FOR4變)'!H356*3.2</f>
        <v>70.88</v>
      </c>
    </row>
    <row r="165" spans="1:13" ht="13.5">
      <c r="A165" s="81">
        <v>5</v>
      </c>
      <c r="B165" s="148" t="s">
        <v>2945</v>
      </c>
      <c r="C165" s="81">
        <v>2</v>
      </c>
      <c r="D165" s="81">
        <v>1.6</v>
      </c>
      <c r="E165" s="82">
        <f>C165*D165*1.56</f>
        <v>4.9920000000000009</v>
      </c>
    </row>
    <row r="166" spans="1:13" ht="13.5">
      <c r="A166" s="81">
        <v>6</v>
      </c>
      <c r="B166" s="148" t="s">
        <v>2945</v>
      </c>
      <c r="C166" s="81">
        <f>2*11</f>
        <v>22</v>
      </c>
      <c r="D166" s="81">
        <v>2.1</v>
      </c>
      <c r="E166" s="82">
        <f>C166*D166*2.25</f>
        <v>103.95</v>
      </c>
    </row>
    <row r="167" spans="1:13" ht="13.5">
      <c r="A167" s="81">
        <v>6</v>
      </c>
      <c r="B167" s="148" t="s">
        <v>2945</v>
      </c>
      <c r="C167" s="81">
        <f t="shared" ref="C167:C172" si="9">2*11</f>
        <v>22</v>
      </c>
      <c r="D167" s="81">
        <v>1.8</v>
      </c>
      <c r="E167" s="82">
        <f t="shared" ref="E167:E172" si="10">C167*D167*2.25</f>
        <v>89.100000000000009</v>
      </c>
      <c r="H167" s="82" t="s">
        <v>3478</v>
      </c>
    </row>
    <row r="168" spans="1:13" ht="13.5">
      <c r="A168" s="81">
        <v>6</v>
      </c>
      <c r="B168" s="148" t="s">
        <v>2945</v>
      </c>
      <c r="C168" s="81">
        <f t="shared" si="9"/>
        <v>22</v>
      </c>
      <c r="D168" s="81">
        <v>1.5</v>
      </c>
      <c r="E168" s="82">
        <f t="shared" si="10"/>
        <v>74.25</v>
      </c>
      <c r="H168" s="81" t="s">
        <v>1769</v>
      </c>
      <c r="J168" s="148" t="s">
        <v>1957</v>
      </c>
      <c r="K168" s="246" t="s">
        <v>1958</v>
      </c>
      <c r="L168" s="148" t="s">
        <v>1767</v>
      </c>
    </row>
    <row r="169" spans="1:13" ht="13.5">
      <c r="A169" s="81">
        <v>6</v>
      </c>
      <c r="B169" s="148" t="s">
        <v>2945</v>
      </c>
      <c r="C169" s="81">
        <f t="shared" si="9"/>
        <v>22</v>
      </c>
      <c r="D169" s="81">
        <v>1.2</v>
      </c>
      <c r="E169" s="82">
        <f t="shared" si="10"/>
        <v>59.4</v>
      </c>
      <c r="H169" s="81">
        <v>4</v>
      </c>
      <c r="I169" s="81" t="s">
        <v>1931</v>
      </c>
      <c r="J169" s="82">
        <v>1</v>
      </c>
      <c r="K169" s="82">
        <v>6</v>
      </c>
      <c r="L169" s="82">
        <f>ROUND(J169*K169*$B$34,2)</f>
        <v>5.96</v>
      </c>
    </row>
    <row r="170" spans="1:13" ht="13.5">
      <c r="A170" s="81">
        <v>6</v>
      </c>
      <c r="B170" s="148" t="s">
        <v>2945</v>
      </c>
      <c r="C170" s="81">
        <f t="shared" si="9"/>
        <v>22</v>
      </c>
      <c r="D170" s="81">
        <v>0.9</v>
      </c>
      <c r="E170" s="82">
        <f t="shared" si="10"/>
        <v>44.550000000000004</v>
      </c>
      <c r="H170" s="81">
        <v>4</v>
      </c>
      <c r="I170" s="81" t="s">
        <v>1931</v>
      </c>
      <c r="J170" s="82">
        <v>0.8</v>
      </c>
      <c r="K170" s="82">
        <v>1</v>
      </c>
      <c r="L170" s="82">
        <f>ROUND(J170*K170*$B$34,2)</f>
        <v>0.8</v>
      </c>
    </row>
    <row r="171" spans="1:13" ht="13.5">
      <c r="A171" s="81">
        <v>6</v>
      </c>
      <c r="B171" s="148" t="s">
        <v>2945</v>
      </c>
      <c r="C171" s="81">
        <f t="shared" si="9"/>
        <v>22</v>
      </c>
      <c r="D171" s="81">
        <v>0.6</v>
      </c>
      <c r="E171" s="82">
        <f t="shared" si="10"/>
        <v>29.7</v>
      </c>
      <c r="H171" s="81">
        <v>4</v>
      </c>
      <c r="I171" s="148" t="s">
        <v>2945</v>
      </c>
      <c r="J171" s="82">
        <f>0.45+1.15</f>
        <v>1.5999999999999999</v>
      </c>
      <c r="K171" s="82">
        <v>7</v>
      </c>
      <c r="L171" s="82">
        <f>ROUND(J171*K171*$B$34,2)</f>
        <v>11.13</v>
      </c>
    </row>
    <row r="172" spans="1:13" ht="13.5">
      <c r="A172" s="81">
        <v>6</v>
      </c>
      <c r="B172" s="148" t="s">
        <v>2945</v>
      </c>
      <c r="C172" s="81">
        <f t="shared" si="9"/>
        <v>22</v>
      </c>
      <c r="D172" s="81">
        <v>0.3</v>
      </c>
      <c r="E172" s="82">
        <f t="shared" si="10"/>
        <v>14.85</v>
      </c>
      <c r="H172" s="81">
        <v>4</v>
      </c>
      <c r="I172" s="148" t="s">
        <v>2945</v>
      </c>
      <c r="J172" s="82">
        <f>0.15+1.15</f>
        <v>1.2999999999999998</v>
      </c>
      <c r="K172" s="82">
        <v>7</v>
      </c>
      <c r="L172" s="82">
        <f>ROUND(J172*K172*$B$34,2)</f>
        <v>9.0500000000000007</v>
      </c>
    </row>
    <row r="173" spans="1:13" ht="13.5">
      <c r="A173" s="81">
        <v>5</v>
      </c>
      <c r="B173" s="148" t="s">
        <v>2945</v>
      </c>
      <c r="C173" s="81">
        <f>2*2*2</f>
        <v>8</v>
      </c>
      <c r="D173" s="81">
        <v>6.3</v>
      </c>
      <c r="E173" s="82">
        <f>C173*D173*1.56</f>
        <v>78.623999999999995</v>
      </c>
      <c r="H173" s="81">
        <v>4</v>
      </c>
      <c r="I173" s="148" t="s">
        <v>2945</v>
      </c>
      <c r="J173" s="82">
        <v>1</v>
      </c>
      <c r="K173" s="82">
        <f>8*2</f>
        <v>16</v>
      </c>
      <c r="L173" s="82">
        <f>ROUND(J173*K173*$B$34,2)</f>
        <v>15.9</v>
      </c>
    </row>
    <row r="174" spans="1:13" ht="13.5">
      <c r="A174" s="81">
        <v>5</v>
      </c>
      <c r="B174" s="148" t="s">
        <v>2945</v>
      </c>
      <c r="C174" s="81">
        <f>2*2*2</f>
        <v>8</v>
      </c>
      <c r="D174" s="81">
        <v>6</v>
      </c>
      <c r="E174" s="82">
        <f>C174*D174*1.56</f>
        <v>74.88</v>
      </c>
      <c r="K174" s="81" t="s">
        <v>1951</v>
      </c>
      <c r="L174" s="82">
        <f>SUM(L169:L173)</f>
        <v>42.84</v>
      </c>
    </row>
    <row r="175" spans="1:13" ht="13.5">
      <c r="A175" s="81">
        <v>5</v>
      </c>
      <c r="B175" s="148" t="s">
        <v>2945</v>
      </c>
      <c r="C175" s="81">
        <f>2*2</f>
        <v>4</v>
      </c>
      <c r="D175" s="81">
        <v>5.6</v>
      </c>
      <c r="E175" s="82">
        <f>C175*D175*1.56</f>
        <v>34.943999999999996</v>
      </c>
    </row>
    <row r="176" spans="1:13" ht="13.5">
      <c r="A176" s="81">
        <v>5</v>
      </c>
      <c r="B176" s="148" t="s">
        <v>2945</v>
      </c>
      <c r="C176" s="81">
        <f>2*2</f>
        <v>4</v>
      </c>
      <c r="D176" s="81">
        <v>5.2</v>
      </c>
      <c r="E176" s="82">
        <f>C176*D176*1.56</f>
        <v>32.448</v>
      </c>
    </row>
    <row r="177" spans="1:12" ht="13.5">
      <c r="A177" s="81">
        <v>5</v>
      </c>
      <c r="B177" s="148" t="s">
        <v>2945</v>
      </c>
      <c r="C177" s="81">
        <f>2*2</f>
        <v>4</v>
      </c>
      <c r="D177" s="81">
        <v>4.8</v>
      </c>
      <c r="E177" s="82">
        <f>C177*D177*1.56</f>
        <v>29.951999999999998</v>
      </c>
      <c r="H177" s="147" t="s">
        <v>3116</v>
      </c>
    </row>
    <row r="178" spans="1:12" ht="13.5">
      <c r="D178" s="81" t="s">
        <v>1951</v>
      </c>
      <c r="E178" s="82">
        <f>E163+E165+E173+E174+E175+E176+E177</f>
        <v>491.71199999999993</v>
      </c>
      <c r="H178" s="81" t="s">
        <v>1769</v>
      </c>
      <c r="J178" s="148" t="s">
        <v>1957</v>
      </c>
      <c r="K178" s="246" t="s">
        <v>1958</v>
      </c>
      <c r="L178" s="148" t="s">
        <v>1767</v>
      </c>
    </row>
    <row r="179" spans="1:12">
      <c r="D179" s="81" t="s">
        <v>1952</v>
      </c>
      <c r="E179" s="82">
        <f>E162+E164+E166+E167+E168+E169+E170+E171+E172</f>
        <v>1201.5</v>
      </c>
      <c r="H179" s="81">
        <v>5</v>
      </c>
      <c r="I179" s="81" t="s">
        <v>1931</v>
      </c>
      <c r="J179" s="81">
        <f>0.25*2+2.2</f>
        <v>2.7</v>
      </c>
      <c r="K179" s="81">
        <f>(6+1.5+6)/0.15*2</f>
        <v>180</v>
      </c>
      <c r="L179" s="82">
        <f t="shared" ref="L179:L187" si="11">ROUND(J179*K179*$B$34,2)</f>
        <v>483.08</v>
      </c>
    </row>
    <row r="180" spans="1:12">
      <c r="H180" s="81">
        <v>5</v>
      </c>
      <c r="I180" s="81" t="s">
        <v>1931</v>
      </c>
      <c r="J180" s="81">
        <f>0.25*2+1.7</f>
        <v>2.2000000000000002</v>
      </c>
      <c r="K180" s="81">
        <f>8.88/0.15*2</f>
        <v>118.40000000000002</v>
      </c>
      <c r="L180" s="82">
        <f t="shared" si="11"/>
        <v>258.92</v>
      </c>
    </row>
    <row r="181" spans="1:12">
      <c r="H181" s="81">
        <v>5</v>
      </c>
      <c r="I181" s="81" t="s">
        <v>1931</v>
      </c>
      <c r="J181" s="81">
        <v>6</v>
      </c>
      <c r="K181" s="81">
        <f>ROUNDUP(2.3/0.15*2*2.4,0)+1</f>
        <v>75</v>
      </c>
      <c r="L181" s="82">
        <f t="shared" si="11"/>
        <v>447.3</v>
      </c>
    </row>
    <row r="182" spans="1:12" ht="13.5">
      <c r="A182" s="812" t="s">
        <v>3151</v>
      </c>
      <c r="E182" s="813" t="s">
        <v>3152</v>
      </c>
      <c r="H182" s="81">
        <v>5</v>
      </c>
      <c r="I182" s="148" t="s">
        <v>2945</v>
      </c>
      <c r="J182" s="81">
        <f>0.25+1</f>
        <v>1.25</v>
      </c>
      <c r="K182" s="81">
        <f>ROUNDUP((13.5+8.88)/0.15*2*2,0)</f>
        <v>597</v>
      </c>
      <c r="L182" s="82">
        <f t="shared" si="11"/>
        <v>741.77</v>
      </c>
    </row>
    <row r="183" spans="1:12" ht="13.5">
      <c r="A183" s="81" t="s">
        <v>1769</v>
      </c>
      <c r="C183" s="81" t="s">
        <v>1771</v>
      </c>
      <c r="D183" s="81" t="s">
        <v>1770</v>
      </c>
      <c r="E183" s="148" t="s">
        <v>1767</v>
      </c>
      <c r="H183" s="81">
        <v>5</v>
      </c>
      <c r="I183" s="148" t="s">
        <v>2945</v>
      </c>
      <c r="J183" s="81">
        <v>6</v>
      </c>
      <c r="K183" s="81">
        <f>(2.3+1.7)/0.15*2*2*2.4</f>
        <v>256</v>
      </c>
      <c r="L183" s="82">
        <f t="shared" si="11"/>
        <v>1526.78</v>
      </c>
    </row>
    <row r="184" spans="1:12" ht="13.5">
      <c r="A184" s="81">
        <v>4</v>
      </c>
      <c r="B184" s="148" t="s">
        <v>2945</v>
      </c>
      <c r="C184" s="86">
        <f>31/0.2</f>
        <v>155</v>
      </c>
      <c r="D184" s="82">
        <v>1.8</v>
      </c>
      <c r="E184" s="82">
        <f>C184*D184*0.994</f>
        <v>277.32600000000002</v>
      </c>
      <c r="H184" s="81">
        <v>5</v>
      </c>
      <c r="I184" s="81" t="s">
        <v>1948</v>
      </c>
      <c r="J184" s="81">
        <f>0.25*2+2.2</f>
        <v>2.7</v>
      </c>
      <c r="K184" s="81">
        <f>(6+1.5+6)/0.15*2</f>
        <v>180</v>
      </c>
      <c r="L184" s="82">
        <f t="shared" si="11"/>
        <v>483.08</v>
      </c>
    </row>
    <row r="185" spans="1:12" ht="13.5">
      <c r="A185" s="81">
        <v>4</v>
      </c>
      <c r="B185" s="148" t="s">
        <v>2945</v>
      </c>
      <c r="C185" s="81">
        <f>1.8/0.2*2</f>
        <v>18</v>
      </c>
      <c r="D185" s="82">
        <v>12</v>
      </c>
      <c r="E185" s="82">
        <f>C185*D185*0.994</f>
        <v>214.70400000000001</v>
      </c>
      <c r="H185" s="81">
        <v>5</v>
      </c>
      <c r="I185" s="81" t="s">
        <v>1948</v>
      </c>
      <c r="J185" s="81">
        <f>0.25*2+1.7</f>
        <v>2.2000000000000002</v>
      </c>
      <c r="K185" s="81">
        <f>8.88/0.15*2</f>
        <v>118.40000000000002</v>
      </c>
      <c r="L185" s="82">
        <f t="shared" si="11"/>
        <v>258.92</v>
      </c>
    </row>
    <row r="186" spans="1:12" ht="13.5">
      <c r="A186" s="81">
        <v>4</v>
      </c>
      <c r="B186" s="148" t="s">
        <v>2945</v>
      </c>
      <c r="C186" s="81">
        <f>1.8/0.2</f>
        <v>9</v>
      </c>
      <c r="D186" s="82">
        <v>9</v>
      </c>
      <c r="E186" s="82">
        <f>C186*D186*0.994</f>
        <v>80.513999999999996</v>
      </c>
      <c r="H186" s="81">
        <v>6</v>
      </c>
      <c r="I186" s="81" t="s">
        <v>1948</v>
      </c>
      <c r="J186" s="81">
        <v>6</v>
      </c>
      <c r="K186" s="81">
        <f>ROUNDUP(2.3/0.15*2*2.4,0)+1</f>
        <v>75</v>
      </c>
      <c r="L186" s="82">
        <f t="shared" si="11"/>
        <v>447.3</v>
      </c>
    </row>
    <row r="187" spans="1:12" ht="13.5">
      <c r="B187" s="148"/>
      <c r="D187" s="81" t="s">
        <v>1951</v>
      </c>
      <c r="E187" s="82">
        <f>E184+E185+E186</f>
        <v>572.54399999999998</v>
      </c>
      <c r="H187" s="81">
        <v>5</v>
      </c>
      <c r="I187" s="148" t="s">
        <v>3117</v>
      </c>
      <c r="J187" s="81">
        <f>0.25*2+3.5</f>
        <v>4</v>
      </c>
      <c r="K187" s="81">
        <f>2.4/0.15*2*2</f>
        <v>64</v>
      </c>
      <c r="L187" s="82">
        <f t="shared" si="11"/>
        <v>254.46</v>
      </c>
    </row>
    <row r="188" spans="1:12" ht="13.5">
      <c r="H188" s="81">
        <v>5</v>
      </c>
      <c r="I188" s="148" t="s">
        <v>3117</v>
      </c>
      <c r="J188" s="81">
        <f>0.25*2+2.4</f>
        <v>2.9</v>
      </c>
      <c r="K188" s="81">
        <f>ROUNDUP(3.5/0.15*2*2,0)</f>
        <v>94</v>
      </c>
      <c r="L188" s="82">
        <f>ROUND(J188*K188*$B$34,2)</f>
        <v>270.95999999999998</v>
      </c>
    </row>
    <row r="189" spans="1:12" ht="13.5">
      <c r="H189" s="81">
        <v>5</v>
      </c>
      <c r="I189" s="148" t="s">
        <v>3117</v>
      </c>
      <c r="J189" s="81">
        <f>3.5+0.25</f>
        <v>3.75</v>
      </c>
      <c r="K189" s="81">
        <f>2.4/0.15*2*2</f>
        <v>64</v>
      </c>
      <c r="L189" s="82">
        <f>ROUND(J189*K189*$B$34,2)</f>
        <v>238.56</v>
      </c>
    </row>
    <row r="190" spans="1:12" ht="13.5">
      <c r="H190" s="81">
        <v>5</v>
      </c>
      <c r="I190" s="148" t="s">
        <v>3117</v>
      </c>
      <c r="J190" s="81">
        <f>2.4+0.25</f>
        <v>2.65</v>
      </c>
      <c r="K190" s="81">
        <f>ROUNDUP(3.5/0.15*2*2,0)</f>
        <v>94</v>
      </c>
      <c r="L190" s="82">
        <f>ROUND(J190*K190*$B$34,2)</f>
        <v>247.61</v>
      </c>
    </row>
    <row r="191" spans="1:12" ht="13.5">
      <c r="H191" s="81">
        <v>5</v>
      </c>
      <c r="I191" s="148" t="s">
        <v>3118</v>
      </c>
      <c r="J191" s="81">
        <v>1.2</v>
      </c>
      <c r="K191" s="81">
        <f>12*5</f>
        <v>60</v>
      </c>
      <c r="L191" s="82">
        <f>ROUND(J191*K191*$B$34,2)</f>
        <v>71.569999999999993</v>
      </c>
    </row>
    <row r="192" spans="1:12" ht="13.5">
      <c r="H192" s="81">
        <v>5</v>
      </c>
      <c r="I192" s="148" t="s">
        <v>3118</v>
      </c>
      <c r="J192" s="81">
        <v>3.6</v>
      </c>
      <c r="K192" s="81">
        <f>6*5</f>
        <v>30</v>
      </c>
      <c r="L192" s="82">
        <f>ROUND(J192*K192*$B$34,2)</f>
        <v>107.35</v>
      </c>
    </row>
    <row r="193" spans="8:12" ht="13.5">
      <c r="H193" s="81"/>
      <c r="I193" s="148"/>
      <c r="J193" s="81"/>
      <c r="K193" s="81" t="s">
        <v>1951</v>
      </c>
      <c r="L193" s="82">
        <f>SUM(L179:L192)</f>
        <v>5837.66</v>
      </c>
    </row>
    <row r="194" spans="8:12" ht="13.5">
      <c r="H194" s="81"/>
      <c r="I194" s="148"/>
      <c r="J194" s="81"/>
      <c r="K194" s="81"/>
    </row>
    <row r="195" spans="8:12" ht="13.5">
      <c r="H195" s="147" t="s">
        <v>3115</v>
      </c>
      <c r="J195" s="81"/>
      <c r="K195" s="81"/>
      <c r="L195" s="81"/>
    </row>
    <row r="196" spans="8:12" ht="13.5">
      <c r="H196" s="81" t="s">
        <v>1769</v>
      </c>
      <c r="J196" s="148" t="s">
        <v>1957</v>
      </c>
      <c r="K196" s="246" t="s">
        <v>1958</v>
      </c>
      <c r="L196" s="148" t="s">
        <v>1767</v>
      </c>
    </row>
    <row r="197" spans="8:12" ht="13.5">
      <c r="H197" s="81">
        <v>5</v>
      </c>
      <c r="I197" s="148" t="s">
        <v>3117</v>
      </c>
      <c r="J197" s="81">
        <v>1.6</v>
      </c>
      <c r="K197" s="81">
        <v>12</v>
      </c>
      <c r="L197" s="82">
        <f t="shared" ref="L197:L208" si="12">ROUND(J197*K197*$B$34,2)</f>
        <v>19.079999999999998</v>
      </c>
    </row>
    <row r="198" spans="8:12" ht="13.5">
      <c r="H198" s="81">
        <v>5</v>
      </c>
      <c r="I198" s="148" t="s">
        <v>3117</v>
      </c>
      <c r="J198" s="81">
        <v>1.2</v>
      </c>
      <c r="K198" s="81">
        <v>12</v>
      </c>
      <c r="L198" s="82">
        <f t="shared" si="12"/>
        <v>14.31</v>
      </c>
    </row>
    <row r="199" spans="8:12" ht="13.5">
      <c r="H199" s="81">
        <v>5</v>
      </c>
      <c r="I199" s="148" t="s">
        <v>3117</v>
      </c>
      <c r="J199" s="81">
        <v>2.15</v>
      </c>
      <c r="K199" s="81">
        <v>14</v>
      </c>
      <c r="L199" s="82">
        <f t="shared" si="12"/>
        <v>29.92</v>
      </c>
    </row>
    <row r="200" spans="8:12" ht="13.5">
      <c r="H200" s="81">
        <v>5</v>
      </c>
      <c r="I200" s="148" t="s">
        <v>3117</v>
      </c>
      <c r="J200" s="81">
        <v>1.75</v>
      </c>
      <c r="K200" s="81">
        <v>14</v>
      </c>
      <c r="L200" s="82">
        <f t="shared" si="12"/>
        <v>24.35</v>
      </c>
    </row>
    <row r="201" spans="8:12" ht="13.5">
      <c r="H201" s="81">
        <v>5</v>
      </c>
      <c r="I201" s="148" t="s">
        <v>3119</v>
      </c>
      <c r="J201" s="81">
        <f>2.2+0.2*2</f>
        <v>2.6</v>
      </c>
      <c r="K201" s="81">
        <f>1.8/0.15*2*2</f>
        <v>48</v>
      </c>
      <c r="L201" s="82">
        <f t="shared" si="12"/>
        <v>124.05</v>
      </c>
    </row>
    <row r="202" spans="8:12" ht="13.5">
      <c r="H202" s="81">
        <v>5</v>
      </c>
      <c r="I202" s="148" t="s">
        <v>3119</v>
      </c>
      <c r="J202" s="81">
        <f>1.55+0.2*2</f>
        <v>1.9500000000000002</v>
      </c>
      <c r="K202" s="81">
        <f>1.8/0.15*2</f>
        <v>24</v>
      </c>
      <c r="L202" s="82">
        <f t="shared" si="12"/>
        <v>46.52</v>
      </c>
    </row>
    <row r="203" spans="8:12" ht="13.5">
      <c r="H203" s="81">
        <v>5</v>
      </c>
      <c r="I203" s="148" t="s">
        <v>3119</v>
      </c>
      <c r="J203" s="81">
        <v>1.7</v>
      </c>
      <c r="K203" s="81">
        <f>ROUNDUP((2.2*2+1.55)/0.15*2,0)</f>
        <v>80</v>
      </c>
      <c r="L203" s="82">
        <f t="shared" si="12"/>
        <v>135.18</v>
      </c>
    </row>
    <row r="204" spans="8:12" ht="13.5">
      <c r="H204" s="81">
        <v>5</v>
      </c>
      <c r="I204" s="148" t="s">
        <v>3118</v>
      </c>
      <c r="J204" s="81">
        <v>1.2</v>
      </c>
      <c r="K204" s="81">
        <f>12*4</f>
        <v>48</v>
      </c>
      <c r="L204" s="82">
        <f t="shared" si="12"/>
        <v>57.25</v>
      </c>
    </row>
    <row r="205" spans="8:12" ht="13.5">
      <c r="H205" s="81">
        <v>5</v>
      </c>
      <c r="I205" s="148" t="s">
        <v>3118</v>
      </c>
      <c r="J205" s="81">
        <v>1.8</v>
      </c>
      <c r="K205" s="81">
        <f>6*4</f>
        <v>24</v>
      </c>
      <c r="L205" s="82">
        <f t="shared" si="12"/>
        <v>42.94</v>
      </c>
    </row>
    <row r="206" spans="8:12" ht="13.5">
      <c r="H206" s="81">
        <v>5</v>
      </c>
      <c r="I206" s="148" t="s">
        <v>2945</v>
      </c>
      <c r="J206" s="81">
        <f>0.25+1</f>
        <v>1.25</v>
      </c>
      <c r="K206" s="81">
        <f>80*2*2</f>
        <v>320</v>
      </c>
      <c r="L206" s="82">
        <f t="shared" si="12"/>
        <v>397.6</v>
      </c>
    </row>
    <row r="207" spans="8:12" ht="13.5">
      <c r="H207" s="81">
        <v>5</v>
      </c>
      <c r="I207" s="148" t="s">
        <v>2945</v>
      </c>
      <c r="J207" s="81">
        <f>0.25+2</f>
        <v>2.25</v>
      </c>
      <c r="K207" s="81">
        <f>80*2*2</f>
        <v>320</v>
      </c>
      <c r="L207" s="82">
        <f t="shared" si="12"/>
        <v>715.68</v>
      </c>
    </row>
    <row r="208" spans="8:12" ht="13.5">
      <c r="H208" s="81">
        <v>5</v>
      </c>
      <c r="I208" s="148" t="s">
        <v>2945</v>
      </c>
      <c r="J208" s="81">
        <v>6</v>
      </c>
      <c r="K208" s="81">
        <f>40*2</f>
        <v>80</v>
      </c>
      <c r="L208" s="82">
        <f t="shared" si="12"/>
        <v>477.12</v>
      </c>
    </row>
    <row r="209" spans="8:12" ht="13.5">
      <c r="H209" s="81"/>
      <c r="I209" s="148"/>
      <c r="J209" s="81"/>
      <c r="K209" s="81" t="s">
        <v>1951</v>
      </c>
      <c r="L209" s="87">
        <f>SUM(L197:L208)</f>
        <v>2084</v>
      </c>
    </row>
    <row r="210" spans="8:12">
      <c r="J210" s="81"/>
      <c r="K210" s="81"/>
      <c r="L210" s="81"/>
    </row>
  </sheetData>
  <mergeCells count="3">
    <mergeCell ref="A1:N1"/>
    <mergeCell ref="C16:C17"/>
    <mergeCell ref="B27:C27"/>
  </mergeCells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A54B6-C51B-4AEA-B531-49FD63832374}">
  <dimension ref="A1:AF59"/>
  <sheetViews>
    <sheetView zoomScale="86" zoomScaleNormal="86" workbookViewId="0">
      <selection activeCell="M27" sqref="M27"/>
    </sheetView>
  </sheetViews>
  <sheetFormatPr defaultColWidth="9.140625" defaultRowHeight="12.75"/>
  <cols>
    <col min="1" max="1" width="6.140625" style="82" customWidth="1"/>
    <col min="2" max="2" width="5" style="85" customWidth="1"/>
    <col min="3" max="3" width="9.7109375" style="81" customWidth="1"/>
    <col min="4" max="4" width="8.5703125" style="82" customWidth="1"/>
    <col min="5" max="5" width="8.140625" style="82" customWidth="1"/>
    <col min="6" max="6" width="9.140625" style="82"/>
    <col min="7" max="8" width="9.28515625" style="82" customWidth="1"/>
    <col min="9" max="15" width="9.42578125" style="82" customWidth="1"/>
    <col min="16" max="16" width="7.28515625" style="82" customWidth="1"/>
    <col min="17" max="17" width="5.42578125" style="82" customWidth="1"/>
    <col min="18" max="18" width="9.140625" style="82"/>
    <col min="19" max="19" width="9.42578125" style="82" customWidth="1"/>
    <col min="20" max="20" width="9.140625" style="82"/>
    <col min="21" max="21" width="8.140625" style="82" customWidth="1"/>
    <col min="22" max="22" width="9" style="82" customWidth="1"/>
    <col min="23" max="23" width="9.28515625" style="82" customWidth="1"/>
    <col min="24" max="24" width="9.140625" style="82"/>
    <col min="25" max="25" width="12.5703125" style="82" bestFit="1" customWidth="1"/>
    <col min="26" max="16384" width="9.140625" style="82"/>
  </cols>
  <sheetData>
    <row r="1" spans="1:31" ht="13.5">
      <c r="A1" s="1038" t="s">
        <v>1589</v>
      </c>
      <c r="B1" s="1038"/>
      <c r="C1" s="1038"/>
      <c r="D1" s="1038"/>
      <c r="E1" s="1038"/>
      <c r="F1" s="1038"/>
      <c r="G1" s="1038"/>
      <c r="H1" s="1038"/>
      <c r="I1" s="1038"/>
      <c r="J1" s="1038"/>
      <c r="K1" s="1038"/>
      <c r="L1" s="1038"/>
      <c r="M1" s="1038"/>
      <c r="N1" s="1038"/>
      <c r="O1" s="1038"/>
      <c r="P1" s="1038"/>
      <c r="Q1" s="1038"/>
      <c r="R1" s="1038"/>
      <c r="S1" s="1038"/>
      <c r="T1" s="1038"/>
      <c r="U1" s="1038"/>
      <c r="V1" s="1038"/>
      <c r="W1" s="1038"/>
      <c r="AB1" s="147" t="s">
        <v>3368</v>
      </c>
      <c r="AD1" s="147"/>
    </row>
    <row r="2" spans="1:31" ht="42.75">
      <c r="A2" s="201" t="s">
        <v>1590</v>
      </c>
      <c r="B2" s="202" t="s">
        <v>1591</v>
      </c>
      <c r="C2" s="203" t="s">
        <v>1592</v>
      </c>
      <c r="D2" s="203" t="s">
        <v>1593</v>
      </c>
      <c r="E2" s="204" t="s">
        <v>1594</v>
      </c>
      <c r="F2" s="203" t="s">
        <v>1595</v>
      </c>
      <c r="G2" s="203" t="s">
        <v>1596</v>
      </c>
      <c r="H2" s="203" t="s">
        <v>1593</v>
      </c>
      <c r="I2" s="205" t="s">
        <v>1595</v>
      </c>
      <c r="J2" s="206" t="s">
        <v>1597</v>
      </c>
      <c r="K2" s="203" t="s">
        <v>1593</v>
      </c>
      <c r="L2" s="203" t="s">
        <v>1595</v>
      </c>
      <c r="M2" s="207" t="s">
        <v>1598</v>
      </c>
      <c r="N2" s="203" t="s">
        <v>1593</v>
      </c>
      <c r="O2" s="205" t="s">
        <v>1595</v>
      </c>
      <c r="P2" s="208" t="s">
        <v>1590</v>
      </c>
      <c r="Q2" s="202" t="s">
        <v>1599</v>
      </c>
      <c r="R2" s="203" t="s">
        <v>1592</v>
      </c>
      <c r="S2" s="203" t="s">
        <v>1593</v>
      </c>
      <c r="T2" s="203" t="s">
        <v>1595</v>
      </c>
      <c r="U2" s="204" t="s">
        <v>1594</v>
      </c>
      <c r="V2" s="203" t="s">
        <v>1596</v>
      </c>
      <c r="W2" s="203" t="s">
        <v>1593</v>
      </c>
      <c r="X2" s="205" t="s">
        <v>1595</v>
      </c>
      <c r="AB2" s="293" t="s">
        <v>3366</v>
      </c>
      <c r="AC2" s="203" t="s">
        <v>1595</v>
      </c>
      <c r="AD2" s="203" t="s">
        <v>3367</v>
      </c>
      <c r="AE2" s="205" t="s">
        <v>1595</v>
      </c>
    </row>
    <row r="3" spans="1:31">
      <c r="A3" s="209" t="s">
        <v>1600</v>
      </c>
      <c r="B3" s="210">
        <v>0</v>
      </c>
      <c r="C3" s="204"/>
      <c r="D3" s="204">
        <v>2.8</v>
      </c>
      <c r="E3" s="204">
        <f>ROUNDUP(D3/0.3,0)</f>
        <v>10</v>
      </c>
      <c r="F3" s="211"/>
      <c r="G3" s="211"/>
      <c r="H3" s="204">
        <f>[1]高程及工密!K2-[1]高程及工密!H2</f>
        <v>2.7</v>
      </c>
      <c r="I3" s="212"/>
      <c r="J3" s="213"/>
      <c r="K3" s="211">
        <f>G42</f>
        <v>2.7</v>
      </c>
      <c r="L3" s="211"/>
      <c r="M3" s="211"/>
      <c r="N3" s="209">
        <f>S42</f>
        <v>3.5</v>
      </c>
      <c r="O3" s="212"/>
      <c r="P3" s="208" t="s">
        <v>1601</v>
      </c>
      <c r="Q3" s="210">
        <v>0</v>
      </c>
      <c r="R3" s="211"/>
      <c r="S3" s="204">
        <v>1.9</v>
      </c>
      <c r="T3" s="204">
        <f>ROUND(R3*S3,2)</f>
        <v>0</v>
      </c>
      <c r="U3" s="211"/>
      <c r="V3" s="211"/>
      <c r="W3" s="211"/>
      <c r="X3" s="211"/>
      <c r="AB3" s="82">
        <v>2.7</v>
      </c>
      <c r="AD3" s="82">
        <f>V42</f>
        <v>3.5</v>
      </c>
    </row>
    <row r="4" spans="1:31">
      <c r="A4" s="209"/>
      <c r="B4" s="210">
        <v>20</v>
      </c>
      <c r="C4" s="214">
        <v>90.51</v>
      </c>
      <c r="D4" s="204">
        <v>2.8</v>
      </c>
      <c r="E4" s="204">
        <f>ROUNDUP(D4/0.3,0)</f>
        <v>10</v>
      </c>
      <c r="F4" s="211">
        <f>ROUND(C4*(D3+D4)/2,2)</f>
        <v>253.43</v>
      </c>
      <c r="G4" s="211">
        <v>26.08</v>
      </c>
      <c r="H4" s="204">
        <f>[1]高程及工密!K3-[1]高程及工密!H3</f>
        <v>2.7499999999999991</v>
      </c>
      <c r="I4" s="215">
        <f>ROUND(G4*(H3+H4)/2,2)</f>
        <v>71.069999999999993</v>
      </c>
      <c r="J4" s="216">
        <f>(3*2+0.35*3)*20</f>
        <v>141</v>
      </c>
      <c r="K4" s="211">
        <f t="shared" ref="K4:K18" si="0">G43</f>
        <v>2.75</v>
      </c>
      <c r="L4" s="204">
        <f>ROUND(J4*(K3+K4)/2,2)</f>
        <v>384.23</v>
      </c>
      <c r="M4" s="204">
        <v>0</v>
      </c>
      <c r="N4" s="209">
        <f t="shared" ref="N4:N18" si="1">S43</f>
        <v>3.55</v>
      </c>
      <c r="O4" s="215">
        <f>ROUND(M4*(N3+N4)/2,2)</f>
        <v>0</v>
      </c>
      <c r="P4" s="217"/>
      <c r="Q4" s="210">
        <v>20</v>
      </c>
      <c r="R4" s="211">
        <v>18</v>
      </c>
      <c r="S4" s="204">
        <f>1.2+0.3*2+0.1</f>
        <v>1.9</v>
      </c>
      <c r="T4" s="204">
        <f>ROUND(R4*S4,2)</f>
        <v>34.200000000000003</v>
      </c>
      <c r="U4" s="204">
        <v>7</v>
      </c>
      <c r="V4" s="211">
        <v>20.62</v>
      </c>
      <c r="W4" s="204">
        <f>1.2+0.3*2+0.1</f>
        <v>1.9</v>
      </c>
      <c r="X4" s="211">
        <f>ROUND(V4*W4,2)</f>
        <v>39.18</v>
      </c>
      <c r="Y4" s="82">
        <f>H3+H4</f>
        <v>5.4499999999999993</v>
      </c>
      <c r="Z4" s="82">
        <f>Y4/2</f>
        <v>2.7249999999999996</v>
      </c>
      <c r="AA4" s="82">
        <f>G4*Z4</f>
        <v>71.067999999999984</v>
      </c>
      <c r="AB4" s="82">
        <v>2.7499999999999991</v>
      </c>
      <c r="AC4" s="82">
        <f>ROUND(J4*(AB3+AB4)/2,2)</f>
        <v>384.23</v>
      </c>
      <c r="AD4" s="82">
        <f t="shared" ref="AD4:AD18" si="2">V43</f>
        <v>3.55</v>
      </c>
      <c r="AE4" s="82">
        <f>ROUND(M4*(AD3+AD4)/2,2)</f>
        <v>0</v>
      </c>
    </row>
    <row r="5" spans="1:31">
      <c r="A5" s="209"/>
      <c r="B5" s="210">
        <v>40</v>
      </c>
      <c r="C5" s="214">
        <v>128.71</v>
      </c>
      <c r="D5" s="204">
        <v>2.8</v>
      </c>
      <c r="E5" s="204">
        <f>ROUNDUP(D4/0.3,0)</f>
        <v>10</v>
      </c>
      <c r="F5" s="211">
        <f>ROUND(C5*(D4+D5)/2,2)</f>
        <v>360.39</v>
      </c>
      <c r="G5" s="211">
        <v>124.71</v>
      </c>
      <c r="H5" s="204">
        <f>[1]高程及工密!K4-[1]高程及工密!H4</f>
        <v>2.1099999999999994</v>
      </c>
      <c r="I5" s="215">
        <f>ROUND(G5*(H4+H5)/2,2)</f>
        <v>303.05</v>
      </c>
      <c r="J5" s="216">
        <f t="shared" ref="J5:J17" si="3">(3*2+0.35*3)*20</f>
        <v>141</v>
      </c>
      <c r="K5" s="211">
        <f t="shared" si="0"/>
        <v>2.1100000000000003</v>
      </c>
      <c r="L5" s="204">
        <f t="shared" ref="L5:L18" si="4">ROUND(J5*(K4+K5)/2,2)</f>
        <v>342.63</v>
      </c>
      <c r="M5" s="204">
        <v>0</v>
      </c>
      <c r="N5" s="209">
        <f t="shared" si="1"/>
        <v>2.71</v>
      </c>
      <c r="O5" s="215">
        <f t="shared" ref="O5:O18" si="5">ROUND(M5*(N4+N5)/2,2)</f>
        <v>0</v>
      </c>
      <c r="P5" s="217"/>
      <c r="Q5" s="210">
        <v>40</v>
      </c>
      <c r="R5" s="211">
        <v>19.22</v>
      </c>
      <c r="S5" s="204">
        <f>1.2+0.3*2+0.1</f>
        <v>1.9</v>
      </c>
      <c r="T5" s="204">
        <f>ROUND(R5*S5,2)</f>
        <v>36.520000000000003</v>
      </c>
      <c r="U5" s="204">
        <v>7</v>
      </c>
      <c r="V5" s="211">
        <v>20.100000000000001</v>
      </c>
      <c r="W5" s="204">
        <f>1.2+0.3*2+0.1</f>
        <v>1.9</v>
      </c>
      <c r="X5" s="211">
        <f>ROUND(V5*W5,2)</f>
        <v>38.19</v>
      </c>
      <c r="AB5" s="82">
        <v>2.1099999999999994</v>
      </c>
      <c r="AC5" s="82">
        <f t="shared" ref="AC5:AC18" si="6">ROUND(J5*(AB4+AB5)/2,2)</f>
        <v>342.63</v>
      </c>
      <c r="AD5" s="82">
        <f t="shared" si="2"/>
        <v>2.71</v>
      </c>
      <c r="AE5" s="82">
        <f t="shared" ref="AE5:AE18" si="7">ROUND(M5*(AD4+AD5)/2,2)</f>
        <v>0</v>
      </c>
    </row>
    <row r="6" spans="1:31">
      <c r="A6" s="209"/>
      <c r="B6" s="210">
        <v>60</v>
      </c>
      <c r="C6" s="214">
        <v>75</v>
      </c>
      <c r="D6" s="204">
        <f>2+0.35*2</f>
        <v>2.7</v>
      </c>
      <c r="E6" s="204">
        <f>D6/0.3</f>
        <v>9.0000000000000018</v>
      </c>
      <c r="F6" s="211">
        <f t="shared" ref="F6:F17" si="8">ROUND(C6*(D5+D6)/2,2)</f>
        <v>206.25</v>
      </c>
      <c r="G6" s="211">
        <v>52.76</v>
      </c>
      <c r="H6" s="204">
        <f>[1]高程及工密!K5-[1]高程及工密!H5</f>
        <v>1.21</v>
      </c>
      <c r="I6" s="215">
        <f>ROUND(G6*(H5+H6)/2,2)</f>
        <v>87.58</v>
      </c>
      <c r="J6" s="216">
        <f t="shared" si="3"/>
        <v>141</v>
      </c>
      <c r="K6" s="211">
        <f t="shared" si="0"/>
        <v>1.21</v>
      </c>
      <c r="L6" s="204">
        <f t="shared" si="4"/>
        <v>234.06</v>
      </c>
      <c r="M6" s="204">
        <v>0</v>
      </c>
      <c r="N6" s="209">
        <f t="shared" si="1"/>
        <v>1.7600000000000007</v>
      </c>
      <c r="O6" s="215">
        <f t="shared" si="5"/>
        <v>0</v>
      </c>
      <c r="P6" s="217"/>
      <c r="Q6" s="210">
        <v>64.739999999999995</v>
      </c>
      <c r="R6" s="211">
        <v>24.61</v>
      </c>
      <c r="S6" s="204">
        <f>1.2+0.3*2+0.1</f>
        <v>1.9</v>
      </c>
      <c r="T6" s="204">
        <f>ROUND(R6*S6,2)</f>
        <v>46.76</v>
      </c>
      <c r="U6" s="204">
        <v>7</v>
      </c>
      <c r="V6" s="211">
        <v>25.08</v>
      </c>
      <c r="W6" s="204">
        <f>1.2+0.3*2+0.1</f>
        <v>1.9</v>
      </c>
      <c r="X6" s="211">
        <f>ROUND(V6*W6,2)</f>
        <v>47.65</v>
      </c>
      <c r="AB6" s="82">
        <v>1.21</v>
      </c>
      <c r="AC6" s="82">
        <f t="shared" si="6"/>
        <v>234.06</v>
      </c>
      <c r="AD6" s="82">
        <f t="shared" si="2"/>
        <v>1.7600000000000007</v>
      </c>
      <c r="AE6" s="82">
        <f t="shared" si="7"/>
        <v>0</v>
      </c>
    </row>
    <row r="7" spans="1:31">
      <c r="A7" s="209"/>
      <c r="B7" s="210">
        <v>80</v>
      </c>
      <c r="C7" s="214">
        <v>74.38</v>
      </c>
      <c r="D7" s="204">
        <f t="shared" ref="D7:D17" si="9">2+0.35*2</f>
        <v>2.7</v>
      </c>
      <c r="E7" s="204">
        <f t="shared" ref="E7:E17" si="10">D7/0.3</f>
        <v>9.0000000000000018</v>
      </c>
      <c r="F7" s="211">
        <f t="shared" si="8"/>
        <v>200.83</v>
      </c>
      <c r="G7" s="211"/>
      <c r="H7" s="204"/>
      <c r="I7" s="215"/>
      <c r="J7" s="216">
        <f t="shared" si="3"/>
        <v>141</v>
      </c>
      <c r="K7" s="211">
        <f t="shared" si="0"/>
        <v>0.47000000000000064</v>
      </c>
      <c r="L7" s="204">
        <f t="shared" si="4"/>
        <v>118.44</v>
      </c>
      <c r="M7" s="204">
        <f>((1.2+0.3*2)+1.075)*(80-64.7)</f>
        <v>43.98749999999999</v>
      </c>
      <c r="N7" s="209">
        <f t="shared" si="1"/>
        <v>0.87000000000000099</v>
      </c>
      <c r="O7" s="215">
        <f t="shared" si="5"/>
        <v>57.84</v>
      </c>
      <c r="P7" s="217"/>
      <c r="Q7" s="210"/>
      <c r="R7" s="211"/>
      <c r="S7" s="204"/>
      <c r="T7" s="204"/>
      <c r="U7" s="204"/>
      <c r="V7" s="211"/>
      <c r="W7" s="211"/>
      <c r="X7" s="211"/>
      <c r="AB7" s="82">
        <v>0.47000000000000064</v>
      </c>
      <c r="AC7" s="82">
        <f t="shared" si="6"/>
        <v>118.44</v>
      </c>
      <c r="AD7" s="82">
        <f t="shared" si="2"/>
        <v>0.87000000000000099</v>
      </c>
      <c r="AE7" s="82">
        <f t="shared" si="7"/>
        <v>57.84</v>
      </c>
    </row>
    <row r="8" spans="1:31" ht="16.5">
      <c r="A8" s="209"/>
      <c r="B8" s="210">
        <v>100</v>
      </c>
      <c r="C8" s="214">
        <v>75.010000000000005</v>
      </c>
      <c r="D8" s="204">
        <f t="shared" si="9"/>
        <v>2.7</v>
      </c>
      <c r="E8" s="204">
        <f t="shared" si="10"/>
        <v>9.0000000000000018</v>
      </c>
      <c r="F8" s="211">
        <f t="shared" si="8"/>
        <v>202.53</v>
      </c>
      <c r="G8" s="211"/>
      <c r="H8" s="204"/>
      <c r="I8" s="215"/>
      <c r="J8" s="216">
        <f t="shared" si="3"/>
        <v>141</v>
      </c>
      <c r="K8" s="211">
        <f t="shared" si="0"/>
        <v>3.0000000000000249E-2</v>
      </c>
      <c r="L8" s="204">
        <f t="shared" si="4"/>
        <v>35.25</v>
      </c>
      <c r="M8" s="204">
        <f t="shared" ref="M8:M18" si="11">((1.2+0.3*2)+1.075)*20</f>
        <v>57.5</v>
      </c>
      <c r="N8" s="209">
        <f t="shared" si="1"/>
        <v>0.37999999999999989</v>
      </c>
      <c r="O8" s="215">
        <f t="shared" si="5"/>
        <v>35.94</v>
      </c>
      <c r="P8" s="217"/>
      <c r="Q8" s="218">
        <v>0</v>
      </c>
      <c r="R8" s="219"/>
      <c r="S8" s="220">
        <f>5.18-S3</f>
        <v>3.28</v>
      </c>
      <c r="T8" s="220">
        <f>ROUND(R8*S8,2)</f>
        <v>0</v>
      </c>
      <c r="U8" s="204"/>
      <c r="V8" s="211"/>
      <c r="W8" s="211"/>
      <c r="X8" s="211"/>
      <c r="AB8" s="82">
        <v>2.9999999999999361E-2</v>
      </c>
      <c r="AC8" s="82">
        <f t="shared" si="6"/>
        <v>35.25</v>
      </c>
      <c r="AD8" s="82">
        <f t="shared" si="2"/>
        <v>0.37999999999999989</v>
      </c>
      <c r="AE8" s="82">
        <f t="shared" si="7"/>
        <v>35.94</v>
      </c>
    </row>
    <row r="9" spans="1:31" ht="16.5">
      <c r="A9" s="209"/>
      <c r="B9" s="210">
        <v>120</v>
      </c>
      <c r="C9" s="214">
        <v>73.239999999999995</v>
      </c>
      <c r="D9" s="204">
        <f t="shared" si="9"/>
        <v>2.7</v>
      </c>
      <c r="E9" s="204">
        <f t="shared" si="10"/>
        <v>9.0000000000000018</v>
      </c>
      <c r="F9" s="211">
        <f t="shared" si="8"/>
        <v>197.75</v>
      </c>
      <c r="G9" s="211"/>
      <c r="H9" s="204"/>
      <c r="I9" s="215"/>
      <c r="J9" s="216">
        <f t="shared" si="3"/>
        <v>141</v>
      </c>
      <c r="K9" s="211">
        <f t="shared" si="0"/>
        <v>0.24000000000000021</v>
      </c>
      <c r="L9" s="204">
        <f t="shared" si="4"/>
        <v>19.04</v>
      </c>
      <c r="M9" s="204">
        <f t="shared" si="11"/>
        <v>57.5</v>
      </c>
      <c r="N9" s="209">
        <f t="shared" si="1"/>
        <v>0.55999999999999961</v>
      </c>
      <c r="O9" s="215">
        <f t="shared" si="5"/>
        <v>27.03</v>
      </c>
      <c r="P9" s="217"/>
      <c r="Q9" s="218">
        <v>20</v>
      </c>
      <c r="R9" s="219">
        <f>R4+(1.2+0.3+0.3)*20</f>
        <v>54</v>
      </c>
      <c r="S9" s="220">
        <f>5.18-S4</f>
        <v>3.28</v>
      </c>
      <c r="T9" s="220">
        <f>ROUND(R9*S9,2)</f>
        <v>177.12</v>
      </c>
      <c r="U9" s="204"/>
      <c r="V9" s="211"/>
      <c r="W9" s="211"/>
      <c r="X9" s="211"/>
      <c r="Y9" s="82">
        <f>1.8*20</f>
        <v>36</v>
      </c>
      <c r="AB9" s="82">
        <v>-4.0000000000000924E-2</v>
      </c>
      <c r="AC9" s="82">
        <f t="shared" si="6"/>
        <v>-0.71</v>
      </c>
      <c r="AD9" s="82">
        <f t="shared" si="2"/>
        <v>0.27999999999999936</v>
      </c>
      <c r="AE9" s="82">
        <f t="shared" si="7"/>
        <v>18.98</v>
      </c>
    </row>
    <row r="10" spans="1:31" ht="16.5">
      <c r="A10" s="209"/>
      <c r="B10" s="210">
        <v>140</v>
      </c>
      <c r="C10" s="214">
        <v>76.86</v>
      </c>
      <c r="D10" s="204">
        <f t="shared" si="9"/>
        <v>2.7</v>
      </c>
      <c r="E10" s="204">
        <f t="shared" si="10"/>
        <v>9.0000000000000018</v>
      </c>
      <c r="F10" s="211">
        <f t="shared" si="8"/>
        <v>207.52</v>
      </c>
      <c r="G10" s="211"/>
      <c r="H10" s="204"/>
      <c r="I10" s="215"/>
      <c r="J10" s="216">
        <f t="shared" si="3"/>
        <v>141</v>
      </c>
      <c r="K10" s="211">
        <f t="shared" si="0"/>
        <v>0.24000000000000021</v>
      </c>
      <c r="L10" s="204">
        <f t="shared" si="4"/>
        <v>33.840000000000003</v>
      </c>
      <c r="M10" s="204">
        <f t="shared" si="11"/>
        <v>57.5</v>
      </c>
      <c r="N10" s="209">
        <f t="shared" si="1"/>
        <v>0.5600000000000005</v>
      </c>
      <c r="O10" s="215">
        <f t="shared" si="5"/>
        <v>32.200000000000003</v>
      </c>
      <c r="P10" s="217"/>
      <c r="Q10" s="218">
        <v>40</v>
      </c>
      <c r="R10" s="219">
        <f>R5+(1.2+0.3+0.3)*20</f>
        <v>55.22</v>
      </c>
      <c r="S10" s="220">
        <f>5.18-S5</f>
        <v>3.28</v>
      </c>
      <c r="T10" s="220">
        <f>ROUND(R10*S10,2)</f>
        <v>181.12</v>
      </c>
      <c r="U10" s="204"/>
      <c r="V10" s="211"/>
      <c r="W10" s="211"/>
      <c r="X10" s="211"/>
      <c r="AB10" s="82">
        <v>-2.0000000000000462E-2</v>
      </c>
      <c r="AC10" s="82">
        <f t="shared" si="6"/>
        <v>-4.2300000000000004</v>
      </c>
      <c r="AD10" s="82">
        <f t="shared" si="2"/>
        <v>0.29999999999999982</v>
      </c>
      <c r="AE10" s="82">
        <f t="shared" si="7"/>
        <v>16.68</v>
      </c>
    </row>
    <row r="11" spans="1:31" ht="16.5">
      <c r="A11" s="209"/>
      <c r="B11" s="210">
        <v>160</v>
      </c>
      <c r="C11" s="214">
        <v>77.34</v>
      </c>
      <c r="D11" s="204">
        <f t="shared" si="9"/>
        <v>2.7</v>
      </c>
      <c r="E11" s="204">
        <f t="shared" si="10"/>
        <v>9.0000000000000018</v>
      </c>
      <c r="F11" s="211">
        <f t="shared" si="8"/>
        <v>208.82</v>
      </c>
      <c r="G11" s="211"/>
      <c r="H11" s="204"/>
      <c r="I11" s="215"/>
      <c r="J11" s="216">
        <f t="shared" si="3"/>
        <v>141</v>
      </c>
      <c r="K11" s="211">
        <f t="shared" si="0"/>
        <v>0.24000000000000021</v>
      </c>
      <c r="L11" s="204">
        <f t="shared" si="4"/>
        <v>33.840000000000003</v>
      </c>
      <c r="M11" s="204">
        <f t="shared" si="11"/>
        <v>57.5</v>
      </c>
      <c r="N11" s="209">
        <f t="shared" si="1"/>
        <v>0.54999999999999982</v>
      </c>
      <c r="O11" s="215">
        <f t="shared" si="5"/>
        <v>31.91</v>
      </c>
      <c r="P11" s="217"/>
      <c r="Q11" s="218">
        <v>64.739999999999995</v>
      </c>
      <c r="R11" s="219">
        <f>R6+(1.2+0.3+0.3)*20</f>
        <v>60.61</v>
      </c>
      <c r="S11" s="220">
        <f>6.53-S6</f>
        <v>4.6300000000000008</v>
      </c>
      <c r="T11" s="220">
        <f>ROUND(R11*S11,2)</f>
        <v>280.62</v>
      </c>
      <c r="U11" s="204"/>
      <c r="V11" s="211"/>
      <c r="W11" s="211"/>
      <c r="X11" s="211"/>
      <c r="AB11" s="82">
        <v>-1.9999999999999574E-2</v>
      </c>
      <c r="AC11" s="82">
        <f t="shared" si="6"/>
        <v>-2.82</v>
      </c>
      <c r="AD11" s="82">
        <f t="shared" si="2"/>
        <v>0.29000000000000004</v>
      </c>
      <c r="AE11" s="82">
        <f t="shared" si="7"/>
        <v>16.96</v>
      </c>
    </row>
    <row r="12" spans="1:31">
      <c r="A12" s="209"/>
      <c r="B12" s="210">
        <v>180</v>
      </c>
      <c r="C12" s="214">
        <v>73.69</v>
      </c>
      <c r="D12" s="204">
        <f t="shared" si="9"/>
        <v>2.7</v>
      </c>
      <c r="E12" s="204">
        <f t="shared" si="10"/>
        <v>9.0000000000000018</v>
      </c>
      <c r="F12" s="211">
        <f t="shared" si="8"/>
        <v>198.96</v>
      </c>
      <c r="G12" s="211"/>
      <c r="H12" s="204"/>
      <c r="I12" s="215"/>
      <c r="J12" s="216">
        <f t="shared" si="3"/>
        <v>141</v>
      </c>
      <c r="K12" s="211">
        <f t="shared" si="0"/>
        <v>0.22000000000000064</v>
      </c>
      <c r="L12" s="204">
        <f t="shared" si="4"/>
        <v>32.43</v>
      </c>
      <c r="M12" s="204">
        <f t="shared" si="11"/>
        <v>57.5</v>
      </c>
      <c r="N12" s="209">
        <f t="shared" si="1"/>
        <v>0.53000000000000025</v>
      </c>
      <c r="O12" s="215">
        <f t="shared" si="5"/>
        <v>31.05</v>
      </c>
      <c r="P12" s="217"/>
      <c r="Q12" s="210"/>
      <c r="R12" s="211"/>
      <c r="S12" s="204"/>
      <c r="T12" s="204"/>
      <c r="U12" s="204"/>
      <c r="V12" s="211"/>
      <c r="W12" s="211"/>
      <c r="X12" s="211"/>
      <c r="AB12" s="82">
        <v>-9.9999999999997868E-3</v>
      </c>
      <c r="AC12" s="82">
        <f t="shared" si="6"/>
        <v>-2.11</v>
      </c>
      <c r="AD12" s="82">
        <f t="shared" si="2"/>
        <v>0.30000000000000071</v>
      </c>
      <c r="AE12" s="82">
        <f t="shared" si="7"/>
        <v>16.96</v>
      </c>
    </row>
    <row r="13" spans="1:31">
      <c r="A13" s="209"/>
      <c r="B13" s="210">
        <v>200</v>
      </c>
      <c r="C13" s="214">
        <v>74.25</v>
      </c>
      <c r="D13" s="204">
        <f t="shared" si="9"/>
        <v>2.7</v>
      </c>
      <c r="E13" s="204">
        <f t="shared" si="10"/>
        <v>9.0000000000000018</v>
      </c>
      <c r="F13" s="211">
        <f t="shared" si="8"/>
        <v>200.48</v>
      </c>
      <c r="G13" s="211"/>
      <c r="H13" s="204"/>
      <c r="I13" s="215"/>
      <c r="J13" s="216">
        <f t="shared" si="3"/>
        <v>141</v>
      </c>
      <c r="K13" s="211">
        <f t="shared" si="0"/>
        <v>0.24000000000000021</v>
      </c>
      <c r="L13" s="204">
        <f t="shared" si="4"/>
        <v>32.43</v>
      </c>
      <c r="M13" s="204">
        <f t="shared" si="11"/>
        <v>57.5</v>
      </c>
      <c r="N13" s="209">
        <f t="shared" si="1"/>
        <v>0.50999999999999979</v>
      </c>
      <c r="O13" s="215">
        <f t="shared" si="5"/>
        <v>29.9</v>
      </c>
      <c r="P13" s="217"/>
      <c r="Q13" s="210"/>
      <c r="R13" s="211"/>
      <c r="S13" s="204"/>
      <c r="T13" s="204"/>
      <c r="U13" s="204"/>
      <c r="V13" s="211"/>
      <c r="W13" s="211"/>
      <c r="X13" s="211"/>
      <c r="AB13" s="82">
        <v>6.9999999999999396E-2</v>
      </c>
      <c r="AC13" s="82">
        <f t="shared" si="6"/>
        <v>4.2300000000000004</v>
      </c>
      <c r="AD13" s="82">
        <f t="shared" si="2"/>
        <v>0.33999999999999986</v>
      </c>
      <c r="AE13" s="82">
        <f t="shared" si="7"/>
        <v>18.399999999999999</v>
      </c>
    </row>
    <row r="14" spans="1:31">
      <c r="A14" s="209"/>
      <c r="B14" s="210">
        <v>220</v>
      </c>
      <c r="C14" s="214">
        <v>79.05</v>
      </c>
      <c r="D14" s="204">
        <f t="shared" si="9"/>
        <v>2.7</v>
      </c>
      <c r="E14" s="204">
        <f t="shared" si="10"/>
        <v>9.0000000000000018</v>
      </c>
      <c r="F14" s="211">
        <f t="shared" si="8"/>
        <v>213.44</v>
      </c>
      <c r="G14" s="211"/>
      <c r="H14" s="204"/>
      <c r="I14" s="215"/>
      <c r="J14" s="216">
        <f t="shared" si="3"/>
        <v>141</v>
      </c>
      <c r="K14" s="211">
        <f t="shared" si="0"/>
        <v>0.24000000000000021</v>
      </c>
      <c r="L14" s="204">
        <f t="shared" si="4"/>
        <v>33.840000000000003</v>
      </c>
      <c r="M14" s="204">
        <f t="shared" si="11"/>
        <v>57.5</v>
      </c>
      <c r="N14" s="209">
        <f t="shared" si="1"/>
        <v>0.51000000000000068</v>
      </c>
      <c r="O14" s="215">
        <f t="shared" si="5"/>
        <v>29.33</v>
      </c>
      <c r="P14" s="217"/>
      <c r="Q14" s="210"/>
      <c r="R14" s="211"/>
      <c r="S14" s="204"/>
      <c r="T14" s="204"/>
      <c r="U14" s="204"/>
      <c r="V14" s="211"/>
      <c r="W14" s="211"/>
      <c r="X14" s="211"/>
      <c r="AB14" s="82">
        <v>-9.9999999999997868E-3</v>
      </c>
      <c r="AC14" s="82">
        <f t="shared" si="6"/>
        <v>4.2300000000000004</v>
      </c>
      <c r="AD14" s="82">
        <f t="shared" si="2"/>
        <v>0.26000000000000068</v>
      </c>
      <c r="AE14" s="82">
        <f t="shared" si="7"/>
        <v>17.25</v>
      </c>
    </row>
    <row r="15" spans="1:31">
      <c r="A15" s="209"/>
      <c r="B15" s="210">
        <v>240</v>
      </c>
      <c r="C15" s="214">
        <v>81.41</v>
      </c>
      <c r="D15" s="204">
        <f t="shared" si="9"/>
        <v>2.7</v>
      </c>
      <c r="E15" s="204">
        <f t="shared" si="10"/>
        <v>9.0000000000000018</v>
      </c>
      <c r="F15" s="211">
        <f t="shared" si="8"/>
        <v>219.81</v>
      </c>
      <c r="G15" s="211"/>
      <c r="H15" s="204"/>
      <c r="I15" s="215"/>
      <c r="J15" s="216">
        <f t="shared" si="3"/>
        <v>141</v>
      </c>
      <c r="K15" s="211">
        <f t="shared" si="0"/>
        <v>0.25</v>
      </c>
      <c r="L15" s="204">
        <f t="shared" si="4"/>
        <v>34.549999999999997</v>
      </c>
      <c r="M15" s="204">
        <f t="shared" si="11"/>
        <v>57.5</v>
      </c>
      <c r="N15" s="209">
        <f t="shared" si="1"/>
        <v>0.5</v>
      </c>
      <c r="O15" s="215">
        <f t="shared" si="5"/>
        <v>29.04</v>
      </c>
      <c r="P15" s="217"/>
      <c r="Q15" s="210"/>
      <c r="R15" s="211"/>
      <c r="S15" s="204"/>
      <c r="T15" s="204"/>
      <c r="U15" s="204"/>
      <c r="V15" s="211"/>
      <c r="W15" s="211"/>
      <c r="X15" s="211"/>
      <c r="AB15" s="82">
        <v>0.25</v>
      </c>
      <c r="AC15" s="82">
        <f t="shared" si="6"/>
        <v>16.920000000000002</v>
      </c>
      <c r="AD15" s="82">
        <f t="shared" si="2"/>
        <v>0.5</v>
      </c>
      <c r="AE15" s="82">
        <f t="shared" si="7"/>
        <v>21.85</v>
      </c>
    </row>
    <row r="16" spans="1:31">
      <c r="A16" s="209"/>
      <c r="B16" s="210">
        <v>260</v>
      </c>
      <c r="C16" s="214">
        <v>78.83</v>
      </c>
      <c r="D16" s="204">
        <f t="shared" si="9"/>
        <v>2.7</v>
      </c>
      <c r="E16" s="204">
        <f t="shared" si="10"/>
        <v>9.0000000000000018</v>
      </c>
      <c r="F16" s="211">
        <f t="shared" si="8"/>
        <v>212.84</v>
      </c>
      <c r="G16" s="211"/>
      <c r="H16" s="204"/>
      <c r="I16" s="215"/>
      <c r="J16" s="216">
        <f t="shared" si="3"/>
        <v>141</v>
      </c>
      <c r="K16" s="211">
        <f t="shared" si="0"/>
        <v>0.55000000000000071</v>
      </c>
      <c r="L16" s="204">
        <f t="shared" si="4"/>
        <v>56.4</v>
      </c>
      <c r="M16" s="204">
        <f t="shared" si="11"/>
        <v>57.5</v>
      </c>
      <c r="N16" s="209">
        <f t="shared" si="1"/>
        <v>0.77000000000000046</v>
      </c>
      <c r="O16" s="215">
        <f t="shared" si="5"/>
        <v>36.51</v>
      </c>
      <c r="P16" s="217"/>
      <c r="Q16" s="210"/>
      <c r="R16" s="211"/>
      <c r="S16" s="204"/>
      <c r="T16" s="204"/>
      <c r="U16" s="204"/>
      <c r="V16" s="211"/>
      <c r="W16" s="211"/>
      <c r="X16" s="211"/>
      <c r="AB16" s="82">
        <v>0.55000000000000071</v>
      </c>
      <c r="AC16" s="82">
        <f t="shared" si="6"/>
        <v>56.4</v>
      </c>
      <c r="AD16" s="82">
        <f t="shared" si="2"/>
        <v>0.77000000000000046</v>
      </c>
      <c r="AE16" s="82">
        <f t="shared" si="7"/>
        <v>36.51</v>
      </c>
    </row>
    <row r="17" spans="1:32">
      <c r="A17" s="209"/>
      <c r="B17" s="210">
        <v>280</v>
      </c>
      <c r="C17" s="214">
        <v>77.06</v>
      </c>
      <c r="D17" s="204">
        <f t="shared" si="9"/>
        <v>2.7</v>
      </c>
      <c r="E17" s="204">
        <f t="shared" si="10"/>
        <v>9.0000000000000018</v>
      </c>
      <c r="F17" s="211">
        <f t="shared" si="8"/>
        <v>208.06</v>
      </c>
      <c r="G17" s="211"/>
      <c r="H17" s="204"/>
      <c r="I17" s="215"/>
      <c r="J17" s="216">
        <f t="shared" si="3"/>
        <v>141</v>
      </c>
      <c r="K17" s="211">
        <f t="shared" si="0"/>
        <v>1.120000000000001</v>
      </c>
      <c r="L17" s="204">
        <f t="shared" si="4"/>
        <v>117.74</v>
      </c>
      <c r="M17" s="204">
        <f t="shared" si="11"/>
        <v>57.5</v>
      </c>
      <c r="N17" s="209">
        <f t="shared" si="1"/>
        <v>1.3100000000000005</v>
      </c>
      <c r="O17" s="215">
        <f t="shared" si="5"/>
        <v>59.8</v>
      </c>
      <c r="P17" s="217"/>
      <c r="Q17" s="210"/>
      <c r="R17" s="211"/>
      <c r="S17" s="204"/>
      <c r="T17" s="204"/>
      <c r="U17" s="204"/>
      <c r="V17" s="211"/>
      <c r="W17" s="211"/>
      <c r="X17" s="211"/>
      <c r="Y17" s="83"/>
      <c r="AB17" s="82">
        <v>1.1200000000000001</v>
      </c>
      <c r="AC17" s="82">
        <f t="shared" si="6"/>
        <v>117.74</v>
      </c>
      <c r="AD17" s="82">
        <f t="shared" si="2"/>
        <v>1.3100000000000005</v>
      </c>
      <c r="AE17" s="82">
        <f t="shared" si="7"/>
        <v>59.8</v>
      </c>
    </row>
    <row r="18" spans="1:32">
      <c r="A18" s="209"/>
      <c r="B18" s="210">
        <v>300</v>
      </c>
      <c r="C18" s="214">
        <v>13.04</v>
      </c>
      <c r="D18" s="204"/>
      <c r="E18" s="204"/>
      <c r="F18" s="211">
        <f>ROUND(C18*D18,2)</f>
        <v>0</v>
      </c>
      <c r="G18" s="211"/>
      <c r="H18" s="204"/>
      <c r="I18" s="215"/>
      <c r="J18" s="216">
        <v>141</v>
      </c>
      <c r="K18" s="211">
        <f t="shared" si="0"/>
        <v>1.0900000000000007</v>
      </c>
      <c r="L18" s="204">
        <f t="shared" si="4"/>
        <v>155.81</v>
      </c>
      <c r="M18" s="204">
        <f t="shared" si="11"/>
        <v>57.5</v>
      </c>
      <c r="N18" s="209">
        <f t="shared" si="1"/>
        <v>1.2599999999999998</v>
      </c>
      <c r="O18" s="215">
        <f t="shared" si="5"/>
        <v>73.89</v>
      </c>
      <c r="P18" s="217"/>
      <c r="Q18" s="210"/>
      <c r="R18" s="211"/>
      <c r="S18" s="204"/>
      <c r="T18" s="204"/>
      <c r="U18" s="204"/>
      <c r="V18" s="211"/>
      <c r="W18" s="211"/>
      <c r="X18" s="211"/>
      <c r="Y18" s="84">
        <f>C19+G19+J19+M19+R19+V19</f>
        <v>4440.8774999999996</v>
      </c>
      <c r="Z18" s="82">
        <f>Y18*0.3</f>
        <v>1332.2632499999997</v>
      </c>
      <c r="AA18" s="82">
        <f>Y18/1000</f>
        <v>4.4408775</v>
      </c>
      <c r="AB18" s="82">
        <v>1.0900000000000001</v>
      </c>
      <c r="AC18" s="82">
        <f t="shared" si="6"/>
        <v>155.81</v>
      </c>
      <c r="AD18" s="82">
        <f t="shared" si="2"/>
        <v>0.82000000000000028</v>
      </c>
      <c r="AE18" s="82">
        <f t="shared" si="7"/>
        <v>61.24</v>
      </c>
    </row>
    <row r="19" spans="1:32">
      <c r="A19" s="209" t="s">
        <v>1602</v>
      </c>
      <c r="B19" s="210"/>
      <c r="C19" s="221">
        <f>SUM(C4:C18)</f>
        <v>1148.3799999999999</v>
      </c>
      <c r="D19" s="211"/>
      <c r="E19" s="211"/>
      <c r="F19" s="222">
        <f>SUM(F4:F18)</f>
        <v>3091.11</v>
      </c>
      <c r="G19" s="221">
        <f>SUM(G4:G18)</f>
        <v>203.54999999999998</v>
      </c>
      <c r="H19" s="211"/>
      <c r="I19" s="223">
        <f>SUM(I4:I18)</f>
        <v>461.7</v>
      </c>
      <c r="J19" s="221">
        <f>SUM(J4:J18)</f>
        <v>2115</v>
      </c>
      <c r="K19" s="224"/>
      <c r="L19" s="222">
        <f>SUM(L4:L18)</f>
        <v>1664.53</v>
      </c>
      <c r="M19" s="221">
        <f>SUM(M4:M18)</f>
        <v>676.48749999999995</v>
      </c>
      <c r="N19" s="225"/>
      <c r="O19" s="223">
        <f>SUM(O4:O18)</f>
        <v>474.44</v>
      </c>
      <c r="P19" s="217"/>
      <c r="Q19" s="202"/>
      <c r="R19" s="221">
        <f>SUM(R4:R18)</f>
        <v>231.66000000000003</v>
      </c>
      <c r="S19" s="211"/>
      <c r="T19" s="222">
        <f>SUM(T4:T18)</f>
        <v>756.34</v>
      </c>
      <c r="U19" s="224"/>
      <c r="V19" s="221">
        <f>SUM(V4:V18)</f>
        <v>65.8</v>
      </c>
      <c r="W19" s="211"/>
      <c r="X19" s="222">
        <f>SUM(X4:X18)</f>
        <v>125.02000000000001</v>
      </c>
      <c r="Y19" s="83">
        <f>F19+I19+L19+O19+T19+X19</f>
        <v>6573.14</v>
      </c>
      <c r="Z19" s="83">
        <f>Y19-T19</f>
        <v>5816.8</v>
      </c>
      <c r="AC19" s="222">
        <f>SUM(AC4:AC18)</f>
        <v>1460.0700000000004</v>
      </c>
      <c r="AE19" s="222">
        <f>SUM(AE4:AE18)</f>
        <v>378.41</v>
      </c>
      <c r="AF19" s="83">
        <f>AC19+AE19</f>
        <v>1838.4800000000005</v>
      </c>
    </row>
    <row r="20" spans="1:32">
      <c r="A20" s="82" t="s">
        <v>1603</v>
      </c>
      <c r="C20" s="86"/>
      <c r="E20" s="87" t="s">
        <v>1604</v>
      </c>
      <c r="F20" s="88">
        <f>F19+I19+L19+O19+T19+X19</f>
        <v>6573.14</v>
      </c>
      <c r="G20" s="86"/>
      <c r="I20" s="86"/>
      <c r="J20" s="86"/>
      <c r="K20" s="86"/>
      <c r="L20" s="86"/>
      <c r="M20" s="86"/>
      <c r="N20" s="86"/>
      <c r="O20" s="86"/>
      <c r="R20" s="86"/>
      <c r="T20" s="86"/>
      <c r="U20" s="86"/>
      <c r="V20" s="86"/>
      <c r="X20" s="86"/>
      <c r="Y20" s="83"/>
    </row>
    <row r="21" spans="1:32">
      <c r="B21" s="85" t="s">
        <v>1605</v>
      </c>
      <c r="C21" s="85" t="s">
        <v>1606</v>
      </c>
      <c r="Y21" s="82">
        <f>Y19/0.3</f>
        <v>21910.466666666667</v>
      </c>
      <c r="Z21" s="82">
        <f>Z19/0.3</f>
        <v>19389.333333333336</v>
      </c>
    </row>
    <row r="22" spans="1:32">
      <c r="C22" s="89" t="s">
        <v>1607</v>
      </c>
      <c r="Y22" s="82">
        <f>Y21/1000</f>
        <v>21.910466666666668</v>
      </c>
      <c r="Z22" s="82">
        <f>Z21/1000</f>
        <v>19.389333333333337</v>
      </c>
    </row>
    <row r="23" spans="1:32">
      <c r="B23" s="85">
        <v>0</v>
      </c>
    </row>
    <row r="24" spans="1:32" ht="13.5">
      <c r="B24" s="85">
        <v>20</v>
      </c>
      <c r="C24" s="87">
        <v>159.36000000000001</v>
      </c>
      <c r="K24" s="147" t="s">
        <v>3370</v>
      </c>
      <c r="L24" s="83"/>
      <c r="M24" s="83">
        <f>L19+O19</f>
        <v>2138.9699999999998</v>
      </c>
    </row>
    <row r="25" spans="1:32" ht="13.5">
      <c r="B25" s="85">
        <v>40</v>
      </c>
      <c r="C25" s="87">
        <v>265.83999999999997</v>
      </c>
      <c r="K25" s="147" t="s">
        <v>3369</v>
      </c>
      <c r="M25" s="83">
        <f>AC19+AE19</f>
        <v>1838.4800000000005</v>
      </c>
    </row>
    <row r="26" spans="1:32">
      <c r="B26" s="85">
        <v>52.9</v>
      </c>
      <c r="C26" s="87">
        <v>179.14</v>
      </c>
      <c r="M26" s="83">
        <f>M24-M25</f>
        <v>300.48999999999933</v>
      </c>
    </row>
    <row r="27" spans="1:32">
      <c r="B27" s="85">
        <v>60</v>
      </c>
      <c r="C27" s="87">
        <v>68.510000000000005</v>
      </c>
    </row>
    <row r="28" spans="1:32">
      <c r="B28" s="85">
        <v>80</v>
      </c>
      <c r="C28" s="87">
        <v>194.04</v>
      </c>
    </row>
    <row r="29" spans="1:32">
      <c r="B29" s="85">
        <v>100</v>
      </c>
      <c r="C29" s="87">
        <v>190.45</v>
      </c>
    </row>
    <row r="30" spans="1:32">
      <c r="B30" s="85">
        <v>120</v>
      </c>
      <c r="C30" s="87">
        <v>192.1</v>
      </c>
    </row>
    <row r="31" spans="1:32">
      <c r="B31" s="85">
        <v>140</v>
      </c>
      <c r="C31" s="87">
        <v>19.190000000000001</v>
      </c>
    </row>
    <row r="32" spans="1:32">
      <c r="B32" s="85">
        <v>160</v>
      </c>
      <c r="C32" s="87">
        <v>185.3</v>
      </c>
    </row>
    <row r="33" spans="1:22">
      <c r="B33" s="85">
        <v>180</v>
      </c>
      <c r="C33" s="87">
        <v>187.59</v>
      </c>
    </row>
    <row r="34" spans="1:22">
      <c r="B34" s="85">
        <v>200</v>
      </c>
      <c r="C34" s="87">
        <v>188.95</v>
      </c>
    </row>
    <row r="35" spans="1:22">
      <c r="B35" s="85">
        <v>220</v>
      </c>
      <c r="C35" s="87">
        <v>191.47</v>
      </c>
    </row>
    <row r="36" spans="1:22">
      <c r="B36" s="85">
        <v>240</v>
      </c>
      <c r="C36" s="87">
        <v>186.59</v>
      </c>
    </row>
    <row r="37" spans="1:22">
      <c r="B37" s="85">
        <v>260</v>
      </c>
      <c r="C37" s="87">
        <v>190.67</v>
      </c>
    </row>
    <row r="38" spans="1:22">
      <c r="B38" s="85">
        <v>280</v>
      </c>
      <c r="C38" s="87">
        <v>195.31</v>
      </c>
    </row>
    <row r="39" spans="1:22">
      <c r="B39" s="85" t="s">
        <v>1608</v>
      </c>
      <c r="C39" s="87">
        <v>63.66</v>
      </c>
    </row>
    <row r="41" spans="1:22" ht="54">
      <c r="C41" s="81" t="s">
        <v>1609</v>
      </c>
      <c r="D41" s="81" t="s">
        <v>1610</v>
      </c>
      <c r="E41" s="586" t="s">
        <v>3361</v>
      </c>
      <c r="F41" s="147" t="s">
        <v>3285</v>
      </c>
      <c r="G41" s="147" t="s">
        <v>3286</v>
      </c>
      <c r="H41" s="828" t="s">
        <v>3362</v>
      </c>
      <c r="I41" s="828" t="s">
        <v>3363</v>
      </c>
      <c r="J41" s="828" t="s">
        <v>3364</v>
      </c>
      <c r="K41" s="293" t="s">
        <v>3365</v>
      </c>
      <c r="O41" s="81" t="s">
        <v>1609</v>
      </c>
      <c r="P41" s="81" t="s">
        <v>1610</v>
      </c>
      <c r="Q41" s="586" t="s">
        <v>3361</v>
      </c>
      <c r="R41" s="147" t="s">
        <v>3285</v>
      </c>
      <c r="S41" s="147" t="s">
        <v>3286</v>
      </c>
      <c r="T41" s="828" t="s">
        <v>3362</v>
      </c>
      <c r="U41" s="828" t="s">
        <v>3363</v>
      </c>
      <c r="V41" s="828" t="s">
        <v>3364</v>
      </c>
    </row>
    <row r="42" spans="1:22">
      <c r="A42" s="82" t="s">
        <v>1600</v>
      </c>
      <c r="B42" s="85">
        <v>0</v>
      </c>
      <c r="C42" s="81">
        <v>1.75</v>
      </c>
      <c r="D42" s="81">
        <f>C42+2+0.35</f>
        <v>4.0999999999999996</v>
      </c>
      <c r="E42" s="82">
        <v>7.3</v>
      </c>
      <c r="F42" s="82">
        <f>E42-0.2-0.3</f>
        <v>6.8</v>
      </c>
      <c r="G42" s="82">
        <f>F42-D42</f>
        <v>2.7</v>
      </c>
      <c r="H42" s="91">
        <v>7.3</v>
      </c>
      <c r="I42" s="82">
        <f>H42-0.2-0.3</f>
        <v>6.8</v>
      </c>
      <c r="J42" s="82">
        <f>I42-D42</f>
        <v>2.7</v>
      </c>
      <c r="K42" s="82">
        <f>ROUND(J4*(J42+J43)/2,2)</f>
        <v>384.23</v>
      </c>
      <c r="M42" s="82" t="s">
        <v>1601</v>
      </c>
      <c r="N42" s="85">
        <v>0</v>
      </c>
      <c r="O42" s="82">
        <v>1.8</v>
      </c>
      <c r="P42" s="81">
        <f>O42+1.2+0.3</f>
        <v>3.3</v>
      </c>
      <c r="Q42" s="82">
        <v>7.3</v>
      </c>
      <c r="R42" s="82">
        <f>Q42-0.2-0.3</f>
        <v>6.8</v>
      </c>
      <c r="S42" s="82">
        <f>R42-P42</f>
        <v>3.5</v>
      </c>
      <c r="T42" s="91">
        <v>7.3</v>
      </c>
      <c r="U42" s="82">
        <f>T42-0.2-0.3</f>
        <v>6.8</v>
      </c>
      <c r="V42" s="82">
        <f>U42-P42</f>
        <v>3.5</v>
      </c>
    </row>
    <row r="43" spans="1:22">
      <c r="B43" s="85">
        <v>20</v>
      </c>
      <c r="C43" s="81">
        <v>1.79</v>
      </c>
      <c r="D43" s="81">
        <f t="shared" ref="D43:D57" si="12">C43+2+0.35</f>
        <v>4.1399999999999997</v>
      </c>
      <c r="E43" s="82">
        <v>7.39</v>
      </c>
      <c r="F43" s="82">
        <f t="shared" ref="F43:F57" si="13">E43-0.2-0.3</f>
        <v>6.89</v>
      </c>
      <c r="G43" s="82">
        <f t="shared" ref="G43:G57" si="14">F43-D43</f>
        <v>2.75</v>
      </c>
      <c r="H43" s="91">
        <v>7.39</v>
      </c>
      <c r="I43" s="82">
        <f t="shared" ref="I43:I57" si="15">H43-0.2-0.3</f>
        <v>6.89</v>
      </c>
      <c r="J43" s="82">
        <f t="shared" ref="J43:J57" si="16">I43-D43</f>
        <v>2.75</v>
      </c>
      <c r="K43" s="82">
        <f t="shared" ref="K43:K57" si="17">ROUND(J5*(J43+J44)/2,2)</f>
        <v>342.63</v>
      </c>
      <c r="N43" s="85">
        <v>20</v>
      </c>
      <c r="O43" s="82">
        <v>1.84</v>
      </c>
      <c r="P43" s="81">
        <f t="shared" ref="P43:P57" si="18">O43+1.2+0.3</f>
        <v>3.34</v>
      </c>
      <c r="Q43" s="82">
        <v>7.39</v>
      </c>
      <c r="R43" s="82">
        <f t="shared" ref="R43:R57" si="19">Q43-0.2-0.3</f>
        <v>6.89</v>
      </c>
      <c r="S43" s="82">
        <f t="shared" ref="S43:S57" si="20">R43-P43</f>
        <v>3.55</v>
      </c>
      <c r="T43" s="91">
        <v>7.39</v>
      </c>
      <c r="U43" s="82">
        <f t="shared" ref="U43:U57" si="21">T43-0.2-0.3</f>
        <v>6.89</v>
      </c>
      <c r="V43" s="82">
        <f t="shared" ref="V43:V57" si="22">U43-P43</f>
        <v>3.55</v>
      </c>
    </row>
    <row r="44" spans="1:22">
      <c r="B44" s="85">
        <v>40</v>
      </c>
      <c r="C44" s="81">
        <v>2.1</v>
      </c>
      <c r="D44" s="81">
        <f t="shared" si="12"/>
        <v>4.4499999999999993</v>
      </c>
      <c r="E44" s="82">
        <v>7.06</v>
      </c>
      <c r="F44" s="82">
        <f t="shared" si="13"/>
        <v>6.56</v>
      </c>
      <c r="G44" s="82">
        <f t="shared" si="14"/>
        <v>2.1100000000000003</v>
      </c>
      <c r="H44" s="91">
        <v>7.06</v>
      </c>
      <c r="I44" s="82">
        <f t="shared" si="15"/>
        <v>6.56</v>
      </c>
      <c r="J44" s="82">
        <f t="shared" si="16"/>
        <v>2.1100000000000003</v>
      </c>
      <c r="K44" s="82">
        <f t="shared" si="17"/>
        <v>234.06</v>
      </c>
      <c r="N44" s="85">
        <v>40</v>
      </c>
      <c r="O44" s="82">
        <v>2.35</v>
      </c>
      <c r="P44" s="81">
        <f t="shared" si="18"/>
        <v>3.8499999999999996</v>
      </c>
      <c r="Q44" s="82">
        <v>7.06</v>
      </c>
      <c r="R44" s="82">
        <f t="shared" si="19"/>
        <v>6.56</v>
      </c>
      <c r="S44" s="82">
        <f t="shared" si="20"/>
        <v>2.71</v>
      </c>
      <c r="T44" s="91">
        <v>7.06</v>
      </c>
      <c r="U44" s="82">
        <f t="shared" si="21"/>
        <v>6.56</v>
      </c>
      <c r="V44" s="82">
        <f t="shared" si="22"/>
        <v>2.71</v>
      </c>
    </row>
    <row r="45" spans="1:22">
      <c r="B45" s="85">
        <v>60</v>
      </c>
      <c r="C45" s="81">
        <v>2.14</v>
      </c>
      <c r="D45" s="81">
        <f t="shared" si="12"/>
        <v>4.49</v>
      </c>
      <c r="E45" s="82">
        <v>6.2</v>
      </c>
      <c r="F45" s="82">
        <f t="shared" si="13"/>
        <v>5.7</v>
      </c>
      <c r="G45" s="82">
        <f t="shared" si="14"/>
        <v>1.21</v>
      </c>
      <c r="H45" s="91">
        <v>6.2</v>
      </c>
      <c r="I45" s="82">
        <f t="shared" si="15"/>
        <v>5.7</v>
      </c>
      <c r="J45" s="82">
        <f t="shared" si="16"/>
        <v>1.21</v>
      </c>
      <c r="K45" s="82">
        <f t="shared" si="17"/>
        <v>118.44</v>
      </c>
      <c r="N45" s="85">
        <v>64.739999999999995</v>
      </c>
      <c r="O45" s="82">
        <v>2.44</v>
      </c>
      <c r="P45" s="81">
        <f t="shared" si="18"/>
        <v>3.9399999999999995</v>
      </c>
      <c r="Q45" s="82">
        <v>6.2</v>
      </c>
      <c r="R45" s="82">
        <f t="shared" si="19"/>
        <v>5.7</v>
      </c>
      <c r="S45" s="82">
        <f t="shared" si="20"/>
        <v>1.7600000000000007</v>
      </c>
      <c r="T45" s="91">
        <v>6.2</v>
      </c>
      <c r="U45" s="82">
        <f t="shared" si="21"/>
        <v>5.7</v>
      </c>
      <c r="V45" s="82">
        <f t="shared" si="22"/>
        <v>1.7600000000000007</v>
      </c>
    </row>
    <row r="46" spans="1:22" s="826" customFormat="1">
      <c r="B46" s="827">
        <v>80</v>
      </c>
      <c r="C46" s="248">
        <v>2.16</v>
      </c>
      <c r="D46" s="248">
        <f t="shared" si="12"/>
        <v>4.51</v>
      </c>
      <c r="E46" s="826">
        <v>5.48</v>
      </c>
      <c r="F46" s="826">
        <f t="shared" si="13"/>
        <v>4.9800000000000004</v>
      </c>
      <c r="G46" s="826">
        <f t="shared" si="14"/>
        <v>0.47000000000000064</v>
      </c>
      <c r="H46" s="91">
        <v>5.48</v>
      </c>
      <c r="I46" s="82">
        <f t="shared" si="15"/>
        <v>4.9800000000000004</v>
      </c>
      <c r="J46" s="82">
        <f t="shared" si="16"/>
        <v>0.47000000000000064</v>
      </c>
      <c r="K46" s="82">
        <f t="shared" si="17"/>
        <v>35.25</v>
      </c>
      <c r="N46" s="827">
        <v>80</v>
      </c>
      <c r="O46" s="826">
        <v>2.61</v>
      </c>
      <c r="P46" s="248">
        <f t="shared" si="18"/>
        <v>4.1099999999999994</v>
      </c>
      <c r="Q46" s="826">
        <v>5.48</v>
      </c>
      <c r="R46" s="826">
        <f t="shared" si="19"/>
        <v>4.9800000000000004</v>
      </c>
      <c r="S46" s="826">
        <f t="shared" si="20"/>
        <v>0.87000000000000099</v>
      </c>
      <c r="T46" s="91">
        <v>5.48</v>
      </c>
      <c r="U46" s="82">
        <f t="shared" si="21"/>
        <v>4.9800000000000004</v>
      </c>
      <c r="V46" s="82">
        <f t="shared" si="22"/>
        <v>0.87000000000000099</v>
      </c>
    </row>
    <row r="47" spans="1:22">
      <c r="B47" s="85">
        <v>100</v>
      </c>
      <c r="C47" s="81">
        <v>2.1800000000000002</v>
      </c>
      <c r="D47" s="81">
        <f t="shared" si="12"/>
        <v>4.5299999999999994</v>
      </c>
      <c r="E47" s="82">
        <v>5.0599999999999996</v>
      </c>
      <c r="F47" s="82">
        <f t="shared" si="13"/>
        <v>4.5599999999999996</v>
      </c>
      <c r="G47" s="82">
        <f t="shared" si="14"/>
        <v>3.0000000000000249E-2</v>
      </c>
      <c r="H47" s="825">
        <v>5.0599999999999996</v>
      </c>
      <c r="I47" s="82">
        <f t="shared" si="15"/>
        <v>4.5599999999999996</v>
      </c>
      <c r="J47" s="82">
        <f t="shared" si="16"/>
        <v>3.0000000000000249E-2</v>
      </c>
      <c r="K47" s="82">
        <f t="shared" si="17"/>
        <v>-0.7</v>
      </c>
      <c r="N47" s="85">
        <v>100</v>
      </c>
      <c r="O47" s="82">
        <v>2.68</v>
      </c>
      <c r="P47" s="81">
        <f t="shared" si="18"/>
        <v>4.18</v>
      </c>
      <c r="Q47" s="82">
        <v>5.0599999999999996</v>
      </c>
      <c r="R47" s="82">
        <f t="shared" si="19"/>
        <v>4.5599999999999996</v>
      </c>
      <c r="S47" s="82">
        <f t="shared" si="20"/>
        <v>0.37999999999999989</v>
      </c>
      <c r="T47" s="825">
        <v>5.0599999999999996</v>
      </c>
      <c r="U47" s="82">
        <f t="shared" si="21"/>
        <v>4.5599999999999996</v>
      </c>
      <c r="V47" s="82">
        <f t="shared" si="22"/>
        <v>0.37999999999999989</v>
      </c>
    </row>
    <row r="48" spans="1:22">
      <c r="B48" s="85">
        <v>120</v>
      </c>
      <c r="C48" s="81">
        <v>2.21</v>
      </c>
      <c r="D48" s="81">
        <f t="shared" si="12"/>
        <v>4.5599999999999996</v>
      </c>
      <c r="E48" s="82">
        <v>5.3</v>
      </c>
      <c r="F48" s="82">
        <f t="shared" si="13"/>
        <v>4.8</v>
      </c>
      <c r="G48" s="82">
        <f t="shared" si="14"/>
        <v>0.24000000000000021</v>
      </c>
      <c r="H48" s="825">
        <v>5.0199999999999996</v>
      </c>
      <c r="I48" s="82">
        <f t="shared" si="15"/>
        <v>4.5199999999999996</v>
      </c>
      <c r="J48" s="82">
        <f t="shared" si="16"/>
        <v>-4.0000000000000036E-2</v>
      </c>
      <c r="K48" s="82">
        <f t="shared" si="17"/>
        <v>-4.2300000000000004</v>
      </c>
      <c r="N48" s="85">
        <v>120</v>
      </c>
      <c r="O48" s="82">
        <v>2.74</v>
      </c>
      <c r="P48" s="81">
        <f t="shared" si="18"/>
        <v>4.24</v>
      </c>
      <c r="Q48" s="82">
        <v>5.3</v>
      </c>
      <c r="R48" s="82">
        <f t="shared" si="19"/>
        <v>4.8</v>
      </c>
      <c r="S48" s="82">
        <f t="shared" si="20"/>
        <v>0.55999999999999961</v>
      </c>
      <c r="T48" s="825">
        <v>5.0199999999999996</v>
      </c>
      <c r="U48" s="82">
        <f t="shared" si="21"/>
        <v>4.5199999999999996</v>
      </c>
      <c r="V48" s="82">
        <f t="shared" si="22"/>
        <v>0.27999999999999936</v>
      </c>
    </row>
    <row r="49" spans="2:22">
      <c r="B49" s="85">
        <v>140</v>
      </c>
      <c r="C49" s="81">
        <v>2.23</v>
      </c>
      <c r="D49" s="81">
        <f t="shared" si="12"/>
        <v>4.58</v>
      </c>
      <c r="E49" s="82">
        <v>5.32</v>
      </c>
      <c r="F49" s="82">
        <f t="shared" si="13"/>
        <v>4.82</v>
      </c>
      <c r="G49" s="82">
        <f t="shared" si="14"/>
        <v>0.24000000000000021</v>
      </c>
      <c r="H49" s="825">
        <v>5.0599999999999996</v>
      </c>
      <c r="I49" s="82">
        <f t="shared" si="15"/>
        <v>4.5599999999999996</v>
      </c>
      <c r="J49" s="82">
        <f t="shared" si="16"/>
        <v>-2.0000000000000462E-2</v>
      </c>
      <c r="K49" s="82">
        <f t="shared" si="17"/>
        <v>-2.82</v>
      </c>
      <c r="N49" s="85">
        <v>140</v>
      </c>
      <c r="O49" s="82">
        <v>2.76</v>
      </c>
      <c r="P49" s="81">
        <f t="shared" si="18"/>
        <v>4.26</v>
      </c>
      <c r="Q49" s="82">
        <v>5.32</v>
      </c>
      <c r="R49" s="82">
        <f t="shared" si="19"/>
        <v>4.82</v>
      </c>
      <c r="S49" s="82">
        <f t="shared" si="20"/>
        <v>0.5600000000000005</v>
      </c>
      <c r="T49" s="825">
        <v>5.0599999999999996</v>
      </c>
      <c r="U49" s="82">
        <f t="shared" si="21"/>
        <v>4.5599999999999996</v>
      </c>
      <c r="V49" s="82">
        <f t="shared" si="22"/>
        <v>0.29999999999999982</v>
      </c>
    </row>
    <row r="50" spans="2:22">
      <c r="B50" s="85">
        <v>160</v>
      </c>
      <c r="C50" s="81">
        <v>2.25</v>
      </c>
      <c r="D50" s="81">
        <f t="shared" si="12"/>
        <v>4.5999999999999996</v>
      </c>
      <c r="E50" s="82">
        <v>5.34</v>
      </c>
      <c r="F50" s="82">
        <f t="shared" si="13"/>
        <v>4.84</v>
      </c>
      <c r="G50" s="82">
        <f t="shared" si="14"/>
        <v>0.24000000000000021</v>
      </c>
      <c r="H50" s="825">
        <v>5.08</v>
      </c>
      <c r="I50" s="82">
        <f t="shared" si="15"/>
        <v>4.58</v>
      </c>
      <c r="J50" s="82">
        <f t="shared" si="16"/>
        <v>-1.9999999999999574E-2</v>
      </c>
      <c r="K50" s="82">
        <f t="shared" si="17"/>
        <v>-2.11</v>
      </c>
      <c r="N50" s="85">
        <v>160</v>
      </c>
      <c r="O50" s="82">
        <v>2.79</v>
      </c>
      <c r="P50" s="81">
        <f t="shared" si="18"/>
        <v>4.29</v>
      </c>
      <c r="Q50" s="82">
        <v>5.34</v>
      </c>
      <c r="R50" s="82">
        <f t="shared" si="19"/>
        <v>4.84</v>
      </c>
      <c r="S50" s="82">
        <f t="shared" si="20"/>
        <v>0.54999999999999982</v>
      </c>
      <c r="T50" s="825">
        <v>5.08</v>
      </c>
      <c r="U50" s="82">
        <f t="shared" si="21"/>
        <v>4.58</v>
      </c>
      <c r="V50" s="82">
        <f t="shared" si="22"/>
        <v>0.29000000000000004</v>
      </c>
    </row>
    <row r="51" spans="2:22">
      <c r="B51" s="85">
        <v>180</v>
      </c>
      <c r="C51" s="81">
        <v>2.27</v>
      </c>
      <c r="D51" s="81">
        <f t="shared" si="12"/>
        <v>4.6199999999999992</v>
      </c>
      <c r="E51" s="82">
        <v>5.34</v>
      </c>
      <c r="F51" s="82">
        <f t="shared" si="13"/>
        <v>4.84</v>
      </c>
      <c r="G51" s="82">
        <f t="shared" si="14"/>
        <v>0.22000000000000064</v>
      </c>
      <c r="H51" s="825">
        <v>5.1100000000000003</v>
      </c>
      <c r="I51" s="82">
        <f t="shared" si="15"/>
        <v>4.6100000000000003</v>
      </c>
      <c r="J51" s="82">
        <f t="shared" si="16"/>
        <v>-9.9999999999988987E-3</v>
      </c>
      <c r="K51" s="82">
        <f t="shared" si="17"/>
        <v>4.2300000000000004</v>
      </c>
      <c r="N51" s="85">
        <v>180</v>
      </c>
      <c r="O51" s="82">
        <v>2.81</v>
      </c>
      <c r="P51" s="81">
        <f t="shared" si="18"/>
        <v>4.3099999999999996</v>
      </c>
      <c r="Q51" s="82">
        <v>5.34</v>
      </c>
      <c r="R51" s="82">
        <f t="shared" si="19"/>
        <v>4.84</v>
      </c>
      <c r="S51" s="82">
        <f t="shared" si="20"/>
        <v>0.53000000000000025</v>
      </c>
      <c r="T51" s="825">
        <v>5.1100000000000003</v>
      </c>
      <c r="U51" s="82">
        <f t="shared" si="21"/>
        <v>4.6100000000000003</v>
      </c>
      <c r="V51" s="82">
        <f t="shared" si="22"/>
        <v>0.30000000000000071</v>
      </c>
    </row>
    <row r="52" spans="2:22">
      <c r="B52" s="85">
        <v>200</v>
      </c>
      <c r="C52" s="81">
        <v>2.29</v>
      </c>
      <c r="D52" s="81">
        <f t="shared" si="12"/>
        <v>4.6399999999999997</v>
      </c>
      <c r="E52" s="82">
        <v>5.38</v>
      </c>
      <c r="F52" s="82">
        <f t="shared" si="13"/>
        <v>4.88</v>
      </c>
      <c r="G52" s="82">
        <f t="shared" si="14"/>
        <v>0.24000000000000021</v>
      </c>
      <c r="H52" s="825">
        <v>5.21</v>
      </c>
      <c r="I52" s="82">
        <f t="shared" si="15"/>
        <v>4.71</v>
      </c>
      <c r="J52" s="82">
        <f t="shared" si="16"/>
        <v>7.0000000000000284E-2</v>
      </c>
      <c r="K52" s="82">
        <f t="shared" si="17"/>
        <v>4.2300000000000004</v>
      </c>
      <c r="N52" s="85">
        <v>200</v>
      </c>
      <c r="O52" s="82">
        <v>2.87</v>
      </c>
      <c r="P52" s="81">
        <f t="shared" si="18"/>
        <v>4.37</v>
      </c>
      <c r="Q52" s="82">
        <v>5.38</v>
      </c>
      <c r="R52" s="82">
        <f t="shared" si="19"/>
        <v>4.88</v>
      </c>
      <c r="S52" s="82">
        <f t="shared" si="20"/>
        <v>0.50999999999999979</v>
      </c>
      <c r="T52" s="825">
        <v>5.21</v>
      </c>
      <c r="U52" s="82">
        <f t="shared" si="21"/>
        <v>4.71</v>
      </c>
      <c r="V52" s="82">
        <f t="shared" si="22"/>
        <v>0.33999999999999986</v>
      </c>
    </row>
    <row r="53" spans="2:22">
      <c r="B53" s="85">
        <v>220</v>
      </c>
      <c r="C53" s="81">
        <v>2.31</v>
      </c>
      <c r="D53" s="81">
        <f t="shared" si="12"/>
        <v>4.66</v>
      </c>
      <c r="E53" s="82">
        <v>5.4</v>
      </c>
      <c r="F53" s="82">
        <f t="shared" si="13"/>
        <v>4.9000000000000004</v>
      </c>
      <c r="G53" s="82">
        <f t="shared" si="14"/>
        <v>0.24000000000000021</v>
      </c>
      <c r="H53" s="825">
        <v>5.15</v>
      </c>
      <c r="I53" s="82">
        <f t="shared" si="15"/>
        <v>4.6500000000000004</v>
      </c>
      <c r="J53" s="82">
        <f t="shared" si="16"/>
        <v>-9.9999999999997868E-3</v>
      </c>
      <c r="K53" s="82">
        <f t="shared" si="17"/>
        <v>16.920000000000002</v>
      </c>
      <c r="N53" s="85">
        <v>220</v>
      </c>
      <c r="O53" s="82">
        <v>2.89</v>
      </c>
      <c r="P53" s="81">
        <f t="shared" si="18"/>
        <v>4.3899999999999997</v>
      </c>
      <c r="Q53" s="82">
        <v>5.4</v>
      </c>
      <c r="R53" s="82">
        <f t="shared" si="19"/>
        <v>4.9000000000000004</v>
      </c>
      <c r="S53" s="82">
        <f t="shared" si="20"/>
        <v>0.51000000000000068</v>
      </c>
      <c r="T53" s="825">
        <v>5.15</v>
      </c>
      <c r="U53" s="82">
        <f t="shared" si="21"/>
        <v>4.6500000000000004</v>
      </c>
      <c r="V53" s="82">
        <f t="shared" si="22"/>
        <v>0.26000000000000068</v>
      </c>
    </row>
    <row r="54" spans="2:22">
      <c r="B54" s="85">
        <v>240</v>
      </c>
      <c r="C54" s="81">
        <v>2.33</v>
      </c>
      <c r="D54" s="81">
        <f t="shared" si="12"/>
        <v>4.68</v>
      </c>
      <c r="E54" s="82">
        <v>5.43</v>
      </c>
      <c r="F54" s="82">
        <f t="shared" si="13"/>
        <v>4.93</v>
      </c>
      <c r="G54" s="82">
        <f t="shared" si="14"/>
        <v>0.25</v>
      </c>
      <c r="H54" s="825">
        <v>5.43</v>
      </c>
      <c r="I54" s="82">
        <f t="shared" si="15"/>
        <v>4.93</v>
      </c>
      <c r="J54" s="82">
        <f t="shared" si="16"/>
        <v>0.25</v>
      </c>
      <c r="K54" s="82">
        <f t="shared" si="17"/>
        <v>56.4</v>
      </c>
      <c r="N54" s="85">
        <v>240</v>
      </c>
      <c r="O54" s="82">
        <v>2.93</v>
      </c>
      <c r="P54" s="81">
        <f t="shared" si="18"/>
        <v>4.43</v>
      </c>
      <c r="Q54" s="82">
        <v>5.43</v>
      </c>
      <c r="R54" s="82">
        <f t="shared" si="19"/>
        <v>4.93</v>
      </c>
      <c r="S54" s="82">
        <f t="shared" si="20"/>
        <v>0.5</v>
      </c>
      <c r="T54" s="825">
        <v>5.43</v>
      </c>
      <c r="U54" s="82">
        <f t="shared" si="21"/>
        <v>4.93</v>
      </c>
      <c r="V54" s="82">
        <f t="shared" si="22"/>
        <v>0.5</v>
      </c>
    </row>
    <row r="55" spans="2:22">
      <c r="B55" s="85">
        <v>260</v>
      </c>
      <c r="C55" s="81">
        <v>2.34</v>
      </c>
      <c r="D55" s="81">
        <f t="shared" si="12"/>
        <v>4.6899999999999995</v>
      </c>
      <c r="E55" s="82">
        <v>5.74</v>
      </c>
      <c r="F55" s="82">
        <f t="shared" si="13"/>
        <v>5.24</v>
      </c>
      <c r="G55" s="82">
        <f t="shared" si="14"/>
        <v>0.55000000000000071</v>
      </c>
      <c r="H55" s="91">
        <v>5.74</v>
      </c>
      <c r="I55" s="82">
        <f t="shared" si="15"/>
        <v>5.24</v>
      </c>
      <c r="J55" s="82">
        <f t="shared" si="16"/>
        <v>0.55000000000000071</v>
      </c>
      <c r="K55" s="82">
        <f t="shared" si="17"/>
        <v>117.74</v>
      </c>
      <c r="N55" s="85">
        <v>260</v>
      </c>
      <c r="O55" s="82">
        <v>2.97</v>
      </c>
      <c r="P55" s="81">
        <f t="shared" si="18"/>
        <v>4.47</v>
      </c>
      <c r="Q55" s="82">
        <v>5.74</v>
      </c>
      <c r="R55" s="82">
        <f t="shared" si="19"/>
        <v>5.24</v>
      </c>
      <c r="S55" s="82">
        <f t="shared" si="20"/>
        <v>0.77000000000000046</v>
      </c>
      <c r="T55" s="91">
        <v>5.74</v>
      </c>
      <c r="U55" s="82">
        <f t="shared" si="21"/>
        <v>5.24</v>
      </c>
      <c r="V55" s="82">
        <f t="shared" si="22"/>
        <v>0.77000000000000046</v>
      </c>
    </row>
    <row r="56" spans="2:22">
      <c r="B56" s="85">
        <v>280</v>
      </c>
      <c r="C56" s="81">
        <v>2.36</v>
      </c>
      <c r="D56" s="81">
        <f t="shared" si="12"/>
        <v>4.7099999999999991</v>
      </c>
      <c r="E56" s="82">
        <v>6.33</v>
      </c>
      <c r="F56" s="82">
        <f t="shared" si="13"/>
        <v>5.83</v>
      </c>
      <c r="G56" s="82">
        <f t="shared" si="14"/>
        <v>1.120000000000001</v>
      </c>
      <c r="H56" s="91">
        <v>6.33</v>
      </c>
      <c r="I56" s="82">
        <f t="shared" si="15"/>
        <v>5.83</v>
      </c>
      <c r="J56" s="82">
        <f t="shared" si="16"/>
        <v>1.120000000000001</v>
      </c>
      <c r="K56" s="82">
        <f t="shared" si="17"/>
        <v>124.79</v>
      </c>
      <c r="N56" s="85">
        <v>280</v>
      </c>
      <c r="O56" s="82">
        <v>3.02</v>
      </c>
      <c r="P56" s="81">
        <f t="shared" si="18"/>
        <v>4.5199999999999996</v>
      </c>
      <c r="Q56" s="82">
        <v>6.33</v>
      </c>
      <c r="R56" s="82">
        <f t="shared" si="19"/>
        <v>5.83</v>
      </c>
      <c r="S56" s="82">
        <f t="shared" si="20"/>
        <v>1.3100000000000005</v>
      </c>
      <c r="T56" s="91">
        <v>6.33</v>
      </c>
      <c r="U56" s="82">
        <f t="shared" si="21"/>
        <v>5.83</v>
      </c>
      <c r="V56" s="82">
        <f t="shared" si="22"/>
        <v>1.3100000000000005</v>
      </c>
    </row>
    <row r="57" spans="2:22">
      <c r="B57" s="85">
        <v>300</v>
      </c>
      <c r="C57" s="81">
        <v>2.36</v>
      </c>
      <c r="D57" s="82">
        <f t="shared" si="12"/>
        <v>4.7099999999999991</v>
      </c>
      <c r="E57" s="82">
        <v>6.3</v>
      </c>
      <c r="F57" s="82">
        <f t="shared" si="13"/>
        <v>5.8</v>
      </c>
      <c r="G57" s="82">
        <f t="shared" si="14"/>
        <v>1.0900000000000007</v>
      </c>
      <c r="H57" s="91">
        <v>5.86</v>
      </c>
      <c r="I57" s="82">
        <f t="shared" si="15"/>
        <v>5.36</v>
      </c>
      <c r="J57" s="82">
        <f t="shared" si="16"/>
        <v>0.65000000000000124</v>
      </c>
      <c r="K57" s="82">
        <f t="shared" si="17"/>
        <v>687.38</v>
      </c>
      <c r="N57" s="85">
        <v>300</v>
      </c>
      <c r="O57" s="82">
        <v>3.04</v>
      </c>
      <c r="P57" s="81">
        <f t="shared" si="18"/>
        <v>4.54</v>
      </c>
      <c r="Q57" s="82">
        <v>6.3</v>
      </c>
      <c r="R57" s="82">
        <f t="shared" si="19"/>
        <v>5.8</v>
      </c>
      <c r="S57" s="82">
        <f t="shared" si="20"/>
        <v>1.2599999999999998</v>
      </c>
      <c r="T57" s="91">
        <v>5.86</v>
      </c>
      <c r="U57" s="82">
        <f t="shared" si="21"/>
        <v>5.36</v>
      </c>
      <c r="V57" s="82">
        <f t="shared" si="22"/>
        <v>0.82000000000000028</v>
      </c>
    </row>
    <row r="58" spans="2:22">
      <c r="H58" s="91"/>
    </row>
    <row r="59" spans="2:22">
      <c r="C59" s="85"/>
    </row>
  </sheetData>
  <mergeCells count="1">
    <mergeCell ref="A1:W1"/>
  </mergeCells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1C84B-EBE6-471B-909B-6928E5FE1156}">
  <dimension ref="A1:W18"/>
  <sheetViews>
    <sheetView workbookViewId="0">
      <selection activeCell="M7" sqref="M7"/>
    </sheetView>
  </sheetViews>
  <sheetFormatPr defaultRowHeight="12.75"/>
  <cols>
    <col min="1" max="1" width="9.140625" style="82"/>
    <col min="2" max="2" width="10.42578125" style="82" customWidth="1"/>
    <col min="3" max="13" width="9.140625" style="82"/>
    <col min="14" max="14" width="0" style="82" hidden="1" customWidth="1"/>
    <col min="15" max="16" width="10.28515625" style="82" hidden="1" customWidth="1"/>
    <col min="17" max="17" width="9.140625" style="82"/>
    <col min="18" max="18" width="16.42578125" style="82" customWidth="1"/>
    <col min="19" max="19" width="17.28515625" style="82" customWidth="1"/>
    <col min="20" max="20" width="17.85546875" style="82" customWidth="1"/>
    <col min="21" max="21" width="13.7109375" style="82" customWidth="1"/>
    <col min="22" max="16384" width="9.140625" style="82"/>
  </cols>
  <sheetData>
    <row r="1" spans="1:23" ht="51">
      <c r="A1" s="91" t="s">
        <v>1590</v>
      </c>
      <c r="B1" s="555" t="s">
        <v>3287</v>
      </c>
      <c r="C1" s="555" t="s">
        <v>3288</v>
      </c>
      <c r="D1" s="91"/>
      <c r="E1" s="91" t="s">
        <v>1590</v>
      </c>
      <c r="F1" s="555" t="s">
        <v>3289</v>
      </c>
      <c r="G1" s="555" t="s">
        <v>3290</v>
      </c>
      <c r="H1" s="555" t="s">
        <v>3291</v>
      </c>
      <c r="I1" s="316" t="s">
        <v>3292</v>
      </c>
      <c r="J1" s="316" t="s">
        <v>3293</v>
      </c>
      <c r="K1" s="555" t="s">
        <v>3294</v>
      </c>
      <c r="L1" s="555" t="s">
        <v>3295</v>
      </c>
      <c r="M1" s="555" t="s">
        <v>3296</v>
      </c>
      <c r="N1" s="555"/>
      <c r="O1" s="555"/>
      <c r="P1" s="91"/>
      <c r="Q1" s="823" t="s">
        <v>3297</v>
      </c>
      <c r="R1" s="824" t="s">
        <v>3298</v>
      </c>
      <c r="S1" s="824" t="s">
        <v>3299</v>
      </c>
      <c r="T1" s="824" t="s">
        <v>3300</v>
      </c>
      <c r="U1" s="824" t="s">
        <v>3301</v>
      </c>
      <c r="W1" s="81">
        <f>SUM(W2:W19)</f>
        <v>18</v>
      </c>
    </row>
    <row r="2" spans="1:23">
      <c r="A2" s="91" t="s">
        <v>3302</v>
      </c>
      <c r="B2" s="91">
        <v>1.8</v>
      </c>
      <c r="C2" s="91">
        <f>B2+1.5</f>
        <v>3.3</v>
      </c>
      <c r="D2" s="91"/>
      <c r="E2" s="91" t="s">
        <v>3303</v>
      </c>
      <c r="F2" s="91">
        <v>1.75</v>
      </c>
      <c r="G2" s="91">
        <f>F2-0.35-0.1</f>
        <v>1.2999999999999998</v>
      </c>
      <c r="H2" s="91">
        <f>F2+2.35</f>
        <v>4.0999999999999996</v>
      </c>
      <c r="I2" s="91">
        <f>H2-C2</f>
        <v>0.79999999999999982</v>
      </c>
      <c r="J2" s="91">
        <v>7.3</v>
      </c>
      <c r="K2" s="91">
        <f>J2-0.3-0.2</f>
        <v>6.8</v>
      </c>
      <c r="L2" s="91">
        <f>K2-H2</f>
        <v>2.7</v>
      </c>
      <c r="M2" s="91">
        <f>K2-C2</f>
        <v>3.5</v>
      </c>
      <c r="N2" s="91"/>
      <c r="O2" s="91"/>
      <c r="P2" s="91"/>
      <c r="Q2" s="82" t="s">
        <v>3304</v>
      </c>
      <c r="R2" s="82" t="s">
        <v>3305</v>
      </c>
      <c r="S2" s="82" t="s">
        <v>3306</v>
      </c>
      <c r="T2" s="82" t="s">
        <v>3307</v>
      </c>
      <c r="W2" s="81">
        <v>3</v>
      </c>
    </row>
    <row r="3" spans="1:23">
      <c r="A3" s="91" t="s">
        <v>3308</v>
      </c>
      <c r="B3" s="91">
        <v>1.84</v>
      </c>
      <c r="C3" s="91">
        <f t="shared" ref="C3:C17" si="0">B3+1.5</f>
        <v>3.34</v>
      </c>
      <c r="D3" s="91"/>
      <c r="E3" s="91" t="s">
        <v>3309</v>
      </c>
      <c r="F3" s="91">
        <v>1.79</v>
      </c>
      <c r="G3" s="91">
        <f>F3-0.35-0.1</f>
        <v>1.3399999999999999</v>
      </c>
      <c r="H3" s="91">
        <f t="shared" ref="H3:H16" si="1">F3+2.35</f>
        <v>4.1400000000000006</v>
      </c>
      <c r="I3" s="91">
        <f t="shared" ref="I3:I16" si="2">H3-C3</f>
        <v>0.80000000000000071</v>
      </c>
      <c r="J3" s="91">
        <v>7.39</v>
      </c>
      <c r="K3" s="91">
        <f t="shared" ref="K3:K17" si="3">J3-0.3-0.2</f>
        <v>6.89</v>
      </c>
      <c r="L3" s="91">
        <f t="shared" ref="L3:L16" si="4">K3-H3</f>
        <v>2.7499999999999991</v>
      </c>
      <c r="M3" s="91">
        <f t="shared" ref="M3:M17" si="5">K3-C3</f>
        <v>3.55</v>
      </c>
      <c r="N3" s="91"/>
      <c r="O3" s="91"/>
      <c r="P3" s="91"/>
      <c r="Q3" s="82" t="s">
        <v>3310</v>
      </c>
      <c r="R3" s="82" t="s">
        <v>3311</v>
      </c>
      <c r="S3" s="82" t="s">
        <v>3312</v>
      </c>
      <c r="T3" s="82" t="s">
        <v>3313</v>
      </c>
      <c r="W3" s="81">
        <v>3</v>
      </c>
    </row>
    <row r="4" spans="1:23">
      <c r="A4" s="91" t="s">
        <v>3314</v>
      </c>
      <c r="B4" s="91">
        <v>2.35</v>
      </c>
      <c r="C4" s="91">
        <f t="shared" si="0"/>
        <v>3.85</v>
      </c>
      <c r="D4" s="91"/>
      <c r="E4" s="91" t="s">
        <v>3315</v>
      </c>
      <c r="F4" s="91">
        <v>2.1</v>
      </c>
      <c r="G4" s="91">
        <f>F4-0.35</f>
        <v>1.75</v>
      </c>
      <c r="H4" s="91">
        <f t="shared" si="1"/>
        <v>4.45</v>
      </c>
      <c r="I4" s="91">
        <f t="shared" si="2"/>
        <v>0.60000000000000009</v>
      </c>
      <c r="J4" s="91">
        <v>7.06</v>
      </c>
      <c r="K4" s="91">
        <f t="shared" si="3"/>
        <v>6.56</v>
      </c>
      <c r="L4" s="91">
        <f t="shared" si="4"/>
        <v>2.1099999999999994</v>
      </c>
      <c r="M4" s="91">
        <f t="shared" si="5"/>
        <v>2.7099999999999995</v>
      </c>
      <c r="N4" s="91"/>
      <c r="O4" s="91"/>
      <c r="P4" s="91"/>
      <c r="Q4" s="82" t="s">
        <v>3316</v>
      </c>
      <c r="R4" s="82" t="s">
        <v>3317</v>
      </c>
      <c r="S4" s="82" t="s">
        <v>3318</v>
      </c>
      <c r="T4" s="82" t="s">
        <v>3319</v>
      </c>
      <c r="U4" s="82" t="s">
        <v>3320</v>
      </c>
      <c r="W4" s="81">
        <v>3</v>
      </c>
    </row>
    <row r="5" spans="1:23">
      <c r="A5" s="91" t="s">
        <v>3321</v>
      </c>
      <c r="B5" s="91">
        <v>2.44</v>
      </c>
      <c r="C5" s="91">
        <f t="shared" si="0"/>
        <v>3.94</v>
      </c>
      <c r="D5" s="91"/>
      <c r="E5" s="91" t="s">
        <v>3322</v>
      </c>
      <c r="F5" s="91">
        <v>2.14</v>
      </c>
      <c r="G5" s="91">
        <f t="shared" ref="G5:G16" si="6">F5-0.35</f>
        <v>1.79</v>
      </c>
      <c r="H5" s="91">
        <f t="shared" si="1"/>
        <v>4.49</v>
      </c>
      <c r="I5" s="91">
        <f t="shared" si="2"/>
        <v>0.55000000000000027</v>
      </c>
      <c r="J5" s="91">
        <v>6.2</v>
      </c>
      <c r="K5" s="91">
        <f t="shared" si="3"/>
        <v>5.7</v>
      </c>
      <c r="L5" s="91">
        <f t="shared" si="4"/>
        <v>1.21</v>
      </c>
      <c r="M5" s="91">
        <f t="shared" si="5"/>
        <v>1.7600000000000002</v>
      </c>
      <c r="N5" s="91"/>
      <c r="O5" s="91"/>
      <c r="P5" s="91"/>
      <c r="Q5" s="82" t="s">
        <v>3323</v>
      </c>
      <c r="R5" s="82" t="s">
        <v>3324</v>
      </c>
      <c r="S5" s="82" t="s">
        <v>3325</v>
      </c>
      <c r="T5" s="82" t="s">
        <v>3326</v>
      </c>
      <c r="W5" s="81">
        <v>3</v>
      </c>
    </row>
    <row r="6" spans="1:23">
      <c r="A6" s="91" t="s">
        <v>3327</v>
      </c>
      <c r="B6" s="91">
        <v>2.61</v>
      </c>
      <c r="C6" s="91">
        <f t="shared" si="0"/>
        <v>4.1099999999999994</v>
      </c>
      <c r="D6" s="91"/>
      <c r="E6" s="91" t="s">
        <v>3328</v>
      </c>
      <c r="F6" s="91">
        <v>2.16</v>
      </c>
      <c r="G6" s="91">
        <f t="shared" si="6"/>
        <v>1.81</v>
      </c>
      <c r="H6" s="91">
        <f t="shared" si="1"/>
        <v>4.51</v>
      </c>
      <c r="I6" s="91">
        <f t="shared" si="2"/>
        <v>0.40000000000000036</v>
      </c>
      <c r="J6" s="91">
        <v>5.48</v>
      </c>
      <c r="K6" s="91">
        <f t="shared" si="3"/>
        <v>4.9800000000000004</v>
      </c>
      <c r="L6" s="91">
        <f t="shared" si="4"/>
        <v>0.47000000000000064</v>
      </c>
      <c r="M6" s="91">
        <f t="shared" si="5"/>
        <v>0.87000000000000099</v>
      </c>
      <c r="N6" s="91"/>
      <c r="O6" s="91"/>
      <c r="P6" s="91"/>
      <c r="Q6" s="82" t="s">
        <v>3329</v>
      </c>
      <c r="R6" s="82" t="s">
        <v>3330</v>
      </c>
      <c r="S6" s="82" t="s">
        <v>3331</v>
      </c>
      <c r="T6" s="82" t="s">
        <v>3332</v>
      </c>
      <c r="W6" s="81">
        <v>3</v>
      </c>
    </row>
    <row r="7" spans="1:23">
      <c r="A7" s="91" t="s">
        <v>3333</v>
      </c>
      <c r="B7" s="91">
        <v>2.68</v>
      </c>
      <c r="C7" s="91">
        <f t="shared" si="0"/>
        <v>4.18</v>
      </c>
      <c r="D7" s="91"/>
      <c r="E7" s="91" t="s">
        <v>3334</v>
      </c>
      <c r="F7" s="91">
        <v>2.1800000000000002</v>
      </c>
      <c r="G7" s="91">
        <f t="shared" si="6"/>
        <v>1.83</v>
      </c>
      <c r="H7" s="91">
        <f t="shared" si="1"/>
        <v>4.53</v>
      </c>
      <c r="I7" s="91">
        <f t="shared" si="2"/>
        <v>0.35000000000000053</v>
      </c>
      <c r="J7" s="825">
        <v>5.0599999999999996</v>
      </c>
      <c r="K7" s="91">
        <f t="shared" si="3"/>
        <v>4.5599999999999996</v>
      </c>
      <c r="L7" s="825">
        <f t="shared" si="4"/>
        <v>2.9999999999999361E-2</v>
      </c>
      <c r="M7" s="91">
        <f t="shared" si="5"/>
        <v>0.37999999999999989</v>
      </c>
      <c r="N7" s="91"/>
      <c r="O7" s="91"/>
      <c r="P7" s="91"/>
      <c r="Q7" s="82" t="s">
        <v>3335</v>
      </c>
      <c r="R7" s="82" t="s">
        <v>3336</v>
      </c>
      <c r="S7" s="82" t="s">
        <v>3337</v>
      </c>
      <c r="T7" s="82" t="s">
        <v>3338</v>
      </c>
      <c r="V7" s="82" t="s">
        <v>3339</v>
      </c>
      <c r="W7" s="81">
        <v>3</v>
      </c>
    </row>
    <row r="8" spans="1:23">
      <c r="A8" s="91" t="s">
        <v>3340</v>
      </c>
      <c r="B8" s="91">
        <v>2.74</v>
      </c>
      <c r="C8" s="91">
        <f t="shared" si="0"/>
        <v>4.24</v>
      </c>
      <c r="D8" s="91"/>
      <c r="E8" s="91" t="s">
        <v>3341</v>
      </c>
      <c r="F8" s="91">
        <v>2.21</v>
      </c>
      <c r="G8" s="91">
        <f t="shared" si="6"/>
        <v>1.8599999999999999</v>
      </c>
      <c r="H8" s="91">
        <f t="shared" si="1"/>
        <v>4.5600000000000005</v>
      </c>
      <c r="I8" s="91">
        <f t="shared" si="2"/>
        <v>0.32000000000000028</v>
      </c>
      <c r="J8" s="825">
        <v>5.0199999999999996</v>
      </c>
      <c r="K8" s="91">
        <f t="shared" si="3"/>
        <v>4.5199999999999996</v>
      </c>
      <c r="L8" s="825">
        <f t="shared" si="4"/>
        <v>-4.0000000000000924E-2</v>
      </c>
      <c r="M8" s="91">
        <f t="shared" si="5"/>
        <v>0.27999999999999936</v>
      </c>
      <c r="N8" s="91"/>
      <c r="O8" s="91"/>
      <c r="P8" s="91"/>
    </row>
    <row r="9" spans="1:23">
      <c r="A9" s="91" t="s">
        <v>3342</v>
      </c>
      <c r="B9" s="91">
        <v>2.76</v>
      </c>
      <c r="C9" s="91">
        <f t="shared" si="0"/>
        <v>4.26</v>
      </c>
      <c r="D9" s="91"/>
      <c r="E9" s="91" t="s">
        <v>3343</v>
      </c>
      <c r="F9" s="91">
        <v>2.23</v>
      </c>
      <c r="G9" s="91">
        <f t="shared" si="6"/>
        <v>1.88</v>
      </c>
      <c r="H9" s="91">
        <f t="shared" si="1"/>
        <v>4.58</v>
      </c>
      <c r="I9" s="91">
        <f t="shared" si="2"/>
        <v>0.32000000000000028</v>
      </c>
      <c r="J9" s="825">
        <v>5.0599999999999996</v>
      </c>
      <c r="K9" s="91">
        <f t="shared" si="3"/>
        <v>4.5599999999999996</v>
      </c>
      <c r="L9" s="825">
        <f t="shared" si="4"/>
        <v>-2.0000000000000462E-2</v>
      </c>
      <c r="M9" s="91">
        <f t="shared" si="5"/>
        <v>0.29999999999999982</v>
      </c>
      <c r="N9" s="91"/>
      <c r="O9" s="91"/>
      <c r="P9" s="91"/>
    </row>
    <row r="10" spans="1:23">
      <c r="A10" s="91" t="s">
        <v>3344</v>
      </c>
      <c r="B10" s="91">
        <v>2.79</v>
      </c>
      <c r="C10" s="91">
        <f t="shared" si="0"/>
        <v>4.29</v>
      </c>
      <c r="D10" s="91"/>
      <c r="E10" s="91" t="s">
        <v>3345</v>
      </c>
      <c r="F10" s="91">
        <v>2.25</v>
      </c>
      <c r="G10" s="91">
        <f t="shared" si="6"/>
        <v>1.9</v>
      </c>
      <c r="H10" s="91">
        <f t="shared" si="1"/>
        <v>4.5999999999999996</v>
      </c>
      <c r="I10" s="91">
        <f t="shared" si="2"/>
        <v>0.30999999999999961</v>
      </c>
      <c r="J10" s="825">
        <v>5.08</v>
      </c>
      <c r="K10" s="91">
        <f t="shared" si="3"/>
        <v>4.58</v>
      </c>
      <c r="L10" s="825">
        <f t="shared" si="4"/>
        <v>-1.9999999999999574E-2</v>
      </c>
      <c r="M10" s="91">
        <f t="shared" si="5"/>
        <v>0.29000000000000004</v>
      </c>
      <c r="N10" s="91"/>
      <c r="O10" s="91"/>
      <c r="P10" s="91"/>
    </row>
    <row r="11" spans="1:23">
      <c r="A11" s="91" t="s">
        <v>3346</v>
      </c>
      <c r="B11" s="91">
        <v>2.81</v>
      </c>
      <c r="C11" s="91">
        <f t="shared" si="0"/>
        <v>4.3100000000000005</v>
      </c>
      <c r="D11" s="91"/>
      <c r="E11" s="91" t="s">
        <v>3347</v>
      </c>
      <c r="F11" s="91">
        <v>2.27</v>
      </c>
      <c r="G11" s="91">
        <f t="shared" si="6"/>
        <v>1.92</v>
      </c>
      <c r="H11" s="91">
        <f t="shared" si="1"/>
        <v>4.62</v>
      </c>
      <c r="I11" s="91">
        <f t="shared" si="2"/>
        <v>0.30999999999999961</v>
      </c>
      <c r="J11" s="825">
        <v>5.1100000000000003</v>
      </c>
      <c r="K11" s="91">
        <f t="shared" si="3"/>
        <v>4.6100000000000003</v>
      </c>
      <c r="L11" s="825">
        <f t="shared" si="4"/>
        <v>-9.9999999999997868E-3</v>
      </c>
      <c r="M11" s="91">
        <f t="shared" si="5"/>
        <v>0.29999999999999982</v>
      </c>
      <c r="N11" s="91"/>
      <c r="O11" s="91"/>
      <c r="P11" s="91"/>
    </row>
    <row r="12" spans="1:23">
      <c r="A12" s="91" t="s">
        <v>3348</v>
      </c>
      <c r="B12" s="91">
        <v>2.87</v>
      </c>
      <c r="C12" s="91">
        <f t="shared" si="0"/>
        <v>4.37</v>
      </c>
      <c r="D12" s="91"/>
      <c r="E12" s="91" t="s">
        <v>3349</v>
      </c>
      <c r="F12" s="91">
        <v>2.29</v>
      </c>
      <c r="G12" s="91">
        <f t="shared" si="6"/>
        <v>1.94</v>
      </c>
      <c r="H12" s="91">
        <f t="shared" si="1"/>
        <v>4.6400000000000006</v>
      </c>
      <c r="I12" s="91">
        <f t="shared" si="2"/>
        <v>0.27000000000000046</v>
      </c>
      <c r="J12" s="825">
        <v>5.21</v>
      </c>
      <c r="K12" s="91">
        <f t="shared" si="3"/>
        <v>4.71</v>
      </c>
      <c r="L12" s="825">
        <f t="shared" si="4"/>
        <v>6.9999999999999396E-2</v>
      </c>
      <c r="M12" s="91">
        <f t="shared" si="5"/>
        <v>0.33999999999999986</v>
      </c>
      <c r="N12" s="91"/>
      <c r="O12" s="91"/>
      <c r="P12" s="91"/>
    </row>
    <row r="13" spans="1:23">
      <c r="A13" s="91" t="s">
        <v>3350</v>
      </c>
      <c r="B13" s="91">
        <v>2.89</v>
      </c>
      <c r="C13" s="91">
        <f t="shared" si="0"/>
        <v>4.3900000000000006</v>
      </c>
      <c r="D13" s="91"/>
      <c r="E13" s="91" t="s">
        <v>3351</v>
      </c>
      <c r="F13" s="91">
        <v>2.31</v>
      </c>
      <c r="G13" s="91">
        <f t="shared" si="6"/>
        <v>1.96</v>
      </c>
      <c r="H13" s="91">
        <f t="shared" si="1"/>
        <v>4.66</v>
      </c>
      <c r="I13" s="91">
        <f t="shared" si="2"/>
        <v>0.26999999999999957</v>
      </c>
      <c r="J13" s="825">
        <v>5.15</v>
      </c>
      <c r="K13" s="91">
        <f t="shared" si="3"/>
        <v>4.6500000000000004</v>
      </c>
      <c r="L13" s="825">
        <f t="shared" si="4"/>
        <v>-9.9999999999997868E-3</v>
      </c>
      <c r="M13" s="91">
        <f t="shared" si="5"/>
        <v>0.25999999999999979</v>
      </c>
      <c r="N13" s="91"/>
      <c r="O13" s="91"/>
      <c r="P13" s="91"/>
    </row>
    <row r="14" spans="1:23">
      <c r="A14" s="91" t="s">
        <v>3352</v>
      </c>
      <c r="B14" s="91">
        <v>2.93</v>
      </c>
      <c r="C14" s="91">
        <f t="shared" si="0"/>
        <v>4.43</v>
      </c>
      <c r="D14" s="91"/>
      <c r="E14" s="91" t="s">
        <v>3353</v>
      </c>
      <c r="F14" s="91">
        <v>2.33</v>
      </c>
      <c r="G14" s="91">
        <f t="shared" si="6"/>
        <v>1.98</v>
      </c>
      <c r="H14" s="91">
        <f t="shared" si="1"/>
        <v>4.68</v>
      </c>
      <c r="I14" s="91">
        <f t="shared" si="2"/>
        <v>0.25</v>
      </c>
      <c r="J14" s="825">
        <v>5.43</v>
      </c>
      <c r="K14" s="91">
        <f t="shared" si="3"/>
        <v>4.93</v>
      </c>
      <c r="L14" s="825">
        <f t="shared" si="4"/>
        <v>0.25</v>
      </c>
      <c r="M14" s="91">
        <f t="shared" si="5"/>
        <v>0.5</v>
      </c>
      <c r="N14" s="91"/>
      <c r="O14" s="91"/>
      <c r="P14" s="91"/>
    </row>
    <row r="15" spans="1:23">
      <c r="A15" s="91" t="s">
        <v>3354</v>
      </c>
      <c r="B15" s="91">
        <v>2.97</v>
      </c>
      <c r="C15" s="91">
        <f t="shared" si="0"/>
        <v>4.4700000000000006</v>
      </c>
      <c r="D15" s="91"/>
      <c r="E15" s="91" t="s">
        <v>3355</v>
      </c>
      <c r="F15" s="91">
        <v>2.34</v>
      </c>
      <c r="G15" s="91">
        <f t="shared" si="6"/>
        <v>1.9899999999999998</v>
      </c>
      <c r="H15" s="91">
        <f t="shared" si="1"/>
        <v>4.6899999999999995</v>
      </c>
      <c r="I15" s="91">
        <f t="shared" si="2"/>
        <v>0.21999999999999886</v>
      </c>
      <c r="J15" s="91">
        <v>5.74</v>
      </c>
      <c r="K15" s="91">
        <f t="shared" si="3"/>
        <v>5.24</v>
      </c>
      <c r="L15" s="91">
        <f t="shared" si="4"/>
        <v>0.55000000000000071</v>
      </c>
      <c r="M15" s="91">
        <f t="shared" si="5"/>
        <v>0.76999999999999957</v>
      </c>
      <c r="N15" s="91"/>
      <c r="O15" s="91"/>
      <c r="P15" s="91"/>
    </row>
    <row r="16" spans="1:23">
      <c r="A16" s="91" t="s">
        <v>3356</v>
      </c>
      <c r="B16" s="91">
        <v>3.02</v>
      </c>
      <c r="C16" s="91">
        <f t="shared" si="0"/>
        <v>4.5199999999999996</v>
      </c>
      <c r="D16" s="91"/>
      <c r="E16" s="91" t="s">
        <v>3357</v>
      </c>
      <c r="F16" s="91">
        <v>2.36</v>
      </c>
      <c r="G16" s="91">
        <f t="shared" si="6"/>
        <v>2.0099999999999998</v>
      </c>
      <c r="H16" s="91">
        <f t="shared" si="1"/>
        <v>4.71</v>
      </c>
      <c r="I16" s="91">
        <f t="shared" si="2"/>
        <v>0.19000000000000039</v>
      </c>
      <c r="J16" s="91">
        <v>6.33</v>
      </c>
      <c r="K16" s="91">
        <f t="shared" si="3"/>
        <v>5.83</v>
      </c>
      <c r="L16" s="91">
        <f t="shared" si="4"/>
        <v>1.1200000000000001</v>
      </c>
      <c r="M16" s="91">
        <f t="shared" si="5"/>
        <v>1.3100000000000005</v>
      </c>
      <c r="N16" s="91"/>
      <c r="O16" s="91"/>
      <c r="P16" s="91"/>
    </row>
    <row r="17" spans="1:16">
      <c r="A17" s="91" t="s">
        <v>3358</v>
      </c>
      <c r="B17" s="91">
        <v>3.04</v>
      </c>
      <c r="C17" s="91">
        <f t="shared" si="0"/>
        <v>4.54</v>
      </c>
      <c r="D17" s="91"/>
      <c r="E17" s="91" t="s">
        <v>3359</v>
      </c>
      <c r="F17" s="91"/>
      <c r="G17" s="91"/>
      <c r="H17" s="91"/>
      <c r="I17" s="91" t="s">
        <v>3360</v>
      </c>
      <c r="J17" s="91">
        <v>5.86</v>
      </c>
      <c r="K17" s="91">
        <f t="shared" si="3"/>
        <v>5.36</v>
      </c>
      <c r="L17" s="91"/>
      <c r="M17" s="91">
        <f t="shared" si="5"/>
        <v>0.82000000000000028</v>
      </c>
      <c r="N17" s="91"/>
      <c r="O17" s="91"/>
      <c r="P17" s="91"/>
    </row>
    <row r="18" spans="1:16">
      <c r="A18" s="91"/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5230-C75D-4D00-85FC-DC95D3239AAF}">
  <dimension ref="A1:S73"/>
  <sheetViews>
    <sheetView view="pageBreakPreview" topLeftCell="A46" zoomScaleNormal="100" zoomScaleSheetLayoutView="100" workbookViewId="0">
      <selection activeCell="E5" sqref="E5"/>
    </sheetView>
  </sheetViews>
  <sheetFormatPr defaultColWidth="9.140625" defaultRowHeight="12.75"/>
  <cols>
    <col min="1" max="1" width="11.5703125" style="81" customWidth="1"/>
    <col min="2" max="2" width="10.28515625" style="81" bestFit="1" customWidth="1"/>
    <col min="3" max="3" width="10.85546875" style="82" customWidth="1"/>
    <col min="4" max="4" width="13" style="82" customWidth="1"/>
    <col min="5" max="5" width="15" style="82" customWidth="1"/>
    <col min="6" max="6" width="24" style="82" customWidth="1"/>
    <col min="7" max="7" width="14.7109375" style="82" customWidth="1"/>
    <col min="8" max="8" width="14.140625" style="82" customWidth="1"/>
    <col min="9" max="10" width="9.140625" style="82"/>
    <col min="11" max="11" width="30.140625" style="293" customWidth="1"/>
    <col min="12" max="12" width="10.85546875" style="82" customWidth="1"/>
    <col min="13" max="16" width="9.140625" style="82"/>
    <col min="17" max="17" width="10.140625" style="82" customWidth="1"/>
    <col min="18" max="18" width="13.28515625" style="82" customWidth="1"/>
    <col min="19" max="16384" width="9.140625" style="82"/>
  </cols>
  <sheetData>
    <row r="1" spans="1:19" ht="13.5">
      <c r="A1" s="157" t="s">
        <v>1711</v>
      </c>
      <c r="B1" s="157"/>
      <c r="C1" s="157"/>
      <c r="D1" s="157"/>
      <c r="E1" s="157"/>
      <c r="F1" s="157"/>
      <c r="J1" s="318" t="s">
        <v>2641</v>
      </c>
      <c r="K1" s="554" t="s">
        <v>2642</v>
      </c>
      <c r="L1" s="318" t="s">
        <v>2643</v>
      </c>
      <c r="M1" s="318" t="s">
        <v>2644</v>
      </c>
      <c r="N1" s="318" t="s">
        <v>2645</v>
      </c>
      <c r="O1" s="91"/>
      <c r="P1" s="91"/>
      <c r="Q1" s="91"/>
      <c r="R1" s="91"/>
      <c r="S1" s="91"/>
    </row>
    <row r="2" spans="1:19" ht="25.5">
      <c r="A2" s="158" t="s">
        <v>1590</v>
      </c>
      <c r="B2" s="158" t="s">
        <v>1712</v>
      </c>
      <c r="C2" s="158" t="s">
        <v>1713</v>
      </c>
      <c r="D2" s="158" t="s">
        <v>1714</v>
      </c>
      <c r="E2" s="158" t="s">
        <v>1715</v>
      </c>
      <c r="F2" s="158" t="s">
        <v>1716</v>
      </c>
      <c r="G2" s="158" t="s">
        <v>1717</v>
      </c>
      <c r="H2" s="158" t="s">
        <v>1718</v>
      </c>
      <c r="J2" s="558" t="s">
        <v>2646</v>
      </c>
      <c r="K2" s="559" t="s">
        <v>194</v>
      </c>
      <c r="L2" s="558" t="s">
        <v>23</v>
      </c>
      <c r="M2" s="558">
        <v>28009.56</v>
      </c>
      <c r="N2" s="558">
        <v>48.28</v>
      </c>
      <c r="O2" s="560" t="s">
        <v>2649</v>
      </c>
      <c r="P2" s="91"/>
      <c r="Q2" s="91"/>
      <c r="R2" s="91"/>
      <c r="S2" s="91"/>
    </row>
    <row r="3" spans="1:19">
      <c r="A3" s="158" t="s">
        <v>1719</v>
      </c>
      <c r="B3" s="158">
        <v>0</v>
      </c>
      <c r="C3" s="159">
        <v>34.590000000000003</v>
      </c>
      <c r="D3" s="159">
        <v>0</v>
      </c>
      <c r="E3" s="159">
        <v>50.424999999999997</v>
      </c>
      <c r="F3" s="159">
        <v>0</v>
      </c>
      <c r="G3" s="159">
        <v>15.12</v>
      </c>
      <c r="H3" s="159">
        <v>0</v>
      </c>
      <c r="J3" s="561" t="s">
        <v>2647</v>
      </c>
      <c r="K3" s="562" t="s">
        <v>255</v>
      </c>
      <c r="L3" s="561" t="s">
        <v>6</v>
      </c>
      <c r="M3" s="561">
        <v>13120</v>
      </c>
      <c r="N3" s="561">
        <v>104.64</v>
      </c>
      <c r="O3" s="561" t="s">
        <v>242</v>
      </c>
      <c r="P3" s="91"/>
      <c r="Q3" s="91"/>
      <c r="R3" s="91"/>
      <c r="S3" s="91"/>
    </row>
    <row r="4" spans="1:19">
      <c r="A4" s="158" t="s">
        <v>1720</v>
      </c>
      <c r="B4" s="158">
        <v>20</v>
      </c>
      <c r="C4" s="159">
        <v>364.27</v>
      </c>
      <c r="D4" s="159">
        <f>ROUND((C3+C4)/2*B4,2)</f>
        <v>3988.6</v>
      </c>
      <c r="E4" s="159">
        <v>83.57</v>
      </c>
      <c r="F4" s="159">
        <f>ROUND((E3+E4)/2*B4,2)</f>
        <v>1339.95</v>
      </c>
      <c r="G4" s="159">
        <v>0.23</v>
      </c>
      <c r="H4" s="159">
        <f>ROUND((G3+G4)/2*B4,2)</f>
        <v>153.5</v>
      </c>
      <c r="J4" s="91" t="s">
        <v>257</v>
      </c>
      <c r="K4" s="555" t="s">
        <v>258</v>
      </c>
      <c r="L4" s="91" t="s">
        <v>23</v>
      </c>
      <c r="M4" s="91">
        <v>13251</v>
      </c>
      <c r="N4" s="91">
        <v>1027.3699999999999</v>
      </c>
      <c r="O4" s="91" t="s">
        <v>2319</v>
      </c>
      <c r="P4" s="91"/>
      <c r="Q4" s="91"/>
      <c r="R4" s="91"/>
      <c r="S4" s="91"/>
    </row>
    <row r="5" spans="1:19" ht="25.5">
      <c r="A5" s="158" t="s">
        <v>1721</v>
      </c>
      <c r="B5" s="158">
        <v>20</v>
      </c>
      <c r="C5" s="159">
        <v>73.819999999999993</v>
      </c>
      <c r="D5" s="159">
        <f t="shared" ref="D5:D18" si="0">ROUND((C4+C5)/2*B5,2)</f>
        <v>4380.8999999999996</v>
      </c>
      <c r="E5" s="159">
        <v>43.75</v>
      </c>
      <c r="F5" s="159">
        <f t="shared" ref="F5:F18" si="1">ROUND((E4+E5)/2*B5,2)</f>
        <v>1273.2</v>
      </c>
      <c r="G5" s="159">
        <v>0.23</v>
      </c>
      <c r="H5" s="159">
        <f t="shared" ref="H5:H18" si="2">ROUND((G4+G5)/2*B5,2)</f>
        <v>4.5999999999999996</v>
      </c>
      <c r="J5" s="91" t="s">
        <v>260</v>
      </c>
      <c r="K5" s="555" t="s">
        <v>261</v>
      </c>
      <c r="L5" s="91" t="s">
        <v>6</v>
      </c>
      <c r="M5" s="91">
        <v>4601.4399999999996</v>
      </c>
      <c r="N5" s="91">
        <v>1084.98</v>
      </c>
      <c r="O5" s="91" t="s">
        <v>242</v>
      </c>
      <c r="P5" s="91"/>
      <c r="Q5" s="91"/>
      <c r="R5" s="91"/>
      <c r="S5" s="91"/>
    </row>
    <row r="6" spans="1:19" ht="25.5">
      <c r="A6" s="158" t="s">
        <v>1722</v>
      </c>
      <c r="B6" s="158">
        <v>20</v>
      </c>
      <c r="C6" s="159">
        <v>56.39</v>
      </c>
      <c r="D6" s="159">
        <f t="shared" si="0"/>
        <v>1302.0999999999999</v>
      </c>
      <c r="E6" s="159">
        <v>34.270000000000003</v>
      </c>
      <c r="F6" s="159">
        <f t="shared" si="1"/>
        <v>780.2</v>
      </c>
      <c r="G6" s="159">
        <v>0.23</v>
      </c>
      <c r="H6" s="159">
        <f t="shared" si="2"/>
        <v>4.5999999999999996</v>
      </c>
      <c r="J6" s="91" t="s">
        <v>2648</v>
      </c>
      <c r="K6" s="555" t="s">
        <v>273</v>
      </c>
      <c r="L6" s="91" t="s">
        <v>13</v>
      </c>
      <c r="M6" s="91">
        <v>5217.7</v>
      </c>
      <c r="N6" s="91">
        <v>20.190000000000001</v>
      </c>
      <c r="O6" s="318" t="s">
        <v>2658</v>
      </c>
      <c r="P6" s="91"/>
      <c r="Q6" s="91"/>
      <c r="R6" s="91"/>
      <c r="S6" s="91"/>
    </row>
    <row r="7" spans="1:19">
      <c r="A7" s="158" t="s">
        <v>1723</v>
      </c>
      <c r="B7" s="158">
        <v>20</v>
      </c>
      <c r="C7" s="159">
        <v>104.29</v>
      </c>
      <c r="D7" s="159">
        <f t="shared" si="0"/>
        <v>1606.8</v>
      </c>
      <c r="E7" s="159">
        <v>82.09</v>
      </c>
      <c r="F7" s="159">
        <f t="shared" si="1"/>
        <v>1163.5999999999999</v>
      </c>
      <c r="G7" s="159">
        <v>0.23</v>
      </c>
      <c r="H7" s="159">
        <f t="shared" si="2"/>
        <v>4.5999999999999996</v>
      </c>
      <c r="J7" s="91" t="s">
        <v>275</v>
      </c>
      <c r="K7" s="555" t="s">
        <v>276</v>
      </c>
      <c r="L7" s="91" t="s">
        <v>6</v>
      </c>
      <c r="M7" s="91">
        <v>782.66</v>
      </c>
      <c r="N7" s="91">
        <v>2286.6799999999998</v>
      </c>
      <c r="O7" s="91" t="s">
        <v>2321</v>
      </c>
      <c r="P7" s="91"/>
      <c r="Q7" s="91"/>
      <c r="R7" s="91"/>
      <c r="S7" s="91"/>
    </row>
    <row r="8" spans="1:19" ht="25.5">
      <c r="A8" s="158" t="s">
        <v>1724</v>
      </c>
      <c r="B8" s="158">
        <v>20</v>
      </c>
      <c r="C8" s="159">
        <v>71.33</v>
      </c>
      <c r="D8" s="159">
        <f t="shared" si="0"/>
        <v>1756.2</v>
      </c>
      <c r="E8" s="159">
        <v>15.24</v>
      </c>
      <c r="F8" s="159">
        <f t="shared" si="1"/>
        <v>973.3</v>
      </c>
      <c r="G8" s="159">
        <v>0.23</v>
      </c>
      <c r="H8" s="159">
        <f t="shared" si="2"/>
        <v>4.5999999999999996</v>
      </c>
      <c r="J8" s="91" t="s">
        <v>2650</v>
      </c>
      <c r="K8" s="555" t="s">
        <v>1312</v>
      </c>
      <c r="L8" s="91" t="s">
        <v>13</v>
      </c>
      <c r="M8" s="91">
        <v>2150</v>
      </c>
      <c r="N8" s="91">
        <v>70.56</v>
      </c>
      <c r="O8" s="91" t="s">
        <v>2326</v>
      </c>
      <c r="P8" s="91"/>
      <c r="Q8" s="91"/>
      <c r="R8" s="91"/>
      <c r="S8" s="91"/>
    </row>
    <row r="9" spans="1:19" ht="13.5">
      <c r="A9" s="158" t="s">
        <v>1725</v>
      </c>
      <c r="B9" s="158">
        <v>20</v>
      </c>
      <c r="C9" s="159">
        <v>87</v>
      </c>
      <c r="D9" s="159">
        <f t="shared" si="0"/>
        <v>1583.3</v>
      </c>
      <c r="E9" s="159">
        <v>25.29</v>
      </c>
      <c r="F9" s="159">
        <f t="shared" si="1"/>
        <v>405.3</v>
      </c>
      <c r="G9" s="159">
        <v>0.23</v>
      </c>
      <c r="H9" s="159">
        <f t="shared" si="2"/>
        <v>4.5999999999999996</v>
      </c>
      <c r="J9" s="561" t="s">
        <v>2651</v>
      </c>
      <c r="K9" s="562" t="s">
        <v>310</v>
      </c>
      <c r="L9" s="561" t="s">
        <v>223</v>
      </c>
      <c r="M9" s="561">
        <v>1887.64</v>
      </c>
      <c r="N9" s="561">
        <v>320.72000000000003</v>
      </c>
      <c r="O9" s="563" t="s">
        <v>2659</v>
      </c>
      <c r="P9" s="91"/>
      <c r="Q9" s="91"/>
      <c r="R9" s="91"/>
      <c r="S9" s="91"/>
    </row>
    <row r="10" spans="1:19" ht="25.5">
      <c r="A10" s="158" t="s">
        <v>1726</v>
      </c>
      <c r="B10" s="158">
        <v>20</v>
      </c>
      <c r="C10" s="159">
        <v>89.99</v>
      </c>
      <c r="D10" s="159">
        <f t="shared" si="0"/>
        <v>1769.9</v>
      </c>
      <c r="E10" s="159">
        <v>13.35</v>
      </c>
      <c r="F10" s="159">
        <f t="shared" si="1"/>
        <v>386.4</v>
      </c>
      <c r="G10" s="159">
        <v>0.23</v>
      </c>
      <c r="H10" s="159">
        <f t="shared" si="2"/>
        <v>4.5999999999999996</v>
      </c>
      <c r="J10" s="561" t="s">
        <v>2652</v>
      </c>
      <c r="K10" s="562" t="s">
        <v>312</v>
      </c>
      <c r="L10" s="561" t="s">
        <v>223</v>
      </c>
      <c r="M10" s="561">
        <v>402.21</v>
      </c>
      <c r="N10" s="561">
        <v>346.06</v>
      </c>
      <c r="O10" s="563" t="s">
        <v>2659</v>
      </c>
      <c r="P10" s="91"/>
      <c r="Q10" s="91"/>
      <c r="R10" s="91"/>
      <c r="S10" s="91"/>
    </row>
    <row r="11" spans="1:19" ht="13.5">
      <c r="A11" s="158" t="s">
        <v>1727</v>
      </c>
      <c r="B11" s="158">
        <v>20</v>
      </c>
      <c r="C11" s="159">
        <v>83.84</v>
      </c>
      <c r="D11" s="159">
        <f t="shared" si="0"/>
        <v>1738.3</v>
      </c>
      <c r="E11" s="159">
        <v>12.74</v>
      </c>
      <c r="F11" s="159">
        <f t="shared" si="1"/>
        <v>260.89999999999998</v>
      </c>
      <c r="G11" s="159">
        <v>0.23</v>
      </c>
      <c r="H11" s="159">
        <f t="shared" si="2"/>
        <v>4.5999999999999996</v>
      </c>
      <c r="J11" s="561" t="s">
        <v>2653</v>
      </c>
      <c r="K11" s="562" t="s">
        <v>310</v>
      </c>
      <c r="L11" s="561" t="s">
        <v>223</v>
      </c>
      <c r="M11" s="561">
        <v>928.51</v>
      </c>
      <c r="N11" s="561">
        <v>320.72000000000003</v>
      </c>
      <c r="O11" s="563" t="s">
        <v>2659</v>
      </c>
      <c r="P11" s="91"/>
      <c r="Q11" s="91"/>
      <c r="R11" s="91"/>
      <c r="S11" s="91"/>
    </row>
    <row r="12" spans="1:19" ht="25.5">
      <c r="A12" s="158" t="s">
        <v>1728</v>
      </c>
      <c r="B12" s="158">
        <v>20</v>
      </c>
      <c r="C12" s="159">
        <v>56.64</v>
      </c>
      <c r="D12" s="159">
        <f t="shared" si="0"/>
        <v>1404.8</v>
      </c>
      <c r="E12" s="159">
        <v>13.21</v>
      </c>
      <c r="F12" s="159">
        <f t="shared" si="1"/>
        <v>259.5</v>
      </c>
      <c r="G12" s="159">
        <v>0.23</v>
      </c>
      <c r="H12" s="159">
        <f t="shared" si="2"/>
        <v>4.5999999999999996</v>
      </c>
      <c r="J12" s="558" t="s">
        <v>2654</v>
      </c>
      <c r="K12" s="559" t="s">
        <v>194</v>
      </c>
      <c r="L12" s="558" t="s">
        <v>23</v>
      </c>
      <c r="M12" s="558">
        <v>342.71</v>
      </c>
      <c r="N12" s="558">
        <v>48.28</v>
      </c>
      <c r="O12" s="560" t="s">
        <v>2649</v>
      </c>
      <c r="P12" s="558" t="s">
        <v>2640</v>
      </c>
      <c r="Q12" s="91"/>
      <c r="R12" s="91"/>
      <c r="S12" s="91"/>
    </row>
    <row r="13" spans="1:19" ht="25.5">
      <c r="A13" s="158" t="s">
        <v>1729</v>
      </c>
      <c r="B13" s="158">
        <v>20</v>
      </c>
      <c r="C13" s="159">
        <v>64.95</v>
      </c>
      <c r="D13" s="159">
        <f t="shared" si="0"/>
        <v>1215.9000000000001</v>
      </c>
      <c r="E13" s="159">
        <v>12.8</v>
      </c>
      <c r="F13" s="159">
        <f t="shared" si="1"/>
        <v>260.10000000000002</v>
      </c>
      <c r="G13" s="159">
        <v>0.23</v>
      </c>
      <c r="H13" s="159">
        <f t="shared" si="2"/>
        <v>4.5999999999999996</v>
      </c>
      <c r="J13" s="91" t="s">
        <v>2655</v>
      </c>
      <c r="K13" s="555" t="s">
        <v>205</v>
      </c>
      <c r="L13" s="91" t="s">
        <v>23</v>
      </c>
      <c r="M13" s="91">
        <v>231.09</v>
      </c>
      <c r="N13" s="91">
        <v>721.02</v>
      </c>
      <c r="O13" s="91" t="s">
        <v>242</v>
      </c>
      <c r="P13" s="91" t="s">
        <v>2640</v>
      </c>
      <c r="Q13" s="91"/>
      <c r="R13" s="91"/>
      <c r="S13" s="91"/>
    </row>
    <row r="14" spans="1:19" ht="13.5">
      <c r="A14" s="158" t="s">
        <v>1730</v>
      </c>
      <c r="B14" s="158">
        <v>20</v>
      </c>
      <c r="C14" s="159">
        <v>68.47</v>
      </c>
      <c r="D14" s="159">
        <f t="shared" si="0"/>
        <v>1334.2</v>
      </c>
      <c r="E14" s="159">
        <v>11.21</v>
      </c>
      <c r="F14" s="159">
        <f t="shared" si="1"/>
        <v>240.1</v>
      </c>
      <c r="G14" s="159">
        <v>0.23</v>
      </c>
      <c r="H14" s="159">
        <f t="shared" si="2"/>
        <v>4.5999999999999996</v>
      </c>
      <c r="J14" s="91" t="s">
        <v>2656</v>
      </c>
      <c r="K14" s="555" t="s">
        <v>1370</v>
      </c>
      <c r="L14" s="91" t="s">
        <v>6</v>
      </c>
      <c r="M14" s="91">
        <v>161.38999999999999</v>
      </c>
      <c r="N14" s="91">
        <v>1481.84</v>
      </c>
      <c r="O14" s="91" t="s">
        <v>242</v>
      </c>
      <c r="P14" s="575" t="s">
        <v>2687</v>
      </c>
      <c r="Q14" s="91"/>
      <c r="R14" s="91"/>
      <c r="S14" s="91"/>
    </row>
    <row r="15" spans="1:19">
      <c r="A15" s="158" t="s">
        <v>1731</v>
      </c>
      <c r="B15" s="158">
        <v>20</v>
      </c>
      <c r="C15" s="159">
        <v>58.08</v>
      </c>
      <c r="D15" s="159">
        <f t="shared" si="0"/>
        <v>1265.5</v>
      </c>
      <c r="E15" s="159">
        <v>22.53</v>
      </c>
      <c r="F15" s="159">
        <f t="shared" si="1"/>
        <v>337.4</v>
      </c>
      <c r="G15" s="159">
        <v>0.23</v>
      </c>
      <c r="H15" s="159">
        <f t="shared" si="2"/>
        <v>4.5999999999999996</v>
      </c>
      <c r="J15" s="564" t="s">
        <v>2657</v>
      </c>
      <c r="K15" s="565" t="s">
        <v>624</v>
      </c>
      <c r="L15" s="564" t="s">
        <v>6</v>
      </c>
      <c r="M15" s="564">
        <v>998</v>
      </c>
      <c r="N15" s="564">
        <v>1749.16</v>
      </c>
      <c r="O15" s="564" t="s">
        <v>242</v>
      </c>
      <c r="P15" s="91"/>
      <c r="Q15" s="91"/>
      <c r="R15" s="91"/>
      <c r="S15" s="91"/>
    </row>
    <row r="16" spans="1:19">
      <c r="A16" s="158" t="s">
        <v>1732</v>
      </c>
      <c r="B16" s="158">
        <v>20</v>
      </c>
      <c r="C16" s="159">
        <v>55.23</v>
      </c>
      <c r="D16" s="159">
        <f t="shared" si="0"/>
        <v>1133.0999999999999</v>
      </c>
      <c r="E16" s="159">
        <v>20.84</v>
      </c>
      <c r="F16" s="159">
        <f t="shared" si="1"/>
        <v>433.7</v>
      </c>
      <c r="G16" s="159">
        <v>0.23</v>
      </c>
      <c r="H16" s="159">
        <f t="shared" si="2"/>
        <v>4.5999999999999996</v>
      </c>
      <c r="J16" s="91"/>
      <c r="K16" s="555"/>
      <c r="L16" s="91"/>
      <c r="M16" s="91"/>
      <c r="N16" s="91"/>
      <c r="O16" s="91"/>
      <c r="P16" s="91"/>
      <c r="Q16" s="91"/>
      <c r="R16" s="91"/>
      <c r="S16" s="91"/>
    </row>
    <row r="17" spans="1:19">
      <c r="A17" s="158" t="s">
        <v>1733</v>
      </c>
      <c r="B17" s="158">
        <v>20</v>
      </c>
      <c r="C17" s="159">
        <v>55.79</v>
      </c>
      <c r="D17" s="159">
        <f t="shared" si="0"/>
        <v>1110.2</v>
      </c>
      <c r="E17" s="159">
        <v>30.11</v>
      </c>
      <c r="F17" s="159">
        <f t="shared" si="1"/>
        <v>509.5</v>
      </c>
      <c r="G17" s="159">
        <v>0.23</v>
      </c>
      <c r="H17" s="159">
        <f t="shared" si="2"/>
        <v>4.5999999999999996</v>
      </c>
      <c r="J17" s="91"/>
      <c r="K17" s="555"/>
      <c r="L17" s="91"/>
      <c r="M17" s="91"/>
      <c r="N17" s="91"/>
      <c r="O17" s="91"/>
      <c r="P17" s="91"/>
      <c r="Q17" s="91"/>
      <c r="R17" s="91"/>
      <c r="S17" s="91"/>
    </row>
    <row r="18" spans="1:19" ht="13.5">
      <c r="A18" s="158" t="s">
        <v>1734</v>
      </c>
      <c r="B18" s="158">
        <v>20</v>
      </c>
      <c r="C18" s="159">
        <v>22.26</v>
      </c>
      <c r="D18" s="159">
        <f t="shared" si="0"/>
        <v>780.5</v>
      </c>
      <c r="E18" s="159">
        <v>40.74</v>
      </c>
      <c r="F18" s="159">
        <f t="shared" si="1"/>
        <v>708.5</v>
      </c>
      <c r="G18" s="159">
        <v>0</v>
      </c>
      <c r="H18" s="159">
        <f t="shared" si="2"/>
        <v>2.2999999999999998</v>
      </c>
      <c r="L18" s="147"/>
      <c r="M18" s="245"/>
    </row>
    <row r="19" spans="1:19">
      <c r="A19" s="158" t="s">
        <v>1704</v>
      </c>
      <c r="B19" s="158"/>
      <c r="C19" s="159">
        <f t="shared" ref="C19:H19" si="3">SUM(C3:C18)</f>
        <v>1346.94</v>
      </c>
      <c r="D19" s="159">
        <f t="shared" si="3"/>
        <v>26370.3</v>
      </c>
      <c r="E19" s="159">
        <f t="shared" si="3"/>
        <v>512.16499999999996</v>
      </c>
      <c r="F19" s="159">
        <f t="shared" si="3"/>
        <v>9331.6500000000015</v>
      </c>
      <c r="G19" s="159">
        <f t="shared" si="3"/>
        <v>18.340000000000003</v>
      </c>
      <c r="H19" s="159">
        <f t="shared" si="3"/>
        <v>215.59999999999994</v>
      </c>
      <c r="J19" s="557"/>
    </row>
    <row r="20" spans="1:19">
      <c r="J20" s="240"/>
    </row>
    <row r="21" spans="1:19" ht="13.5">
      <c r="A21" s="81" t="s">
        <v>2660</v>
      </c>
      <c r="K21" s="82"/>
    </row>
    <row r="22" spans="1:19" ht="13.5">
      <c r="A22" s="569" t="s">
        <v>2649</v>
      </c>
      <c r="B22" s="81">
        <f>D19</f>
        <v>26370.3</v>
      </c>
      <c r="C22" s="147" t="s">
        <v>2661</v>
      </c>
      <c r="E22" s="569" t="s">
        <v>2659</v>
      </c>
      <c r="F22" s="82">
        <v>9083.5</v>
      </c>
      <c r="G22" s="147" t="s">
        <v>2662</v>
      </c>
      <c r="I22" s="570" t="s">
        <v>2663</v>
      </c>
      <c r="J22" s="82">
        <f>B22-F22</f>
        <v>17286.8</v>
      </c>
      <c r="K22" s="570" t="s">
        <v>2664</v>
      </c>
      <c r="L22" s="147" t="s">
        <v>2665</v>
      </c>
      <c r="M22" s="571">
        <v>13251</v>
      </c>
      <c r="Q22" s="572" t="s">
        <v>2666</v>
      </c>
      <c r="R22" s="240">
        <f>M24+M25+M26+M30+M28</f>
        <v>10572.3</v>
      </c>
    </row>
    <row r="23" spans="1:19" ht="13.5">
      <c r="B23" s="81">
        <v>1639.56</v>
      </c>
      <c r="C23" s="147" t="s">
        <v>2667</v>
      </c>
      <c r="F23" s="82">
        <v>1639.56</v>
      </c>
      <c r="G23" s="147" t="s">
        <v>2667</v>
      </c>
      <c r="J23" s="82">
        <f>B23-F23</f>
        <v>0</v>
      </c>
      <c r="K23" s="87"/>
      <c r="L23" s="147" t="s">
        <v>2668</v>
      </c>
      <c r="M23" s="82">
        <v>782.66</v>
      </c>
    </row>
    <row r="24" spans="1:19" ht="14.25">
      <c r="B24" s="81">
        <v>5217.7</v>
      </c>
      <c r="C24" s="556" t="s">
        <v>2669</v>
      </c>
      <c r="F24" s="82">
        <f>1887.64+402.21</f>
        <v>2289.85</v>
      </c>
      <c r="G24" s="556" t="s">
        <v>2669</v>
      </c>
      <c r="J24" s="82">
        <f>B24-F24</f>
        <v>2927.85</v>
      </c>
      <c r="K24" s="87"/>
      <c r="L24" s="147" t="s">
        <v>2670</v>
      </c>
      <c r="M24" s="240">
        <v>4601.4399999999996</v>
      </c>
      <c r="N24" s="147" t="s">
        <v>2671</v>
      </c>
    </row>
    <row r="25" spans="1:19" ht="13.5">
      <c r="B25" s="81">
        <f>342.71</f>
        <v>342.71</v>
      </c>
      <c r="C25" s="82" t="s">
        <v>2672</v>
      </c>
      <c r="F25" s="82">
        <v>928.51</v>
      </c>
      <c r="G25" s="82" t="s">
        <v>2672</v>
      </c>
      <c r="J25" s="82">
        <f>B25-F25</f>
        <v>-585.79999999999995</v>
      </c>
      <c r="K25" s="87"/>
      <c r="L25" s="82" t="s">
        <v>2673</v>
      </c>
      <c r="M25" s="240">
        <v>161.38999999999999</v>
      </c>
      <c r="N25" s="147" t="s">
        <v>2674</v>
      </c>
    </row>
    <row r="26" spans="1:19" ht="13.5">
      <c r="B26" s="81">
        <f>ROUND(322/30*35,2)</f>
        <v>375.67</v>
      </c>
      <c r="C26" s="82" t="s">
        <v>2675</v>
      </c>
      <c r="F26" s="82">
        <v>0</v>
      </c>
      <c r="G26" s="82" t="s">
        <v>2675</v>
      </c>
      <c r="J26" s="82">
        <f>B26-F26</f>
        <v>375.67</v>
      </c>
      <c r="K26" s="87"/>
      <c r="L26" s="147" t="s">
        <v>2676</v>
      </c>
      <c r="M26" s="240">
        <v>375.67</v>
      </c>
      <c r="N26" s="147" t="s">
        <v>2677</v>
      </c>
    </row>
    <row r="27" spans="1:19" ht="13.5">
      <c r="B27" s="81">
        <v>4813.4399999999996</v>
      </c>
      <c r="C27" s="147" t="s">
        <v>2678</v>
      </c>
      <c r="F27" s="82">
        <v>212.1</v>
      </c>
      <c r="G27" s="147" t="s">
        <v>2679</v>
      </c>
      <c r="J27" s="82">
        <v>4601.4399999999996</v>
      </c>
      <c r="K27" s="569" t="s">
        <v>2680</v>
      </c>
      <c r="M27" s="87">
        <f>SUM(M22:M26)</f>
        <v>19172.159999999996</v>
      </c>
    </row>
    <row r="28" spans="1:19" ht="13.5">
      <c r="A28" s="569" t="s">
        <v>142</v>
      </c>
      <c r="B28" s="81">
        <f>SUM(B22:B27)</f>
        <v>38759.379999999997</v>
      </c>
      <c r="E28" s="569" t="s">
        <v>142</v>
      </c>
      <c r="F28" s="81">
        <f>SUM(F22:F27)</f>
        <v>14153.52</v>
      </c>
      <c r="I28" s="569" t="s">
        <v>142</v>
      </c>
      <c r="J28" s="573">
        <f>SUM(J22:J27)</f>
        <v>24605.959999999995</v>
      </c>
      <c r="K28" s="569" t="s">
        <v>2681</v>
      </c>
      <c r="L28" s="245" t="s">
        <v>2682</v>
      </c>
      <c r="M28" s="240">
        <f>J28-M27</f>
        <v>5433.7999999999993</v>
      </c>
    </row>
    <row r="29" spans="1:19" ht="13.5">
      <c r="K29" s="569" t="s">
        <v>2683</v>
      </c>
      <c r="M29" s="574">
        <f>M27+M28</f>
        <v>24605.959999999995</v>
      </c>
    </row>
    <row r="30" spans="1:19" ht="13.5">
      <c r="K30" s="569"/>
    </row>
    <row r="31" spans="1:19" ht="13.5">
      <c r="B31" s="148" t="s">
        <v>2684</v>
      </c>
      <c r="C31" s="147" t="s">
        <v>2670</v>
      </c>
      <c r="D31" s="82">
        <v>4601.4399999999996</v>
      </c>
      <c r="E31" s="147" t="s">
        <v>2685</v>
      </c>
      <c r="K31" s="87"/>
    </row>
    <row r="32" spans="1:19">
      <c r="K32" s="87"/>
    </row>
    <row r="33" spans="1:18">
      <c r="K33" s="87"/>
    </row>
    <row r="34" spans="1:18" ht="13.5">
      <c r="A34" s="81" t="s">
        <v>2686</v>
      </c>
      <c r="K34" s="87"/>
    </row>
    <row r="35" spans="1:18" ht="13.5">
      <c r="A35" s="569" t="s">
        <v>2649</v>
      </c>
      <c r="B35" s="81">
        <f>D19</f>
        <v>26370.3</v>
      </c>
      <c r="C35" s="147" t="s">
        <v>2661</v>
      </c>
      <c r="E35" s="569" t="s">
        <v>2659</v>
      </c>
      <c r="F35" s="82">
        <v>9083.5</v>
      </c>
      <c r="G35" s="147" t="s">
        <v>2662</v>
      </c>
      <c r="I35" s="570" t="s">
        <v>2663</v>
      </c>
      <c r="J35" s="82">
        <f>B35-F35</f>
        <v>17286.8</v>
      </c>
      <c r="K35" s="570" t="s">
        <v>2664</v>
      </c>
      <c r="L35" s="147" t="s">
        <v>2665</v>
      </c>
      <c r="M35" s="571">
        <v>13251</v>
      </c>
      <c r="Q35" s="572" t="s">
        <v>2666</v>
      </c>
      <c r="R35" s="240">
        <f>M37+M38+M39+M43+M41</f>
        <v>5970.8600000000006</v>
      </c>
    </row>
    <row r="36" spans="1:18" ht="13.5">
      <c r="B36" s="81">
        <v>1639.56</v>
      </c>
      <c r="C36" s="147" t="s">
        <v>2667</v>
      </c>
      <c r="F36" s="82">
        <v>1639.56</v>
      </c>
      <c r="G36" s="147" t="s">
        <v>2667</v>
      </c>
      <c r="J36" s="82">
        <f>B36-F36</f>
        <v>0</v>
      </c>
      <c r="K36" s="87"/>
      <c r="L36" s="147" t="s">
        <v>2668</v>
      </c>
      <c r="M36" s="82">
        <v>782.66</v>
      </c>
    </row>
    <row r="37" spans="1:18" ht="14.25">
      <c r="B37" s="81">
        <v>5217.7</v>
      </c>
      <c r="C37" s="556" t="s">
        <v>2669</v>
      </c>
      <c r="F37" s="82">
        <f>1887.64+402.21</f>
        <v>2289.85</v>
      </c>
      <c r="G37" s="556" t="s">
        <v>2669</v>
      </c>
      <c r="J37" s="82">
        <f>B37-F37</f>
        <v>2927.85</v>
      </c>
      <c r="K37" s="87"/>
      <c r="L37" s="147" t="s">
        <v>2670</v>
      </c>
      <c r="M37" s="240">
        <v>4601.4399999999996</v>
      </c>
      <c r="N37" s="147" t="s">
        <v>2671</v>
      </c>
    </row>
    <row r="38" spans="1:18" ht="13.5">
      <c r="B38" s="81">
        <f>342.71</f>
        <v>342.71</v>
      </c>
      <c r="C38" s="82" t="s">
        <v>2672</v>
      </c>
      <c r="F38" s="82">
        <v>928.51</v>
      </c>
      <c r="G38" s="82" t="s">
        <v>2672</v>
      </c>
      <c r="J38" s="82">
        <f>B38-F38</f>
        <v>-585.79999999999995</v>
      </c>
      <c r="K38" s="87"/>
      <c r="L38" s="82" t="s">
        <v>2673</v>
      </c>
      <c r="M38" s="240">
        <v>161.38999999999999</v>
      </c>
      <c r="N38" s="147" t="s">
        <v>2674</v>
      </c>
    </row>
    <row r="39" spans="1:18" ht="13.5">
      <c r="B39" s="81">
        <f>ROUND(322/30*35,2)</f>
        <v>375.67</v>
      </c>
      <c r="C39" s="82" t="s">
        <v>2675</v>
      </c>
      <c r="F39" s="82">
        <v>0</v>
      </c>
      <c r="G39" s="82" t="s">
        <v>2675</v>
      </c>
      <c r="J39" s="82">
        <f>B39-F39</f>
        <v>375.67</v>
      </c>
      <c r="K39" s="87"/>
      <c r="L39" s="147" t="s">
        <v>2676</v>
      </c>
      <c r="M39" s="240">
        <v>375.67</v>
      </c>
      <c r="N39" s="147" t="s">
        <v>2677</v>
      </c>
    </row>
    <row r="40" spans="1:18" ht="13.5">
      <c r="C40" s="147"/>
      <c r="G40" s="147"/>
      <c r="K40" s="569" t="s">
        <v>2680</v>
      </c>
      <c r="M40" s="87">
        <f>SUM(M35:M39)</f>
        <v>19172.159999999996</v>
      </c>
    </row>
    <row r="41" spans="1:18" ht="13.5">
      <c r="A41" s="569" t="s">
        <v>142</v>
      </c>
      <c r="B41" s="81">
        <f>SUM(B35:B40)</f>
        <v>33945.939999999995</v>
      </c>
      <c r="E41" s="569" t="s">
        <v>142</v>
      </c>
      <c r="F41" s="81">
        <f>SUM(F35:F40)</f>
        <v>13941.42</v>
      </c>
      <c r="I41" s="569" t="s">
        <v>142</v>
      </c>
      <c r="J41" s="573">
        <f>SUM(J35:J40)</f>
        <v>20004.519999999997</v>
      </c>
      <c r="K41" s="569" t="s">
        <v>2681</v>
      </c>
      <c r="L41" s="245" t="s">
        <v>2682</v>
      </c>
      <c r="M41" s="240">
        <f>J41-M40</f>
        <v>832.36000000000058</v>
      </c>
    </row>
    <row r="42" spans="1:18" ht="13.5">
      <c r="K42" s="569" t="s">
        <v>2683</v>
      </c>
      <c r="M42" s="574">
        <f>M40+M41</f>
        <v>20004.519999999997</v>
      </c>
    </row>
    <row r="43" spans="1:18" ht="13.5">
      <c r="K43" s="569"/>
    </row>
    <row r="44" spans="1:18" ht="13.5">
      <c r="B44" s="148" t="s">
        <v>2684</v>
      </c>
      <c r="C44" s="147" t="s">
        <v>2670</v>
      </c>
      <c r="D44" s="82">
        <v>4601.4399999999996</v>
      </c>
      <c r="E44" s="147" t="s">
        <v>2685</v>
      </c>
      <c r="K44" s="87"/>
    </row>
    <row r="45" spans="1:18">
      <c r="K45" s="87"/>
    </row>
    <row r="46" spans="1:18" ht="14.25">
      <c r="A46" s="603" t="s">
        <v>2715</v>
      </c>
      <c r="B46" s="588"/>
      <c r="C46" s="589"/>
      <c r="D46" s="589"/>
      <c r="E46" s="589"/>
      <c r="F46" s="589"/>
      <c r="G46" s="589"/>
      <c r="H46" s="589"/>
      <c r="I46" s="589"/>
      <c r="J46" s="589"/>
      <c r="K46" s="590"/>
      <c r="L46" s="589"/>
      <c r="M46" s="589"/>
      <c r="N46" s="589"/>
      <c r="O46" s="589"/>
      <c r="P46" s="589"/>
      <c r="Q46" s="589"/>
    </row>
    <row r="47" spans="1:18" ht="14.25">
      <c r="A47" s="591" t="s">
        <v>2649</v>
      </c>
      <c r="B47" s="590">
        <v>25831.3</v>
      </c>
      <c r="C47" s="592" t="s">
        <v>2661</v>
      </c>
      <c r="D47" s="589"/>
      <c r="E47" s="591" t="s">
        <v>2659</v>
      </c>
      <c r="F47" s="589">
        <f>ROUND(9083/0.9*1.3,0)</f>
        <v>13120</v>
      </c>
      <c r="G47" s="592" t="s">
        <v>2662</v>
      </c>
      <c r="H47" s="589"/>
      <c r="I47" s="591"/>
      <c r="J47" s="589"/>
      <c r="K47" s="591" t="s">
        <v>2720</v>
      </c>
      <c r="L47" s="592" t="s">
        <v>2665</v>
      </c>
      <c r="M47" s="593">
        <v>13251</v>
      </c>
      <c r="N47" s="589"/>
      <c r="O47" s="589"/>
      <c r="P47" s="589"/>
      <c r="Q47" s="589"/>
    </row>
    <row r="48" spans="1:18" ht="14.25">
      <c r="A48" s="588"/>
      <c r="B48" s="590">
        <v>1639.56</v>
      </c>
      <c r="C48" s="592" t="s">
        <v>2667</v>
      </c>
      <c r="D48" s="589"/>
      <c r="E48" s="589"/>
      <c r="F48" s="589">
        <v>1639.56</v>
      </c>
      <c r="G48" s="592" t="s">
        <v>2667</v>
      </c>
      <c r="H48" s="589"/>
      <c r="I48" s="589"/>
      <c r="J48" s="589"/>
      <c r="K48" s="590"/>
      <c r="L48" s="592" t="s">
        <v>2668</v>
      </c>
      <c r="M48" s="594">
        <v>782.66</v>
      </c>
      <c r="N48" s="589"/>
      <c r="O48" s="589"/>
      <c r="P48" s="589"/>
      <c r="Q48" s="589"/>
    </row>
    <row r="49" spans="1:17" ht="14.25">
      <c r="A49" s="588"/>
      <c r="B49" s="590">
        <v>5217.7</v>
      </c>
      <c r="C49" s="592" t="s">
        <v>2721</v>
      </c>
      <c r="D49" s="589"/>
      <c r="E49" s="589"/>
      <c r="F49" s="589">
        <f>1887.64+402.21</f>
        <v>2289.85</v>
      </c>
      <c r="G49" s="592" t="s">
        <v>2721</v>
      </c>
      <c r="H49" s="589"/>
      <c r="I49" s="589"/>
      <c r="J49" s="589"/>
      <c r="K49" s="590"/>
      <c r="L49" s="592" t="s">
        <v>2670</v>
      </c>
      <c r="M49" s="594">
        <v>4601.4399999999996</v>
      </c>
      <c r="N49" s="592" t="s">
        <v>2671</v>
      </c>
      <c r="O49" s="589"/>
      <c r="P49" s="589"/>
      <c r="Q49" s="589"/>
    </row>
    <row r="50" spans="1:17" ht="14.25">
      <c r="A50" s="588"/>
      <c r="B50" s="590">
        <f>342.71</f>
        <v>342.71</v>
      </c>
      <c r="C50" s="589" t="s">
        <v>2722</v>
      </c>
      <c r="D50" s="589"/>
      <c r="E50" s="589"/>
      <c r="F50" s="589">
        <v>928.51</v>
      </c>
      <c r="G50" s="589" t="s">
        <v>2722</v>
      </c>
      <c r="H50" s="589"/>
      <c r="I50" s="589"/>
      <c r="J50" s="589"/>
      <c r="K50" s="590"/>
      <c r="L50" s="589" t="s">
        <v>2723</v>
      </c>
      <c r="M50" s="594">
        <v>161.38999999999999</v>
      </c>
      <c r="N50" s="592" t="s">
        <v>2674</v>
      </c>
      <c r="O50" s="589"/>
      <c r="P50" s="589"/>
      <c r="Q50" s="589"/>
    </row>
    <row r="51" spans="1:17" ht="14.25">
      <c r="A51" s="588"/>
      <c r="B51" s="590">
        <f>ROUND(322/30*35,2)</f>
        <v>375.67</v>
      </c>
      <c r="C51" s="589" t="s">
        <v>2724</v>
      </c>
      <c r="D51" s="589"/>
      <c r="E51" s="589"/>
      <c r="F51" s="589">
        <v>0</v>
      </c>
      <c r="G51" s="589" t="s">
        <v>2724</v>
      </c>
      <c r="H51" s="589"/>
      <c r="I51" s="589"/>
      <c r="J51" s="589"/>
      <c r="K51" s="590"/>
      <c r="L51" s="592" t="s">
        <v>2676</v>
      </c>
      <c r="M51" s="594">
        <v>375.67</v>
      </c>
      <c r="N51" s="592" t="s">
        <v>2677</v>
      </c>
      <c r="O51" s="589"/>
      <c r="P51" s="589"/>
      <c r="Q51" s="589"/>
    </row>
    <row r="52" spans="1:17" ht="14.25">
      <c r="A52" s="588"/>
      <c r="B52" s="590">
        <v>4813.4399999999996</v>
      </c>
      <c r="C52" s="592" t="s">
        <v>2678</v>
      </c>
      <c r="D52" s="589"/>
      <c r="E52" s="589"/>
      <c r="F52" s="589">
        <v>212.1</v>
      </c>
      <c r="G52" s="592" t="s">
        <v>2679</v>
      </c>
      <c r="H52" s="589"/>
      <c r="I52" s="589"/>
      <c r="J52" s="589"/>
      <c r="K52" s="591" t="s">
        <v>2716</v>
      </c>
      <c r="L52" s="589"/>
      <c r="M52" s="590">
        <f>SUM(M47:M51)</f>
        <v>19172.159999999996</v>
      </c>
      <c r="N52" s="589"/>
      <c r="O52" s="589"/>
      <c r="P52" s="589"/>
      <c r="Q52" s="589"/>
    </row>
    <row r="53" spans="1:17" ht="14.25">
      <c r="A53" s="588"/>
      <c r="B53" s="590">
        <f>-I68</f>
        <v>-485.09999999999997</v>
      </c>
      <c r="C53" s="592" t="s">
        <v>2718</v>
      </c>
      <c r="D53" s="589"/>
      <c r="E53" s="589"/>
      <c r="F53" s="589">
        <f>I61</f>
        <v>0</v>
      </c>
      <c r="G53" s="592" t="s">
        <v>2713</v>
      </c>
      <c r="H53" s="589"/>
      <c r="I53" s="589"/>
      <c r="J53" s="589"/>
      <c r="K53" s="591" t="s">
        <v>2681</v>
      </c>
      <c r="L53" s="592" t="s">
        <v>2714</v>
      </c>
      <c r="M53" s="594">
        <f>F61-M52</f>
        <v>-151.32999999999811</v>
      </c>
      <c r="N53" s="589"/>
      <c r="O53" s="589"/>
      <c r="P53" s="589"/>
      <c r="Q53" s="589"/>
    </row>
    <row r="54" spans="1:17" ht="14.25">
      <c r="A54" s="588"/>
      <c r="B54" s="590">
        <f>-I69</f>
        <v>-23.19</v>
      </c>
      <c r="C54" s="592" t="s">
        <v>2694</v>
      </c>
      <c r="D54" s="589"/>
      <c r="E54" s="589"/>
      <c r="F54" s="589">
        <f>I65</f>
        <v>59.07</v>
      </c>
      <c r="G54" s="592" t="s">
        <v>2689</v>
      </c>
      <c r="H54" s="589"/>
      <c r="I54" s="589"/>
      <c r="J54" s="589"/>
      <c r="K54" s="591" t="s">
        <v>2683</v>
      </c>
      <c r="L54" s="589"/>
      <c r="M54" s="595">
        <f>M52+M53</f>
        <v>19020.829999999998</v>
      </c>
      <c r="N54" s="589"/>
      <c r="O54" s="589"/>
      <c r="P54" s="589"/>
      <c r="Q54" s="589"/>
    </row>
    <row r="55" spans="1:17" ht="14.25">
      <c r="A55" s="588"/>
      <c r="B55" s="588"/>
      <c r="C55" s="589"/>
      <c r="D55" s="589"/>
      <c r="E55" s="589"/>
      <c r="F55" s="589">
        <f>I67</f>
        <v>331.49999999999994</v>
      </c>
      <c r="G55" s="592" t="s">
        <v>2693</v>
      </c>
      <c r="H55" s="589"/>
      <c r="I55" s="589"/>
      <c r="J55" s="589"/>
      <c r="K55" s="591" t="s">
        <v>2717</v>
      </c>
      <c r="L55" s="589"/>
      <c r="M55" s="594">
        <f>M49+M50+M51+M53</f>
        <v>4987.1700000000019</v>
      </c>
      <c r="N55" s="589"/>
      <c r="O55" s="589"/>
      <c r="P55" s="589"/>
      <c r="Q55" s="589"/>
    </row>
    <row r="56" spans="1:17" ht="14.25">
      <c r="A56" s="588"/>
      <c r="B56" s="588"/>
      <c r="C56" s="589"/>
      <c r="D56" s="589"/>
      <c r="E56" s="589"/>
      <c r="F56" s="589">
        <f>I66</f>
        <v>23.19</v>
      </c>
      <c r="G56" s="592" t="s">
        <v>2691</v>
      </c>
      <c r="H56" s="589"/>
      <c r="I56" s="589"/>
      <c r="J56" s="596"/>
      <c r="K56" s="597"/>
      <c r="L56" s="596"/>
      <c r="M56" s="596"/>
      <c r="N56" s="596"/>
      <c r="O56" s="596"/>
      <c r="P56" s="589"/>
      <c r="Q56" s="589"/>
    </row>
    <row r="57" spans="1:17" ht="14.25">
      <c r="A57" s="596"/>
      <c r="B57" s="589"/>
      <c r="C57" s="589"/>
      <c r="D57" s="589"/>
      <c r="E57" s="589"/>
      <c r="F57" s="589">
        <f>I70</f>
        <v>87.48</v>
      </c>
      <c r="G57" s="589" t="s">
        <v>2725</v>
      </c>
      <c r="H57" s="596"/>
      <c r="I57" s="591"/>
      <c r="J57" s="589"/>
      <c r="K57" s="589"/>
      <c r="L57" s="589"/>
      <c r="M57" s="589"/>
      <c r="N57" s="589"/>
      <c r="O57" s="589"/>
      <c r="P57" s="589"/>
      <c r="Q57" s="589"/>
    </row>
    <row r="58" spans="1:17" ht="14.25">
      <c r="A58" s="589"/>
      <c r="B58" s="589"/>
      <c r="C58" s="589"/>
      <c r="D58" s="589"/>
      <c r="E58" s="589"/>
      <c r="F58" s="589"/>
      <c r="G58" s="589"/>
      <c r="H58" s="589"/>
      <c r="I58" s="589"/>
      <c r="J58" s="589"/>
      <c r="K58" s="589"/>
      <c r="L58" s="589"/>
      <c r="M58" s="589"/>
      <c r="N58" s="589"/>
      <c r="O58" s="589"/>
      <c r="P58" s="589"/>
      <c r="Q58" s="589"/>
    </row>
    <row r="59" spans="1:17" ht="14.25">
      <c r="A59" s="589"/>
      <c r="B59" s="589"/>
      <c r="C59" s="589"/>
      <c r="D59" s="589"/>
      <c r="E59" s="589"/>
      <c r="F59" s="589"/>
      <c r="G59" s="589"/>
      <c r="H59" s="589"/>
      <c r="I59" s="589"/>
      <c r="J59" s="589"/>
      <c r="K59" s="589"/>
      <c r="L59" s="589"/>
      <c r="M59" s="589"/>
      <c r="N59" s="589"/>
      <c r="O59" s="589"/>
      <c r="P59" s="589"/>
      <c r="Q59" s="589"/>
    </row>
    <row r="60" spans="1:17" ht="14.25">
      <c r="A60" s="591" t="s">
        <v>142</v>
      </c>
      <c r="B60" s="590">
        <f>ROUND(SUM(B47:B59),2)</f>
        <v>37712.089999999997</v>
      </c>
      <c r="C60" s="589"/>
      <c r="D60" s="589"/>
      <c r="E60" s="591" t="s">
        <v>142</v>
      </c>
      <c r="F60" s="590">
        <f>ROUND(SUM(F47:F59),2)</f>
        <v>18691.259999999998</v>
      </c>
      <c r="G60" s="589"/>
      <c r="H60" s="589"/>
      <c r="I60" s="589"/>
      <c r="J60" s="588"/>
      <c r="K60" s="591" t="s">
        <v>2710</v>
      </c>
      <c r="L60" s="592" t="s">
        <v>2708</v>
      </c>
      <c r="M60" s="592" t="s">
        <v>2709</v>
      </c>
      <c r="N60" s="592" t="s">
        <v>2711</v>
      </c>
      <c r="O60" s="592" t="s">
        <v>2712</v>
      </c>
      <c r="P60" s="589"/>
      <c r="Q60" s="589"/>
    </row>
    <row r="61" spans="1:17" ht="14.25">
      <c r="A61" s="588"/>
      <c r="B61" s="588"/>
      <c r="C61" s="589"/>
      <c r="D61" s="589"/>
      <c r="E61" s="590" t="s">
        <v>2726</v>
      </c>
      <c r="F61" s="595">
        <f>B60-F60</f>
        <v>19020.829999999998</v>
      </c>
      <c r="G61" s="589"/>
      <c r="H61" s="589"/>
      <c r="I61" s="589"/>
      <c r="J61" s="589"/>
      <c r="K61" s="598" t="s">
        <v>2699</v>
      </c>
      <c r="L61" s="589">
        <v>5.31</v>
      </c>
      <c r="M61" s="589">
        <v>5.31</v>
      </c>
      <c r="N61" s="589">
        <v>0</v>
      </c>
      <c r="O61" s="596"/>
      <c r="P61" s="589"/>
      <c r="Q61" s="589"/>
    </row>
    <row r="62" spans="1:17" ht="14.25">
      <c r="A62" s="588"/>
      <c r="B62" s="588"/>
      <c r="C62" s="589"/>
      <c r="D62" s="589"/>
      <c r="E62" s="589"/>
      <c r="F62" s="589"/>
      <c r="G62" s="589"/>
      <c r="H62" s="589"/>
      <c r="I62" s="589"/>
      <c r="J62" s="589"/>
      <c r="K62" s="590" t="s">
        <v>2700</v>
      </c>
      <c r="L62" s="589">
        <v>4.96</v>
      </c>
      <c r="M62" s="593">
        <f>5.25-0.15</f>
        <v>5.0999999999999996</v>
      </c>
      <c r="N62" s="589">
        <f>M62-L62</f>
        <v>0.13999999999999968</v>
      </c>
      <c r="O62" s="589">
        <f>ROUND((N61+N62)/2*8.5*20,2)</f>
        <v>11.9</v>
      </c>
      <c r="P62" s="589"/>
      <c r="Q62" s="589"/>
    </row>
    <row r="63" spans="1:17" ht="14.25">
      <c r="A63" s="587" t="s">
        <v>2684</v>
      </c>
      <c r="B63" s="592" t="s">
        <v>2670</v>
      </c>
      <c r="C63" s="589">
        <v>4601.4399999999996</v>
      </c>
      <c r="D63" s="592" t="s">
        <v>2685</v>
      </c>
      <c r="E63" s="589"/>
      <c r="F63" s="589"/>
      <c r="G63" s="589"/>
      <c r="H63" s="589"/>
      <c r="I63" s="589"/>
      <c r="J63" s="589"/>
      <c r="K63" s="590" t="s">
        <v>2701</v>
      </c>
      <c r="L63" s="589">
        <v>4.97</v>
      </c>
      <c r="M63" s="589">
        <f>5.37-0.15</f>
        <v>5.22</v>
      </c>
      <c r="N63" s="589">
        <f t="shared" ref="N63:N69" si="4">M63-L63</f>
        <v>0.25</v>
      </c>
      <c r="O63" s="589">
        <f>ROUND((N62+N63)/2*8.5*20,2)</f>
        <v>33.15</v>
      </c>
      <c r="P63" s="589"/>
      <c r="Q63" s="589"/>
    </row>
    <row r="64" spans="1:17" ht="14.25">
      <c r="A64" s="588"/>
      <c r="B64" s="592" t="s">
        <v>2727</v>
      </c>
      <c r="C64" s="589"/>
      <c r="D64" s="589"/>
      <c r="E64" s="599" t="s">
        <v>2719</v>
      </c>
      <c r="F64" s="599"/>
      <c r="G64" s="599"/>
      <c r="H64" s="599"/>
      <c r="I64" s="589">
        <f>ROUND((5.46*7.42/2-5.46*3.71/2)*50,2)</f>
        <v>506.42</v>
      </c>
      <c r="J64" s="589"/>
      <c r="K64" s="590" t="s">
        <v>2702</v>
      </c>
      <c r="L64" s="589">
        <v>4.99</v>
      </c>
      <c r="M64" s="589">
        <f>5.44-0.15</f>
        <v>5.29</v>
      </c>
      <c r="N64" s="589">
        <f t="shared" si="4"/>
        <v>0.29999999999999982</v>
      </c>
      <c r="O64" s="589">
        <f t="shared" ref="O64:O69" si="5">ROUND((N63+N64)/2*8.5*20,2)</f>
        <v>46.75</v>
      </c>
      <c r="P64" s="589"/>
      <c r="Q64" s="589"/>
    </row>
    <row r="65" spans="1:17" ht="14.25">
      <c r="A65" s="588"/>
      <c r="B65" s="592" t="s">
        <v>2689</v>
      </c>
      <c r="C65" s="589"/>
      <c r="D65" s="589"/>
      <c r="E65" s="599" t="s">
        <v>2690</v>
      </c>
      <c r="F65" s="599"/>
      <c r="G65" s="599"/>
      <c r="H65" s="599"/>
      <c r="I65" s="589">
        <f>ROUND((3.9625*21.55-1*1)*0.7,2)</f>
        <v>59.07</v>
      </c>
      <c r="J65" s="589"/>
      <c r="K65" s="590" t="s">
        <v>2703</v>
      </c>
      <c r="L65" s="589">
        <v>5.01</v>
      </c>
      <c r="M65" s="589">
        <f>5.5-0.15</f>
        <v>5.35</v>
      </c>
      <c r="N65" s="589">
        <f t="shared" si="4"/>
        <v>0.33999999999999986</v>
      </c>
      <c r="O65" s="589">
        <f t="shared" si="5"/>
        <v>54.4</v>
      </c>
      <c r="P65" s="589"/>
      <c r="Q65" s="589"/>
    </row>
    <row r="66" spans="1:17" ht="14.25">
      <c r="A66" s="588"/>
      <c r="B66" s="592" t="s">
        <v>2691</v>
      </c>
      <c r="C66" s="589"/>
      <c r="D66" s="589"/>
      <c r="E66" s="599" t="s">
        <v>2695</v>
      </c>
      <c r="F66" s="599"/>
      <c r="G66" s="599"/>
      <c r="H66" s="599"/>
      <c r="I66" s="589">
        <f>ROUND(0.32*0.32*3.14*36+0.25*0.25*3.14*59.2,2)</f>
        <v>23.19</v>
      </c>
      <c r="J66" s="589"/>
      <c r="K66" s="590" t="s">
        <v>2704</v>
      </c>
      <c r="L66" s="589">
        <v>5.04</v>
      </c>
      <c r="M66" s="589">
        <f>5.5-0.15</f>
        <v>5.35</v>
      </c>
      <c r="N66" s="589">
        <f t="shared" si="4"/>
        <v>0.30999999999999961</v>
      </c>
      <c r="O66" s="589">
        <f t="shared" si="5"/>
        <v>55.25</v>
      </c>
      <c r="P66" s="589"/>
      <c r="Q66" s="589"/>
    </row>
    <row r="67" spans="1:17" ht="14.25">
      <c r="A67" s="588"/>
      <c r="B67" s="592" t="s">
        <v>2693</v>
      </c>
      <c r="C67" s="589"/>
      <c r="D67" s="589"/>
      <c r="E67" s="599" t="s">
        <v>2728</v>
      </c>
      <c r="F67" s="599"/>
      <c r="G67" s="599"/>
      <c r="H67" s="599"/>
      <c r="I67" s="593">
        <f>O70</f>
        <v>331.49999999999994</v>
      </c>
      <c r="J67" s="589"/>
      <c r="K67" s="590" t="s">
        <v>2705</v>
      </c>
      <c r="L67" s="589">
        <v>5.09</v>
      </c>
      <c r="M67" s="589">
        <f>5.5-0.15</f>
        <v>5.35</v>
      </c>
      <c r="N67" s="589">
        <f t="shared" si="4"/>
        <v>0.25999999999999979</v>
      </c>
      <c r="O67" s="589">
        <f t="shared" si="5"/>
        <v>48.45</v>
      </c>
      <c r="P67" s="589"/>
      <c r="Q67" s="589"/>
    </row>
    <row r="68" spans="1:17" ht="14.25">
      <c r="A68" s="588"/>
      <c r="B68" s="592" t="s">
        <v>2718</v>
      </c>
      <c r="C68" s="589"/>
      <c r="D68" s="589"/>
      <c r="E68" s="599" t="s">
        <v>2688</v>
      </c>
      <c r="F68" s="599"/>
      <c r="G68" s="599"/>
      <c r="H68" s="599"/>
      <c r="I68" s="589">
        <f>(280-60)*7.35*0.3</f>
        <v>485.09999999999997</v>
      </c>
      <c r="J68" s="589"/>
      <c r="K68" s="590" t="s">
        <v>2706</v>
      </c>
      <c r="L68" s="589">
        <v>5.15</v>
      </c>
      <c r="M68" s="589">
        <f>5.56-0.15</f>
        <v>5.4099999999999993</v>
      </c>
      <c r="N68" s="589">
        <f t="shared" si="4"/>
        <v>0.2599999999999989</v>
      </c>
      <c r="O68" s="589">
        <f t="shared" si="5"/>
        <v>44.2</v>
      </c>
      <c r="P68" s="596"/>
      <c r="Q68" s="589"/>
    </row>
    <row r="69" spans="1:17" ht="14.25">
      <c r="A69" s="588"/>
      <c r="B69" s="592" t="s">
        <v>2694</v>
      </c>
      <c r="C69" s="589"/>
      <c r="D69" s="589"/>
      <c r="E69" s="599" t="s">
        <v>2695</v>
      </c>
      <c r="F69" s="599"/>
      <c r="G69" s="599"/>
      <c r="H69" s="599"/>
      <c r="I69" s="589">
        <f>ROUND((0.32*0.32*3.14*36)+(0.25*0.25*3.14*59.2),2)</f>
        <v>23.19</v>
      </c>
      <c r="J69" s="589"/>
      <c r="K69" s="590" t="s">
        <v>2707</v>
      </c>
      <c r="L69" s="589">
        <v>5.21</v>
      </c>
      <c r="M69" s="589">
        <f>5.54-0.15</f>
        <v>5.39</v>
      </c>
      <c r="N69" s="589">
        <f t="shared" si="4"/>
        <v>0.17999999999999972</v>
      </c>
      <c r="O69" s="589">
        <f t="shared" si="5"/>
        <v>37.4</v>
      </c>
      <c r="P69" s="596"/>
      <c r="Q69" s="589"/>
    </row>
    <row r="70" spans="1:17" ht="14.25">
      <c r="A70" s="588"/>
      <c r="B70" s="589" t="s">
        <v>2725</v>
      </c>
      <c r="C70" s="589"/>
      <c r="D70" s="589"/>
      <c r="E70" s="599" t="s">
        <v>2729</v>
      </c>
      <c r="F70" s="599"/>
      <c r="G70" s="599"/>
      <c r="H70" s="599"/>
      <c r="I70" s="589">
        <f>3.6*2/2*24.3</f>
        <v>87.48</v>
      </c>
      <c r="J70" s="589"/>
      <c r="K70" s="600" t="s">
        <v>142</v>
      </c>
      <c r="L70" s="589"/>
      <c r="M70" s="589"/>
      <c r="N70" s="589"/>
      <c r="O70" s="596">
        <f>SUM(O61:O69)</f>
        <v>331.49999999999994</v>
      </c>
      <c r="P70" s="596"/>
      <c r="Q70" s="589"/>
    </row>
    <row r="71" spans="1:17" ht="14.25">
      <c r="A71" s="596"/>
      <c r="B71" s="596"/>
      <c r="C71" s="596"/>
      <c r="D71" s="596"/>
      <c r="E71" s="596"/>
      <c r="F71" s="596"/>
      <c r="G71" s="596"/>
      <c r="H71" s="596"/>
      <c r="I71" s="589"/>
      <c r="J71" s="596"/>
      <c r="K71" s="601"/>
      <c r="L71" s="589"/>
      <c r="M71" s="589"/>
      <c r="N71" s="589"/>
      <c r="O71" s="589"/>
      <c r="P71" s="589"/>
      <c r="Q71" s="589"/>
    </row>
    <row r="72" spans="1:17" ht="14.25">
      <c r="A72" s="596"/>
      <c r="B72" s="596"/>
      <c r="C72" s="596"/>
      <c r="D72" s="596"/>
      <c r="E72" s="596"/>
      <c r="F72" s="596"/>
      <c r="G72" s="596"/>
      <c r="H72" s="596"/>
      <c r="I72" s="589"/>
      <c r="J72" s="596"/>
      <c r="K72" s="598"/>
      <c r="L72" s="596"/>
      <c r="M72" s="596"/>
      <c r="N72" s="596"/>
      <c r="O72" s="596"/>
      <c r="P72" s="589"/>
      <c r="Q72" s="589"/>
    </row>
    <row r="73" spans="1:17" ht="14.25">
      <c r="A73" s="596"/>
      <c r="B73" s="589"/>
      <c r="C73" s="589"/>
      <c r="D73" s="589"/>
      <c r="E73" s="589"/>
      <c r="F73" s="589"/>
      <c r="G73" s="589"/>
      <c r="H73" s="596"/>
      <c r="I73" s="589"/>
      <c r="J73" s="596"/>
      <c r="K73" s="602"/>
      <c r="L73" s="596"/>
      <c r="M73" s="596"/>
      <c r="N73" s="596"/>
      <c r="O73" s="596"/>
      <c r="P73" s="589"/>
      <c r="Q73" s="589"/>
    </row>
  </sheetData>
  <phoneticPr fontId="1" type="noConversion"/>
  <printOptions horizontalCentered="1"/>
  <pageMargins left="0.11811023622047245" right="0.11811023622047245" top="0.15748031496062992" bottom="0.15748031496062992" header="0.31496062992125984" footer="0.31496062992125984"/>
  <pageSetup paperSize="9" scale="68" orientation="landscape" r:id="rId1"/>
  <colBreaks count="1" manualBreakCount="1">
    <brk id="19" min="20" max="58" man="1"/>
  </colBreaks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BAD54-B10E-4DE3-8B32-DA2EAD0BBA93}">
  <dimension ref="A1:D18"/>
  <sheetViews>
    <sheetView workbookViewId="0">
      <selection activeCell="E20" sqref="E20"/>
    </sheetView>
  </sheetViews>
  <sheetFormatPr defaultRowHeight="12.75"/>
  <cols>
    <col min="1" max="2" width="16.140625" style="81" customWidth="1"/>
    <col min="3" max="3" width="11.28515625" style="81" customWidth="1"/>
    <col min="4" max="16384" width="9.140625" style="81"/>
  </cols>
  <sheetData>
    <row r="1" spans="1:4" ht="13.5">
      <c r="A1" s="148" t="s">
        <v>3082</v>
      </c>
      <c r="B1" s="148" t="s">
        <v>3149</v>
      </c>
      <c r="C1" s="148" t="s">
        <v>3148</v>
      </c>
      <c r="D1" s="148" t="s">
        <v>3150</v>
      </c>
    </row>
    <row r="2" spans="1:4">
      <c r="A2" s="81" t="s">
        <v>3145</v>
      </c>
      <c r="B2" s="81">
        <v>176.7</v>
      </c>
      <c r="C2" s="81">
        <f>20.3384+29.2024+9.5844+26.0361+23.8328+81.6726+14.9693+19.0143+14.4405+14.4147+14.3993+24.0158</f>
        <v>291.92060000000004</v>
      </c>
      <c r="D2" s="81">
        <f>B2-C2</f>
        <v>-115.22060000000005</v>
      </c>
    </row>
    <row r="3" spans="1:4">
      <c r="A3" s="81" t="s">
        <v>3146</v>
      </c>
      <c r="B3" s="81">
        <v>251.7</v>
      </c>
      <c r="C3" s="81">
        <f>12.7995+12.1839+8.8285+3.3687+4.8485+12.9075+5.4303+22.0926+11.5443+11.114+15.1074+14.3396</f>
        <v>134.56480000000002</v>
      </c>
      <c r="D3" s="81">
        <f>B3-C3</f>
        <v>117.13519999999997</v>
      </c>
    </row>
    <row r="4" spans="1:4" ht="13.5">
      <c r="A4" s="81" t="s">
        <v>3147</v>
      </c>
      <c r="B4" s="81">
        <v>40.64</v>
      </c>
      <c r="C4" s="81">
        <f>9.0809+14.3461+17.2149</f>
        <v>40.6419</v>
      </c>
    </row>
    <row r="12" spans="1:4" ht="13.5">
      <c r="B12" s="246" t="s">
        <v>3420</v>
      </c>
      <c r="C12" s="85">
        <f>20.3384+29.2024+26.0361+14.9693+19.0143+14.4405+14.4147+14.3993+24.0158</f>
        <v>176.83080000000001</v>
      </c>
    </row>
    <row r="13" spans="1:4" ht="13.5">
      <c r="B13" s="81" t="s">
        <v>3418</v>
      </c>
      <c r="C13" s="85" t="s">
        <v>3417</v>
      </c>
    </row>
    <row r="14" spans="1:4">
      <c r="C14" s="85" t="s">
        <v>3416</v>
      </c>
    </row>
    <row r="15" spans="1:4" ht="13.5">
      <c r="B15" s="830" t="s">
        <v>3419</v>
      </c>
      <c r="C15" s="81">
        <f>12.7995+12.1839+8.8285+3.3687+4.8485+12.9075+5.4303+22.0926+11.5443+11.114+15.1074+14.3396+9.5844+23.8328+81.6726</f>
        <v>249.65460000000002</v>
      </c>
    </row>
    <row r="18" spans="3:4" ht="13.5">
      <c r="C18" s="81">
        <f>24.3+31.7+70.49+81.67+62.97+37.66+97.74+4.85+8.83+12.91+5.43+22.09+13.75</f>
        <v>474.39</v>
      </c>
      <c r="D18" s="782" t="s">
        <v>3415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0B75A-87CD-418A-ABB0-671074B0A791}">
  <dimension ref="A1:I881"/>
  <sheetViews>
    <sheetView workbookViewId="0">
      <selection activeCell="O21" sqref="O21"/>
    </sheetView>
  </sheetViews>
  <sheetFormatPr defaultRowHeight="12.75"/>
  <cols>
    <col min="1" max="1" width="11" bestFit="1" customWidth="1"/>
    <col min="6" max="6" width="10.28515625" customWidth="1"/>
    <col min="7" max="8" width="11.42578125" customWidth="1"/>
    <col min="9" max="9" width="11.5703125" customWidth="1"/>
  </cols>
  <sheetData>
    <row r="1" spans="1:9" ht="14.25">
      <c r="A1" s="483" t="s">
        <v>2535</v>
      </c>
      <c r="B1" s="283" t="s">
        <v>2134</v>
      </c>
      <c r="C1" s="283" t="s">
        <v>2135</v>
      </c>
      <c r="D1" s="283" t="s">
        <v>2136</v>
      </c>
      <c r="E1" s="283" t="s">
        <v>2501</v>
      </c>
      <c r="F1" s="283" t="s">
        <v>2502</v>
      </c>
      <c r="G1" s="283" t="s">
        <v>2503</v>
      </c>
      <c r="H1" s="283" t="s">
        <v>2504</v>
      </c>
      <c r="I1" s="283" t="s">
        <v>2505</v>
      </c>
    </row>
    <row r="2" spans="1:9" ht="13.5">
      <c r="A2" s="20" t="s">
        <v>2539</v>
      </c>
      <c r="B2">
        <v>56.2</v>
      </c>
      <c r="C2">
        <v>294</v>
      </c>
      <c r="D2">
        <v>616</v>
      </c>
      <c r="E2">
        <v>820.1</v>
      </c>
      <c r="F2">
        <v>909.7</v>
      </c>
      <c r="G2">
        <v>849.7</v>
      </c>
      <c r="H2">
        <v>722.2</v>
      </c>
      <c r="I2">
        <v>710</v>
      </c>
    </row>
    <row r="3" spans="1:9" ht="13.5">
      <c r="A3" s="20" t="s">
        <v>2540</v>
      </c>
      <c r="B3">
        <v>1789.2</v>
      </c>
      <c r="C3">
        <v>1325.9</v>
      </c>
      <c r="D3">
        <v>690.7</v>
      </c>
      <c r="E3">
        <v>288.5</v>
      </c>
      <c r="F3">
        <v>111.7</v>
      </c>
      <c r="G3">
        <v>229.4</v>
      </c>
      <c r="H3">
        <v>480.9</v>
      </c>
      <c r="I3">
        <v>606.5</v>
      </c>
    </row>
    <row r="4" spans="1:9" ht="13.5">
      <c r="A4" s="20" t="s">
        <v>2541</v>
      </c>
      <c r="B4">
        <v>540</v>
      </c>
      <c r="C4">
        <v>540</v>
      </c>
      <c r="D4">
        <v>540</v>
      </c>
      <c r="E4">
        <v>540</v>
      </c>
      <c r="F4">
        <v>540</v>
      </c>
      <c r="G4">
        <v>540</v>
      </c>
      <c r="H4">
        <v>540</v>
      </c>
      <c r="I4">
        <v>540</v>
      </c>
    </row>
    <row r="5" spans="1:9" ht="13.5">
      <c r="A5" s="482" t="s">
        <v>142</v>
      </c>
      <c r="B5">
        <f>SUM(B2:B4)</f>
        <v>2385.4</v>
      </c>
      <c r="C5">
        <f t="shared" ref="C5:I5" si="0">SUM(C2:C4)</f>
        <v>2159.9</v>
      </c>
      <c r="D5">
        <f t="shared" si="0"/>
        <v>1846.7</v>
      </c>
      <c r="E5">
        <f t="shared" si="0"/>
        <v>1648.6</v>
      </c>
      <c r="F5">
        <f t="shared" si="0"/>
        <v>1561.4</v>
      </c>
      <c r="G5">
        <f t="shared" si="0"/>
        <v>1619.1000000000001</v>
      </c>
      <c r="H5">
        <f t="shared" si="0"/>
        <v>1743.1</v>
      </c>
      <c r="I5">
        <f t="shared" si="0"/>
        <v>1856.5</v>
      </c>
    </row>
    <row r="6" spans="1:9">
      <c r="A6" s="20"/>
    </row>
    <row r="7" spans="1:9">
      <c r="A7" s="20"/>
    </row>
    <row r="8" spans="1:9" ht="13.5">
      <c r="A8" s="481" t="s">
        <v>2536</v>
      </c>
    </row>
    <row r="9" spans="1:9" ht="13.5">
      <c r="A9" s="20"/>
      <c r="B9" s="456" t="s">
        <v>2509</v>
      </c>
      <c r="C9" s="456" t="s">
        <v>2510</v>
      </c>
      <c r="D9" s="456" t="s">
        <v>2511</v>
      </c>
      <c r="E9" s="456" t="s">
        <v>2512</v>
      </c>
      <c r="F9" s="455" t="s">
        <v>2506</v>
      </c>
      <c r="G9" s="455" t="s">
        <v>2543</v>
      </c>
      <c r="H9" s="455" t="s">
        <v>2507</v>
      </c>
    </row>
    <row r="10" spans="1:9">
      <c r="A10" s="283" t="s">
        <v>2134</v>
      </c>
      <c r="B10">
        <v>56.2</v>
      </c>
      <c r="C10">
        <v>1789.2</v>
      </c>
      <c r="D10">
        <v>540</v>
      </c>
      <c r="E10">
        <f t="shared" ref="E10:E17" si="1">SUM(B10:D10)</f>
        <v>2385.4</v>
      </c>
      <c r="H10">
        <f>2190/(1.525*6.096)</f>
        <v>235.57506131405705</v>
      </c>
      <c r="I10">
        <f>ROUND(F10*G10*H10,2)</f>
        <v>0</v>
      </c>
    </row>
    <row r="11" spans="1:9">
      <c r="A11" s="283" t="s">
        <v>2135</v>
      </c>
      <c r="B11">
        <v>294</v>
      </c>
      <c r="C11">
        <v>1325.9</v>
      </c>
      <c r="D11">
        <v>540</v>
      </c>
      <c r="E11">
        <f t="shared" si="1"/>
        <v>2159.9</v>
      </c>
      <c r="F11">
        <v>3.6</v>
      </c>
      <c r="G11">
        <f t="shared" ref="G11:G17" si="2">ROUND((E10+E11)/2/1000,2)</f>
        <v>2.27</v>
      </c>
      <c r="H11">
        <f t="shared" ref="H11:H17" si="3">2190/(1.525*6.096)</f>
        <v>235.57506131405705</v>
      </c>
      <c r="I11">
        <f t="shared" ref="I11:I17" si="4">ROUND(F11*G11*H11,2)</f>
        <v>1925.12</v>
      </c>
    </row>
    <row r="12" spans="1:9">
      <c r="A12" s="283" t="s">
        <v>2136</v>
      </c>
      <c r="B12">
        <v>616</v>
      </c>
      <c r="C12">
        <v>690.7</v>
      </c>
      <c r="D12">
        <v>540</v>
      </c>
      <c r="E12">
        <f t="shared" si="1"/>
        <v>1846.7</v>
      </c>
      <c r="F12">
        <v>5.9</v>
      </c>
      <c r="G12">
        <f t="shared" si="2"/>
        <v>2</v>
      </c>
      <c r="H12">
        <f t="shared" si="3"/>
        <v>235.57506131405705</v>
      </c>
      <c r="I12">
        <f t="shared" si="4"/>
        <v>2779.79</v>
      </c>
    </row>
    <row r="13" spans="1:9">
      <c r="A13" s="283" t="s">
        <v>2501</v>
      </c>
      <c r="B13">
        <v>820.1</v>
      </c>
      <c r="C13">
        <v>288.5</v>
      </c>
      <c r="D13">
        <v>540</v>
      </c>
      <c r="E13">
        <f t="shared" si="1"/>
        <v>1648.6</v>
      </c>
      <c r="F13">
        <v>6.8</v>
      </c>
      <c r="G13">
        <f t="shared" si="2"/>
        <v>1.75</v>
      </c>
      <c r="H13">
        <f t="shared" si="3"/>
        <v>235.57506131405705</v>
      </c>
      <c r="I13">
        <f t="shared" si="4"/>
        <v>2803.34</v>
      </c>
    </row>
    <row r="14" spans="1:9">
      <c r="A14" s="283" t="s">
        <v>2502</v>
      </c>
      <c r="B14">
        <v>909.7</v>
      </c>
      <c r="C14">
        <v>111.7</v>
      </c>
      <c r="D14">
        <v>540</v>
      </c>
      <c r="E14">
        <f t="shared" si="1"/>
        <v>1561.4</v>
      </c>
      <c r="F14">
        <v>4</v>
      </c>
      <c r="G14">
        <f t="shared" si="2"/>
        <v>1.61</v>
      </c>
      <c r="H14">
        <f t="shared" si="3"/>
        <v>235.57506131405705</v>
      </c>
      <c r="I14">
        <f t="shared" si="4"/>
        <v>1517.1</v>
      </c>
    </row>
    <row r="15" spans="1:9">
      <c r="A15" s="283" t="s">
        <v>2503</v>
      </c>
      <c r="B15">
        <v>849.7</v>
      </c>
      <c r="C15">
        <v>229.4</v>
      </c>
      <c r="D15">
        <v>540</v>
      </c>
      <c r="E15">
        <f t="shared" si="1"/>
        <v>1619.1000000000001</v>
      </c>
      <c r="F15">
        <v>2.2000000000000002</v>
      </c>
      <c r="G15">
        <f t="shared" si="2"/>
        <v>1.59</v>
      </c>
      <c r="H15">
        <f t="shared" si="3"/>
        <v>235.57506131405705</v>
      </c>
      <c r="I15">
        <f t="shared" si="4"/>
        <v>824.04</v>
      </c>
    </row>
    <row r="16" spans="1:9">
      <c r="A16" s="283" t="s">
        <v>2504</v>
      </c>
      <c r="B16">
        <v>722.2</v>
      </c>
      <c r="C16">
        <v>480.9</v>
      </c>
      <c r="D16">
        <v>540</v>
      </c>
      <c r="E16">
        <f t="shared" si="1"/>
        <v>1743.1</v>
      </c>
      <c r="F16">
        <v>6.5</v>
      </c>
      <c r="G16">
        <f t="shared" si="2"/>
        <v>1.68</v>
      </c>
      <c r="H16">
        <f t="shared" si="3"/>
        <v>235.57506131405705</v>
      </c>
      <c r="I16">
        <f t="shared" si="4"/>
        <v>2572.48</v>
      </c>
    </row>
    <row r="17" spans="1:9">
      <c r="A17" s="283" t="s">
        <v>2505</v>
      </c>
      <c r="B17">
        <v>710</v>
      </c>
      <c r="C17">
        <v>606.5</v>
      </c>
      <c r="D17">
        <v>540</v>
      </c>
      <c r="E17">
        <f t="shared" si="1"/>
        <v>1856.5</v>
      </c>
      <c r="F17">
        <v>3.6</v>
      </c>
      <c r="G17">
        <f t="shared" si="2"/>
        <v>1.8</v>
      </c>
      <c r="H17">
        <f t="shared" si="3"/>
        <v>235.57506131405705</v>
      </c>
      <c r="I17">
        <f t="shared" si="4"/>
        <v>1526.53</v>
      </c>
    </row>
    <row r="18" spans="1:9">
      <c r="A18" s="20"/>
      <c r="I18" s="518">
        <f>SUM(I10:I17)</f>
        <v>13948.4</v>
      </c>
    </row>
    <row r="19" spans="1:9">
      <c r="A19" s="20"/>
    </row>
    <row r="20" spans="1:9" ht="13.5">
      <c r="A20" s="481" t="s">
        <v>2537</v>
      </c>
      <c r="B20" s="283" t="s">
        <v>2134</v>
      </c>
      <c r="C20" s="283" t="s">
        <v>2135</v>
      </c>
      <c r="D20" s="283" t="s">
        <v>2136</v>
      </c>
      <c r="E20" s="283" t="s">
        <v>2501</v>
      </c>
      <c r="F20" s="283" t="s">
        <v>2502</v>
      </c>
      <c r="G20" s="283" t="s">
        <v>2503</v>
      </c>
      <c r="H20" s="283" t="s">
        <v>2504</v>
      </c>
      <c r="I20" s="283" t="s">
        <v>2505</v>
      </c>
    </row>
    <row r="21" spans="1:9" ht="13.5">
      <c r="A21" s="20" t="s">
        <v>2539</v>
      </c>
      <c r="B21">
        <v>537.5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537.5</v>
      </c>
    </row>
    <row r="22" spans="1:9" ht="13.5">
      <c r="A22" s="20" t="s">
        <v>2540</v>
      </c>
      <c r="B22">
        <v>137.9</v>
      </c>
      <c r="C22">
        <v>756</v>
      </c>
      <c r="D22">
        <v>756</v>
      </c>
      <c r="E22">
        <v>756</v>
      </c>
      <c r="F22">
        <v>756</v>
      </c>
      <c r="G22">
        <v>756</v>
      </c>
      <c r="H22">
        <v>756</v>
      </c>
      <c r="I22">
        <v>137.9</v>
      </c>
    </row>
    <row r="23" spans="1:9" ht="13.5">
      <c r="A23" s="482" t="s">
        <v>142</v>
      </c>
      <c r="B23">
        <f>B21+B22</f>
        <v>675.4</v>
      </c>
      <c r="C23">
        <f t="shared" ref="C23:I23" si="5">C21+C22</f>
        <v>756</v>
      </c>
      <c r="D23">
        <f t="shared" si="5"/>
        <v>756</v>
      </c>
      <c r="E23">
        <f t="shared" si="5"/>
        <v>756</v>
      </c>
      <c r="F23">
        <f t="shared" si="5"/>
        <v>756</v>
      </c>
      <c r="G23">
        <f t="shared" si="5"/>
        <v>756</v>
      </c>
      <c r="H23">
        <f t="shared" si="5"/>
        <v>756</v>
      </c>
      <c r="I23">
        <f t="shared" si="5"/>
        <v>675.4</v>
      </c>
    </row>
    <row r="24" spans="1:9">
      <c r="A24" s="20"/>
    </row>
    <row r="25" spans="1:9">
      <c r="A25" s="20"/>
    </row>
    <row r="26" spans="1:9" ht="13.5">
      <c r="A26" s="20"/>
      <c r="G26" t="s">
        <v>2545</v>
      </c>
    </row>
    <row r="27" spans="1:9" ht="13.5">
      <c r="A27" s="482" t="s">
        <v>2538</v>
      </c>
      <c r="B27" s="456" t="s">
        <v>2509</v>
      </c>
      <c r="C27" s="456" t="s">
        <v>2510</v>
      </c>
      <c r="D27" t="s">
        <v>2542</v>
      </c>
      <c r="E27" s="455" t="s">
        <v>2544</v>
      </c>
      <c r="F27" s="455" t="s">
        <v>2508</v>
      </c>
      <c r="G27" s="484" t="s">
        <v>1767</v>
      </c>
    </row>
    <row r="28" spans="1:9">
      <c r="A28" s="283" t="s">
        <v>2134</v>
      </c>
      <c r="B28">
        <v>537.5</v>
      </c>
      <c r="C28">
        <v>137.9</v>
      </c>
      <c r="D28">
        <f>B28+C28</f>
        <v>675.4</v>
      </c>
      <c r="G28">
        <f>ROUND(F28*6*0.00793*E28,2)</f>
        <v>0</v>
      </c>
    </row>
    <row r="29" spans="1:9">
      <c r="A29" s="283" t="s">
        <v>2135</v>
      </c>
      <c r="B29">
        <v>0</v>
      </c>
      <c r="C29">
        <v>756</v>
      </c>
      <c r="D29">
        <f t="shared" ref="D29:D35" si="6">B29+C29</f>
        <v>756</v>
      </c>
      <c r="E29">
        <f>3.6*1000</f>
        <v>3600</v>
      </c>
      <c r="F29">
        <f>ROUND((D28+D29)/2,2)</f>
        <v>715.7</v>
      </c>
      <c r="G29">
        <f>ROUND(F29*6*0.00793*E29/1000,2)</f>
        <v>122.59</v>
      </c>
    </row>
    <row r="30" spans="1:9">
      <c r="A30" s="283" t="s">
        <v>2136</v>
      </c>
      <c r="B30">
        <v>0</v>
      </c>
      <c r="C30">
        <v>756</v>
      </c>
      <c r="D30">
        <f t="shared" si="6"/>
        <v>756</v>
      </c>
      <c r="E30">
        <f>5.9*1000</f>
        <v>5900</v>
      </c>
      <c r="F30">
        <f t="shared" ref="F30:F35" si="7">ROUND((D29+D30)/2,2)</f>
        <v>756</v>
      </c>
      <c r="G30">
        <f t="shared" ref="G30:G35" si="8">ROUND(F30*6*0.00793*E30/1000,2)</f>
        <v>212.23</v>
      </c>
    </row>
    <row r="31" spans="1:9">
      <c r="A31" s="283" t="s">
        <v>2501</v>
      </c>
      <c r="B31">
        <v>0</v>
      </c>
      <c r="C31">
        <v>756</v>
      </c>
      <c r="D31">
        <f t="shared" si="6"/>
        <v>756</v>
      </c>
      <c r="E31">
        <f>6.8*1000</f>
        <v>6800</v>
      </c>
      <c r="F31">
        <f t="shared" si="7"/>
        <v>756</v>
      </c>
      <c r="G31">
        <f t="shared" si="8"/>
        <v>244.6</v>
      </c>
    </row>
    <row r="32" spans="1:9">
      <c r="A32" s="283" t="s">
        <v>2502</v>
      </c>
      <c r="B32">
        <v>0</v>
      </c>
      <c r="C32">
        <v>756</v>
      </c>
      <c r="D32">
        <f t="shared" si="6"/>
        <v>756</v>
      </c>
      <c r="E32">
        <f>4*1000</f>
        <v>4000</v>
      </c>
      <c r="F32">
        <f t="shared" si="7"/>
        <v>756</v>
      </c>
      <c r="G32">
        <f t="shared" si="8"/>
        <v>143.88</v>
      </c>
    </row>
    <row r="33" spans="1:7">
      <c r="A33" s="283" t="s">
        <v>2503</v>
      </c>
      <c r="B33">
        <v>0</v>
      </c>
      <c r="C33">
        <v>756</v>
      </c>
      <c r="D33">
        <f t="shared" si="6"/>
        <v>756</v>
      </c>
      <c r="E33">
        <f>2.2*1000</f>
        <v>2200</v>
      </c>
      <c r="F33">
        <f t="shared" si="7"/>
        <v>756</v>
      </c>
      <c r="G33">
        <f t="shared" si="8"/>
        <v>79.14</v>
      </c>
    </row>
    <row r="34" spans="1:7">
      <c r="A34" s="283" t="s">
        <v>2504</v>
      </c>
      <c r="B34">
        <v>0</v>
      </c>
      <c r="C34">
        <v>756</v>
      </c>
      <c r="D34">
        <f t="shared" si="6"/>
        <v>756</v>
      </c>
      <c r="E34">
        <f>6.5*1000</f>
        <v>6500</v>
      </c>
      <c r="F34">
        <f t="shared" si="7"/>
        <v>756</v>
      </c>
      <c r="G34">
        <f t="shared" si="8"/>
        <v>233.81</v>
      </c>
    </row>
    <row r="35" spans="1:7">
      <c r="A35" s="283" t="s">
        <v>2505</v>
      </c>
      <c r="B35">
        <v>537.5</v>
      </c>
      <c r="C35">
        <v>137.9</v>
      </c>
      <c r="D35">
        <f t="shared" si="6"/>
        <v>675.4</v>
      </c>
      <c r="E35">
        <f>3.6*1000</f>
        <v>3600</v>
      </c>
      <c r="F35">
        <f t="shared" si="7"/>
        <v>715.7</v>
      </c>
      <c r="G35">
        <f t="shared" si="8"/>
        <v>122.59</v>
      </c>
    </row>
    <row r="36" spans="1:7" ht="13.5">
      <c r="A36" s="482" t="s">
        <v>142</v>
      </c>
      <c r="G36" s="518">
        <f>SUM(G28:G35)</f>
        <v>1158.8399999999999</v>
      </c>
    </row>
    <row r="37" spans="1:7">
      <c r="A37" s="20"/>
    </row>
    <row r="38" spans="1:7">
      <c r="A38" s="20"/>
    </row>
    <row r="39" spans="1:7">
      <c r="A39" s="20"/>
    </row>
    <row r="40" spans="1:7">
      <c r="A40" s="20"/>
    </row>
    <row r="41" spans="1:7">
      <c r="A41" s="20"/>
    </row>
    <row r="42" spans="1:7">
      <c r="A42" s="20"/>
    </row>
    <row r="43" spans="1:7">
      <c r="A43" s="20"/>
    </row>
    <row r="44" spans="1:7">
      <c r="A44" s="20"/>
    </row>
    <row r="45" spans="1:7">
      <c r="A45" s="20"/>
    </row>
    <row r="46" spans="1:7">
      <c r="A46" s="20"/>
    </row>
    <row r="47" spans="1:7">
      <c r="A47" s="20"/>
    </row>
    <row r="48" spans="1:7">
      <c r="A48" s="20"/>
    </row>
    <row r="49" spans="1:1">
      <c r="A49" s="20"/>
    </row>
    <row r="50" spans="1:1">
      <c r="A50" s="20"/>
    </row>
    <row r="51" spans="1:1">
      <c r="A51" s="20"/>
    </row>
    <row r="52" spans="1:1">
      <c r="A52" s="20"/>
    </row>
    <row r="53" spans="1:1">
      <c r="A53" s="20"/>
    </row>
    <row r="54" spans="1:1">
      <c r="A54" s="20"/>
    </row>
    <row r="55" spans="1:1">
      <c r="A55" s="20"/>
    </row>
    <row r="56" spans="1:1">
      <c r="A56" s="20"/>
    </row>
    <row r="57" spans="1:1">
      <c r="A57" s="20"/>
    </row>
    <row r="58" spans="1:1">
      <c r="A58" s="20"/>
    </row>
    <row r="59" spans="1:1">
      <c r="A59" s="20"/>
    </row>
    <row r="60" spans="1:1">
      <c r="A60" s="20"/>
    </row>
    <row r="61" spans="1:1">
      <c r="A61" s="20"/>
    </row>
    <row r="62" spans="1:1">
      <c r="A62" s="20"/>
    </row>
    <row r="63" spans="1:1">
      <c r="A63" s="20"/>
    </row>
    <row r="64" spans="1:1">
      <c r="A64" s="20"/>
    </row>
    <row r="65" spans="1:1">
      <c r="A65" s="20"/>
    </row>
    <row r="66" spans="1:1">
      <c r="A66" s="20"/>
    </row>
    <row r="67" spans="1:1">
      <c r="A67" s="20"/>
    </row>
    <row r="68" spans="1:1">
      <c r="A68" s="20"/>
    </row>
    <row r="69" spans="1:1">
      <c r="A69" s="20"/>
    </row>
    <row r="70" spans="1:1">
      <c r="A70" s="20"/>
    </row>
    <row r="71" spans="1:1">
      <c r="A71" s="20"/>
    </row>
    <row r="72" spans="1:1">
      <c r="A72" s="20"/>
    </row>
    <row r="73" spans="1:1">
      <c r="A73" s="20"/>
    </row>
    <row r="74" spans="1:1">
      <c r="A74" s="20"/>
    </row>
    <row r="75" spans="1:1">
      <c r="A75" s="20"/>
    </row>
    <row r="76" spans="1:1">
      <c r="A76" s="20"/>
    </row>
    <row r="77" spans="1:1">
      <c r="A77" s="20"/>
    </row>
    <row r="78" spans="1:1">
      <c r="A78" s="20"/>
    </row>
    <row r="79" spans="1:1">
      <c r="A79" s="20"/>
    </row>
    <row r="80" spans="1:1">
      <c r="A80" s="20"/>
    </row>
    <row r="81" spans="1:1">
      <c r="A81" s="20"/>
    </row>
    <row r="82" spans="1:1">
      <c r="A82" s="20"/>
    </row>
    <row r="83" spans="1:1">
      <c r="A83" s="20"/>
    </row>
    <row r="84" spans="1:1">
      <c r="A84" s="20"/>
    </row>
    <row r="85" spans="1:1">
      <c r="A85" s="20"/>
    </row>
    <row r="86" spans="1:1">
      <c r="A86" s="20"/>
    </row>
    <row r="87" spans="1:1">
      <c r="A87" s="20"/>
    </row>
    <row r="88" spans="1:1">
      <c r="A88" s="20"/>
    </row>
    <row r="89" spans="1:1">
      <c r="A89" s="20"/>
    </row>
    <row r="90" spans="1:1">
      <c r="A90" s="20"/>
    </row>
    <row r="91" spans="1:1">
      <c r="A91" s="20"/>
    </row>
    <row r="92" spans="1:1">
      <c r="A92" s="20"/>
    </row>
    <row r="93" spans="1:1">
      <c r="A93" s="20"/>
    </row>
    <row r="94" spans="1:1">
      <c r="A94" s="20"/>
    </row>
    <row r="95" spans="1:1">
      <c r="A95" s="20"/>
    </row>
    <row r="96" spans="1:1">
      <c r="A96" s="20"/>
    </row>
    <row r="97" spans="1:1">
      <c r="A97" s="20"/>
    </row>
    <row r="98" spans="1:1">
      <c r="A98" s="20"/>
    </row>
    <row r="99" spans="1:1">
      <c r="A99" s="20"/>
    </row>
    <row r="100" spans="1:1">
      <c r="A100" s="20"/>
    </row>
    <row r="101" spans="1:1">
      <c r="A101" s="20"/>
    </row>
    <row r="102" spans="1:1">
      <c r="A102" s="20"/>
    </row>
    <row r="103" spans="1:1">
      <c r="A103" s="20"/>
    </row>
    <row r="104" spans="1:1">
      <c r="A104" s="20"/>
    </row>
    <row r="105" spans="1:1">
      <c r="A105" s="20"/>
    </row>
    <row r="106" spans="1:1">
      <c r="A106" s="20"/>
    </row>
    <row r="107" spans="1:1">
      <c r="A107" s="20"/>
    </row>
    <row r="108" spans="1:1">
      <c r="A108" s="20"/>
    </row>
    <row r="109" spans="1:1">
      <c r="A109" s="20"/>
    </row>
    <row r="110" spans="1:1">
      <c r="A110" s="20"/>
    </row>
    <row r="111" spans="1:1">
      <c r="A111" s="20"/>
    </row>
    <row r="112" spans="1:1">
      <c r="A112" s="20"/>
    </row>
    <row r="113" spans="1:1">
      <c r="A113" s="20"/>
    </row>
    <row r="114" spans="1:1">
      <c r="A114" s="20"/>
    </row>
    <row r="115" spans="1:1">
      <c r="A115" s="20"/>
    </row>
    <row r="116" spans="1:1">
      <c r="A116" s="20"/>
    </row>
    <row r="117" spans="1:1">
      <c r="A117" s="20"/>
    </row>
    <row r="118" spans="1:1">
      <c r="A118" s="20"/>
    </row>
    <row r="119" spans="1:1">
      <c r="A119" s="20"/>
    </row>
    <row r="120" spans="1:1">
      <c r="A120" s="20"/>
    </row>
    <row r="121" spans="1:1">
      <c r="A121" s="20"/>
    </row>
    <row r="122" spans="1:1">
      <c r="A122" s="20"/>
    </row>
    <row r="123" spans="1:1">
      <c r="A123" s="20"/>
    </row>
    <row r="124" spans="1:1">
      <c r="A124" s="20"/>
    </row>
    <row r="125" spans="1:1">
      <c r="A125" s="20"/>
    </row>
    <row r="126" spans="1:1">
      <c r="A126" s="20"/>
    </row>
    <row r="127" spans="1:1">
      <c r="A127" s="20"/>
    </row>
    <row r="128" spans="1:1">
      <c r="A128" s="20"/>
    </row>
    <row r="129" spans="1:1">
      <c r="A129" s="20"/>
    </row>
    <row r="130" spans="1:1">
      <c r="A130" s="20"/>
    </row>
    <row r="131" spans="1:1">
      <c r="A131" s="20"/>
    </row>
    <row r="132" spans="1:1">
      <c r="A132" s="20"/>
    </row>
    <row r="133" spans="1:1">
      <c r="A133" s="20"/>
    </row>
    <row r="134" spans="1:1">
      <c r="A134" s="20"/>
    </row>
    <row r="135" spans="1:1">
      <c r="A135" s="20"/>
    </row>
    <row r="136" spans="1:1">
      <c r="A136" s="20"/>
    </row>
    <row r="137" spans="1:1">
      <c r="A137" s="20"/>
    </row>
    <row r="138" spans="1:1">
      <c r="A138" s="20"/>
    </row>
    <row r="139" spans="1:1">
      <c r="A139" s="20"/>
    </row>
    <row r="140" spans="1:1">
      <c r="A140" s="20"/>
    </row>
    <row r="141" spans="1:1">
      <c r="A141" s="20"/>
    </row>
    <row r="142" spans="1:1">
      <c r="A142" s="20"/>
    </row>
    <row r="143" spans="1:1">
      <c r="A143" s="20"/>
    </row>
    <row r="144" spans="1:1">
      <c r="A144" s="20"/>
    </row>
    <row r="145" spans="1:1">
      <c r="A145" s="20"/>
    </row>
    <row r="146" spans="1:1">
      <c r="A146" s="20"/>
    </row>
    <row r="147" spans="1:1">
      <c r="A147" s="20"/>
    </row>
    <row r="148" spans="1:1">
      <c r="A148" s="20"/>
    </row>
    <row r="149" spans="1:1">
      <c r="A149" s="20"/>
    </row>
    <row r="150" spans="1:1">
      <c r="A150" s="20"/>
    </row>
    <row r="151" spans="1:1">
      <c r="A151" s="20"/>
    </row>
    <row r="152" spans="1:1">
      <c r="A152" s="20"/>
    </row>
    <row r="153" spans="1:1">
      <c r="A153" s="20"/>
    </row>
    <row r="154" spans="1:1">
      <c r="A154" s="20"/>
    </row>
    <row r="155" spans="1:1">
      <c r="A155" s="20"/>
    </row>
    <row r="156" spans="1:1">
      <c r="A156" s="20"/>
    </row>
    <row r="157" spans="1:1">
      <c r="A157" s="20"/>
    </row>
    <row r="158" spans="1:1">
      <c r="A158" s="20"/>
    </row>
    <row r="159" spans="1:1">
      <c r="A159" s="20"/>
    </row>
    <row r="160" spans="1:1">
      <c r="A160" s="20"/>
    </row>
    <row r="161" spans="1:1">
      <c r="A161" s="20"/>
    </row>
    <row r="162" spans="1:1">
      <c r="A162" s="20"/>
    </row>
    <row r="163" spans="1:1">
      <c r="A163" s="20"/>
    </row>
    <row r="164" spans="1:1">
      <c r="A164" s="20"/>
    </row>
    <row r="165" spans="1:1">
      <c r="A165" s="20"/>
    </row>
    <row r="166" spans="1:1">
      <c r="A166" s="20"/>
    </row>
    <row r="167" spans="1:1">
      <c r="A167" s="20"/>
    </row>
    <row r="168" spans="1:1">
      <c r="A168" s="20"/>
    </row>
    <row r="169" spans="1:1">
      <c r="A169" s="20"/>
    </row>
    <row r="170" spans="1:1">
      <c r="A170" s="20"/>
    </row>
    <row r="171" spans="1:1">
      <c r="A171" s="20"/>
    </row>
    <row r="172" spans="1:1">
      <c r="A172" s="20"/>
    </row>
    <row r="173" spans="1:1">
      <c r="A173" s="20"/>
    </row>
    <row r="174" spans="1:1">
      <c r="A174" s="20"/>
    </row>
    <row r="175" spans="1:1">
      <c r="A175" s="20"/>
    </row>
    <row r="176" spans="1:1">
      <c r="A176" s="20"/>
    </row>
    <row r="177" spans="1:1">
      <c r="A177" s="20"/>
    </row>
    <row r="178" spans="1:1">
      <c r="A178" s="20"/>
    </row>
    <row r="179" spans="1:1">
      <c r="A179" s="20"/>
    </row>
    <row r="180" spans="1:1">
      <c r="A180" s="20"/>
    </row>
    <row r="181" spans="1:1">
      <c r="A181" s="20"/>
    </row>
    <row r="182" spans="1:1">
      <c r="A182" s="20"/>
    </row>
    <row r="183" spans="1:1">
      <c r="A183" s="20"/>
    </row>
    <row r="184" spans="1:1">
      <c r="A184" s="20"/>
    </row>
    <row r="185" spans="1:1">
      <c r="A185" s="20"/>
    </row>
    <row r="186" spans="1:1">
      <c r="A186" s="20"/>
    </row>
    <row r="187" spans="1:1">
      <c r="A187" s="20"/>
    </row>
    <row r="188" spans="1:1">
      <c r="A188" s="20"/>
    </row>
    <row r="189" spans="1:1">
      <c r="A189" s="20"/>
    </row>
    <row r="190" spans="1:1">
      <c r="A190" s="20"/>
    </row>
    <row r="191" spans="1:1">
      <c r="A191" s="20"/>
    </row>
    <row r="192" spans="1:1">
      <c r="A192" s="20"/>
    </row>
    <row r="193" spans="1:1">
      <c r="A193" s="20"/>
    </row>
    <row r="194" spans="1:1">
      <c r="A194" s="20"/>
    </row>
    <row r="195" spans="1:1">
      <c r="A195" s="20"/>
    </row>
    <row r="196" spans="1:1">
      <c r="A196" s="20"/>
    </row>
    <row r="197" spans="1:1">
      <c r="A197" s="20"/>
    </row>
    <row r="198" spans="1:1">
      <c r="A198" s="20"/>
    </row>
    <row r="199" spans="1:1">
      <c r="A199" s="20"/>
    </row>
    <row r="200" spans="1:1">
      <c r="A200" s="20"/>
    </row>
    <row r="201" spans="1:1">
      <c r="A201" s="20"/>
    </row>
    <row r="202" spans="1:1">
      <c r="A202" s="20"/>
    </row>
    <row r="203" spans="1:1">
      <c r="A203" s="20"/>
    </row>
    <row r="204" spans="1:1">
      <c r="A204" s="20"/>
    </row>
    <row r="205" spans="1:1">
      <c r="A205" s="20"/>
    </row>
    <row r="206" spans="1:1">
      <c r="A206" s="20"/>
    </row>
    <row r="207" spans="1:1">
      <c r="A207" s="20"/>
    </row>
    <row r="208" spans="1:1">
      <c r="A208" s="20"/>
    </row>
    <row r="209" spans="1:1">
      <c r="A209" s="20"/>
    </row>
    <row r="210" spans="1:1">
      <c r="A210" s="20"/>
    </row>
    <row r="211" spans="1:1">
      <c r="A211" s="20"/>
    </row>
    <row r="212" spans="1:1">
      <c r="A212" s="20"/>
    </row>
    <row r="213" spans="1:1">
      <c r="A213" s="20"/>
    </row>
    <row r="214" spans="1:1">
      <c r="A214" s="20"/>
    </row>
    <row r="215" spans="1:1">
      <c r="A215" s="20"/>
    </row>
    <row r="216" spans="1:1">
      <c r="A216" s="20"/>
    </row>
    <row r="217" spans="1:1">
      <c r="A217" s="20"/>
    </row>
    <row r="218" spans="1:1">
      <c r="A218" s="20"/>
    </row>
    <row r="219" spans="1:1">
      <c r="A219" s="20"/>
    </row>
    <row r="220" spans="1:1">
      <c r="A220" s="20"/>
    </row>
    <row r="221" spans="1:1">
      <c r="A221" s="20"/>
    </row>
    <row r="222" spans="1:1">
      <c r="A222" s="20"/>
    </row>
    <row r="223" spans="1:1">
      <c r="A223" s="20"/>
    </row>
    <row r="224" spans="1:1">
      <c r="A224" s="20"/>
    </row>
    <row r="225" spans="1:1">
      <c r="A225" s="20"/>
    </row>
    <row r="226" spans="1:1">
      <c r="A226" s="20"/>
    </row>
    <row r="227" spans="1:1">
      <c r="A227" s="20"/>
    </row>
    <row r="228" spans="1:1">
      <c r="A228" s="20"/>
    </row>
    <row r="229" spans="1:1">
      <c r="A229" s="20"/>
    </row>
    <row r="230" spans="1:1">
      <c r="A230" s="20"/>
    </row>
    <row r="231" spans="1:1">
      <c r="A231" s="20"/>
    </row>
    <row r="232" spans="1:1">
      <c r="A232" s="20"/>
    </row>
    <row r="233" spans="1:1">
      <c r="A233" s="20"/>
    </row>
    <row r="234" spans="1:1">
      <c r="A234" s="20"/>
    </row>
    <row r="235" spans="1:1">
      <c r="A235" s="20"/>
    </row>
    <row r="236" spans="1:1">
      <c r="A236" s="20"/>
    </row>
    <row r="237" spans="1:1">
      <c r="A237" s="20"/>
    </row>
    <row r="238" spans="1:1">
      <c r="A238" s="20"/>
    </row>
    <row r="239" spans="1:1">
      <c r="A239" s="20"/>
    </row>
    <row r="240" spans="1:1">
      <c r="A240" s="20"/>
    </row>
    <row r="241" spans="1:1">
      <c r="A241" s="20"/>
    </row>
    <row r="242" spans="1:1">
      <c r="A242" s="20"/>
    </row>
    <row r="243" spans="1:1">
      <c r="A243" s="20"/>
    </row>
    <row r="244" spans="1:1">
      <c r="A244" s="20"/>
    </row>
    <row r="245" spans="1:1">
      <c r="A245" s="20"/>
    </row>
    <row r="246" spans="1:1">
      <c r="A246" s="20"/>
    </row>
    <row r="247" spans="1:1">
      <c r="A247" s="20"/>
    </row>
    <row r="248" spans="1:1">
      <c r="A248" s="20"/>
    </row>
    <row r="249" spans="1:1">
      <c r="A249" s="20"/>
    </row>
    <row r="250" spans="1:1">
      <c r="A250" s="20"/>
    </row>
    <row r="251" spans="1:1">
      <c r="A251" s="20"/>
    </row>
    <row r="252" spans="1:1">
      <c r="A252" s="20"/>
    </row>
    <row r="253" spans="1:1">
      <c r="A253" s="20"/>
    </row>
    <row r="254" spans="1:1">
      <c r="A254" s="20"/>
    </row>
    <row r="255" spans="1:1">
      <c r="A255" s="20"/>
    </row>
    <row r="256" spans="1:1">
      <c r="A256" s="20"/>
    </row>
    <row r="257" spans="1:1">
      <c r="A257" s="20"/>
    </row>
    <row r="258" spans="1:1">
      <c r="A258" s="20"/>
    </row>
    <row r="259" spans="1:1">
      <c r="A259" s="20"/>
    </row>
    <row r="260" spans="1:1">
      <c r="A260" s="20"/>
    </row>
    <row r="261" spans="1:1">
      <c r="A261" s="20"/>
    </row>
    <row r="262" spans="1:1">
      <c r="A262" s="20"/>
    </row>
    <row r="263" spans="1:1">
      <c r="A263" s="20"/>
    </row>
    <row r="264" spans="1:1">
      <c r="A264" s="20"/>
    </row>
    <row r="265" spans="1:1">
      <c r="A265" s="20"/>
    </row>
    <row r="266" spans="1:1">
      <c r="A266" s="20"/>
    </row>
    <row r="267" spans="1:1">
      <c r="A267" s="20"/>
    </row>
    <row r="268" spans="1:1">
      <c r="A268" s="20"/>
    </row>
    <row r="269" spans="1:1">
      <c r="A269" s="20"/>
    </row>
    <row r="270" spans="1:1">
      <c r="A270" s="20"/>
    </row>
    <row r="271" spans="1:1">
      <c r="A271" s="20"/>
    </row>
    <row r="272" spans="1:1">
      <c r="A272" s="20"/>
    </row>
    <row r="273" spans="1:1">
      <c r="A273" s="20"/>
    </row>
    <row r="274" spans="1:1">
      <c r="A274" s="20"/>
    </row>
    <row r="275" spans="1:1">
      <c r="A275" s="20"/>
    </row>
    <row r="276" spans="1:1">
      <c r="A276" s="20"/>
    </row>
    <row r="277" spans="1:1">
      <c r="A277" s="20"/>
    </row>
    <row r="278" spans="1:1">
      <c r="A278" s="20"/>
    </row>
    <row r="279" spans="1:1">
      <c r="A279" s="20"/>
    </row>
    <row r="280" spans="1:1">
      <c r="A280" s="20"/>
    </row>
    <row r="281" spans="1:1">
      <c r="A281" s="20"/>
    </row>
    <row r="282" spans="1:1">
      <c r="A282" s="20"/>
    </row>
    <row r="283" spans="1:1">
      <c r="A283" s="20"/>
    </row>
    <row r="284" spans="1:1">
      <c r="A284" s="20"/>
    </row>
    <row r="285" spans="1:1">
      <c r="A285" s="20"/>
    </row>
    <row r="286" spans="1:1">
      <c r="A286" s="20"/>
    </row>
    <row r="287" spans="1:1">
      <c r="A287" s="20"/>
    </row>
    <row r="288" spans="1:1">
      <c r="A288" s="20"/>
    </row>
    <row r="289" spans="1:1">
      <c r="A289" s="20"/>
    </row>
    <row r="290" spans="1:1">
      <c r="A290" s="20"/>
    </row>
    <row r="291" spans="1:1">
      <c r="A291" s="20"/>
    </row>
    <row r="292" spans="1:1">
      <c r="A292" s="20"/>
    </row>
    <row r="293" spans="1:1">
      <c r="A293" s="20"/>
    </row>
    <row r="294" spans="1:1">
      <c r="A294" s="20"/>
    </row>
    <row r="295" spans="1:1">
      <c r="A295" s="20"/>
    </row>
    <row r="296" spans="1:1">
      <c r="A296" s="20"/>
    </row>
    <row r="297" spans="1:1">
      <c r="A297" s="20"/>
    </row>
    <row r="298" spans="1:1">
      <c r="A298" s="20"/>
    </row>
    <row r="299" spans="1:1">
      <c r="A299" s="20"/>
    </row>
    <row r="300" spans="1:1">
      <c r="A300" s="20"/>
    </row>
    <row r="301" spans="1:1">
      <c r="A301" s="20"/>
    </row>
    <row r="302" spans="1:1">
      <c r="A302" s="20"/>
    </row>
    <row r="303" spans="1:1">
      <c r="A303" s="20"/>
    </row>
    <row r="304" spans="1:1">
      <c r="A304" s="20"/>
    </row>
    <row r="305" spans="1:1">
      <c r="A305" s="20"/>
    </row>
    <row r="306" spans="1:1">
      <c r="A306" s="20"/>
    </row>
    <row r="307" spans="1:1">
      <c r="A307" s="20"/>
    </row>
    <row r="308" spans="1:1">
      <c r="A308" s="20"/>
    </row>
    <row r="309" spans="1:1">
      <c r="A309" s="20"/>
    </row>
    <row r="310" spans="1:1">
      <c r="A310" s="20"/>
    </row>
    <row r="311" spans="1:1">
      <c r="A311" s="20"/>
    </row>
    <row r="312" spans="1:1">
      <c r="A312" s="20"/>
    </row>
    <row r="313" spans="1:1">
      <c r="A313" s="20"/>
    </row>
    <row r="314" spans="1:1">
      <c r="A314" s="20"/>
    </row>
    <row r="315" spans="1:1">
      <c r="A315" s="20"/>
    </row>
    <row r="316" spans="1:1">
      <c r="A316" s="20"/>
    </row>
    <row r="317" spans="1:1">
      <c r="A317" s="20"/>
    </row>
    <row r="318" spans="1:1">
      <c r="A318" s="20"/>
    </row>
    <row r="319" spans="1:1">
      <c r="A319" s="20"/>
    </row>
    <row r="320" spans="1:1">
      <c r="A320" s="20"/>
    </row>
    <row r="321" spans="1:1">
      <c r="A321" s="20"/>
    </row>
    <row r="322" spans="1:1">
      <c r="A322" s="20"/>
    </row>
    <row r="323" spans="1:1">
      <c r="A323" s="20"/>
    </row>
    <row r="324" spans="1:1">
      <c r="A324" s="20"/>
    </row>
    <row r="325" spans="1:1">
      <c r="A325" s="20"/>
    </row>
    <row r="326" spans="1:1">
      <c r="A326" s="20"/>
    </row>
    <row r="327" spans="1:1">
      <c r="A327" s="20"/>
    </row>
    <row r="328" spans="1:1">
      <c r="A328" s="20"/>
    </row>
    <row r="329" spans="1:1">
      <c r="A329" s="20"/>
    </row>
    <row r="330" spans="1:1">
      <c r="A330" s="20"/>
    </row>
    <row r="331" spans="1:1">
      <c r="A331" s="20"/>
    </row>
    <row r="332" spans="1:1">
      <c r="A332" s="20"/>
    </row>
    <row r="333" spans="1:1">
      <c r="A333" s="20"/>
    </row>
    <row r="334" spans="1:1">
      <c r="A334" s="20"/>
    </row>
    <row r="335" spans="1:1">
      <c r="A335" s="20"/>
    </row>
    <row r="336" spans="1:1">
      <c r="A336" s="20"/>
    </row>
    <row r="337" spans="1:1">
      <c r="A337" s="20"/>
    </row>
    <row r="338" spans="1:1">
      <c r="A338" s="20"/>
    </row>
    <row r="339" spans="1:1">
      <c r="A339" s="20"/>
    </row>
    <row r="340" spans="1:1">
      <c r="A340" s="20"/>
    </row>
    <row r="341" spans="1:1">
      <c r="A341" s="20"/>
    </row>
    <row r="342" spans="1:1">
      <c r="A342" s="20"/>
    </row>
    <row r="343" spans="1:1">
      <c r="A343" s="20"/>
    </row>
    <row r="344" spans="1:1">
      <c r="A344" s="20"/>
    </row>
    <row r="345" spans="1:1">
      <c r="A345" s="20"/>
    </row>
    <row r="346" spans="1:1">
      <c r="A346" s="20"/>
    </row>
    <row r="347" spans="1:1">
      <c r="A347" s="20"/>
    </row>
    <row r="348" spans="1:1">
      <c r="A348" s="20"/>
    </row>
    <row r="349" spans="1:1">
      <c r="A349" s="20"/>
    </row>
    <row r="350" spans="1:1">
      <c r="A350" s="20"/>
    </row>
    <row r="351" spans="1:1">
      <c r="A351" s="20"/>
    </row>
    <row r="352" spans="1:1">
      <c r="A352" s="20"/>
    </row>
    <row r="353" spans="1:1">
      <c r="A353" s="20"/>
    </row>
    <row r="354" spans="1:1">
      <c r="A354" s="20"/>
    </row>
    <row r="355" spans="1:1">
      <c r="A355" s="20"/>
    </row>
    <row r="356" spans="1:1">
      <c r="A356" s="20"/>
    </row>
    <row r="357" spans="1:1">
      <c r="A357" s="20"/>
    </row>
    <row r="358" spans="1:1">
      <c r="A358" s="20"/>
    </row>
    <row r="359" spans="1:1">
      <c r="A359" s="20"/>
    </row>
    <row r="360" spans="1:1">
      <c r="A360" s="20"/>
    </row>
    <row r="361" spans="1:1">
      <c r="A361" s="20"/>
    </row>
    <row r="362" spans="1:1">
      <c r="A362" s="20"/>
    </row>
    <row r="363" spans="1:1">
      <c r="A363" s="20"/>
    </row>
    <row r="364" spans="1:1">
      <c r="A364" s="20"/>
    </row>
    <row r="365" spans="1:1">
      <c r="A365" s="20"/>
    </row>
    <row r="366" spans="1:1">
      <c r="A366" s="20"/>
    </row>
    <row r="367" spans="1:1">
      <c r="A367" s="20"/>
    </row>
    <row r="368" spans="1:1">
      <c r="A368" s="20"/>
    </row>
    <row r="369" spans="1:1">
      <c r="A369" s="20"/>
    </row>
    <row r="370" spans="1:1">
      <c r="A370" s="20"/>
    </row>
    <row r="371" spans="1:1">
      <c r="A371" s="20"/>
    </row>
    <row r="372" spans="1:1">
      <c r="A372" s="20"/>
    </row>
    <row r="373" spans="1:1">
      <c r="A373" s="20"/>
    </row>
    <row r="374" spans="1:1">
      <c r="A374" s="20"/>
    </row>
    <row r="375" spans="1:1">
      <c r="A375" s="20"/>
    </row>
    <row r="376" spans="1:1">
      <c r="A376" s="20"/>
    </row>
    <row r="377" spans="1:1">
      <c r="A377" s="20"/>
    </row>
    <row r="378" spans="1:1">
      <c r="A378" s="20"/>
    </row>
    <row r="379" spans="1:1">
      <c r="A379" s="20"/>
    </row>
    <row r="380" spans="1:1">
      <c r="A380" s="20"/>
    </row>
    <row r="381" spans="1:1">
      <c r="A381" s="20"/>
    </row>
    <row r="382" spans="1:1">
      <c r="A382" s="20"/>
    </row>
    <row r="383" spans="1:1">
      <c r="A383" s="20"/>
    </row>
    <row r="384" spans="1:1">
      <c r="A384" s="20"/>
    </row>
    <row r="385" spans="1:1">
      <c r="A385" s="20"/>
    </row>
    <row r="386" spans="1:1">
      <c r="A386" s="20"/>
    </row>
    <row r="387" spans="1:1">
      <c r="A387" s="20"/>
    </row>
    <row r="388" spans="1:1">
      <c r="A388" s="20"/>
    </row>
    <row r="389" spans="1:1">
      <c r="A389" s="20"/>
    </row>
    <row r="390" spans="1:1">
      <c r="A390" s="20"/>
    </row>
    <row r="391" spans="1:1">
      <c r="A391" s="20"/>
    </row>
    <row r="392" spans="1:1">
      <c r="A392" s="20"/>
    </row>
    <row r="393" spans="1:1">
      <c r="A393" s="20"/>
    </row>
    <row r="394" spans="1:1">
      <c r="A394" s="20"/>
    </row>
    <row r="395" spans="1:1">
      <c r="A395" s="20"/>
    </row>
    <row r="396" spans="1:1">
      <c r="A396" s="20"/>
    </row>
    <row r="397" spans="1:1">
      <c r="A397" s="20"/>
    </row>
    <row r="398" spans="1:1">
      <c r="A398" s="20"/>
    </row>
    <row r="399" spans="1:1">
      <c r="A399" s="20"/>
    </row>
    <row r="400" spans="1:1">
      <c r="A400" s="20"/>
    </row>
    <row r="401" spans="1:1">
      <c r="A401" s="20"/>
    </row>
    <row r="402" spans="1:1">
      <c r="A402" s="20"/>
    </row>
    <row r="403" spans="1:1">
      <c r="A403" s="20"/>
    </row>
    <row r="404" spans="1:1">
      <c r="A404" s="20"/>
    </row>
    <row r="405" spans="1:1">
      <c r="A405" s="20"/>
    </row>
    <row r="406" spans="1:1">
      <c r="A406" s="20"/>
    </row>
    <row r="407" spans="1:1">
      <c r="A407" s="20"/>
    </row>
    <row r="408" spans="1:1">
      <c r="A408" s="20"/>
    </row>
    <row r="409" spans="1:1">
      <c r="A409" s="20"/>
    </row>
    <row r="410" spans="1:1">
      <c r="A410" s="20"/>
    </row>
    <row r="411" spans="1:1">
      <c r="A411" s="20"/>
    </row>
    <row r="412" spans="1:1">
      <c r="A412" s="20"/>
    </row>
    <row r="413" spans="1:1">
      <c r="A413" s="20"/>
    </row>
    <row r="414" spans="1:1">
      <c r="A414" s="20"/>
    </row>
    <row r="415" spans="1:1">
      <c r="A415" s="20"/>
    </row>
    <row r="416" spans="1:1">
      <c r="A416" s="20"/>
    </row>
    <row r="417" spans="1:1">
      <c r="A417" s="20"/>
    </row>
    <row r="418" spans="1:1">
      <c r="A418" s="20"/>
    </row>
    <row r="419" spans="1:1">
      <c r="A419" s="20"/>
    </row>
    <row r="420" spans="1:1">
      <c r="A420" s="20"/>
    </row>
    <row r="421" spans="1:1">
      <c r="A421" s="20"/>
    </row>
    <row r="422" spans="1:1">
      <c r="A422" s="20"/>
    </row>
    <row r="423" spans="1:1">
      <c r="A423" s="20"/>
    </row>
    <row r="424" spans="1:1">
      <c r="A424" s="20"/>
    </row>
    <row r="425" spans="1:1">
      <c r="A425" s="20"/>
    </row>
    <row r="426" spans="1:1">
      <c r="A426" s="20"/>
    </row>
    <row r="427" spans="1:1">
      <c r="A427" s="20"/>
    </row>
    <row r="428" spans="1:1">
      <c r="A428" s="20"/>
    </row>
    <row r="429" spans="1:1">
      <c r="A429" s="20"/>
    </row>
    <row r="430" spans="1:1">
      <c r="A430" s="20"/>
    </row>
    <row r="431" spans="1:1">
      <c r="A431" s="20"/>
    </row>
    <row r="432" spans="1:1">
      <c r="A432" s="20"/>
    </row>
    <row r="433" spans="1:1">
      <c r="A433" s="20"/>
    </row>
    <row r="434" spans="1:1">
      <c r="A434" s="20"/>
    </row>
    <row r="435" spans="1:1">
      <c r="A435" s="20"/>
    </row>
    <row r="436" spans="1:1">
      <c r="A436" s="20"/>
    </row>
    <row r="437" spans="1:1">
      <c r="A437" s="20"/>
    </row>
    <row r="438" spans="1:1">
      <c r="A438" s="20"/>
    </row>
    <row r="439" spans="1:1">
      <c r="A439" s="20"/>
    </row>
    <row r="440" spans="1:1">
      <c r="A440" s="20"/>
    </row>
    <row r="441" spans="1:1">
      <c r="A441" s="20"/>
    </row>
    <row r="442" spans="1:1">
      <c r="A442" s="20"/>
    </row>
    <row r="443" spans="1:1">
      <c r="A443" s="20"/>
    </row>
    <row r="444" spans="1:1">
      <c r="A444" s="20"/>
    </row>
    <row r="445" spans="1:1">
      <c r="A445" s="20"/>
    </row>
    <row r="446" spans="1:1">
      <c r="A446" s="20"/>
    </row>
    <row r="447" spans="1:1">
      <c r="A447" s="20"/>
    </row>
    <row r="448" spans="1:1">
      <c r="A448" s="20"/>
    </row>
    <row r="449" spans="1:1">
      <c r="A449" s="20"/>
    </row>
    <row r="450" spans="1:1">
      <c r="A450" s="20"/>
    </row>
    <row r="451" spans="1:1">
      <c r="A451" s="20"/>
    </row>
    <row r="452" spans="1:1">
      <c r="A452" s="20"/>
    </row>
    <row r="453" spans="1:1">
      <c r="A453" s="20"/>
    </row>
    <row r="454" spans="1:1">
      <c r="A454" s="20"/>
    </row>
    <row r="455" spans="1:1">
      <c r="A455" s="20"/>
    </row>
    <row r="456" spans="1:1">
      <c r="A456" s="20"/>
    </row>
    <row r="457" spans="1:1">
      <c r="A457" s="20"/>
    </row>
    <row r="458" spans="1:1">
      <c r="A458" s="20"/>
    </row>
    <row r="459" spans="1:1">
      <c r="A459" s="20"/>
    </row>
    <row r="460" spans="1:1">
      <c r="A460" s="20"/>
    </row>
    <row r="461" spans="1:1">
      <c r="A461" s="20"/>
    </row>
    <row r="462" spans="1:1">
      <c r="A462" s="20"/>
    </row>
    <row r="463" spans="1:1">
      <c r="A463" s="20"/>
    </row>
    <row r="464" spans="1:1">
      <c r="A464" s="20"/>
    </row>
    <row r="465" spans="1:1">
      <c r="A465" s="20"/>
    </row>
    <row r="466" spans="1:1">
      <c r="A466" s="20"/>
    </row>
    <row r="467" spans="1:1">
      <c r="A467" s="20"/>
    </row>
    <row r="468" spans="1:1">
      <c r="A468" s="20"/>
    </row>
    <row r="469" spans="1:1">
      <c r="A469" s="20"/>
    </row>
    <row r="470" spans="1:1">
      <c r="A470" s="20"/>
    </row>
    <row r="471" spans="1:1">
      <c r="A471" s="20"/>
    </row>
    <row r="472" spans="1:1">
      <c r="A472" s="20"/>
    </row>
    <row r="473" spans="1:1">
      <c r="A473" s="20"/>
    </row>
    <row r="474" spans="1:1">
      <c r="A474" s="20"/>
    </row>
    <row r="475" spans="1:1">
      <c r="A475" s="20"/>
    </row>
    <row r="476" spans="1:1">
      <c r="A476" s="20"/>
    </row>
    <row r="477" spans="1:1">
      <c r="A477" s="20"/>
    </row>
    <row r="478" spans="1:1">
      <c r="A478" s="20"/>
    </row>
    <row r="479" spans="1:1">
      <c r="A479" s="20"/>
    </row>
    <row r="480" spans="1:1">
      <c r="A480" s="20"/>
    </row>
    <row r="481" spans="1:1">
      <c r="A481" s="20"/>
    </row>
    <row r="482" spans="1:1">
      <c r="A482" s="20"/>
    </row>
    <row r="483" spans="1:1">
      <c r="A483" s="20"/>
    </row>
    <row r="484" spans="1:1">
      <c r="A484" s="20"/>
    </row>
    <row r="485" spans="1:1">
      <c r="A485" s="20"/>
    </row>
    <row r="486" spans="1:1">
      <c r="A486" s="20"/>
    </row>
    <row r="487" spans="1:1">
      <c r="A487" s="20"/>
    </row>
    <row r="488" spans="1:1">
      <c r="A488" s="20"/>
    </row>
    <row r="489" spans="1:1">
      <c r="A489" s="20"/>
    </row>
    <row r="490" spans="1:1">
      <c r="A490" s="20"/>
    </row>
    <row r="491" spans="1:1">
      <c r="A491" s="20"/>
    </row>
    <row r="492" spans="1:1">
      <c r="A492" s="20"/>
    </row>
    <row r="493" spans="1:1">
      <c r="A493" s="20"/>
    </row>
    <row r="494" spans="1:1">
      <c r="A494" s="20"/>
    </row>
    <row r="495" spans="1:1">
      <c r="A495" s="20"/>
    </row>
    <row r="496" spans="1:1">
      <c r="A496" s="20"/>
    </row>
    <row r="497" spans="1:1">
      <c r="A497" s="20"/>
    </row>
    <row r="498" spans="1:1">
      <c r="A498" s="20"/>
    </row>
    <row r="499" spans="1:1">
      <c r="A499" s="20"/>
    </row>
    <row r="500" spans="1:1">
      <c r="A500" s="20"/>
    </row>
    <row r="501" spans="1:1">
      <c r="A501" s="20"/>
    </row>
    <row r="502" spans="1:1">
      <c r="A502" s="20"/>
    </row>
    <row r="503" spans="1:1">
      <c r="A503" s="20"/>
    </row>
    <row r="504" spans="1:1">
      <c r="A504" s="20"/>
    </row>
    <row r="505" spans="1:1">
      <c r="A505" s="20"/>
    </row>
    <row r="506" spans="1:1">
      <c r="A506" s="20"/>
    </row>
    <row r="507" spans="1:1">
      <c r="A507" s="20"/>
    </row>
    <row r="508" spans="1:1">
      <c r="A508" s="20"/>
    </row>
    <row r="509" spans="1:1">
      <c r="A509" s="20"/>
    </row>
    <row r="510" spans="1:1">
      <c r="A510" s="20"/>
    </row>
    <row r="511" spans="1:1">
      <c r="A511" s="20"/>
    </row>
    <row r="512" spans="1:1">
      <c r="A512" s="20"/>
    </row>
    <row r="513" spans="1:1">
      <c r="A513" s="20"/>
    </row>
    <row r="514" spans="1:1">
      <c r="A514" s="20"/>
    </row>
    <row r="515" spans="1:1">
      <c r="A515" s="20"/>
    </row>
    <row r="516" spans="1:1">
      <c r="A516" s="20"/>
    </row>
    <row r="517" spans="1:1">
      <c r="A517" s="20"/>
    </row>
    <row r="518" spans="1:1">
      <c r="A518" s="20"/>
    </row>
    <row r="519" spans="1:1">
      <c r="A519" s="20"/>
    </row>
    <row r="520" spans="1:1">
      <c r="A520" s="20"/>
    </row>
    <row r="521" spans="1:1">
      <c r="A521" s="20"/>
    </row>
    <row r="522" spans="1:1">
      <c r="A522" s="20"/>
    </row>
    <row r="523" spans="1:1">
      <c r="A523" s="20"/>
    </row>
    <row r="524" spans="1:1">
      <c r="A524" s="20"/>
    </row>
    <row r="525" spans="1:1">
      <c r="A525" s="20"/>
    </row>
    <row r="526" spans="1:1">
      <c r="A526" s="20"/>
    </row>
    <row r="527" spans="1:1">
      <c r="A527" s="20"/>
    </row>
    <row r="528" spans="1:1">
      <c r="A528" s="20"/>
    </row>
    <row r="529" spans="1:1">
      <c r="A529" s="20"/>
    </row>
    <row r="530" spans="1:1">
      <c r="A530" s="20"/>
    </row>
    <row r="531" spans="1:1">
      <c r="A531" s="20"/>
    </row>
    <row r="532" spans="1:1">
      <c r="A532" s="20"/>
    </row>
    <row r="533" spans="1:1">
      <c r="A533" s="20"/>
    </row>
    <row r="534" spans="1:1">
      <c r="A534" s="20"/>
    </row>
    <row r="535" spans="1:1">
      <c r="A535" s="20"/>
    </row>
    <row r="536" spans="1:1">
      <c r="A536" s="20"/>
    </row>
    <row r="537" spans="1:1">
      <c r="A537" s="20"/>
    </row>
    <row r="538" spans="1:1">
      <c r="A538" s="20"/>
    </row>
    <row r="539" spans="1:1">
      <c r="A539" s="20"/>
    </row>
    <row r="540" spans="1:1">
      <c r="A540" s="20"/>
    </row>
    <row r="541" spans="1:1">
      <c r="A541" s="20"/>
    </row>
    <row r="542" spans="1:1">
      <c r="A542" s="20"/>
    </row>
    <row r="543" spans="1:1">
      <c r="A543" s="20"/>
    </row>
    <row r="544" spans="1:1">
      <c r="A544" s="20"/>
    </row>
    <row r="545" spans="1:1">
      <c r="A545" s="20"/>
    </row>
    <row r="546" spans="1:1">
      <c r="A546" s="20"/>
    </row>
    <row r="547" spans="1:1">
      <c r="A547" s="20"/>
    </row>
    <row r="548" spans="1:1">
      <c r="A548" s="20"/>
    </row>
    <row r="549" spans="1:1">
      <c r="A549" s="20"/>
    </row>
    <row r="550" spans="1:1">
      <c r="A550" s="20"/>
    </row>
    <row r="551" spans="1:1">
      <c r="A551" s="20"/>
    </row>
    <row r="552" spans="1:1">
      <c r="A552" s="20"/>
    </row>
    <row r="553" spans="1:1">
      <c r="A553" s="20"/>
    </row>
    <row r="554" spans="1:1">
      <c r="A554" s="20"/>
    </row>
    <row r="555" spans="1:1">
      <c r="A555" s="20"/>
    </row>
    <row r="556" spans="1:1">
      <c r="A556" s="20"/>
    </row>
    <row r="557" spans="1:1">
      <c r="A557" s="20"/>
    </row>
    <row r="558" spans="1:1">
      <c r="A558" s="20"/>
    </row>
    <row r="559" spans="1:1">
      <c r="A559" s="20"/>
    </row>
    <row r="560" spans="1:1">
      <c r="A560" s="20"/>
    </row>
    <row r="561" spans="1:1">
      <c r="A561" s="20"/>
    </row>
    <row r="562" spans="1:1">
      <c r="A562" s="20"/>
    </row>
    <row r="563" spans="1:1">
      <c r="A563" s="20"/>
    </row>
    <row r="564" spans="1:1">
      <c r="A564" s="20"/>
    </row>
    <row r="565" spans="1:1">
      <c r="A565" s="20"/>
    </row>
    <row r="566" spans="1:1">
      <c r="A566" s="20"/>
    </row>
    <row r="567" spans="1:1">
      <c r="A567" s="20"/>
    </row>
    <row r="568" spans="1:1">
      <c r="A568" s="20"/>
    </row>
    <row r="569" spans="1:1">
      <c r="A569" s="20"/>
    </row>
    <row r="570" spans="1:1">
      <c r="A570" s="20"/>
    </row>
    <row r="571" spans="1:1">
      <c r="A571" s="20"/>
    </row>
    <row r="572" spans="1:1">
      <c r="A572" s="20"/>
    </row>
    <row r="573" spans="1:1">
      <c r="A573" s="20"/>
    </row>
    <row r="574" spans="1:1">
      <c r="A574" s="20"/>
    </row>
    <row r="575" spans="1:1">
      <c r="A575" s="20"/>
    </row>
    <row r="576" spans="1:1">
      <c r="A576" s="20"/>
    </row>
    <row r="577" spans="1:1">
      <c r="A577" s="20"/>
    </row>
    <row r="578" spans="1:1">
      <c r="A578" s="20"/>
    </row>
    <row r="579" spans="1:1">
      <c r="A579" s="20"/>
    </row>
    <row r="580" spans="1:1">
      <c r="A580" s="20"/>
    </row>
    <row r="581" spans="1:1">
      <c r="A581" s="20"/>
    </row>
    <row r="582" spans="1:1">
      <c r="A582" s="20"/>
    </row>
    <row r="583" spans="1:1">
      <c r="A583" s="20"/>
    </row>
    <row r="584" spans="1:1">
      <c r="A584" s="20"/>
    </row>
    <row r="585" spans="1:1">
      <c r="A585" s="20"/>
    </row>
    <row r="586" spans="1:1">
      <c r="A586" s="20"/>
    </row>
    <row r="587" spans="1:1">
      <c r="A587" s="20"/>
    </row>
    <row r="588" spans="1:1">
      <c r="A588" s="20"/>
    </row>
    <row r="589" spans="1:1">
      <c r="A589" s="20"/>
    </row>
    <row r="590" spans="1:1">
      <c r="A590" s="20"/>
    </row>
    <row r="591" spans="1:1">
      <c r="A591" s="20"/>
    </row>
    <row r="592" spans="1:1">
      <c r="A592" s="20"/>
    </row>
    <row r="593" spans="1:1">
      <c r="A593" s="20"/>
    </row>
    <row r="594" spans="1:1">
      <c r="A594" s="20"/>
    </row>
    <row r="595" spans="1:1">
      <c r="A595" s="20"/>
    </row>
    <row r="596" spans="1:1">
      <c r="A596" s="20"/>
    </row>
    <row r="597" spans="1:1">
      <c r="A597" s="20"/>
    </row>
    <row r="598" spans="1:1">
      <c r="A598" s="20"/>
    </row>
    <row r="599" spans="1:1">
      <c r="A599" s="20"/>
    </row>
    <row r="600" spans="1:1">
      <c r="A600" s="20"/>
    </row>
    <row r="601" spans="1:1">
      <c r="A601" s="20"/>
    </row>
    <row r="602" spans="1:1">
      <c r="A602" s="20"/>
    </row>
    <row r="603" spans="1:1">
      <c r="A603" s="20"/>
    </row>
    <row r="604" spans="1:1">
      <c r="A604" s="20"/>
    </row>
    <row r="605" spans="1:1">
      <c r="A605" s="20"/>
    </row>
    <row r="606" spans="1:1">
      <c r="A606" s="20"/>
    </row>
    <row r="607" spans="1:1">
      <c r="A607" s="20"/>
    </row>
    <row r="608" spans="1:1">
      <c r="A608" s="20"/>
    </row>
    <row r="609" spans="1:1">
      <c r="A609" s="20"/>
    </row>
    <row r="610" spans="1:1">
      <c r="A610" s="20"/>
    </row>
    <row r="611" spans="1:1">
      <c r="A611" s="20"/>
    </row>
    <row r="612" spans="1:1">
      <c r="A612" s="20"/>
    </row>
    <row r="613" spans="1:1">
      <c r="A613" s="20"/>
    </row>
    <row r="614" spans="1:1">
      <c r="A614" s="20"/>
    </row>
    <row r="615" spans="1:1">
      <c r="A615" s="20"/>
    </row>
    <row r="616" spans="1:1">
      <c r="A616" s="20"/>
    </row>
    <row r="617" spans="1:1">
      <c r="A617" s="20"/>
    </row>
    <row r="618" spans="1:1">
      <c r="A618" s="20"/>
    </row>
    <row r="619" spans="1:1">
      <c r="A619" s="20"/>
    </row>
    <row r="620" spans="1:1">
      <c r="A620" s="20"/>
    </row>
    <row r="621" spans="1:1">
      <c r="A621" s="20"/>
    </row>
    <row r="622" spans="1:1">
      <c r="A622" s="20"/>
    </row>
    <row r="623" spans="1:1">
      <c r="A623" s="20"/>
    </row>
    <row r="624" spans="1:1">
      <c r="A624" s="20"/>
    </row>
    <row r="625" spans="1:1">
      <c r="A625" s="20"/>
    </row>
    <row r="626" spans="1:1">
      <c r="A626" s="20"/>
    </row>
    <row r="627" spans="1:1">
      <c r="A627" s="20"/>
    </row>
    <row r="628" spans="1:1">
      <c r="A628" s="20"/>
    </row>
    <row r="629" spans="1:1">
      <c r="A629" s="20"/>
    </row>
    <row r="630" spans="1:1">
      <c r="A630" s="20"/>
    </row>
    <row r="631" spans="1:1">
      <c r="A631" s="20"/>
    </row>
    <row r="632" spans="1:1">
      <c r="A632" s="20"/>
    </row>
    <row r="633" spans="1:1">
      <c r="A633" s="20"/>
    </row>
    <row r="634" spans="1:1">
      <c r="A634" s="20"/>
    </row>
    <row r="635" spans="1:1">
      <c r="A635" s="20"/>
    </row>
    <row r="636" spans="1:1">
      <c r="A636" s="20"/>
    </row>
    <row r="637" spans="1:1">
      <c r="A637" s="20"/>
    </row>
    <row r="638" spans="1:1">
      <c r="A638" s="20"/>
    </row>
    <row r="639" spans="1:1">
      <c r="A639" s="20"/>
    </row>
    <row r="640" spans="1:1">
      <c r="A640" s="20"/>
    </row>
    <row r="641" spans="1:1">
      <c r="A641" s="20"/>
    </row>
    <row r="642" spans="1:1">
      <c r="A642" s="20"/>
    </row>
    <row r="643" spans="1:1">
      <c r="A643" s="20"/>
    </row>
    <row r="644" spans="1:1">
      <c r="A644" s="20"/>
    </row>
    <row r="645" spans="1:1">
      <c r="A645" s="20"/>
    </row>
    <row r="646" spans="1:1">
      <c r="A646" s="20"/>
    </row>
    <row r="647" spans="1:1">
      <c r="A647" s="20"/>
    </row>
    <row r="648" spans="1:1">
      <c r="A648" s="20"/>
    </row>
    <row r="649" spans="1:1">
      <c r="A649" s="20"/>
    </row>
    <row r="650" spans="1:1">
      <c r="A650" s="20"/>
    </row>
    <row r="651" spans="1:1">
      <c r="A651" s="20"/>
    </row>
    <row r="652" spans="1:1">
      <c r="A652" s="20"/>
    </row>
    <row r="653" spans="1:1">
      <c r="A653" s="20"/>
    </row>
    <row r="654" spans="1:1">
      <c r="A654" s="20"/>
    </row>
    <row r="655" spans="1:1">
      <c r="A655" s="20"/>
    </row>
    <row r="656" spans="1:1">
      <c r="A656" s="20"/>
    </row>
    <row r="657" spans="1:1">
      <c r="A657" s="20"/>
    </row>
    <row r="658" spans="1:1">
      <c r="A658" s="20"/>
    </row>
    <row r="659" spans="1:1">
      <c r="A659" s="20"/>
    </row>
    <row r="660" spans="1:1">
      <c r="A660" s="20"/>
    </row>
    <row r="661" spans="1:1">
      <c r="A661" s="20"/>
    </row>
    <row r="662" spans="1:1">
      <c r="A662" s="20"/>
    </row>
    <row r="663" spans="1:1">
      <c r="A663" s="20"/>
    </row>
    <row r="664" spans="1:1">
      <c r="A664" s="20"/>
    </row>
    <row r="665" spans="1:1">
      <c r="A665" s="20"/>
    </row>
    <row r="666" spans="1:1">
      <c r="A666" s="20"/>
    </row>
    <row r="667" spans="1:1">
      <c r="A667" s="20"/>
    </row>
    <row r="668" spans="1:1">
      <c r="A668" s="20"/>
    </row>
    <row r="669" spans="1:1">
      <c r="A669" s="20"/>
    </row>
    <row r="670" spans="1:1">
      <c r="A670" s="20"/>
    </row>
    <row r="671" spans="1:1">
      <c r="A671" s="20"/>
    </row>
    <row r="672" spans="1:1">
      <c r="A672" s="20"/>
    </row>
    <row r="673" spans="1:1">
      <c r="A673" s="20"/>
    </row>
    <row r="674" spans="1:1">
      <c r="A674" s="20"/>
    </row>
    <row r="675" spans="1:1">
      <c r="A675" s="20"/>
    </row>
    <row r="676" spans="1:1">
      <c r="A676" s="20"/>
    </row>
    <row r="677" spans="1:1">
      <c r="A677" s="20"/>
    </row>
    <row r="678" spans="1:1">
      <c r="A678" s="20"/>
    </row>
    <row r="679" spans="1:1">
      <c r="A679" s="20"/>
    </row>
    <row r="680" spans="1:1">
      <c r="A680" s="20"/>
    </row>
    <row r="681" spans="1:1">
      <c r="A681" s="20"/>
    </row>
    <row r="682" spans="1:1">
      <c r="A682" s="20"/>
    </row>
    <row r="683" spans="1:1">
      <c r="A683" s="20"/>
    </row>
    <row r="684" spans="1:1">
      <c r="A684" s="20"/>
    </row>
    <row r="685" spans="1:1">
      <c r="A685" s="20"/>
    </row>
    <row r="686" spans="1:1">
      <c r="A686" s="20"/>
    </row>
    <row r="687" spans="1:1">
      <c r="A687" s="20"/>
    </row>
    <row r="688" spans="1:1">
      <c r="A688" s="20"/>
    </row>
    <row r="689" spans="1:1">
      <c r="A689" s="20"/>
    </row>
    <row r="690" spans="1:1">
      <c r="A690" s="20"/>
    </row>
    <row r="691" spans="1:1">
      <c r="A691" s="20"/>
    </row>
    <row r="692" spans="1:1">
      <c r="A692" s="20"/>
    </row>
    <row r="693" spans="1:1">
      <c r="A693" s="20"/>
    </row>
    <row r="694" spans="1:1">
      <c r="A694" s="20"/>
    </row>
    <row r="695" spans="1:1">
      <c r="A695" s="20"/>
    </row>
    <row r="696" spans="1:1">
      <c r="A696" s="20"/>
    </row>
    <row r="697" spans="1:1">
      <c r="A697" s="20"/>
    </row>
    <row r="698" spans="1:1">
      <c r="A698" s="20"/>
    </row>
    <row r="699" spans="1:1">
      <c r="A699" s="20"/>
    </row>
    <row r="700" spans="1:1">
      <c r="A700" s="20"/>
    </row>
    <row r="701" spans="1:1">
      <c r="A701" s="20"/>
    </row>
    <row r="702" spans="1:1">
      <c r="A702" s="20"/>
    </row>
    <row r="703" spans="1:1">
      <c r="A703" s="20"/>
    </row>
    <row r="704" spans="1:1">
      <c r="A704" s="20"/>
    </row>
    <row r="705" spans="1:1">
      <c r="A705" s="20"/>
    </row>
    <row r="706" spans="1:1">
      <c r="A706" s="20"/>
    </row>
    <row r="707" spans="1:1">
      <c r="A707" s="20"/>
    </row>
    <row r="708" spans="1:1">
      <c r="A708" s="20"/>
    </row>
    <row r="709" spans="1:1">
      <c r="A709" s="20"/>
    </row>
    <row r="710" spans="1:1">
      <c r="A710" s="20"/>
    </row>
    <row r="711" spans="1:1">
      <c r="A711" s="20"/>
    </row>
    <row r="712" spans="1:1">
      <c r="A712" s="20"/>
    </row>
    <row r="713" spans="1:1">
      <c r="A713" s="20"/>
    </row>
    <row r="714" spans="1:1">
      <c r="A714" s="20"/>
    </row>
    <row r="715" spans="1:1">
      <c r="A715" s="20"/>
    </row>
    <row r="716" spans="1:1">
      <c r="A716" s="20"/>
    </row>
    <row r="717" spans="1:1">
      <c r="A717" s="20"/>
    </row>
    <row r="718" spans="1:1">
      <c r="A718" s="20"/>
    </row>
    <row r="719" spans="1:1">
      <c r="A719" s="20"/>
    </row>
    <row r="720" spans="1:1">
      <c r="A720" s="20"/>
    </row>
    <row r="721" spans="1:1">
      <c r="A721" s="20"/>
    </row>
    <row r="722" spans="1:1">
      <c r="A722" s="20"/>
    </row>
    <row r="723" spans="1:1">
      <c r="A723" s="20"/>
    </row>
    <row r="724" spans="1:1">
      <c r="A724" s="20"/>
    </row>
    <row r="725" spans="1:1">
      <c r="A725" s="20"/>
    </row>
    <row r="726" spans="1:1">
      <c r="A726" s="20"/>
    </row>
    <row r="727" spans="1:1">
      <c r="A727" s="20"/>
    </row>
    <row r="728" spans="1:1">
      <c r="A728" s="20"/>
    </row>
    <row r="729" spans="1:1">
      <c r="A729" s="20"/>
    </row>
    <row r="730" spans="1:1">
      <c r="A730" s="20"/>
    </row>
    <row r="731" spans="1:1">
      <c r="A731" s="20"/>
    </row>
    <row r="732" spans="1:1">
      <c r="A732" s="20"/>
    </row>
    <row r="733" spans="1:1">
      <c r="A733" s="20"/>
    </row>
    <row r="734" spans="1:1">
      <c r="A734" s="20"/>
    </row>
    <row r="735" spans="1:1">
      <c r="A735" s="20"/>
    </row>
    <row r="736" spans="1:1">
      <c r="A736" s="20"/>
    </row>
    <row r="737" spans="1:1">
      <c r="A737" s="20"/>
    </row>
    <row r="738" spans="1:1">
      <c r="A738" s="20"/>
    </row>
    <row r="739" spans="1:1">
      <c r="A739" s="20"/>
    </row>
    <row r="740" spans="1:1">
      <c r="A740" s="20"/>
    </row>
    <row r="741" spans="1:1">
      <c r="A741" s="20"/>
    </row>
    <row r="742" spans="1:1">
      <c r="A742" s="20"/>
    </row>
    <row r="743" spans="1:1">
      <c r="A743" s="20"/>
    </row>
    <row r="744" spans="1:1">
      <c r="A744" s="20"/>
    </row>
    <row r="745" spans="1:1">
      <c r="A745" s="20"/>
    </row>
    <row r="746" spans="1:1">
      <c r="A746" s="20"/>
    </row>
    <row r="747" spans="1:1">
      <c r="A747" s="20"/>
    </row>
    <row r="748" spans="1:1">
      <c r="A748" s="20"/>
    </row>
    <row r="749" spans="1:1">
      <c r="A749" s="20"/>
    </row>
    <row r="750" spans="1:1">
      <c r="A750" s="20"/>
    </row>
    <row r="751" spans="1:1">
      <c r="A751" s="20"/>
    </row>
    <row r="752" spans="1:1">
      <c r="A752" s="20"/>
    </row>
    <row r="753" spans="1:1">
      <c r="A753" s="20"/>
    </row>
    <row r="754" spans="1:1">
      <c r="A754" s="20"/>
    </row>
    <row r="755" spans="1:1">
      <c r="A755" s="20"/>
    </row>
    <row r="756" spans="1:1">
      <c r="A756" s="20"/>
    </row>
    <row r="757" spans="1:1">
      <c r="A757" s="20"/>
    </row>
    <row r="758" spans="1:1">
      <c r="A758" s="20"/>
    </row>
    <row r="759" spans="1:1">
      <c r="A759" s="20"/>
    </row>
    <row r="760" spans="1:1">
      <c r="A760" s="20"/>
    </row>
    <row r="761" spans="1:1">
      <c r="A761" s="20"/>
    </row>
    <row r="762" spans="1:1">
      <c r="A762" s="20"/>
    </row>
    <row r="763" spans="1:1">
      <c r="A763" s="20"/>
    </row>
    <row r="764" spans="1:1">
      <c r="A764" s="20"/>
    </row>
    <row r="765" spans="1:1">
      <c r="A765" s="20"/>
    </row>
    <row r="766" spans="1:1">
      <c r="A766" s="20"/>
    </row>
    <row r="767" spans="1:1">
      <c r="A767" s="20"/>
    </row>
    <row r="768" spans="1:1">
      <c r="A768" s="20"/>
    </row>
    <row r="769" spans="1:1">
      <c r="A769" s="20"/>
    </row>
    <row r="770" spans="1:1">
      <c r="A770" s="20"/>
    </row>
    <row r="771" spans="1:1">
      <c r="A771" s="20"/>
    </row>
    <row r="772" spans="1:1">
      <c r="A772" s="20"/>
    </row>
    <row r="773" spans="1:1">
      <c r="A773" s="20"/>
    </row>
    <row r="774" spans="1:1">
      <c r="A774" s="20"/>
    </row>
    <row r="775" spans="1:1">
      <c r="A775" s="20"/>
    </row>
    <row r="776" spans="1:1">
      <c r="A776" s="20"/>
    </row>
    <row r="777" spans="1:1">
      <c r="A777" s="20"/>
    </row>
    <row r="778" spans="1:1">
      <c r="A778" s="20"/>
    </row>
    <row r="779" spans="1:1">
      <c r="A779" s="20"/>
    </row>
    <row r="780" spans="1:1">
      <c r="A780" s="20"/>
    </row>
    <row r="781" spans="1:1">
      <c r="A781" s="20"/>
    </row>
    <row r="782" spans="1:1">
      <c r="A782" s="20"/>
    </row>
    <row r="783" spans="1:1">
      <c r="A783" s="20"/>
    </row>
    <row r="784" spans="1:1">
      <c r="A784" s="20"/>
    </row>
    <row r="785" spans="1:1">
      <c r="A785" s="20"/>
    </row>
    <row r="786" spans="1:1">
      <c r="A786" s="20"/>
    </row>
    <row r="787" spans="1:1">
      <c r="A787" s="20"/>
    </row>
    <row r="788" spans="1:1">
      <c r="A788" s="20"/>
    </row>
    <row r="789" spans="1:1">
      <c r="A789" s="20"/>
    </row>
    <row r="790" spans="1:1">
      <c r="A790" s="20"/>
    </row>
    <row r="791" spans="1:1">
      <c r="A791" s="20"/>
    </row>
    <row r="792" spans="1:1">
      <c r="A792" s="20"/>
    </row>
    <row r="793" spans="1:1">
      <c r="A793" s="20"/>
    </row>
    <row r="794" spans="1:1">
      <c r="A794" s="20"/>
    </row>
    <row r="795" spans="1:1">
      <c r="A795" s="20"/>
    </row>
    <row r="796" spans="1:1">
      <c r="A796" s="20"/>
    </row>
    <row r="797" spans="1:1">
      <c r="A797" s="20"/>
    </row>
    <row r="798" spans="1:1">
      <c r="A798" s="20"/>
    </row>
    <row r="799" spans="1:1">
      <c r="A799" s="20"/>
    </row>
    <row r="800" spans="1:1">
      <c r="A800" s="20"/>
    </row>
    <row r="801" spans="1:1">
      <c r="A801" s="20"/>
    </row>
    <row r="802" spans="1:1">
      <c r="A802" s="20"/>
    </row>
    <row r="803" spans="1:1">
      <c r="A803" s="20"/>
    </row>
    <row r="804" spans="1:1">
      <c r="A804" s="20"/>
    </row>
    <row r="805" spans="1:1">
      <c r="A805" s="20"/>
    </row>
    <row r="806" spans="1:1">
      <c r="A806" s="20"/>
    </row>
    <row r="807" spans="1:1">
      <c r="A807" s="20"/>
    </row>
    <row r="808" spans="1:1">
      <c r="A808" s="20"/>
    </row>
    <row r="809" spans="1:1">
      <c r="A809" s="20"/>
    </row>
    <row r="810" spans="1:1">
      <c r="A810" s="20"/>
    </row>
    <row r="811" spans="1:1">
      <c r="A811" s="20"/>
    </row>
    <row r="812" spans="1:1">
      <c r="A812" s="20"/>
    </row>
    <row r="813" spans="1:1">
      <c r="A813" s="20"/>
    </row>
    <row r="814" spans="1:1">
      <c r="A814" s="20"/>
    </row>
    <row r="815" spans="1:1">
      <c r="A815" s="20"/>
    </row>
    <row r="816" spans="1:1">
      <c r="A816" s="20"/>
    </row>
    <row r="817" spans="1:1">
      <c r="A817" s="20"/>
    </row>
    <row r="818" spans="1:1">
      <c r="A818" s="20"/>
    </row>
    <row r="819" spans="1:1">
      <c r="A819" s="20"/>
    </row>
    <row r="820" spans="1:1">
      <c r="A820" s="20"/>
    </row>
    <row r="821" spans="1:1">
      <c r="A821" s="20"/>
    </row>
    <row r="822" spans="1:1">
      <c r="A822" s="20"/>
    </row>
    <row r="823" spans="1:1">
      <c r="A823" s="20"/>
    </row>
    <row r="824" spans="1:1">
      <c r="A824" s="20"/>
    </row>
    <row r="825" spans="1:1">
      <c r="A825" s="20"/>
    </row>
    <row r="826" spans="1:1">
      <c r="A826" s="20"/>
    </row>
    <row r="827" spans="1:1">
      <c r="A827" s="20"/>
    </row>
    <row r="828" spans="1:1">
      <c r="A828" s="20"/>
    </row>
    <row r="829" spans="1:1">
      <c r="A829" s="20"/>
    </row>
    <row r="830" spans="1:1">
      <c r="A830" s="20"/>
    </row>
    <row r="831" spans="1:1">
      <c r="A831" s="20"/>
    </row>
    <row r="832" spans="1:1">
      <c r="A832" s="20"/>
    </row>
    <row r="833" spans="1:1">
      <c r="A833" s="20"/>
    </row>
    <row r="834" spans="1:1">
      <c r="A834" s="20"/>
    </row>
    <row r="835" spans="1:1">
      <c r="A835" s="20"/>
    </row>
    <row r="836" spans="1:1">
      <c r="A836" s="20"/>
    </row>
    <row r="837" spans="1:1">
      <c r="A837" s="20"/>
    </row>
    <row r="838" spans="1:1">
      <c r="A838" s="20"/>
    </row>
    <row r="839" spans="1:1">
      <c r="A839" s="20"/>
    </row>
    <row r="840" spans="1:1">
      <c r="A840" s="20"/>
    </row>
    <row r="841" spans="1:1">
      <c r="A841" s="20"/>
    </row>
    <row r="842" spans="1:1">
      <c r="A842" s="20"/>
    </row>
    <row r="843" spans="1:1">
      <c r="A843" s="20"/>
    </row>
    <row r="844" spans="1:1">
      <c r="A844" s="20"/>
    </row>
    <row r="845" spans="1:1">
      <c r="A845" s="20"/>
    </row>
    <row r="846" spans="1:1">
      <c r="A846" s="20"/>
    </row>
    <row r="847" spans="1:1">
      <c r="A847" s="20"/>
    </row>
    <row r="848" spans="1:1">
      <c r="A848" s="20"/>
    </row>
    <row r="849" spans="1:1">
      <c r="A849" s="20"/>
    </row>
    <row r="850" spans="1:1">
      <c r="A850" s="20"/>
    </row>
    <row r="851" spans="1:1">
      <c r="A851" s="20"/>
    </row>
    <row r="852" spans="1:1">
      <c r="A852" s="20"/>
    </row>
    <row r="853" spans="1:1">
      <c r="A853" s="20"/>
    </row>
    <row r="854" spans="1:1">
      <c r="A854" s="20"/>
    </row>
    <row r="855" spans="1:1">
      <c r="A855" s="20"/>
    </row>
    <row r="856" spans="1:1">
      <c r="A856" s="20"/>
    </row>
    <row r="857" spans="1:1">
      <c r="A857" s="20"/>
    </row>
    <row r="858" spans="1:1">
      <c r="A858" s="20"/>
    </row>
    <row r="859" spans="1:1">
      <c r="A859" s="20"/>
    </row>
    <row r="860" spans="1:1">
      <c r="A860" s="20"/>
    </row>
    <row r="861" spans="1:1">
      <c r="A861" s="20"/>
    </row>
    <row r="862" spans="1:1">
      <c r="A862" s="20"/>
    </row>
    <row r="863" spans="1:1">
      <c r="A863" s="20"/>
    </row>
    <row r="864" spans="1:1">
      <c r="A864" s="20"/>
    </row>
    <row r="865" spans="1:1">
      <c r="A865" s="20"/>
    </row>
    <row r="866" spans="1:1">
      <c r="A866" s="20"/>
    </row>
    <row r="867" spans="1:1">
      <c r="A867" s="20"/>
    </row>
    <row r="868" spans="1:1">
      <c r="A868" s="20"/>
    </row>
    <row r="869" spans="1:1">
      <c r="A869" s="20"/>
    </row>
    <row r="870" spans="1:1">
      <c r="A870" s="20"/>
    </row>
    <row r="871" spans="1:1">
      <c r="A871" s="20"/>
    </row>
    <row r="872" spans="1:1">
      <c r="A872" s="20"/>
    </row>
    <row r="873" spans="1:1">
      <c r="A873" s="20"/>
    </row>
    <row r="874" spans="1:1">
      <c r="A874" s="20"/>
    </row>
    <row r="875" spans="1:1">
      <c r="A875" s="20"/>
    </row>
    <row r="876" spans="1:1">
      <c r="A876" s="20"/>
    </row>
    <row r="877" spans="1:1">
      <c r="A877" s="20"/>
    </row>
    <row r="878" spans="1:1">
      <c r="A878" s="20"/>
    </row>
    <row r="879" spans="1:1">
      <c r="A879" s="20"/>
    </row>
    <row r="880" spans="1:1">
      <c r="A880" s="20"/>
    </row>
    <row r="881" spans="1:1">
      <c r="A881" s="20"/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86ABB-54AD-45B5-BC30-49F564BAE73E}">
  <dimension ref="A2:C21"/>
  <sheetViews>
    <sheetView workbookViewId="0">
      <selection activeCell="F14" sqref="F14"/>
    </sheetView>
  </sheetViews>
  <sheetFormatPr defaultRowHeight="12.75"/>
  <sheetData>
    <row r="2" spans="2:3">
      <c r="B2">
        <v>8.33</v>
      </c>
    </row>
    <row r="3" spans="2:3">
      <c r="B3">
        <v>10.75</v>
      </c>
    </row>
    <row r="4" spans="2:3">
      <c r="B4">
        <v>9.74</v>
      </c>
    </row>
    <row r="5" spans="2:3">
      <c r="B5">
        <v>12.61</v>
      </c>
    </row>
    <row r="6" spans="2:3">
      <c r="B6">
        <v>8.2899999999999991</v>
      </c>
    </row>
    <row r="7" spans="2:3">
      <c r="B7">
        <v>6.54</v>
      </c>
    </row>
    <row r="8" spans="2:3">
      <c r="B8">
        <v>10.62</v>
      </c>
    </row>
    <row r="9" spans="2:3">
      <c r="B9">
        <v>17.622</v>
      </c>
    </row>
    <row r="10" spans="2:3">
      <c r="B10">
        <v>4.74</v>
      </c>
    </row>
    <row r="11" spans="2:3">
      <c r="B11">
        <v>7.31</v>
      </c>
    </row>
    <row r="12" spans="2:3">
      <c r="B12">
        <v>6.65</v>
      </c>
    </row>
    <row r="13" spans="2:3">
      <c r="B13">
        <v>6.91</v>
      </c>
    </row>
    <row r="14" spans="2:3">
      <c r="B14">
        <v>22.08</v>
      </c>
      <c r="C14" t="s">
        <v>2483</v>
      </c>
    </row>
    <row r="15" spans="2:3">
      <c r="B15">
        <v>12.73</v>
      </c>
      <c r="C15" t="s">
        <v>2483</v>
      </c>
    </row>
    <row r="16" spans="2:3">
      <c r="B16">
        <v>14.27</v>
      </c>
      <c r="C16" t="s">
        <v>2483</v>
      </c>
    </row>
    <row r="17" spans="1:3">
      <c r="B17">
        <v>6.12</v>
      </c>
      <c r="C17" t="s">
        <v>2483</v>
      </c>
    </row>
    <row r="18" spans="1:3">
      <c r="B18">
        <v>40.51</v>
      </c>
    </row>
    <row r="19" spans="1:3">
      <c r="B19">
        <v>11.88</v>
      </c>
    </row>
    <row r="21" spans="1:3" ht="13.5">
      <c r="A21" s="455" t="s">
        <v>142</v>
      </c>
      <c r="B21">
        <f>SUM(B2:B20)</f>
        <v>217.702</v>
      </c>
      <c r="C21">
        <f>SUM(B2:B13,B18:B19)</f>
        <v>162.50199999999998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97FD5-0517-4A4B-8C2F-D9B24EAC1449}">
  <dimension ref="A1:I19"/>
  <sheetViews>
    <sheetView zoomScale="115" zoomScaleNormal="115" workbookViewId="0">
      <selection activeCell="F28" sqref="F28"/>
    </sheetView>
  </sheetViews>
  <sheetFormatPr defaultColWidth="9.140625" defaultRowHeight="12.75"/>
  <cols>
    <col min="1" max="1" width="5.7109375" style="81" customWidth="1"/>
    <col min="2" max="2" width="5.85546875" style="81" customWidth="1"/>
    <col min="3" max="3" width="9.140625" style="81"/>
    <col min="4" max="4" width="9.42578125" style="82" customWidth="1"/>
    <col min="5" max="5" width="8.85546875" style="82" customWidth="1"/>
    <col min="6" max="6" width="8.5703125" style="82" customWidth="1"/>
    <col min="7" max="7" width="11.5703125" style="82" customWidth="1"/>
    <col min="8" max="8" width="11.42578125" style="82" customWidth="1"/>
    <col min="9" max="9" width="14.140625" style="82" customWidth="1"/>
    <col min="10" max="16384" width="9.140625" style="82"/>
  </cols>
  <sheetData>
    <row r="1" spans="1:9" ht="13.5">
      <c r="A1" s="157" t="s">
        <v>1799</v>
      </c>
      <c r="B1" s="157"/>
      <c r="C1" s="157"/>
      <c r="D1" s="157"/>
      <c r="E1" s="157"/>
      <c r="F1" s="157"/>
      <c r="G1" s="157"/>
    </row>
    <row r="2" spans="1:9" ht="13.5">
      <c r="A2" s="1044" t="s">
        <v>1590</v>
      </c>
      <c r="B2" s="1045"/>
      <c r="C2" s="149" t="s">
        <v>1712</v>
      </c>
      <c r="D2" s="183" t="s">
        <v>1800</v>
      </c>
      <c r="E2" s="183" t="s">
        <v>1803</v>
      </c>
      <c r="F2" s="149" t="s">
        <v>1802</v>
      </c>
      <c r="G2" s="183" t="s">
        <v>1804</v>
      </c>
      <c r="H2" s="183" t="s">
        <v>1805</v>
      </c>
      <c r="I2" s="149"/>
    </row>
    <row r="3" spans="1:9">
      <c r="A3" s="149" t="s">
        <v>1801</v>
      </c>
      <c r="B3" s="158">
        <v>29</v>
      </c>
      <c r="C3" s="149">
        <v>0</v>
      </c>
      <c r="D3" s="151">
        <v>0.08</v>
      </c>
      <c r="E3" s="149">
        <v>0.2</v>
      </c>
      <c r="F3" s="151">
        <f>C3*D3*E3</f>
        <v>0</v>
      </c>
      <c r="G3" s="151">
        <f>(D3+D4)/2*2*C3</f>
        <v>0</v>
      </c>
      <c r="H3" s="151"/>
      <c r="I3" s="151"/>
    </row>
    <row r="4" spans="1:9">
      <c r="A4" s="149" t="s">
        <v>1801</v>
      </c>
      <c r="B4" s="158">
        <v>40</v>
      </c>
      <c r="C4" s="149">
        <f>B4-B3</f>
        <v>11</v>
      </c>
      <c r="D4" s="151">
        <v>0.46</v>
      </c>
      <c r="E4" s="149">
        <v>0.2</v>
      </c>
      <c r="F4" s="151">
        <f>C4*((D4+D3)/2)*E4</f>
        <v>0.59400000000000008</v>
      </c>
      <c r="G4" s="151">
        <f>(D3+D4)/2*2*C4</f>
        <v>5.94</v>
      </c>
      <c r="H4" s="151">
        <f>(C4/0.5*0.6+2*C4)*0.994</f>
        <v>34.988800000000005</v>
      </c>
      <c r="I4" s="151"/>
    </row>
    <row r="5" spans="1:9">
      <c r="A5" s="149" t="s">
        <v>1801</v>
      </c>
      <c r="B5" s="158">
        <v>60</v>
      </c>
      <c r="C5" s="149">
        <f t="shared" ref="C5:C16" si="0">B5-B4</f>
        <v>20</v>
      </c>
      <c r="D5" s="151">
        <v>0.44</v>
      </c>
      <c r="E5" s="149">
        <v>0.2</v>
      </c>
      <c r="F5" s="151">
        <f t="shared" ref="F5:F16" si="1">C5*((D5+D4)/2)*E5</f>
        <v>1.8</v>
      </c>
      <c r="G5" s="151">
        <f t="shared" ref="G5:G16" si="2">(D4+D5)/2*2*C5</f>
        <v>18</v>
      </c>
      <c r="H5" s="151">
        <f>(C5/0.5*0.6+2*C5)*0.994</f>
        <v>63.616</v>
      </c>
      <c r="I5" s="151"/>
    </row>
    <row r="6" spans="1:9">
      <c r="A6" s="149" t="s">
        <v>1801</v>
      </c>
      <c r="B6" s="158">
        <v>80</v>
      </c>
      <c r="C6" s="149">
        <f t="shared" si="0"/>
        <v>20</v>
      </c>
      <c r="D6" s="151">
        <v>0.42</v>
      </c>
      <c r="E6" s="149">
        <v>0.2</v>
      </c>
      <c r="F6" s="151">
        <f t="shared" si="1"/>
        <v>1.72</v>
      </c>
      <c r="G6" s="151">
        <f t="shared" si="2"/>
        <v>17.2</v>
      </c>
      <c r="H6" s="151">
        <f>(C6/0.5*0.6+2*C6)*0.994</f>
        <v>63.616</v>
      </c>
      <c r="I6" s="151"/>
    </row>
    <row r="7" spans="1:9">
      <c r="A7" s="149" t="s">
        <v>1801</v>
      </c>
      <c r="B7" s="158">
        <v>100</v>
      </c>
      <c r="C7" s="149">
        <f t="shared" si="0"/>
        <v>20</v>
      </c>
      <c r="D7" s="151">
        <v>0.39</v>
      </c>
      <c r="E7" s="149">
        <v>0.2</v>
      </c>
      <c r="F7" s="151">
        <f t="shared" si="1"/>
        <v>1.6200000000000003</v>
      </c>
      <c r="G7" s="151">
        <f t="shared" si="2"/>
        <v>16.200000000000003</v>
      </c>
      <c r="H7" s="151">
        <f>(C7/0.5*0.6+2*C7)*0.994</f>
        <v>63.616</v>
      </c>
      <c r="I7" s="151"/>
    </row>
    <row r="8" spans="1:9">
      <c r="A8" s="149" t="s">
        <v>1801</v>
      </c>
      <c r="B8" s="158">
        <v>120</v>
      </c>
      <c r="C8" s="149">
        <f t="shared" si="0"/>
        <v>20</v>
      </c>
      <c r="D8" s="151">
        <v>0.3</v>
      </c>
      <c r="E8" s="149">
        <v>0.2</v>
      </c>
      <c r="F8" s="151">
        <f t="shared" si="1"/>
        <v>1.38</v>
      </c>
      <c r="G8" s="151">
        <f t="shared" si="2"/>
        <v>13.799999999999999</v>
      </c>
      <c r="H8" s="151">
        <f>(C8/0.5*0.6+2*C8)*0.994</f>
        <v>63.616</v>
      </c>
      <c r="I8" s="151"/>
    </row>
    <row r="9" spans="1:9">
      <c r="A9" s="149" t="s">
        <v>1801</v>
      </c>
      <c r="B9" s="158">
        <v>140</v>
      </c>
      <c r="C9" s="149">
        <f t="shared" si="0"/>
        <v>20</v>
      </c>
      <c r="D9" s="151">
        <v>0.24</v>
      </c>
      <c r="E9" s="149">
        <v>0.2</v>
      </c>
      <c r="F9" s="151">
        <f t="shared" si="1"/>
        <v>1.08</v>
      </c>
      <c r="G9" s="151">
        <f t="shared" si="2"/>
        <v>10.8</v>
      </c>
      <c r="H9" s="151">
        <f t="shared" ref="H9:H14" si="3">(C9/0.5*0.6+1*C9)*0.994</f>
        <v>43.735999999999997</v>
      </c>
      <c r="I9" s="151"/>
    </row>
    <row r="10" spans="1:9">
      <c r="A10" s="149" t="s">
        <v>1801</v>
      </c>
      <c r="B10" s="158">
        <v>160</v>
      </c>
      <c r="C10" s="149">
        <f t="shared" si="0"/>
        <v>20</v>
      </c>
      <c r="D10" s="151">
        <v>0.18</v>
      </c>
      <c r="E10" s="149">
        <v>0.2</v>
      </c>
      <c r="F10" s="151">
        <f t="shared" si="1"/>
        <v>0.84000000000000008</v>
      </c>
      <c r="G10" s="151">
        <f t="shared" si="2"/>
        <v>8.4</v>
      </c>
      <c r="H10" s="151">
        <f t="shared" si="3"/>
        <v>43.735999999999997</v>
      </c>
      <c r="I10" s="151"/>
    </row>
    <row r="11" spans="1:9">
      <c r="A11" s="149" t="s">
        <v>1801</v>
      </c>
      <c r="B11" s="158">
        <v>180</v>
      </c>
      <c r="C11" s="149">
        <f t="shared" si="0"/>
        <v>20</v>
      </c>
      <c r="D11" s="151">
        <v>0.13</v>
      </c>
      <c r="E11" s="149">
        <v>0.2</v>
      </c>
      <c r="F11" s="151">
        <f t="shared" si="1"/>
        <v>0.62000000000000011</v>
      </c>
      <c r="G11" s="151">
        <f t="shared" si="2"/>
        <v>6.2</v>
      </c>
      <c r="H11" s="151">
        <f t="shared" si="3"/>
        <v>43.735999999999997</v>
      </c>
      <c r="I11" s="151"/>
    </row>
    <row r="12" spans="1:9">
      <c r="A12" s="149" t="s">
        <v>1801</v>
      </c>
      <c r="B12" s="158">
        <v>200</v>
      </c>
      <c r="C12" s="149">
        <f t="shared" si="0"/>
        <v>20</v>
      </c>
      <c r="D12" s="151">
        <v>0.13</v>
      </c>
      <c r="E12" s="149">
        <v>0.2</v>
      </c>
      <c r="F12" s="151">
        <f t="shared" si="1"/>
        <v>0.52</v>
      </c>
      <c r="G12" s="151">
        <f t="shared" si="2"/>
        <v>5.2</v>
      </c>
      <c r="H12" s="151">
        <f t="shared" si="3"/>
        <v>43.735999999999997</v>
      </c>
      <c r="I12" s="151"/>
    </row>
    <row r="13" spans="1:9">
      <c r="A13" s="149" t="s">
        <v>1801</v>
      </c>
      <c r="B13" s="158">
        <v>220</v>
      </c>
      <c r="C13" s="149">
        <f t="shared" si="0"/>
        <v>20</v>
      </c>
      <c r="D13" s="151">
        <v>0.12</v>
      </c>
      <c r="E13" s="149">
        <v>0.2</v>
      </c>
      <c r="F13" s="151">
        <f t="shared" si="1"/>
        <v>0.5</v>
      </c>
      <c r="G13" s="151">
        <f t="shared" si="2"/>
        <v>5</v>
      </c>
      <c r="H13" s="151">
        <f t="shared" si="3"/>
        <v>43.735999999999997</v>
      </c>
      <c r="I13" s="151"/>
    </row>
    <row r="14" spans="1:9">
      <c r="A14" s="149" t="s">
        <v>1801</v>
      </c>
      <c r="B14" s="158">
        <v>240</v>
      </c>
      <c r="C14" s="149">
        <f t="shared" si="0"/>
        <v>20</v>
      </c>
      <c r="D14" s="151">
        <v>0.1</v>
      </c>
      <c r="E14" s="149">
        <v>0.2</v>
      </c>
      <c r="F14" s="151">
        <f t="shared" si="1"/>
        <v>0.44000000000000006</v>
      </c>
      <c r="G14" s="151">
        <f t="shared" si="2"/>
        <v>4.4000000000000004</v>
      </c>
      <c r="H14" s="151">
        <f t="shared" si="3"/>
        <v>43.735999999999997</v>
      </c>
      <c r="I14" s="151"/>
    </row>
    <row r="15" spans="1:9">
      <c r="A15" s="149" t="s">
        <v>1801</v>
      </c>
      <c r="B15" s="158">
        <v>260</v>
      </c>
      <c r="C15" s="149">
        <f t="shared" si="0"/>
        <v>20</v>
      </c>
      <c r="D15" s="151">
        <v>0.05</v>
      </c>
      <c r="E15" s="149">
        <v>0.2</v>
      </c>
      <c r="F15" s="151">
        <f t="shared" si="1"/>
        <v>0.30000000000000004</v>
      </c>
      <c r="G15" s="151">
        <f t="shared" si="2"/>
        <v>3.0000000000000004</v>
      </c>
      <c r="H15" s="151">
        <f>(C15/0.5*0.6+0*C15)*0.994</f>
        <v>23.856000000000002</v>
      </c>
      <c r="I15" s="151"/>
    </row>
    <row r="16" spans="1:9">
      <c r="A16" s="149" t="s">
        <v>1801</v>
      </c>
      <c r="B16" s="158">
        <v>280</v>
      </c>
      <c r="C16" s="149">
        <f t="shared" si="0"/>
        <v>20</v>
      </c>
      <c r="D16" s="151">
        <v>0.02</v>
      </c>
      <c r="E16" s="149">
        <v>0.2</v>
      </c>
      <c r="F16" s="151">
        <f t="shared" si="1"/>
        <v>0.14000000000000001</v>
      </c>
      <c r="G16" s="151">
        <f t="shared" si="2"/>
        <v>1.4000000000000001</v>
      </c>
      <c r="H16" s="151">
        <f>(C16/0.5*0.6+0*C16)*0.994</f>
        <v>23.856000000000002</v>
      </c>
      <c r="I16" s="151"/>
    </row>
    <row r="17" spans="1:9">
      <c r="A17" s="149"/>
      <c r="B17" s="158"/>
      <c r="C17" s="149"/>
      <c r="D17" s="151"/>
      <c r="E17" s="151"/>
      <c r="F17" s="151"/>
      <c r="G17" s="151"/>
      <c r="H17" s="151"/>
      <c r="I17" s="151"/>
    </row>
    <row r="18" spans="1:9">
      <c r="A18" s="149"/>
      <c r="B18" s="158"/>
      <c r="C18" s="149"/>
      <c r="D18" s="151"/>
      <c r="E18" s="151"/>
      <c r="F18" s="151"/>
      <c r="G18" s="151"/>
      <c r="H18" s="151"/>
      <c r="I18" s="151"/>
    </row>
    <row r="19" spans="1:9">
      <c r="A19" s="149" t="s">
        <v>1704</v>
      </c>
      <c r="B19" s="158"/>
      <c r="C19" s="149">
        <f>SUM(C3:C18)</f>
        <v>251</v>
      </c>
      <c r="D19" s="149">
        <f>SUM(D3:D18)</f>
        <v>3.06</v>
      </c>
      <c r="E19" s="151"/>
      <c r="F19" s="151">
        <f>SUM(F3:F18)</f>
        <v>11.554</v>
      </c>
      <c r="G19" s="151">
        <f>SUM(G3:G18)</f>
        <v>115.54000000000002</v>
      </c>
      <c r="H19" s="151">
        <f>SUM(H3:H18)</f>
        <v>599.58079999999995</v>
      </c>
      <c r="I19" s="151"/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BCA51-A6C6-48BE-B0DD-E0F889B54746}">
  <dimension ref="A1:U54"/>
  <sheetViews>
    <sheetView topLeftCell="A6" workbookViewId="0">
      <selection activeCell="I29" sqref="I29"/>
    </sheetView>
  </sheetViews>
  <sheetFormatPr defaultRowHeight="12.75"/>
  <cols>
    <col min="1" max="1" width="20.7109375" style="188" customWidth="1"/>
    <col min="2" max="2" width="19.140625" style="188" customWidth="1"/>
    <col min="5" max="5" width="23.5703125" style="188" customWidth="1"/>
  </cols>
  <sheetData>
    <row r="1" spans="1:20" ht="25.5" customHeight="1">
      <c r="A1" s="1046" t="s">
        <v>1821</v>
      </c>
      <c r="B1" s="1046"/>
      <c r="C1" s="1046"/>
      <c r="D1" s="1046"/>
      <c r="E1" s="1046"/>
      <c r="F1" s="1046"/>
      <c r="G1" s="1046"/>
      <c r="H1" s="1046"/>
      <c r="I1" s="1046"/>
      <c r="J1" s="1046"/>
    </row>
    <row r="2" spans="1:20">
      <c r="A2" s="188" t="s">
        <v>1822</v>
      </c>
      <c r="B2" s="188" t="s">
        <v>1823</v>
      </c>
      <c r="C2" t="s">
        <v>1824</v>
      </c>
      <c r="D2" t="s">
        <v>238</v>
      </c>
      <c r="E2" s="188" t="s">
        <v>1825</v>
      </c>
      <c r="F2" t="s">
        <v>1826</v>
      </c>
      <c r="G2" t="s">
        <v>1827</v>
      </c>
      <c r="H2" t="s">
        <v>1828</v>
      </c>
      <c r="I2" t="s">
        <v>1829</v>
      </c>
      <c r="J2" t="s">
        <v>1830</v>
      </c>
    </row>
    <row r="3" spans="1:20" ht="25.5">
      <c r="A3" s="188" t="s">
        <v>1831</v>
      </c>
      <c r="B3" s="188" t="s">
        <v>597</v>
      </c>
      <c r="C3" t="s">
        <v>13</v>
      </c>
      <c r="D3">
        <v>776</v>
      </c>
      <c r="F3">
        <v>2510.64</v>
      </c>
      <c r="G3">
        <v>775.88499999999999</v>
      </c>
      <c r="J3">
        <v>0.11500000000000909</v>
      </c>
    </row>
    <row r="4" spans="1:20" ht="25.5">
      <c r="A4" s="188" t="s">
        <v>1832</v>
      </c>
      <c r="B4" s="188" t="s">
        <v>599</v>
      </c>
      <c r="C4" t="s">
        <v>223</v>
      </c>
      <c r="D4">
        <v>235</v>
      </c>
      <c r="F4">
        <v>3297.86</v>
      </c>
      <c r="G4">
        <v>251.85000000000002</v>
      </c>
      <c r="J4">
        <v>-16.850000000000023</v>
      </c>
    </row>
    <row r="5" spans="1:20" ht="38.25">
      <c r="A5" s="188" t="s">
        <v>1833</v>
      </c>
      <c r="B5" s="188" t="s">
        <v>601</v>
      </c>
      <c r="C5" t="s">
        <v>13</v>
      </c>
      <c r="D5">
        <v>102</v>
      </c>
      <c r="E5" s="188" t="s">
        <v>1834</v>
      </c>
      <c r="F5">
        <v>2952.01</v>
      </c>
      <c r="G5">
        <v>173.82</v>
      </c>
      <c r="J5">
        <v>-71.819999999999993</v>
      </c>
    </row>
    <row r="6" spans="1:20" ht="38.25">
      <c r="A6" s="188" t="s">
        <v>1835</v>
      </c>
      <c r="B6" s="188" t="s">
        <v>1836</v>
      </c>
      <c r="C6" t="s">
        <v>8</v>
      </c>
      <c r="D6">
        <v>31.2</v>
      </c>
      <c r="E6" s="188" t="s">
        <v>1837</v>
      </c>
      <c r="F6">
        <v>8355.11</v>
      </c>
      <c r="G6">
        <v>35.200000000000003</v>
      </c>
      <c r="H6">
        <v>170.83</v>
      </c>
      <c r="I6">
        <v>2.82</v>
      </c>
    </row>
    <row r="7" spans="1:20" ht="38.25">
      <c r="A7" s="188" t="s">
        <v>1838</v>
      </c>
      <c r="B7" s="188" t="s">
        <v>1839</v>
      </c>
      <c r="C7" t="s">
        <v>8</v>
      </c>
      <c r="D7">
        <v>17.899999999999999</v>
      </c>
      <c r="E7" s="188" t="s">
        <v>1840</v>
      </c>
      <c r="F7">
        <v>5394.64</v>
      </c>
      <c r="G7">
        <v>24.3</v>
      </c>
      <c r="H7">
        <v>153.09</v>
      </c>
      <c r="I7">
        <v>2.52</v>
      </c>
    </row>
    <row r="8" spans="1:20" ht="25.5">
      <c r="A8" s="188" t="s">
        <v>1841</v>
      </c>
      <c r="B8" s="188" t="s">
        <v>1372</v>
      </c>
      <c r="C8" t="s">
        <v>13</v>
      </c>
      <c r="D8">
        <v>634.14</v>
      </c>
      <c r="G8">
        <v>559.71499999999992</v>
      </c>
      <c r="J8">
        <v>74.425000000000068</v>
      </c>
    </row>
    <row r="11" spans="1:20">
      <c r="A11" s="188" t="s">
        <v>1843</v>
      </c>
      <c r="C11" t="s">
        <v>1844</v>
      </c>
    </row>
    <row r="12" spans="1:20">
      <c r="A12" s="188" t="s">
        <v>1845</v>
      </c>
      <c r="B12" s="188" t="s">
        <v>1846</v>
      </c>
      <c r="C12" t="s">
        <v>1847</v>
      </c>
      <c r="D12" t="s">
        <v>1842</v>
      </c>
      <c r="E12" s="188" t="s">
        <v>1848</v>
      </c>
      <c r="F12" t="s">
        <v>1846</v>
      </c>
      <c r="G12" t="s">
        <v>1847</v>
      </c>
      <c r="H12" t="s">
        <v>1842</v>
      </c>
      <c r="I12" t="s">
        <v>1849</v>
      </c>
      <c r="J12" t="s">
        <v>1846</v>
      </c>
      <c r="K12" t="s">
        <v>1847</v>
      </c>
      <c r="L12" t="s">
        <v>1842</v>
      </c>
      <c r="M12" t="s">
        <v>1850</v>
      </c>
      <c r="N12" t="s">
        <v>1846</v>
      </c>
      <c r="O12" t="s">
        <v>1847</v>
      </c>
      <c r="P12" t="s">
        <v>1842</v>
      </c>
      <c r="Q12" t="s">
        <v>1851</v>
      </c>
      <c r="R12" t="s">
        <v>1852</v>
      </c>
      <c r="S12" t="s">
        <v>1853</v>
      </c>
      <c r="T12" t="s">
        <v>1842</v>
      </c>
    </row>
    <row r="13" spans="1:20">
      <c r="A13" s="188" t="s">
        <v>1854</v>
      </c>
      <c r="B13" s="188">
        <v>0</v>
      </c>
      <c r="C13">
        <v>1.5</v>
      </c>
      <c r="D13">
        <v>0</v>
      </c>
      <c r="E13" s="188" t="s">
        <v>1854</v>
      </c>
      <c r="F13">
        <v>0</v>
      </c>
      <c r="G13">
        <v>3.3</v>
      </c>
      <c r="H13">
        <v>0</v>
      </c>
      <c r="I13" t="s">
        <v>1855</v>
      </c>
      <c r="J13">
        <v>43.9</v>
      </c>
      <c r="K13">
        <v>2.1</v>
      </c>
      <c r="L13">
        <v>92.19</v>
      </c>
      <c r="M13" t="s">
        <v>1856</v>
      </c>
      <c r="N13">
        <v>49</v>
      </c>
      <c r="O13">
        <v>3.3</v>
      </c>
      <c r="P13">
        <v>161.69999999999999</v>
      </c>
      <c r="Q13" t="s">
        <v>1857</v>
      </c>
      <c r="R13">
        <v>4.4000000000000004</v>
      </c>
      <c r="S13">
        <v>3.3</v>
      </c>
      <c r="T13">
        <v>7.26</v>
      </c>
    </row>
    <row r="14" spans="1:20">
      <c r="A14" s="188" t="s">
        <v>1858</v>
      </c>
      <c r="B14" s="188">
        <v>20</v>
      </c>
      <c r="C14">
        <v>1.6</v>
      </c>
      <c r="D14">
        <v>31</v>
      </c>
      <c r="E14" s="188" t="s">
        <v>1858</v>
      </c>
      <c r="F14">
        <v>20</v>
      </c>
      <c r="G14">
        <v>2.1</v>
      </c>
      <c r="H14">
        <v>54</v>
      </c>
    </row>
    <row r="15" spans="1:20">
      <c r="A15" s="188" t="s">
        <v>1859</v>
      </c>
      <c r="B15" s="188">
        <v>20</v>
      </c>
      <c r="C15">
        <v>1.5</v>
      </c>
      <c r="D15">
        <v>31</v>
      </c>
      <c r="E15" s="188" t="s">
        <v>1859</v>
      </c>
      <c r="F15">
        <v>20</v>
      </c>
      <c r="G15">
        <v>2.1</v>
      </c>
      <c r="H15">
        <v>42</v>
      </c>
      <c r="M15" t="s">
        <v>1860</v>
      </c>
      <c r="N15">
        <v>4.8</v>
      </c>
      <c r="O15">
        <v>1.5</v>
      </c>
      <c r="P15">
        <v>7.1999999999999993</v>
      </c>
    </row>
    <row r="16" spans="1:20">
      <c r="A16" s="188" t="s">
        <v>1861</v>
      </c>
      <c r="B16" s="188">
        <v>20</v>
      </c>
      <c r="C16">
        <v>1.53</v>
      </c>
      <c r="D16">
        <v>30.300000000000004</v>
      </c>
      <c r="E16" s="188" t="s">
        <v>1861</v>
      </c>
      <c r="F16">
        <v>20</v>
      </c>
      <c r="G16">
        <v>2.2000000000000002</v>
      </c>
      <c r="H16">
        <v>43.000000000000007</v>
      </c>
    </row>
    <row r="17" spans="1:21">
      <c r="A17" s="188" t="s">
        <v>1862</v>
      </c>
      <c r="B17" s="188">
        <v>20</v>
      </c>
      <c r="C17">
        <v>1.6</v>
      </c>
      <c r="D17">
        <v>31.299999999999997</v>
      </c>
      <c r="E17" s="188" t="s">
        <v>1862</v>
      </c>
      <c r="F17">
        <v>20</v>
      </c>
      <c r="G17">
        <v>2.15</v>
      </c>
      <c r="H17">
        <v>43.5</v>
      </c>
    </row>
    <row r="18" spans="1:21">
      <c r="A18" s="188" t="s">
        <v>1863</v>
      </c>
      <c r="B18" s="188">
        <v>20</v>
      </c>
      <c r="C18">
        <v>1.59</v>
      </c>
      <c r="D18">
        <v>31.900000000000006</v>
      </c>
      <c r="E18" s="188" t="s">
        <v>1863</v>
      </c>
      <c r="F18">
        <v>20</v>
      </c>
      <c r="G18">
        <v>2.2000000000000002</v>
      </c>
      <c r="H18">
        <v>43.5</v>
      </c>
    </row>
    <row r="19" spans="1:21">
      <c r="A19" s="188" t="s">
        <v>1864</v>
      </c>
      <c r="B19" s="188">
        <v>20</v>
      </c>
      <c r="C19">
        <v>1.53</v>
      </c>
      <c r="D19">
        <v>31.200000000000003</v>
      </c>
      <c r="E19" s="188" t="s">
        <v>1864</v>
      </c>
      <c r="F19">
        <v>20</v>
      </c>
      <c r="G19">
        <v>2.2000000000000002</v>
      </c>
      <c r="H19">
        <v>44</v>
      </c>
    </row>
    <row r="20" spans="1:21">
      <c r="A20" s="188" t="s">
        <v>1865</v>
      </c>
      <c r="B20" s="188">
        <v>20</v>
      </c>
      <c r="C20">
        <v>1.58</v>
      </c>
      <c r="D20">
        <v>31.1</v>
      </c>
      <c r="E20" s="188" t="s">
        <v>1865</v>
      </c>
      <c r="F20">
        <v>20</v>
      </c>
      <c r="G20">
        <v>2.2000000000000002</v>
      </c>
      <c r="H20">
        <v>44</v>
      </c>
    </row>
    <row r="21" spans="1:21">
      <c r="A21" s="188" t="s">
        <v>1866</v>
      </c>
      <c r="B21" s="188">
        <v>20</v>
      </c>
      <c r="C21">
        <v>1.53</v>
      </c>
      <c r="D21">
        <v>31.1</v>
      </c>
      <c r="E21" s="188" t="s">
        <v>1866</v>
      </c>
      <c r="F21">
        <v>20</v>
      </c>
      <c r="G21">
        <v>2.2000000000000002</v>
      </c>
      <c r="H21">
        <v>44</v>
      </c>
    </row>
    <row r="22" spans="1:21">
      <c r="A22" s="188" t="s">
        <v>1867</v>
      </c>
      <c r="B22" s="188">
        <v>20</v>
      </c>
      <c r="C22">
        <v>1.5</v>
      </c>
      <c r="D22">
        <v>30.300000000000004</v>
      </c>
      <c r="E22" s="188" t="s">
        <v>1867</v>
      </c>
      <c r="F22">
        <v>20</v>
      </c>
      <c r="G22">
        <v>2.2000000000000002</v>
      </c>
      <c r="H22">
        <v>44</v>
      </c>
    </row>
    <row r="23" spans="1:21">
      <c r="A23" s="188" t="s">
        <v>1868</v>
      </c>
      <c r="B23" s="188">
        <v>20</v>
      </c>
      <c r="C23">
        <v>1.6</v>
      </c>
      <c r="D23">
        <v>31</v>
      </c>
      <c r="E23" s="188" t="s">
        <v>1868</v>
      </c>
      <c r="F23">
        <v>20</v>
      </c>
      <c r="G23">
        <v>2.25</v>
      </c>
      <c r="H23">
        <v>44.5</v>
      </c>
    </row>
    <row r="24" spans="1:21">
      <c r="A24" s="188" t="s">
        <v>1869</v>
      </c>
      <c r="B24" s="188">
        <v>20</v>
      </c>
      <c r="C24">
        <v>1.6</v>
      </c>
      <c r="D24">
        <v>32</v>
      </c>
      <c r="E24" s="188" t="s">
        <v>1869</v>
      </c>
      <c r="F24">
        <v>20</v>
      </c>
      <c r="G24">
        <v>2.25</v>
      </c>
      <c r="H24">
        <v>45</v>
      </c>
    </row>
    <row r="25" spans="1:21">
      <c r="A25" s="188" t="s">
        <v>1870</v>
      </c>
      <c r="B25" s="188">
        <v>20</v>
      </c>
      <c r="C25">
        <v>1.7</v>
      </c>
      <c r="D25">
        <v>33</v>
      </c>
      <c r="E25" s="188" t="s">
        <v>1870</v>
      </c>
      <c r="F25">
        <v>20</v>
      </c>
      <c r="G25">
        <v>2.25</v>
      </c>
      <c r="H25">
        <v>45</v>
      </c>
    </row>
    <row r="26" spans="1:21">
      <c r="A26" s="188" t="s">
        <v>1871</v>
      </c>
      <c r="B26" s="188">
        <v>20</v>
      </c>
      <c r="C26">
        <v>1.95</v>
      </c>
      <c r="D26">
        <v>36.5</v>
      </c>
      <c r="E26" s="188" t="s">
        <v>1871</v>
      </c>
      <c r="F26">
        <v>20</v>
      </c>
      <c r="G26">
        <v>2.25</v>
      </c>
      <c r="H26">
        <v>45</v>
      </c>
    </row>
    <row r="27" spans="1:21">
      <c r="A27" s="188" t="s">
        <v>1872</v>
      </c>
      <c r="B27" s="188">
        <v>29</v>
      </c>
      <c r="C27">
        <v>1.9</v>
      </c>
      <c r="D27">
        <v>55.824999999999996</v>
      </c>
      <c r="E27" s="188" t="s">
        <v>1873</v>
      </c>
      <c r="F27">
        <v>14.5</v>
      </c>
      <c r="G27">
        <v>2.25</v>
      </c>
      <c r="H27">
        <v>32.625</v>
      </c>
    </row>
    <row r="28" spans="1:21">
      <c r="A28" s="188" t="s">
        <v>1874</v>
      </c>
      <c r="D28">
        <v>467.52499999999998</v>
      </c>
      <c r="H28" s="18">
        <v>614.125</v>
      </c>
      <c r="L28">
        <v>92.19</v>
      </c>
      <c r="P28" s="18">
        <v>154.5</v>
      </c>
      <c r="T28" s="18">
        <v>7.26</v>
      </c>
      <c r="U28">
        <v>1335.6000000000001</v>
      </c>
    </row>
    <row r="29" spans="1:21">
      <c r="B29" s="260"/>
      <c r="C29" t="s">
        <v>1875</v>
      </c>
      <c r="D29">
        <v>559.71499999999992</v>
      </c>
      <c r="H29" t="s">
        <v>1876</v>
      </c>
      <c r="I29" s="18">
        <v>775.88499999999999</v>
      </c>
    </row>
    <row r="31" spans="1:21">
      <c r="A31" s="188" t="s">
        <v>1832</v>
      </c>
      <c r="B31" s="188" t="s">
        <v>1877</v>
      </c>
      <c r="G31" t="s">
        <v>1880</v>
      </c>
      <c r="L31" t="s">
        <v>1882</v>
      </c>
    </row>
    <row r="32" spans="1:21">
      <c r="A32" s="188" t="s">
        <v>1851</v>
      </c>
      <c r="B32" s="188" t="s">
        <v>1846</v>
      </c>
      <c r="C32" t="s">
        <v>1878</v>
      </c>
      <c r="D32" t="s">
        <v>1842</v>
      </c>
      <c r="E32" s="188" t="s">
        <v>223</v>
      </c>
      <c r="G32" t="s">
        <v>1851</v>
      </c>
      <c r="H32" t="s">
        <v>1881</v>
      </c>
      <c r="I32" t="s">
        <v>1878</v>
      </c>
      <c r="J32" t="s">
        <v>1842</v>
      </c>
      <c r="L32" t="s">
        <v>1851</v>
      </c>
      <c r="M32" t="s">
        <v>1881</v>
      </c>
      <c r="N32" t="s">
        <v>1878</v>
      </c>
      <c r="O32" t="s">
        <v>1842</v>
      </c>
    </row>
    <row r="33" spans="1:15">
      <c r="A33" s="188" t="s">
        <v>1859</v>
      </c>
      <c r="B33" s="188">
        <v>0</v>
      </c>
      <c r="C33">
        <v>2</v>
      </c>
      <c r="D33">
        <v>0</v>
      </c>
      <c r="E33" s="189">
        <v>0</v>
      </c>
      <c r="G33" t="s">
        <v>1863</v>
      </c>
      <c r="H33">
        <v>9.1</v>
      </c>
      <c r="I33">
        <v>8</v>
      </c>
      <c r="J33">
        <v>72.8</v>
      </c>
      <c r="L33" t="s">
        <v>1883</v>
      </c>
      <c r="M33">
        <v>2</v>
      </c>
      <c r="N33">
        <v>3</v>
      </c>
      <c r="O33">
        <v>6</v>
      </c>
    </row>
    <row r="34" spans="1:15">
      <c r="A34" s="188" t="s">
        <v>1861</v>
      </c>
      <c r="B34" s="188">
        <v>20</v>
      </c>
      <c r="C34">
        <v>2</v>
      </c>
      <c r="D34">
        <v>40</v>
      </c>
      <c r="E34" s="189">
        <v>20</v>
      </c>
      <c r="G34" t="s">
        <v>1867</v>
      </c>
      <c r="H34">
        <v>4.5</v>
      </c>
      <c r="I34">
        <v>4.9000000000000004</v>
      </c>
      <c r="J34">
        <v>22.05</v>
      </c>
      <c r="L34" t="s">
        <v>1858</v>
      </c>
      <c r="M34">
        <v>2</v>
      </c>
      <c r="N34">
        <v>3</v>
      </c>
      <c r="O34">
        <v>6</v>
      </c>
    </row>
    <row r="35" spans="1:15">
      <c r="A35" s="188" t="s">
        <v>1862</v>
      </c>
      <c r="B35" s="188">
        <v>20</v>
      </c>
      <c r="C35">
        <v>2.2999999999999998</v>
      </c>
      <c r="D35">
        <v>43</v>
      </c>
      <c r="E35" s="189">
        <v>21.5</v>
      </c>
      <c r="L35" t="s">
        <v>1884</v>
      </c>
      <c r="M35">
        <v>3.3</v>
      </c>
      <c r="N35">
        <v>2.1</v>
      </c>
      <c r="O35">
        <v>6.93</v>
      </c>
    </row>
    <row r="36" spans="1:15">
      <c r="A36" s="188" t="s">
        <v>1863</v>
      </c>
      <c r="B36" s="188">
        <v>20</v>
      </c>
      <c r="C36">
        <v>2</v>
      </c>
      <c r="D36">
        <v>43</v>
      </c>
      <c r="E36" s="189">
        <v>21.5</v>
      </c>
      <c r="G36" t="s">
        <v>1874</v>
      </c>
      <c r="J36" s="18">
        <v>94.85</v>
      </c>
      <c r="L36" t="s">
        <v>1885</v>
      </c>
      <c r="M36">
        <v>2.2999999999999998</v>
      </c>
      <c r="N36">
        <v>2.5</v>
      </c>
      <c r="O36">
        <v>5.75</v>
      </c>
    </row>
    <row r="37" spans="1:15">
      <c r="A37" s="188" t="s">
        <v>1864</v>
      </c>
      <c r="B37" s="188">
        <v>20</v>
      </c>
      <c r="C37">
        <v>2.2000000000000002</v>
      </c>
      <c r="D37">
        <v>42</v>
      </c>
      <c r="E37" s="189">
        <v>21</v>
      </c>
      <c r="L37" t="s">
        <v>1886</v>
      </c>
      <c r="M37">
        <v>2</v>
      </c>
      <c r="N37">
        <v>2.8</v>
      </c>
      <c r="O37">
        <v>5.6</v>
      </c>
    </row>
    <row r="38" spans="1:15">
      <c r="A38" s="188" t="s">
        <v>1865</v>
      </c>
      <c r="B38" s="188">
        <v>20</v>
      </c>
      <c r="C38">
        <v>2</v>
      </c>
      <c r="D38">
        <v>42</v>
      </c>
      <c r="E38" s="189">
        <v>21</v>
      </c>
      <c r="J38" s="18">
        <f>J36+O46</f>
        <v>173.82</v>
      </c>
      <c r="L38" t="s">
        <v>1887</v>
      </c>
      <c r="M38">
        <v>2.2999999999999998</v>
      </c>
      <c r="N38">
        <v>3.1</v>
      </c>
      <c r="O38">
        <v>7.13</v>
      </c>
    </row>
    <row r="39" spans="1:15">
      <c r="A39" s="188" t="s">
        <v>1866</v>
      </c>
      <c r="B39" s="188">
        <v>20</v>
      </c>
      <c r="C39">
        <v>2.4</v>
      </c>
      <c r="D39">
        <v>44</v>
      </c>
      <c r="E39" s="189">
        <v>22</v>
      </c>
      <c r="L39" t="s">
        <v>1888</v>
      </c>
      <c r="M39">
        <v>2</v>
      </c>
      <c r="N39">
        <v>2.6</v>
      </c>
      <c r="O39">
        <v>5.2</v>
      </c>
    </row>
    <row r="40" spans="1:15">
      <c r="A40" s="188" t="s">
        <v>1867</v>
      </c>
      <c r="B40" s="188">
        <v>20</v>
      </c>
      <c r="C40">
        <v>2</v>
      </c>
      <c r="D40">
        <v>44</v>
      </c>
      <c r="E40" s="189">
        <v>22</v>
      </c>
      <c r="L40" t="s">
        <v>1889</v>
      </c>
      <c r="M40">
        <v>2</v>
      </c>
      <c r="N40">
        <v>2.6</v>
      </c>
      <c r="O40">
        <v>5.2</v>
      </c>
    </row>
    <row r="41" spans="1:15">
      <c r="A41" s="188" t="s">
        <v>1868</v>
      </c>
      <c r="B41" s="188">
        <v>20</v>
      </c>
      <c r="C41">
        <v>2.5</v>
      </c>
      <c r="D41">
        <v>45</v>
      </c>
      <c r="E41" s="189">
        <v>22.5</v>
      </c>
      <c r="L41" t="s">
        <v>1864</v>
      </c>
      <c r="M41">
        <v>2</v>
      </c>
      <c r="N41">
        <v>4.0999999999999996</v>
      </c>
      <c r="O41">
        <v>8.1999999999999993</v>
      </c>
    </row>
    <row r="42" spans="1:15">
      <c r="A42" s="188" t="s">
        <v>1869</v>
      </c>
      <c r="B42" s="188">
        <v>20</v>
      </c>
      <c r="C42">
        <v>1.75</v>
      </c>
      <c r="D42">
        <v>42.5</v>
      </c>
      <c r="E42" s="189">
        <v>21.25</v>
      </c>
      <c r="L42" t="s">
        <v>1890</v>
      </c>
      <c r="M42">
        <v>2.2000000000000002</v>
      </c>
      <c r="N42">
        <v>3.4</v>
      </c>
      <c r="O42">
        <v>7.48</v>
      </c>
    </row>
    <row r="43" spans="1:15">
      <c r="A43" s="188" t="s">
        <v>1870</v>
      </c>
      <c r="B43" s="188">
        <v>20</v>
      </c>
      <c r="C43">
        <v>2.06</v>
      </c>
      <c r="D43">
        <v>38.1</v>
      </c>
      <c r="E43" s="189">
        <v>19.05</v>
      </c>
      <c r="L43" t="s">
        <v>1891</v>
      </c>
      <c r="M43">
        <v>3.2</v>
      </c>
      <c r="N43">
        <v>2.5</v>
      </c>
      <c r="O43">
        <v>8</v>
      </c>
    </row>
    <row r="44" spans="1:15">
      <c r="A44" s="188" t="s">
        <v>1871</v>
      </c>
      <c r="B44" s="188">
        <v>20</v>
      </c>
      <c r="C44">
        <v>2.0499999999999998</v>
      </c>
      <c r="D44">
        <v>41.099999999999994</v>
      </c>
      <c r="E44" s="189">
        <v>20.55</v>
      </c>
      <c r="L44" t="s">
        <v>1892</v>
      </c>
      <c r="M44">
        <v>1.2</v>
      </c>
      <c r="N44">
        <v>1.4</v>
      </c>
      <c r="O44">
        <v>1.68</v>
      </c>
    </row>
    <row r="45" spans="1:15">
      <c r="A45" s="188" t="s">
        <v>1879</v>
      </c>
      <c r="B45" s="188">
        <v>20</v>
      </c>
      <c r="C45">
        <v>1.85</v>
      </c>
      <c r="D45">
        <v>39</v>
      </c>
      <c r="E45" s="189">
        <v>19.5</v>
      </c>
      <c r="L45" t="s">
        <v>1893</v>
      </c>
      <c r="M45">
        <v>2</v>
      </c>
      <c r="N45">
        <v>2.9</v>
      </c>
      <c r="O45">
        <v>5.8</v>
      </c>
    </row>
    <row r="46" spans="1:15">
      <c r="A46" s="188" t="s">
        <v>1874</v>
      </c>
      <c r="D46">
        <v>503.70000000000005</v>
      </c>
      <c r="E46" s="189">
        <v>251.85000000000002</v>
      </c>
      <c r="L46" t="s">
        <v>1874</v>
      </c>
      <c r="O46" s="18">
        <v>78.970000000000013</v>
      </c>
    </row>
    <row r="48" spans="1:15">
      <c r="A48" s="188" t="s">
        <v>1894</v>
      </c>
    </row>
    <row r="49" spans="1:11">
      <c r="A49" s="188" t="s">
        <v>1851</v>
      </c>
      <c r="B49" s="188" t="s">
        <v>1881</v>
      </c>
      <c r="C49" t="s">
        <v>1895</v>
      </c>
      <c r="D49" t="s">
        <v>1896</v>
      </c>
      <c r="E49" s="188" t="s">
        <v>1897</v>
      </c>
      <c r="F49" t="s">
        <v>1842</v>
      </c>
      <c r="G49" t="s">
        <v>1898</v>
      </c>
      <c r="H49" t="s">
        <v>1899</v>
      </c>
      <c r="I49" t="s">
        <v>1900</v>
      </c>
      <c r="J49" t="s">
        <v>1901</v>
      </c>
    </row>
    <row r="50" spans="1:11">
      <c r="A50" s="188" t="s">
        <v>1902</v>
      </c>
      <c r="B50" s="188">
        <v>35.200000000000003</v>
      </c>
      <c r="C50">
        <v>2</v>
      </c>
      <c r="D50">
        <v>2</v>
      </c>
      <c r="E50" s="188">
        <v>2</v>
      </c>
      <c r="F50">
        <v>70.400000000000006</v>
      </c>
      <c r="G50">
        <v>2</v>
      </c>
      <c r="H50">
        <v>0.44999999999999996</v>
      </c>
      <c r="I50">
        <v>0.89999999999999991</v>
      </c>
      <c r="J50" t="s">
        <v>1903</v>
      </c>
      <c r="K50">
        <v>2.82</v>
      </c>
    </row>
    <row r="51" spans="1:11">
      <c r="A51" s="188" t="s">
        <v>1904</v>
      </c>
      <c r="B51" s="188">
        <v>26.2</v>
      </c>
      <c r="C51">
        <v>3.8</v>
      </c>
      <c r="D51">
        <v>3.7</v>
      </c>
      <c r="E51" s="188">
        <v>4</v>
      </c>
      <c r="F51">
        <v>100.43333333333334</v>
      </c>
      <c r="G51">
        <v>3.83</v>
      </c>
      <c r="H51">
        <v>0.5</v>
      </c>
      <c r="I51">
        <v>1.92</v>
      </c>
      <c r="J51" t="s">
        <v>1905</v>
      </c>
    </row>
    <row r="52" spans="1:11">
      <c r="A52" s="188" t="s">
        <v>1906</v>
      </c>
      <c r="B52" s="188">
        <v>24.3</v>
      </c>
      <c r="C52">
        <v>8.1</v>
      </c>
      <c r="D52">
        <v>4.3</v>
      </c>
      <c r="E52" s="188">
        <v>6.5</v>
      </c>
      <c r="F52">
        <v>153.09</v>
      </c>
      <c r="G52">
        <v>6.3</v>
      </c>
      <c r="H52">
        <v>0.4</v>
      </c>
      <c r="I52">
        <v>2.52</v>
      </c>
      <c r="J52" t="s">
        <v>1907</v>
      </c>
      <c r="K52">
        <v>2.52</v>
      </c>
    </row>
    <row r="54" spans="1:11">
      <c r="A54" s="188" t="s">
        <v>1874</v>
      </c>
      <c r="F54">
        <v>323.92333333333335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22354-BDB9-4982-9737-3D4408612591}">
  <dimension ref="A36:G36"/>
  <sheetViews>
    <sheetView topLeftCell="A7" zoomScale="142" zoomScaleNormal="142" workbookViewId="0">
      <selection activeCell="I17" sqref="I17"/>
    </sheetView>
  </sheetViews>
  <sheetFormatPr defaultRowHeight="12.75"/>
  <sheetData>
    <row r="36" spans="1:7" ht="21.75">
      <c r="A36" s="1047" t="s">
        <v>1561</v>
      </c>
      <c r="B36" s="1047"/>
      <c r="C36" s="1047"/>
      <c r="D36" s="1047"/>
      <c r="E36" s="1047"/>
      <c r="F36" s="1047"/>
      <c r="G36" s="1047"/>
    </row>
  </sheetData>
  <mergeCells count="1">
    <mergeCell ref="A36:G36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135" orientation="portrait" horizontalDpi="1200" verticalDpi="120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A1743-F499-472F-8E44-186D45EF4DC9}">
  <dimension ref="A1:F14"/>
  <sheetViews>
    <sheetView workbookViewId="0">
      <selection activeCell="B3" sqref="B3"/>
    </sheetView>
  </sheetViews>
  <sheetFormatPr defaultColWidth="9.140625" defaultRowHeight="12.75"/>
  <cols>
    <col min="1" max="1" width="9.140625" style="82"/>
    <col min="2" max="2" width="58.85546875" style="82" customWidth="1"/>
    <col min="3" max="3" width="30.42578125" style="82" customWidth="1"/>
    <col min="4" max="4" width="28.28515625" style="82" customWidth="1"/>
    <col min="5" max="5" width="17.42578125" style="82" customWidth="1"/>
    <col min="6" max="6" width="17.7109375" style="82" customWidth="1"/>
    <col min="7" max="16384" width="9.140625" style="82"/>
  </cols>
  <sheetData>
    <row r="1" spans="1:6">
      <c r="A1" s="1048" t="s">
        <v>1692</v>
      </c>
      <c r="B1" s="1048"/>
      <c r="C1" s="1048"/>
      <c r="D1" s="1048"/>
      <c r="E1" s="1048"/>
      <c r="F1" s="1048"/>
    </row>
    <row r="2" spans="1:6" ht="25.5">
      <c r="A2" s="150" t="s">
        <v>1693</v>
      </c>
      <c r="B2" s="150" t="s">
        <v>1694</v>
      </c>
      <c r="C2" s="1051" t="s">
        <v>1695</v>
      </c>
      <c r="D2" s="1051"/>
      <c r="E2" s="150" t="s">
        <v>1696</v>
      </c>
      <c r="F2" s="150" t="s">
        <v>1612</v>
      </c>
    </row>
    <row r="3" spans="1:6">
      <c r="A3" s="1052"/>
      <c r="B3" s="151" t="s">
        <v>1697</v>
      </c>
      <c r="C3" s="1053" t="s">
        <v>1698</v>
      </c>
      <c r="D3" s="1056">
        <f>ROUND(632.77*5+33.17+11.76,2)</f>
        <v>3208.78</v>
      </c>
      <c r="E3" s="1059">
        <f>ROUND(D3*56,0)</f>
        <v>179692</v>
      </c>
      <c r="F3" s="1062"/>
    </row>
    <row r="4" spans="1:6">
      <c r="A4" s="1052"/>
      <c r="B4" s="151" t="s">
        <v>1699</v>
      </c>
      <c r="C4" s="1054"/>
      <c r="D4" s="1057"/>
      <c r="E4" s="1060"/>
      <c r="F4" s="1052"/>
    </row>
    <row r="5" spans="1:6">
      <c r="A5" s="1052"/>
      <c r="B5" s="151" t="s">
        <v>1700</v>
      </c>
      <c r="C5" s="1054"/>
      <c r="D5" s="1057"/>
      <c r="E5" s="1060"/>
      <c r="F5" s="1052"/>
    </row>
    <row r="6" spans="1:6">
      <c r="A6" s="1052"/>
      <c r="B6" s="151" t="s">
        <v>1701</v>
      </c>
      <c r="C6" s="1054"/>
      <c r="D6" s="1057"/>
      <c r="E6" s="1060"/>
      <c r="F6" s="1052"/>
    </row>
    <row r="7" spans="1:6">
      <c r="A7" s="1052"/>
      <c r="B7" s="151" t="s">
        <v>1702</v>
      </c>
      <c r="C7" s="1054"/>
      <c r="D7" s="1057"/>
      <c r="E7" s="1060"/>
      <c r="F7" s="1052"/>
    </row>
    <row r="8" spans="1:6">
      <c r="A8" s="1052"/>
      <c r="B8" s="151" t="s">
        <v>1703</v>
      </c>
      <c r="C8" s="1055"/>
      <c r="D8" s="1058"/>
      <c r="E8" s="1061"/>
      <c r="F8" s="1043"/>
    </row>
    <row r="9" spans="1:6">
      <c r="A9" s="1048" t="s">
        <v>1704</v>
      </c>
      <c r="B9" s="1048"/>
      <c r="C9" s="1049">
        <f>SUM(D3:D8)</f>
        <v>3208.78</v>
      </c>
      <c r="D9" s="1050"/>
      <c r="E9" s="152">
        <f>SUM(E3:E8)</f>
        <v>179692</v>
      </c>
      <c r="F9" s="102"/>
    </row>
    <row r="12" spans="1:6">
      <c r="C12" s="1048" t="s">
        <v>1705</v>
      </c>
      <c r="D12" s="1048"/>
      <c r="E12" s="1048"/>
      <c r="F12" s="1048"/>
    </row>
    <row r="13" spans="1:6">
      <c r="C13" s="151" t="s">
        <v>1706</v>
      </c>
      <c r="D13" s="153" t="s">
        <v>1707</v>
      </c>
      <c r="E13" s="154">
        <f>ROUND(C9/100,0)</f>
        <v>32</v>
      </c>
      <c r="F13" s="151"/>
    </row>
    <row r="14" spans="1:6" ht="63.75">
      <c r="C14" s="151" t="s">
        <v>1708</v>
      </c>
      <c r="D14" s="155" t="s">
        <v>1709</v>
      </c>
      <c r="E14" s="156">
        <f>ROUND(8000*20+7200*10+6400*20+5600*50+4800*(E13-100),0)</f>
        <v>313600</v>
      </c>
      <c r="F14" s="151"/>
    </row>
  </sheetData>
  <mergeCells count="10">
    <mergeCell ref="C12:F12"/>
    <mergeCell ref="A9:B9"/>
    <mergeCell ref="C9:D9"/>
    <mergeCell ref="A1:F1"/>
    <mergeCell ref="C2:D2"/>
    <mergeCell ref="A3:A8"/>
    <mergeCell ref="C3:C8"/>
    <mergeCell ref="D3:D8"/>
    <mergeCell ref="E3:E8"/>
    <mergeCell ref="F3:F8"/>
  </mergeCells>
  <phoneticPr fontId="1" type="noConversion"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93E4D-D09E-4960-B7A1-A13815C1F5A5}">
  <dimension ref="A1:I32"/>
  <sheetViews>
    <sheetView workbookViewId="0">
      <selection activeCell="C27" sqref="C27"/>
    </sheetView>
  </sheetViews>
  <sheetFormatPr defaultColWidth="9.140625" defaultRowHeight="12.75"/>
  <cols>
    <col min="1" max="1" width="19.140625" style="81" customWidth="1"/>
    <col min="2" max="5" width="9.140625" style="81"/>
    <col min="6" max="6" width="35.42578125" style="82" customWidth="1"/>
    <col min="7" max="16384" width="9.140625" style="82"/>
  </cols>
  <sheetData>
    <row r="1" spans="1:9">
      <c r="A1" s="1038" t="s">
        <v>1666</v>
      </c>
      <c r="B1" s="1038"/>
      <c r="C1" s="1038"/>
      <c r="D1" s="1038"/>
      <c r="E1" s="1038"/>
      <c r="F1" s="1038"/>
      <c r="G1" s="1038"/>
      <c r="H1" s="1038"/>
      <c r="I1" s="1038"/>
    </row>
    <row r="2" spans="1:9" ht="13.5">
      <c r="B2" s="81" t="s">
        <v>1667</v>
      </c>
      <c r="C2" s="148" t="s">
        <v>1689</v>
      </c>
      <c r="D2" s="148" t="s">
        <v>1691</v>
      </c>
      <c r="E2" s="148" t="s">
        <v>1689</v>
      </c>
      <c r="F2" s="148" t="s">
        <v>1690</v>
      </c>
      <c r="G2" s="81"/>
      <c r="H2" s="81"/>
      <c r="I2" s="81"/>
    </row>
    <row r="3" spans="1:9">
      <c r="A3" s="81" t="s">
        <v>1668</v>
      </c>
      <c r="B3" s="81">
        <v>12</v>
      </c>
      <c r="C3" s="81">
        <f>B3*6</f>
        <v>72</v>
      </c>
      <c r="D3" s="81">
        <v>4</v>
      </c>
      <c r="E3" s="81">
        <f>D3*6</f>
        <v>24</v>
      </c>
    </row>
    <row r="4" spans="1:9">
      <c r="A4" s="81">
        <v>140</v>
      </c>
      <c r="B4" s="81">
        <v>1</v>
      </c>
      <c r="C4" s="81">
        <f>B4*5</f>
        <v>5</v>
      </c>
    </row>
    <row r="5" spans="1:9" ht="13.5">
      <c r="A5" s="81">
        <v>210</v>
      </c>
      <c r="B5" s="81">
        <v>35</v>
      </c>
      <c r="C5" s="81">
        <f>B5*5</f>
        <v>175</v>
      </c>
      <c r="F5" s="147" t="s">
        <v>1812</v>
      </c>
    </row>
    <row r="6" spans="1:9">
      <c r="A6" s="81">
        <v>280</v>
      </c>
      <c r="B6" s="81">
        <v>8</v>
      </c>
      <c r="C6" s="81">
        <f>B6*5</f>
        <v>40</v>
      </c>
    </row>
    <row r="7" spans="1:9">
      <c r="A7" s="81" t="s">
        <v>1669</v>
      </c>
      <c r="B7" s="81">
        <v>13</v>
      </c>
      <c r="C7" s="81">
        <f>B7*5</f>
        <v>65</v>
      </c>
    </row>
    <row r="8" spans="1:9">
      <c r="A8" s="81" t="s">
        <v>1670</v>
      </c>
      <c r="B8" s="81">
        <v>9</v>
      </c>
      <c r="C8" s="81">
        <f>6*3+3*5</f>
        <v>33</v>
      </c>
      <c r="F8" s="82" t="s">
        <v>1671</v>
      </c>
    </row>
    <row r="9" spans="1:9" s="185" customFormat="1" ht="13.5">
      <c r="A9" s="184"/>
      <c r="B9" s="184" t="s">
        <v>1667</v>
      </c>
      <c r="C9" s="186"/>
      <c r="D9" s="184"/>
      <c r="E9" s="184"/>
      <c r="H9" s="187" t="s">
        <v>1813</v>
      </c>
    </row>
    <row r="10" spans="1:9" s="185" customFormat="1">
      <c r="A10" s="184" t="s">
        <v>1658</v>
      </c>
      <c r="B10" s="184">
        <v>22</v>
      </c>
      <c r="C10" s="184">
        <v>3</v>
      </c>
      <c r="D10" s="184"/>
      <c r="E10" s="184"/>
      <c r="H10" s="184">
        <f>SUM(B10:G10)</f>
        <v>25</v>
      </c>
    </row>
    <row r="11" spans="1:9" s="185" customFormat="1">
      <c r="A11" s="184" t="s">
        <v>1659</v>
      </c>
      <c r="B11" s="184">
        <v>30</v>
      </c>
      <c r="C11" s="184"/>
      <c r="D11" s="184"/>
      <c r="E11" s="184"/>
      <c r="H11" s="184">
        <f t="shared" ref="H11:H26" si="0">SUM(B11:G11)</f>
        <v>30</v>
      </c>
    </row>
    <row r="12" spans="1:9" s="185" customFormat="1">
      <c r="A12" s="184" t="s">
        <v>1672</v>
      </c>
      <c r="B12" s="184">
        <v>15</v>
      </c>
      <c r="C12" s="184">
        <v>3</v>
      </c>
      <c r="D12" s="184"/>
      <c r="E12" s="184"/>
      <c r="H12" s="184">
        <f t="shared" si="0"/>
        <v>18</v>
      </c>
    </row>
    <row r="13" spans="1:9" s="185" customFormat="1">
      <c r="A13" s="184" t="s">
        <v>1673</v>
      </c>
      <c r="B13" s="184">
        <v>1</v>
      </c>
      <c r="C13" s="184"/>
      <c r="D13" s="184"/>
      <c r="E13" s="184"/>
      <c r="H13" s="184">
        <f t="shared" si="0"/>
        <v>1</v>
      </c>
    </row>
    <row r="14" spans="1:9" s="185" customFormat="1">
      <c r="A14" s="184" t="s">
        <v>1674</v>
      </c>
      <c r="B14" s="184">
        <v>1</v>
      </c>
      <c r="C14" s="184"/>
      <c r="D14" s="184"/>
      <c r="E14" s="184"/>
      <c r="H14" s="184">
        <f t="shared" si="0"/>
        <v>1</v>
      </c>
    </row>
    <row r="15" spans="1:9" s="185" customFormat="1">
      <c r="A15" s="184" t="s">
        <v>1675</v>
      </c>
      <c r="B15" s="184">
        <v>1</v>
      </c>
      <c r="C15" s="184"/>
      <c r="D15" s="184"/>
      <c r="E15" s="184"/>
      <c r="H15" s="184">
        <f t="shared" si="0"/>
        <v>1</v>
      </c>
    </row>
    <row r="16" spans="1:9" s="185" customFormat="1">
      <c r="A16" s="184" t="s">
        <v>1676</v>
      </c>
      <c r="B16" s="184">
        <f>4+5</f>
        <v>9</v>
      </c>
      <c r="C16" s="184">
        <v>6</v>
      </c>
      <c r="D16" s="184"/>
      <c r="E16" s="184"/>
      <c r="H16" s="184">
        <f t="shared" si="0"/>
        <v>15</v>
      </c>
    </row>
    <row r="17" spans="1:8" s="185" customFormat="1">
      <c r="A17" s="184" t="s">
        <v>1677</v>
      </c>
      <c r="B17" s="184">
        <v>3</v>
      </c>
      <c r="C17" s="184"/>
      <c r="D17" s="184"/>
      <c r="E17" s="184"/>
      <c r="H17" s="184">
        <f t="shared" si="0"/>
        <v>3</v>
      </c>
    </row>
    <row r="18" spans="1:8" s="185" customFormat="1">
      <c r="A18" s="184" t="s">
        <v>1678</v>
      </c>
      <c r="B18" s="184">
        <f>27</f>
        <v>27</v>
      </c>
      <c r="C18" s="184">
        <f>40+10</f>
        <v>50</v>
      </c>
      <c r="D18" s="184"/>
      <c r="E18" s="184"/>
      <c r="H18" s="184">
        <f t="shared" si="0"/>
        <v>77</v>
      </c>
    </row>
    <row r="19" spans="1:8" s="185" customFormat="1">
      <c r="A19" s="184" t="s">
        <v>1679</v>
      </c>
      <c r="B19" s="184">
        <v>2</v>
      </c>
      <c r="C19" s="184"/>
      <c r="D19" s="184"/>
      <c r="E19" s="184"/>
      <c r="H19" s="184">
        <f t="shared" si="0"/>
        <v>2</v>
      </c>
    </row>
    <row r="20" spans="1:8" s="185" customFormat="1">
      <c r="A20" s="184" t="s">
        <v>1680</v>
      </c>
      <c r="B20" s="184">
        <v>2</v>
      </c>
      <c r="C20" s="184"/>
      <c r="D20" s="184"/>
      <c r="E20" s="184"/>
      <c r="H20" s="184">
        <f t="shared" si="0"/>
        <v>2</v>
      </c>
    </row>
    <row r="21" spans="1:8" s="185" customFormat="1">
      <c r="A21" s="184" t="s">
        <v>1681</v>
      </c>
      <c r="B21" s="184">
        <v>1</v>
      </c>
      <c r="C21" s="184"/>
      <c r="D21" s="184"/>
      <c r="E21" s="184"/>
      <c r="H21" s="184">
        <f t="shared" si="0"/>
        <v>1</v>
      </c>
    </row>
    <row r="22" spans="1:8" s="185" customFormat="1">
      <c r="A22" s="184" t="s">
        <v>1682</v>
      </c>
      <c r="B22" s="184">
        <v>2</v>
      </c>
      <c r="C22" s="184"/>
      <c r="D22" s="184"/>
      <c r="E22" s="184"/>
      <c r="H22" s="184">
        <f t="shared" si="0"/>
        <v>2</v>
      </c>
    </row>
    <row r="23" spans="1:8" s="185" customFormat="1" ht="13.5">
      <c r="A23" s="187" t="s">
        <v>1814</v>
      </c>
      <c r="B23" s="184"/>
      <c r="C23" s="184">
        <v>2</v>
      </c>
      <c r="D23" s="184"/>
      <c r="E23" s="184"/>
      <c r="H23" s="184">
        <f t="shared" si="0"/>
        <v>2</v>
      </c>
    </row>
    <row r="24" spans="1:8" s="185" customFormat="1" ht="13.5">
      <c r="A24" s="187" t="s">
        <v>1815</v>
      </c>
      <c r="B24" s="184"/>
      <c r="C24" s="184">
        <v>3</v>
      </c>
      <c r="D24" s="184"/>
      <c r="E24" s="184"/>
      <c r="H24" s="184">
        <f t="shared" si="0"/>
        <v>3</v>
      </c>
    </row>
    <row r="25" spans="1:8" s="185" customFormat="1" ht="13.5">
      <c r="A25" s="187"/>
      <c r="B25" s="184"/>
      <c r="C25" s="184"/>
      <c r="D25" s="184"/>
      <c r="E25" s="184"/>
      <c r="H25" s="184">
        <f t="shared" si="0"/>
        <v>0</v>
      </c>
    </row>
    <row r="26" spans="1:8" s="185" customFormat="1">
      <c r="A26" s="184"/>
      <c r="B26" s="184"/>
      <c r="C26" s="184"/>
      <c r="D26" s="184"/>
      <c r="E26" s="184"/>
      <c r="H26" s="184">
        <f t="shared" si="0"/>
        <v>0</v>
      </c>
    </row>
    <row r="27" spans="1:8">
      <c r="A27" s="81" t="s">
        <v>1683</v>
      </c>
      <c r="B27" s="81">
        <v>3</v>
      </c>
      <c r="C27" s="81">
        <f>B27*3</f>
        <v>9</v>
      </c>
    </row>
    <row r="28" spans="1:8">
      <c r="A28" s="81" t="s">
        <v>1684</v>
      </c>
      <c r="B28" s="81">
        <v>5</v>
      </c>
      <c r="C28" s="81">
        <f>B28*3</f>
        <v>15</v>
      </c>
    </row>
    <row r="29" spans="1:8">
      <c r="A29" s="81" t="s">
        <v>1685</v>
      </c>
      <c r="B29" s="81">
        <v>6</v>
      </c>
      <c r="C29" s="81">
        <f>B29*3</f>
        <v>18</v>
      </c>
    </row>
    <row r="30" spans="1:8">
      <c r="A30" s="81" t="s">
        <v>1686</v>
      </c>
      <c r="B30" s="81">
        <v>2</v>
      </c>
    </row>
    <row r="31" spans="1:8">
      <c r="A31" s="81" t="s">
        <v>1687</v>
      </c>
      <c r="B31" s="81">
        <v>1</v>
      </c>
    </row>
    <row r="32" spans="1:8">
      <c r="A32" s="81" t="s">
        <v>1688</v>
      </c>
      <c r="B32" s="81">
        <v>1</v>
      </c>
    </row>
  </sheetData>
  <mergeCells count="1">
    <mergeCell ref="A1:I1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34</vt:i4>
      </vt:variant>
      <vt:variant>
        <vt:lpstr>具名範圍</vt:lpstr>
      </vt:variant>
      <vt:variant>
        <vt:i4>30</vt:i4>
      </vt:variant>
    </vt:vector>
  </HeadingPairs>
  <TitlesOfParts>
    <vt:vector size="64" baseType="lpstr">
      <vt:lpstr>CON</vt:lpstr>
      <vt:lpstr>模板(全)</vt:lpstr>
      <vt:lpstr>鋼筋280420</vt:lpstr>
      <vt:lpstr>估驗單</vt:lpstr>
      <vt:lpstr>契約</vt:lpstr>
      <vt:lpstr>數量計算(勇哥)</vt:lpstr>
      <vt:lpstr>4變 (變更項目)</vt:lpstr>
      <vt:lpstr>4變 (總表)</vt:lpstr>
      <vt:lpstr>數量計算(FOR4變)</vt:lpstr>
      <vt:lpstr>4變</vt:lpstr>
      <vt:lpstr>數量計算(FOR5變) </vt:lpstr>
      <vt:lpstr>5變(議價前)</vt:lpstr>
      <vt:lpstr>變更說明</vt:lpstr>
      <vt:lpstr>鋪面緣石</vt:lpstr>
      <vt:lpstr>三合祠</vt:lpstr>
      <vt:lpstr>木棧道</vt:lpstr>
      <vt:lpstr>欄杆</vt:lpstr>
      <vt:lpstr>水溝集水井 (2)</vt:lpstr>
      <vt:lpstr>移植移除</vt:lpstr>
      <vt:lpstr>AC刨</vt:lpstr>
      <vt:lpstr>AC鋪</vt:lpstr>
      <vt:lpstr>挖填方計算</vt:lpstr>
      <vt:lpstr>鋼筋</vt:lpstr>
      <vt:lpstr>回填</vt:lpstr>
      <vt:lpstr>箱涵上回填(原)</vt:lpstr>
      <vt:lpstr>土方挖填及拆除</vt:lpstr>
      <vt:lpstr>HDPE</vt:lpstr>
      <vt:lpstr>希冀橋</vt:lpstr>
      <vt:lpstr>道路切割</vt:lpstr>
      <vt:lpstr>堤牆加高</vt:lpstr>
      <vt:lpstr>砌石</vt:lpstr>
      <vt:lpstr>圍籬</vt:lpstr>
      <vt:lpstr>鄰房</vt:lpstr>
      <vt:lpstr>試驗統計</vt:lpstr>
      <vt:lpstr>'數量計算(FOR4變)'!_290_2_0.15_0.2_12_5_0.15_0.2</vt:lpstr>
      <vt:lpstr>'數量計算(FOR5變) '!_290_2_0.15_0.2_12_5_0.15_0.2</vt:lpstr>
      <vt:lpstr>_290_2_0.15_0.2_12_5_0.15_0.2</vt:lpstr>
      <vt:lpstr>'4變'!Print_Area</vt:lpstr>
      <vt:lpstr>'4變 (總表)'!Print_Area</vt:lpstr>
      <vt:lpstr>'4變 (變更項目)'!Print_Area</vt:lpstr>
      <vt:lpstr>'5變(議價前)'!Print_Area</vt:lpstr>
      <vt:lpstr>CON!Print_Area</vt:lpstr>
      <vt:lpstr>土方挖填及拆除!Print_Area</vt:lpstr>
      <vt:lpstr>估驗單!Print_Area</vt:lpstr>
      <vt:lpstr>挖填方計算!Print_Area</vt:lpstr>
      <vt:lpstr>圍籬!Print_Area</vt:lpstr>
      <vt:lpstr>'數量計算(FOR4變)'!Print_Area</vt:lpstr>
      <vt:lpstr>'數量計算(FOR5變) '!Print_Area</vt:lpstr>
      <vt:lpstr>'數量計算(勇哥)'!Print_Area</vt:lpstr>
      <vt:lpstr>'模板(全)'!Print_Area</vt:lpstr>
      <vt:lpstr>鋼筋280420!Print_Area</vt:lpstr>
      <vt:lpstr>變更說明!Print_Area</vt:lpstr>
      <vt:lpstr>'4變'!Print_Titles</vt:lpstr>
      <vt:lpstr>'4變 (總表)'!Print_Titles</vt:lpstr>
      <vt:lpstr>'4變 (變更項目)'!Print_Titles</vt:lpstr>
      <vt:lpstr>'5變(議價前)'!Print_Titles</vt:lpstr>
      <vt:lpstr>CON!Print_Titles</vt:lpstr>
      <vt:lpstr>'數量計算(FOR4變)'!Print_Titles</vt:lpstr>
      <vt:lpstr>'數量計算(FOR5變) '!Print_Titles</vt:lpstr>
      <vt:lpstr>'數量計算(勇哥)'!Print_Titles</vt:lpstr>
      <vt:lpstr>'模板(全)'!Print_Titles</vt:lpstr>
      <vt:lpstr>鋼筋280420!Print_Titles</vt:lpstr>
      <vt:lpstr>變更說明!Print_Titles</vt:lpstr>
      <vt:lpstr>鋼筋資料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</dc:creator>
  <cp:lastModifiedBy>User</cp:lastModifiedBy>
  <cp:lastPrinted>2025-07-17T08:41:50Z</cp:lastPrinted>
  <dcterms:created xsi:type="dcterms:W3CDTF">2019-04-12T03:29:34Z</dcterms:created>
  <dcterms:modified xsi:type="dcterms:W3CDTF">2025-07-30T02:57:40Z</dcterms:modified>
</cp:coreProperties>
</file>