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Sheet1!$A$3:$E$55</definedName>
  </definedNames>
  <calcPr calcId="145621"/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 l="1"/>
  <c r="D8" i="1"/>
  <c r="D7" i="1"/>
  <c r="E5" i="1"/>
  <c r="E4" i="1"/>
  <c r="E34" i="1"/>
  <c r="E3" i="1"/>
  <c r="E23" i="1"/>
  <c r="G45" i="1"/>
  <c r="E9" i="1"/>
  <c r="E31" i="1"/>
  <c r="E19" i="1"/>
  <c r="G49" i="1"/>
  <c r="E29" i="1"/>
  <c r="G10" i="1"/>
  <c r="E16" i="1"/>
  <c r="E27" i="1"/>
  <c r="E11" i="1"/>
  <c r="G47" i="1"/>
  <c r="E21" i="1"/>
  <c r="E8" i="1"/>
  <c r="E24" i="1"/>
  <c r="E28" i="1"/>
  <c r="E12" i="1"/>
  <c r="E41" i="1"/>
  <c r="G43" i="1"/>
  <c r="E7" i="1"/>
  <c r="E32" i="1"/>
  <c r="E20" i="1"/>
  <c r="E47" i="1"/>
  <c r="E40" i="1"/>
  <c r="K41" i="1"/>
  <c r="E6" i="1"/>
  <c r="E35" i="1"/>
  <c r="E17" i="1"/>
  <c r="E30" i="1"/>
  <c r="E52" i="1"/>
  <c r="E13" i="1"/>
  <c r="E26" i="1"/>
  <c r="E18" i="1"/>
  <c r="E22" i="1"/>
  <c r="E25" i="1"/>
  <c r="E33" i="1"/>
  <c r="E10" i="1"/>
  <c r="E15" i="1"/>
  <c r="E14" i="1"/>
  <c r="E37" i="1"/>
  <c r="E38" i="1"/>
  <c r="E36" i="1"/>
  <c r="E39" i="1"/>
  <c r="E46" i="1"/>
  <c r="G51" i="1"/>
  <c r="E45" i="1"/>
  <c r="E50" i="1"/>
  <c r="E49" i="1"/>
  <c r="G55" i="1"/>
  <c r="E48" i="1"/>
  <c r="E51" i="1"/>
  <c r="E54" i="1"/>
  <c r="E53" i="1"/>
  <c r="K42" i="1" l="1"/>
  <c r="D6" i="1"/>
  <c r="D5" i="1"/>
  <c r="D4" i="1"/>
  <c r="D3" i="1"/>
  <c r="E55" i="1"/>
  <c r="E43" i="1"/>
  <c r="I42" i="1"/>
  <c r="G42" i="1" l="1"/>
  <c r="E44" i="1"/>
  <c r="E42" i="1"/>
</calcChain>
</file>

<file path=xl/sharedStrings.xml><?xml version="1.0" encoding="utf-8"?>
<sst xmlns="http://schemas.openxmlformats.org/spreadsheetml/2006/main" count="81" uniqueCount="79">
  <si>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</si>
  <si>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</si>
  <si>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</si>
  <si>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</si>
  <si>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</si>
  <si>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</si>
  <si>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</si>
  <si>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</si>
  <si>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</si>
  <si>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</si>
  <si>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</si>
  <si>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</si>
  <si>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</si>
  <si>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</si>
  <si>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</si>
  <si>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</si>
  <si>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</si>
  <si>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</si>
  <si>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</si>
  <si>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</si>
  <si>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</si>
  <si>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</si>
  <si>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</si>
  <si>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</si>
  <si>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</si>
  <si>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</si>
  <si>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</si>
  <si>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</si>
  <si>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</si>
  <si>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</si>
  <si>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</si>
  <si>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</si>
  <si>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</si>
  <si>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</si>
  <si>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</si>
  <si>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</si>
  <si>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</si>
  <si>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</si>
  <si>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</si>
  <si>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qlBlackCalculator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</si>
  <si>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</si>
  <si>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</si>
  <si>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</si>
  <si>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</si>
  <si>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</si>
  <si>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</si>
  <si>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qlBlackScholesCalculator</t>
  </si>
  <si>
    <t>qlPricingEngine</t>
  </si>
  <si>
    <t>qlDiscountingSwapEngine</t>
  </si>
  <si>
    <t>qlBinomialPricingEngine</t>
  </si>
  <si>
    <t>qlBlackSwaptionEngine</t>
  </si>
  <si>
    <t>qlBlackSwaptionEngine2</t>
  </si>
  <si>
    <t>qlBlackCapFloorEngine</t>
  </si>
  <si>
    <t>qlBlackCapFloorEngine2</t>
  </si>
  <si>
    <t>qlBachelierCapFloorEngine</t>
  </si>
  <si>
    <t>qlBachelierCapFloorEngine2</t>
  </si>
  <si>
    <t>qlAnalyticCapFloorEngine</t>
  </si>
  <si>
    <t>qlBondEngine</t>
  </si>
  <si>
    <t>qlJamshidianSwaptionEngine</t>
  </si>
  <si>
    <t>qlTreeSwaptionEngine</t>
  </si>
  <si>
    <t>qlModelG2SwaptionEngine</t>
  </si>
  <si>
    <t>pe01#0000</t>
  </si>
  <si>
    <t>pe02#0000</t>
  </si>
  <si>
    <t>pe03#0000</t>
  </si>
  <si>
    <t>pe04#0000</t>
  </si>
  <si>
    <t>pe05#0000</t>
  </si>
  <si>
    <t>pe06#0000</t>
  </si>
  <si>
    <t>pe07#0000</t>
  </si>
  <si>
    <t>pe08#0000</t>
  </si>
  <si>
    <t>pe09#0000</t>
  </si>
  <si>
    <t>pe10#0000</t>
  </si>
  <si>
    <t>pe11#0000</t>
  </si>
  <si>
    <t>pe12#0000</t>
  </si>
  <si>
    <t>pe13#0000</t>
  </si>
  <si>
    <t>pe14#0000</t>
  </si>
  <si>
    <t>pe15#0000</t>
  </si>
  <si>
    <t>pe16#0000</t>
  </si>
  <si>
    <t>pe17#0000</t>
  </si>
  <si>
    <t>pe18#0000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</si>
</sst>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0.38292492254802624</v>
      </c>
      <c r="D3" s="3" t="str">
        <f>IF(B3=C3,"PASS","FAIL")</f>
        <v>FAIL</v>
      </c>
      <c r="E3">
        <f>_xll.qlBlackFormula("call",1,1,1,1,0)</f>
        <v>0.38292492254802624</v>
      </c>
    </row>
    <row r="4" spans="1:7" x14ac:dyDescent="0.25">
      <c r="A4" t="s">
        <v>9</v>
      </c>
      <c r="B4">
        <v>0.30853753872598688</v>
      </c>
      <c r="D4" s="3" t="str">
        <f t="shared" ref="D4:D55" si="0">IF(B4=C4,"PASS","FAIL")</f>
        <v>FAIL</v>
      </c>
      <c r="E4">
        <f>_xll.qlBlackFormulaCashItmProbability("call",1,1,1,0)</f>
        <v>0.30853753872598688</v>
      </c>
    </row>
    <row r="5" spans="1:7" x14ac:dyDescent="0.25">
      <c r="A5" t="s">
        <v>10</v>
      </c>
      <c r="B5">
        <v>2.5066282746310002</v>
      </c>
      <c r="D5" s="3" t="str">
        <f t="shared" si="0"/>
        <v>FAIL</v>
      </c>
      <c r="E5">
        <f>_xll.qlBlackFormulaImpliedStdDevApproximation("call",1,1,1,1,0)</f>
        <v>2.5066282746310002</v>
      </c>
    </row>
    <row r="6" spans="1:7" x14ac:dyDescent="0.25">
      <c r="A6" t="s">
        <v>11</v>
      </c>
      <c r="B6">
        <v>0</v>
      </c>
      <c r="D6" s="3" t="str">
        <f t="shared" si="0"/>
        <v>PASS</v>
      </c>
      <c r="E6">
        <f>_xll.qlBlackFormulaImpliedStdDev("call",1,1)</f>
        <v>0</v>
      </c>
    </row>
    <row r="7" spans="1:7" x14ac:dyDescent="0.25">
      <c r="A7" t="s">
        <v>12</v>
      </c>
      <c r="B7">
        <v>0.35206532676429952</v>
      </c>
      <c r="D7" s="3" t="str">
        <f t="shared" si="0"/>
        <v>FAIL</v>
      </c>
      <c r="E7">
        <f>_xll.qlBlackFormulaStdDevDerivative(1,1,1,1,0)</f>
        <v>0.35206532676429952</v>
      </c>
    </row>
    <row r="8" spans="1:7" x14ac:dyDescent="0.25">
      <c r="A8" t="s">
        <v>13</v>
      </c>
      <c r="B8">
        <v>0.3989422804014327</v>
      </c>
      <c r="D8" s="3" t="str">
        <f t="shared" si="0"/>
        <v>FAIL</v>
      </c>
      <c r="E8">
        <f>_xll.qlBachelierBlackFormula("call",1,1,1,1)</f>
        <v>0.3989422804014327</v>
      </c>
    </row>
    <row r="9" spans="1:7" x14ac:dyDescent="0.25">
      <c r="A9" t="s">
        <v>14</v>
      </c>
      <c r="B9">
        <v>2.5066282746309976</v>
      </c>
      <c r="D9" s="3" t="str">
        <f t="shared" si="0"/>
        <v>FAIL</v>
      </c>
      <c r="E9">
        <f>_xll.qlBachelierBlackFormulaImpliedVol("call",1,1,1,1,1)</f>
        <v>2.5066282746309976</v>
      </c>
    </row>
    <row r="10" spans="1:7" x14ac:dyDescent="0.25">
      <c r="A10" t="s">
        <v>15</v>
      </c>
      <c r="B10" t="e">
        <v>#NUM!</v>
      </c>
      <c r="D10" s="3" t="e">
        <f t="shared" si="0"/>
        <v>#NUM!</v>
      </c>
      <c r="E10" t="e">
        <f>_xll.qlBlackFormula2(G10,1,1,1,0)</f>
        <v>#NUM!</v>
      </c>
      <c r="G10" t="str">
        <f>_xll.qlStrikedTypePayoff(,"vanilla","call",1,5)</f>
        <v>obj_00003#0000</v>
      </c>
    </row>
    <row r="11" spans="1:7" x14ac:dyDescent="0.25">
      <c r="A11" t="s">
        <v>16</v>
      </c>
      <c r="B11" t="e">
        <v>#NUM!</v>
      </c>
      <c r="D11" s="3" t="e">
        <f t="shared" si="0"/>
        <v>#NUM!</v>
      </c>
      <c r="E11" t="e">
        <f>_xll.qlBlackFormulaCashItmProbability2(G10)</f>
        <v>#NUM!</v>
      </c>
    </row>
    <row r="12" spans="1:7" x14ac:dyDescent="0.25">
      <c r="A12" t="s">
        <v>17</v>
      </c>
      <c r="B12" t="e">
        <v>#NUM!</v>
      </c>
      <c r="D12" s="3" t="e">
        <f t="shared" si="0"/>
        <v>#NUM!</v>
      </c>
      <c r="E12" t="e">
        <f>_xll.qlBlackFormulaImpliedStdDevApproximation2(G10)</f>
        <v>#NUM!</v>
      </c>
    </row>
    <row r="13" spans="1:7" x14ac:dyDescent="0.25">
      <c r="A13" t="s">
        <v>18</v>
      </c>
      <c r="B13" t="e">
        <v>#NUM!</v>
      </c>
      <c r="D13" s="3" t="e">
        <f t="shared" si="0"/>
        <v>#NUM!</v>
      </c>
      <c r="E13" t="e">
        <f>_xll.qlBlackFormulaImpliedStdDev2(G10)</f>
        <v>#NUM!</v>
      </c>
    </row>
    <row r="14" spans="1:7" x14ac:dyDescent="0.25">
      <c r="A14" t="s">
        <v>19</v>
      </c>
      <c r="B14" t="e">
        <v>#NUM!</v>
      </c>
      <c r="D14" s="3" t="e">
        <f t="shared" si="0"/>
        <v>#NUM!</v>
      </c>
      <c r="E14" t="e">
        <f>_xll.qlBlackFormulaStdDevDerivative2(G10)</f>
        <v>#NUM!</v>
      </c>
    </row>
    <row r="15" spans="1:7" x14ac:dyDescent="0.25">
      <c r="A15" t="s">
        <v>20</v>
      </c>
      <c r="B15" t="e">
        <v>#NUM!</v>
      </c>
      <c r="D15" s="3" t="e">
        <f t="shared" si="0"/>
        <v>#NUM!</v>
      </c>
      <c r="E15" t="e">
        <f>_xll.qlBachelierBlackFormula2(G10)</f>
        <v>#NUM!</v>
      </c>
    </row>
    <row r="16" spans="1:7" x14ac:dyDescent="0.25">
      <c r="A16" t="s">
        <v>21</v>
      </c>
      <c r="B16">
        <v>0.38292492254802624</v>
      </c>
      <c r="D16" s="3" t="str">
        <f t="shared" si="0"/>
        <v>FAIL</v>
      </c>
      <c r="E16">
        <f>_xll.qlBlackCalculatorValue(E34)</f>
        <v>0.38292492254802624</v>
      </c>
    </row>
    <row r="17" spans="1:5" x14ac:dyDescent="0.25">
      <c r="A17" t="s">
        <v>22</v>
      </c>
      <c r="B17">
        <v>0.69146246127401323</v>
      </c>
      <c r="D17" s="3" t="str">
        <f t="shared" si="0"/>
        <v>FAIL</v>
      </c>
      <c r="E17">
        <f>_xll.qlBlackCalculatorDeltaForward(E34)</f>
        <v>0.69146246127401323</v>
      </c>
    </row>
    <row r="18" spans="1:5" x14ac:dyDescent="0.25">
      <c r="A18" t="s">
        <v>23</v>
      </c>
      <c r="B18">
        <v>0.69146246127401323</v>
      </c>
      <c r="D18" s="3" t="str">
        <f t="shared" si="0"/>
        <v>FAIL</v>
      </c>
      <c r="E18">
        <f>_xll.qlBlackCalculatorDelta(E34,1)</f>
        <v>0.69146246127401323</v>
      </c>
    </row>
    <row r="19" spans="1:5" x14ac:dyDescent="0.25">
      <c r="A19" t="s">
        <v>24</v>
      </c>
      <c r="B19">
        <v>1.8057389857858896</v>
      </c>
      <c r="D19" s="3" t="str">
        <f t="shared" si="0"/>
        <v>FAIL</v>
      </c>
      <c r="E19">
        <f>_xll.qlBlackCalculatorElasticityForward(E34)</f>
        <v>1.8057389857858896</v>
      </c>
    </row>
    <row r="20" spans="1:5" x14ac:dyDescent="0.25">
      <c r="A20" t="s">
        <v>25</v>
      </c>
      <c r="B20">
        <v>1.8057389857858896</v>
      </c>
      <c r="D20" s="3" t="str">
        <f t="shared" si="0"/>
        <v>FAIL</v>
      </c>
      <c r="E20">
        <f>_xll.qlBlackCalculatorElasticity(E34,1)</f>
        <v>1.8057389857858896</v>
      </c>
    </row>
    <row r="21" spans="1:5" x14ac:dyDescent="0.25">
      <c r="A21" t="s">
        <v>26</v>
      </c>
      <c r="B21">
        <v>0.35206532676429947</v>
      </c>
      <c r="D21" s="3" t="str">
        <f t="shared" si="0"/>
        <v>FAIL</v>
      </c>
      <c r="E21">
        <f>_xll.qlBlackCalculatorGammaForward(E34)</f>
        <v>0.35206532676429947</v>
      </c>
    </row>
    <row r="22" spans="1:5" x14ac:dyDescent="0.25">
      <c r="A22" t="s">
        <v>27</v>
      </c>
      <c r="B22">
        <v>0.35206532676429947</v>
      </c>
      <c r="D22" s="3" t="str">
        <f t="shared" si="0"/>
        <v>FAIL</v>
      </c>
      <c r="E22">
        <f>_xll.qlBlackCalculatorGamma(E34,1)</f>
        <v>0.35206532676429947</v>
      </c>
    </row>
    <row r="23" spans="1:5" x14ac:dyDescent="0.25">
      <c r="A23" t="s">
        <v>28</v>
      </c>
      <c r="B23">
        <v>-0.17603266338214973</v>
      </c>
      <c r="D23" s="3" t="str">
        <f t="shared" si="0"/>
        <v>FAIL</v>
      </c>
      <c r="E23">
        <f>_xll.qlBlackCalculatorTheta(E34,1,1)</f>
        <v>-0.17603266338214973</v>
      </c>
    </row>
    <row r="24" spans="1:5" x14ac:dyDescent="0.25">
      <c r="A24" t="s">
        <v>29</v>
      </c>
      <c r="B24">
        <v>-4.8228126954013624E-4</v>
      </c>
      <c r="D24" s="3" t="str">
        <f t="shared" si="0"/>
        <v>FAIL</v>
      </c>
      <c r="E24">
        <f>_xll.qlBlackCalculatorThetaPerDay(E34,1,1)</f>
        <v>-4.8228126954013624E-4</v>
      </c>
    </row>
    <row r="25" spans="1:5" x14ac:dyDescent="0.25">
      <c r="A25" t="s">
        <v>30</v>
      </c>
      <c r="B25">
        <v>0.35206532676429952</v>
      </c>
      <c r="D25" s="3" t="str">
        <f t="shared" si="0"/>
        <v>FAIL</v>
      </c>
      <c r="E25">
        <f>_xll.qlBlackCalculatorVega(E34,1)</f>
        <v>0.35206532676429952</v>
      </c>
    </row>
    <row r="26" spans="1:5" x14ac:dyDescent="0.25">
      <c r="A26" t="s">
        <v>31</v>
      </c>
      <c r="B26">
        <v>0.30853753872598699</v>
      </c>
      <c r="D26" s="3" t="str">
        <f t="shared" si="0"/>
        <v>FAIL</v>
      </c>
      <c r="E26">
        <f>_xll.qlBlackCalculatorRho(E34,1)</f>
        <v>0.30853753872598699</v>
      </c>
    </row>
    <row r="27" spans="1:5" x14ac:dyDescent="0.25">
      <c r="A27" t="s">
        <v>32</v>
      </c>
      <c r="B27">
        <v>-0.69146246127401323</v>
      </c>
      <c r="D27" s="3" t="str">
        <f t="shared" si="0"/>
        <v>FAIL</v>
      </c>
      <c r="E27">
        <f>_xll.qlBlackCalculatorDividendRho(E34,1)</f>
        <v>-0.69146246127401323</v>
      </c>
    </row>
    <row r="28" spans="1:5" x14ac:dyDescent="0.25">
      <c r="A28" t="s">
        <v>33</v>
      </c>
      <c r="B28">
        <v>0.30853753872598688</v>
      </c>
      <c r="D28" s="3" t="str">
        <f t="shared" si="0"/>
        <v>FAIL</v>
      </c>
      <c r="E28">
        <f>_xll.qlBlackCalculatorItmCashProbability(E34)</f>
        <v>0.30853753872598688</v>
      </c>
    </row>
    <row r="29" spans="1:5" x14ac:dyDescent="0.25">
      <c r="A29" t="s">
        <v>34</v>
      </c>
      <c r="B29">
        <v>0.69146246127401312</v>
      </c>
      <c r="D29" s="3" t="str">
        <f t="shared" si="0"/>
        <v>FAIL</v>
      </c>
      <c r="E29">
        <f>_xll.qlBlackCalculatorItmAssetProbability(E34)</f>
        <v>0.69146246127401312</v>
      </c>
    </row>
    <row r="30" spans="1:5" x14ac:dyDescent="0.25">
      <c r="A30" t="s">
        <v>35</v>
      </c>
      <c r="B30">
        <v>-0.30853753872598688</v>
      </c>
      <c r="D30" s="3" t="str">
        <f t="shared" si="0"/>
        <v>FAIL</v>
      </c>
      <c r="E30">
        <f>_xll.qlBlackCalculatorStrikeSensitivity(E34)</f>
        <v>-0.30853753872598688</v>
      </c>
    </row>
    <row r="31" spans="1:5" x14ac:dyDescent="0.25">
      <c r="A31" t="s">
        <v>36</v>
      </c>
      <c r="B31">
        <v>0.69146246127401312</v>
      </c>
      <c r="D31" s="3" t="str">
        <f t="shared" si="0"/>
        <v>FAIL</v>
      </c>
      <c r="E31">
        <f>_xll.qlBlackCalculatorAlpha(E34)</f>
        <v>0.69146246127401312</v>
      </c>
    </row>
    <row r="32" spans="1:5" x14ac:dyDescent="0.25">
      <c r="A32" t="s">
        <v>37</v>
      </c>
      <c r="B32">
        <v>-0.30853753872598688</v>
      </c>
      <c r="D32" s="3" t="str">
        <f t="shared" si="0"/>
        <v>FAIL</v>
      </c>
      <c r="E32">
        <f>_xll.qlBlackCalculatorBeta(E34)</f>
        <v>-0.30853753872598688</v>
      </c>
    </row>
    <row r="33" spans="1:11" x14ac:dyDescent="0.25">
      <c r="A33" t="s">
        <v>38</v>
      </c>
      <c r="B33" t="s">
        <v>61</v>
      </c>
      <c r="D33" s="3" t="str">
        <f t="shared" si="0"/>
        <v>FAIL</v>
      </c>
      <c r="E33" t="str">
        <f>_xll.qlBlackCalculator2("pe01",G10,1,1,1)</f>
        <v>pe01#0000</v>
      </c>
    </row>
    <row r="34" spans="1:11" x14ac:dyDescent="0.25">
      <c r="A34" t="s">
        <v>39</v>
      </c>
      <c r="B34" t="s">
        <v>62</v>
      </c>
      <c r="D34" s="3" t="str">
        <f t="shared" si="0"/>
        <v>FAIL</v>
      </c>
      <c r="E34" t="str">
        <f>_xll.qlBlackCalculator("pe02","call",1,1,1,1)</f>
        <v>pe02#0000</v>
      </c>
    </row>
    <row r="35" spans="1:11" x14ac:dyDescent="0.25">
      <c r="A35" t="s">
        <v>40</v>
      </c>
      <c r="B35">
        <v>0.69146246127401323</v>
      </c>
      <c r="D35" s="3" t="str">
        <f t="shared" si="0"/>
        <v>FAIL</v>
      </c>
      <c r="E35">
        <f>_xll.qlBlackScholesCalculatorDelta(E41)</f>
        <v>0.69146246127401323</v>
      </c>
    </row>
    <row r="36" spans="1:11" x14ac:dyDescent="0.25">
      <c r="A36" t="s">
        <v>41</v>
      </c>
      <c r="B36">
        <v>1.8057389857858896</v>
      </c>
      <c r="D36" s="3" t="str">
        <f t="shared" si="0"/>
        <v>FAIL</v>
      </c>
      <c r="E36">
        <f>_xll.qlBlackScholesCalculatorElasticity(E41)</f>
        <v>1.8057389857858896</v>
      </c>
    </row>
    <row r="37" spans="1:11" x14ac:dyDescent="0.25">
      <c r="A37" t="s">
        <v>42</v>
      </c>
      <c r="B37">
        <v>0.35206532676429947</v>
      </c>
      <c r="D37" s="3" t="str">
        <f t="shared" si="0"/>
        <v>FAIL</v>
      </c>
      <c r="E37">
        <f>_xll.qlBlackScholesCalculatorGamma(E41)</f>
        <v>0.35206532676429947</v>
      </c>
    </row>
    <row r="38" spans="1:11" x14ac:dyDescent="0.25">
      <c r="A38" t="s">
        <v>43</v>
      </c>
      <c r="B38">
        <v>-0.17603266338214973</v>
      </c>
      <c r="D38" s="3" t="str">
        <f t="shared" si="0"/>
        <v>FAIL</v>
      </c>
      <c r="E38">
        <f>_xll.qlBlackScholesCalculatorTheta(E41,1)</f>
        <v>-0.17603266338214973</v>
      </c>
    </row>
    <row r="39" spans="1:11" x14ac:dyDescent="0.25">
      <c r="A39" t="s">
        <v>44</v>
      </c>
      <c r="B39">
        <v>-4.8228126954013624E-4</v>
      </c>
      <c r="D39" s="3" t="str">
        <f t="shared" si="0"/>
        <v>FAIL</v>
      </c>
      <c r="E39">
        <f>_xll.qlBlackScholesCalculatorThetaPerDay(E41,1)</f>
        <v>-4.8228126954013624E-4</v>
      </c>
    </row>
    <row r="40" spans="1:11" x14ac:dyDescent="0.25">
      <c r="A40" t="s">
        <v>45</v>
      </c>
      <c r="B40" t="s">
        <v>63</v>
      </c>
      <c r="D40" s="3" t="str">
        <f t="shared" si="0"/>
        <v>FAIL</v>
      </c>
      <c r="E40" t="str">
        <f>_xll.qlBlackScholesCalculator2("pe03",G10,1,1,1,1)</f>
        <v>pe03#0000</v>
      </c>
    </row>
    <row r="41" spans="1:11" x14ac:dyDescent="0.25">
      <c r="A41" t="s">
        <v>46</v>
      </c>
      <c r="B41" t="s">
        <v>64</v>
      </c>
      <c r="D41" s="3" t="str">
        <f t="shared" si="0"/>
        <v>FAIL</v>
      </c>
      <c r="E41" t="str">
        <f>_xll.qlBlackScholesCalculator("pe04","call",1,1,1,1,1)</f>
        <v>pe04#0000</v>
      </c>
      <c r="K41">
        <f>_xll.qlSettingsEvaluationDate()</f>
        <v>42644</v>
      </c>
    </row>
    <row r="42" spans="1:11" x14ac:dyDescent="0.25">
      <c r="A42" t="s">
        <v>47</v>
      </c>
      <c r="B42" t="s">
        <v>65</v>
      </c>
      <c r="D42" s="3" t="str">
        <f t="shared" si="0"/>
        <v>FAIL</v>
      </c>
      <c r="E42" t="str">
        <f>_xll.qlPricingEngine("pe05","ae",G42)</f>
        <v>pe05#0000</v>
      </c>
      <c r="G42" t="str">
        <f>_xll.qlGeneralizedBlackScholesProcess(,I42,1,"actual/360",K42,1,1)</f>
        <v>obj_00018#0000</v>
      </c>
      <c r="I42" t="str">
        <f>_xll.qlBlackConstantVol(,K42,"target",1,"actual/360")</f>
        <v>obj_00017#0000</v>
      </c>
      <c r="K42">
        <f>K41+1</f>
        <v>42645</v>
      </c>
    </row>
    <row r="43" spans="1:11" x14ac:dyDescent="0.25">
      <c r="A43" t="s">
        <v>48</v>
      </c>
      <c r="B43" t="s">
        <v>66</v>
      </c>
      <c r="D43" s="3" t="str">
        <f t="shared" si="0"/>
        <v>FAIL</v>
      </c>
      <c r="E43" t="str">
        <f>_xll.qlDiscountingSwapEngine("pe06",G43,TRUE,K42,K42)</f>
        <v>pe06#0000</v>
      </c>
      <c r="G43" t="str">
        <f>_xll.qlFlatForward(,0,"target",1,"actual/360","simple","annual")</f>
        <v>obj_00006#0000</v>
      </c>
    </row>
    <row r="44" spans="1:11" x14ac:dyDescent="0.25">
      <c r="A44" t="s">
        <v>49</v>
      </c>
      <c r="B44" t="s">
        <v>67</v>
      </c>
      <c r="D44" s="3" t="str">
        <f t="shared" si="0"/>
        <v>FAIL</v>
      </c>
      <c r="E44" t="str">
        <f>_xll.qlBinomialPricingEngine("pe07","fda",G42,2)</f>
        <v>pe07#0000</v>
      </c>
    </row>
    <row r="45" spans="1:11" x14ac:dyDescent="0.25">
      <c r="A45" t="s">
        <v>50</v>
      </c>
      <c r="B45" t="s">
        <v>68</v>
      </c>
      <c r="D45" s="3" t="str">
        <f t="shared" si="0"/>
        <v>FAIL</v>
      </c>
      <c r="E45" t="str">
        <f>_xll.qlBlackSwaptionEngine("pe08",G43,G45,0)</f>
        <v>pe08#0000</v>
      </c>
      <c r="G45" t="str">
        <f>_xll.qlConstantSwaptionVolatility(,2,"target","mf",1,"actual/360")</f>
        <v>obj_00001#0000</v>
      </c>
    </row>
    <row r="46" spans="1:11" x14ac:dyDescent="0.25">
      <c r="A46" t="s">
        <v>51</v>
      </c>
      <c r="B46" t="s">
        <v>69</v>
      </c>
      <c r="D46" s="3" t="str">
        <f t="shared" si="0"/>
        <v>FAIL</v>
      </c>
      <c r="E46" t="str">
        <f>_xll.qlBlackSwaptionEngine2("pe09",G43,1,0,"actual/360")</f>
        <v>pe09#0000</v>
      </c>
    </row>
    <row r="47" spans="1:11" x14ac:dyDescent="0.25">
      <c r="A47" t="s">
        <v>52</v>
      </c>
      <c r="B47" t="s">
        <v>70</v>
      </c>
      <c r="D47" s="3" t="str">
        <f t="shared" si="0"/>
        <v>FAIL</v>
      </c>
      <c r="E47" t="str">
        <f>_xll.qlBlackCapFloorEngine("pe10",G43,G47,0)</f>
        <v>pe10#0000</v>
      </c>
      <c r="G47" t="str">
        <f>_xll.qlConstantOptionletVolatility(,0,"target","mf",1,"actual/360","shiftedlognormal",0)</f>
        <v>obj_00004#0000</v>
      </c>
    </row>
    <row r="48" spans="1:11" x14ac:dyDescent="0.25">
      <c r="A48" t="s">
        <v>53</v>
      </c>
      <c r="B48" t="s">
        <v>71</v>
      </c>
      <c r="D48" s="3" t="str">
        <f t="shared" si="0"/>
        <v>FAIL</v>
      </c>
      <c r="E48" t="str">
        <f>_xll.qlBlackCapFloorEngine2("pe11",G43,1,0,"actual/360")</f>
        <v>pe11#0000</v>
      </c>
    </row>
    <row r="49" spans="1:7" x14ac:dyDescent="0.25">
      <c r="A49" t="s">
        <v>54</v>
      </c>
      <c r="B49" t="s">
        <v>72</v>
      </c>
      <c r="D49" s="3" t="str">
        <f t="shared" si="0"/>
        <v>FAIL</v>
      </c>
      <c r="E49" t="str">
        <f>_xll.qlBachelierCapFloorEngine("pe12",G43,G49)</f>
        <v>pe12#0000</v>
      </c>
      <c r="G49" t="str">
        <f>_xll.qlConstantOptionletVolatility(,0,"target","mf",1,"actual/360","normal",0)</f>
        <v>obj_00002#0000</v>
      </c>
    </row>
    <row r="50" spans="1:7" x14ac:dyDescent="0.25">
      <c r="A50" t="s">
        <v>55</v>
      </c>
      <c r="B50" t="s">
        <v>73</v>
      </c>
      <c r="D50" s="3" t="str">
        <f t="shared" si="0"/>
        <v>FAIL</v>
      </c>
      <c r="E50" t="str">
        <f>_xll.qlBachelierCapFloorEngine2("pe13",G43,1,"actual/360")</f>
        <v>pe13#0000</v>
      </c>
    </row>
    <row r="51" spans="1:7" x14ac:dyDescent="0.25">
      <c r="A51" t="s">
        <v>56</v>
      </c>
      <c r="B51" t="s">
        <v>74</v>
      </c>
      <c r="D51" s="3" t="str">
        <f t="shared" si="0"/>
        <v>FAIL</v>
      </c>
      <c r="E51" t="str">
        <f>_xll.qlAnalyticCapFloorEngine("pe14",G51)</f>
        <v>pe14#0000</v>
      </c>
      <c r="G51" t="str">
        <f>_xll.qlHullWhite(,G43,1,1)</f>
        <v>obj_0000c#0000</v>
      </c>
    </row>
    <row r="52" spans="1:7" x14ac:dyDescent="0.25">
      <c r="A52" t="s">
        <v>57</v>
      </c>
      <c r="B52" t="s">
        <v>75</v>
      </c>
      <c r="D52" s="3" t="str">
        <f t="shared" si="0"/>
        <v>FAIL</v>
      </c>
      <c r="E52" t="str">
        <f>_xll.qlBondEngine("pe15",G43)</f>
        <v>pe15#0000</v>
      </c>
    </row>
    <row r="53" spans="1:7" x14ac:dyDescent="0.25">
      <c r="A53" t="s">
        <v>58</v>
      </c>
      <c r="B53" t="s">
        <v>76</v>
      </c>
      <c r="D53" s="3" t="str">
        <f t="shared" si="0"/>
        <v>FAIL</v>
      </c>
      <c r="E53" t="str">
        <f>_xll.qlJamshidianSwaptionEngine("pe16",G51,G43)</f>
        <v>pe16#0000</v>
      </c>
    </row>
    <row r="54" spans="1:7" x14ac:dyDescent="0.25">
      <c r="A54" t="s">
        <v>59</v>
      </c>
      <c r="B54" t="s">
        <v>77</v>
      </c>
      <c r="D54" s="3" t="str">
        <f t="shared" si="0"/>
        <v>FAIL</v>
      </c>
      <c r="E54" t="str">
        <f>_xll.qlTreeSwaptionEngine("pe17",G51,2,G43)</f>
        <v>pe17#0000</v>
      </c>
    </row>
    <row r="55" spans="1:7" x14ac:dyDescent="0.25">
      <c r="A55" t="s">
        <v>60</v>
      </c>
      <c r="B55" t="s">
        <v>78</v>
      </c>
      <c r="D55" s="3" t="str">
        <f t="shared" si="0"/>
        <v>FAIL</v>
      </c>
      <c r="E55" t="str">
        <f>_xll.qlModelG2SwaptionEngine("pe18",G55)</f>
        <v>pe18#0000</v>
      </c>
      <c r="G55" t="str">
        <f>_xll.qlModelG2(,G43)</f>
        <v>obj_00010#0000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2016-11-16T23:17:23Z</dcterms:modified>
</cp:coreProperties>
</file>