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0" windowWidth="7860" windowHeight="9045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152511" fullCalcOnLoad="1"/>
</workbook>
</file>

<file path=xl/calcChain.xml><?xml version="1.0" encoding="utf-8"?>
<calcChain xmlns="http://schemas.openxmlformats.org/spreadsheetml/2006/main">
  <c r="E9" i="24" l="1"/>
  <c r="R9" i="24" s="1"/>
  <c r="I9" i="24"/>
  <c r="M9" i="24"/>
  <c r="Q9" i="24"/>
  <c r="E10" i="24"/>
  <c r="I10" i="24"/>
  <c r="M10" i="24"/>
  <c r="Q10" i="24"/>
  <c r="E11" i="24"/>
  <c r="I11" i="24"/>
  <c r="M11" i="24"/>
  <c r="Q11" i="24"/>
  <c r="R11" i="24"/>
  <c r="B12" i="24"/>
  <c r="C12" i="24"/>
  <c r="D12" i="24"/>
  <c r="D21" i="24" s="1"/>
  <c r="F12" i="24"/>
  <c r="F21" i="24" s="1"/>
  <c r="G12" i="24"/>
  <c r="H12" i="24"/>
  <c r="I12" i="24"/>
  <c r="J12" i="24"/>
  <c r="K12" i="24"/>
  <c r="L12" i="24"/>
  <c r="L21" i="24" s="1"/>
  <c r="N12" i="24"/>
  <c r="N21" i="24" s="1"/>
  <c r="Q21" i="24" s="1"/>
  <c r="O12" i="24"/>
  <c r="P12" i="24"/>
  <c r="Q12" i="24" s="1"/>
  <c r="E14" i="24"/>
  <c r="I14" i="24"/>
  <c r="M14" i="24"/>
  <c r="Q14" i="24"/>
  <c r="R14" i="24"/>
  <c r="E15" i="24"/>
  <c r="R15" i="24" s="1"/>
  <c r="I15" i="24"/>
  <c r="M15" i="24"/>
  <c r="Q15" i="24"/>
  <c r="E16" i="24"/>
  <c r="I16" i="24"/>
  <c r="M16" i="24"/>
  <c r="R16" i="24" s="1"/>
  <c r="Q16" i="24"/>
  <c r="E17" i="24"/>
  <c r="I17" i="24"/>
  <c r="R17" i="24" s="1"/>
  <c r="M17" i="24"/>
  <c r="Q17" i="24"/>
  <c r="E18" i="24"/>
  <c r="I18" i="24"/>
  <c r="M18" i="24"/>
  <c r="Q18" i="24"/>
  <c r="E19" i="24"/>
  <c r="I19" i="24"/>
  <c r="M19" i="24"/>
  <c r="Q19" i="24"/>
  <c r="R19" i="24"/>
  <c r="B20" i="24"/>
  <c r="E20" i="24" s="1"/>
  <c r="R20" i="24" s="1"/>
  <c r="C20" i="24"/>
  <c r="D20" i="24"/>
  <c r="F20" i="24"/>
  <c r="G20" i="24"/>
  <c r="H20" i="24"/>
  <c r="H21" i="24" s="1"/>
  <c r="I20" i="24"/>
  <c r="J20" i="24"/>
  <c r="M20" i="24" s="1"/>
  <c r="K20" i="24"/>
  <c r="L20" i="24"/>
  <c r="N20" i="24"/>
  <c r="O20" i="24"/>
  <c r="P20" i="24"/>
  <c r="Q20" i="24"/>
  <c r="C21" i="24"/>
  <c r="G21" i="24"/>
  <c r="K21" i="24"/>
  <c r="O21" i="24"/>
  <c r="P21" i="24"/>
  <c r="J11" i="4"/>
  <c r="L11" i="4"/>
  <c r="L14" i="4" s="1"/>
  <c r="J12" i="4"/>
  <c r="L12" i="4"/>
  <c r="J13" i="4"/>
  <c r="J14" i="4" s="1"/>
  <c r="L13" i="4"/>
  <c r="C14" i="4"/>
  <c r="J16" i="4"/>
  <c r="J17" i="4"/>
  <c r="L17" i="4"/>
  <c r="J18" i="4"/>
  <c r="L18" i="4" s="1"/>
  <c r="J19" i="4"/>
  <c r="L19" i="4" s="1"/>
  <c r="J20" i="4"/>
  <c r="L20" i="4" s="1"/>
  <c r="J21" i="4"/>
  <c r="L21" i="4"/>
  <c r="C22" i="4"/>
  <c r="C25" i="4" s="1"/>
  <c r="O30" i="4"/>
  <c r="L35" i="4"/>
  <c r="J39" i="4"/>
  <c r="L39" i="4"/>
  <c r="O39" i="4"/>
  <c r="R39" i="4"/>
  <c r="R40" i="4" s="1"/>
  <c r="H40" i="4"/>
  <c r="I40" i="4"/>
  <c r="O40" i="4"/>
  <c r="H43" i="4"/>
  <c r="J43" i="4"/>
  <c r="O43" i="4"/>
  <c r="P43" i="4" s="1"/>
  <c r="G46" i="4"/>
  <c r="H46" i="4" s="1"/>
  <c r="J46" i="4"/>
  <c r="O46" i="4"/>
  <c r="P46" i="4"/>
  <c r="H49" i="4"/>
  <c r="O49" i="4"/>
  <c r="O57" i="4" s="1"/>
  <c r="H50" i="4"/>
  <c r="O50" i="4"/>
  <c r="H51" i="4"/>
  <c r="O51" i="4"/>
  <c r="H52" i="4"/>
  <c r="H53" i="4"/>
  <c r="O53" i="4"/>
  <c r="H54" i="4"/>
  <c r="H55" i="4"/>
  <c r="H56" i="4"/>
  <c r="O56" i="4"/>
  <c r="R56" i="4"/>
  <c r="G57" i="4"/>
  <c r="H57" i="4"/>
  <c r="I57" i="4"/>
  <c r="M57" i="4"/>
  <c r="R57" i="4"/>
  <c r="H65" i="4"/>
  <c r="H68" i="4" s="1"/>
  <c r="H66" i="4"/>
  <c r="G68" i="4"/>
  <c r="I68" i="4"/>
  <c r="M68" i="4"/>
  <c r="H71" i="4"/>
  <c r="H72" i="4"/>
  <c r="O72" i="4"/>
  <c r="O73" i="4" s="1"/>
  <c r="G73" i="4"/>
  <c r="G133" i="4" s="1"/>
  <c r="H73" i="4"/>
  <c r="I73" i="4"/>
  <c r="M73" i="4"/>
  <c r="R73" i="4"/>
  <c r="R133" i="4" s="1"/>
  <c r="H76" i="4"/>
  <c r="H85" i="4" s="1"/>
  <c r="O76" i="4"/>
  <c r="O85" i="4" s="1"/>
  <c r="H77" i="4"/>
  <c r="O77" i="4"/>
  <c r="H78" i="4"/>
  <c r="H79" i="4"/>
  <c r="H80" i="4"/>
  <c r="H81" i="4"/>
  <c r="H82" i="4"/>
  <c r="H83" i="4"/>
  <c r="H84" i="4"/>
  <c r="G85" i="4"/>
  <c r="I85" i="4"/>
  <c r="M85" i="4"/>
  <c r="R85" i="4"/>
  <c r="H88" i="4"/>
  <c r="O88" i="4"/>
  <c r="O91" i="4" s="1"/>
  <c r="H89" i="4"/>
  <c r="O89" i="4"/>
  <c r="H90" i="4"/>
  <c r="G91" i="4"/>
  <c r="H91" i="4"/>
  <c r="I91" i="4"/>
  <c r="M91" i="4"/>
  <c r="R91" i="4"/>
  <c r="H94" i="4"/>
  <c r="H95" i="4" s="1"/>
  <c r="O94" i="4"/>
  <c r="G95" i="4"/>
  <c r="I95" i="4"/>
  <c r="M95" i="4"/>
  <c r="M133" i="4" s="1"/>
  <c r="O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H103" i="4"/>
  <c r="H104" i="4" s="1"/>
  <c r="J103" i="4"/>
  <c r="L103" i="4"/>
  <c r="P103" i="4" s="1"/>
  <c r="O103" i="4"/>
  <c r="G104" i="4"/>
  <c r="I104" i="4"/>
  <c r="J104" i="4"/>
  <c r="M104" i="4"/>
  <c r="O104" i="4"/>
  <c r="R104" i="4"/>
  <c r="O106" i="4"/>
  <c r="P106" i="4" s="1"/>
  <c r="H107" i="4"/>
  <c r="H108" i="4" s="1"/>
  <c r="G108" i="4"/>
  <c r="I108" i="4"/>
  <c r="M108" i="4"/>
  <c r="H112" i="4"/>
  <c r="H114" i="4"/>
  <c r="O114" i="4"/>
  <c r="H116" i="4"/>
  <c r="O116" i="4"/>
  <c r="O119" i="4"/>
  <c r="P119" i="4"/>
  <c r="G120" i="4"/>
  <c r="H120" i="4"/>
  <c r="L120" i="4"/>
  <c r="M120" i="4"/>
  <c r="M124" i="4" s="1"/>
  <c r="H121" i="4"/>
  <c r="H122" i="4"/>
  <c r="H123" i="4"/>
  <c r="G124" i="4"/>
  <c r="I124" i="4"/>
  <c r="H126" i="4"/>
  <c r="H128" i="4"/>
  <c r="L128" i="4"/>
  <c r="H130" i="4"/>
  <c r="L130" i="4"/>
  <c r="P130" i="4"/>
  <c r="B8" i="27"/>
  <c r="C19" i="17"/>
  <c r="D19" i="17"/>
  <c r="D29" i="17" s="1"/>
  <c r="E19" i="17"/>
  <c r="F19" i="17"/>
  <c r="G19" i="17"/>
  <c r="G21" i="17" s="1"/>
  <c r="H19" i="17"/>
  <c r="I19" i="17"/>
  <c r="J19" i="17"/>
  <c r="K19" i="17"/>
  <c r="L19" i="17"/>
  <c r="L29" i="17" s="1"/>
  <c r="M19" i="17"/>
  <c r="N19" i="17"/>
  <c r="N21" i="17" s="1"/>
  <c r="C21" i="17"/>
  <c r="E21" i="17"/>
  <c r="F21" i="17"/>
  <c r="H21" i="17"/>
  <c r="J21" i="17"/>
  <c r="K21" i="17"/>
  <c r="M21" i="17"/>
  <c r="O26" i="17"/>
  <c r="O27" i="17"/>
  <c r="C28" i="17"/>
  <c r="D28" i="17"/>
  <c r="O28" i="17" s="1"/>
  <c r="E28" i="17"/>
  <c r="F28" i="17"/>
  <c r="G28" i="17"/>
  <c r="H28" i="17"/>
  <c r="I28" i="17"/>
  <c r="J28" i="17"/>
  <c r="K28" i="17"/>
  <c r="L28" i="17"/>
  <c r="M28" i="17"/>
  <c r="N28" i="17"/>
  <c r="C29" i="17"/>
  <c r="E29" i="17"/>
  <c r="G29" i="17"/>
  <c r="I29" i="17"/>
  <c r="J29" i="17"/>
  <c r="K29" i="17"/>
  <c r="K31" i="17" s="1"/>
  <c r="K33" i="17" s="1"/>
  <c r="M29" i="17"/>
  <c r="M31" i="17" s="1"/>
  <c r="M33" i="17" s="1"/>
  <c r="C30" i="17"/>
  <c r="E30" i="17"/>
  <c r="F30" i="17"/>
  <c r="H30" i="17"/>
  <c r="J30" i="17"/>
  <c r="K30" i="17"/>
  <c r="M30" i="17"/>
  <c r="C31" i="17"/>
  <c r="E31" i="17"/>
  <c r="E33" i="17" s="1"/>
  <c r="A35" i="17"/>
  <c r="D20" i="23"/>
  <c r="D29" i="23"/>
  <c r="D34" i="23"/>
  <c r="D46" i="23"/>
  <c r="D52" i="23"/>
  <c r="D56" i="23"/>
  <c r="D60" i="23"/>
  <c r="D64" i="23"/>
  <c r="D68" i="23"/>
  <c r="D72" i="23"/>
  <c r="D78" i="23"/>
  <c r="D83" i="23"/>
  <c r="D89" i="23" s="1"/>
  <c r="D87" i="23"/>
  <c r="D8" i="26"/>
  <c r="D9" i="26"/>
  <c r="D10" i="26"/>
  <c r="D12" i="26"/>
  <c r="D13" i="26"/>
  <c r="C14" i="26"/>
  <c r="E14" i="26"/>
  <c r="F14" i="26"/>
  <c r="D17" i="26"/>
  <c r="D28" i="26" s="1"/>
  <c r="D20" i="29" s="1"/>
  <c r="D18" i="26"/>
  <c r="F18" i="26"/>
  <c r="D19" i="26"/>
  <c r="F19" i="26"/>
  <c r="D20" i="26"/>
  <c r="F20" i="26"/>
  <c r="D21" i="26"/>
  <c r="F21" i="26"/>
  <c r="F28" i="26" s="1"/>
  <c r="F20" i="29" s="1"/>
  <c r="D22" i="26"/>
  <c r="F22" i="26"/>
  <c r="D23" i="26"/>
  <c r="D24" i="26"/>
  <c r="F24" i="26"/>
  <c r="F25" i="26"/>
  <c r="D26" i="26"/>
  <c r="F26" i="26"/>
  <c r="D27" i="26"/>
  <c r="F27" i="26"/>
  <c r="C28" i="26"/>
  <c r="E28" i="26"/>
  <c r="D31" i="26"/>
  <c r="D32" i="26"/>
  <c r="D38" i="26" s="1"/>
  <c r="D21" i="29" s="1"/>
  <c r="H21" i="29" s="1"/>
  <c r="F32" i="26"/>
  <c r="F38" i="26" s="1"/>
  <c r="F21" i="29" s="1"/>
  <c r="D33" i="26"/>
  <c r="F33" i="26"/>
  <c r="D34" i="26"/>
  <c r="F34" i="26"/>
  <c r="D35" i="26"/>
  <c r="F35" i="26"/>
  <c r="D36" i="26"/>
  <c r="F36" i="26"/>
  <c r="D37" i="26"/>
  <c r="C38" i="26"/>
  <c r="E38" i="26"/>
  <c r="D41" i="26"/>
  <c r="F41" i="26"/>
  <c r="D43" i="26"/>
  <c r="D51" i="26" s="1"/>
  <c r="D22" i="29" s="1"/>
  <c r="D44" i="26"/>
  <c r="F44" i="26"/>
  <c r="D45" i="26"/>
  <c r="D46" i="26"/>
  <c r="F46" i="26"/>
  <c r="D47" i="26"/>
  <c r="F47" i="26"/>
  <c r="D48" i="26"/>
  <c r="F48" i="26"/>
  <c r="D49" i="26"/>
  <c r="D50" i="26"/>
  <c r="F50" i="26"/>
  <c r="C51" i="26"/>
  <c r="E51" i="26"/>
  <c r="F51" i="26"/>
  <c r="F22" i="29" s="1"/>
  <c r="D55" i="26"/>
  <c r="D62" i="26" s="1"/>
  <c r="D23" i="29" s="1"/>
  <c r="H23" i="29" s="1"/>
  <c r="D56" i="26"/>
  <c r="F56" i="26"/>
  <c r="D57" i="26"/>
  <c r="F57" i="26"/>
  <c r="D58" i="26"/>
  <c r="F58" i="26"/>
  <c r="D59" i="26"/>
  <c r="F59" i="26"/>
  <c r="D60" i="26"/>
  <c r="F60" i="26"/>
  <c r="D61" i="26"/>
  <c r="F61" i="26"/>
  <c r="C62" i="26"/>
  <c r="E62" i="26"/>
  <c r="F62" i="26"/>
  <c r="F23" i="29" s="1"/>
  <c r="D65" i="26"/>
  <c r="F65" i="26"/>
  <c r="D66" i="26"/>
  <c r="F66" i="26"/>
  <c r="D67" i="26"/>
  <c r="F67" i="26"/>
  <c r="F73" i="26" s="1"/>
  <c r="F24" i="29" s="1"/>
  <c r="D68" i="26"/>
  <c r="F68" i="26"/>
  <c r="D70" i="26"/>
  <c r="F70" i="26"/>
  <c r="D71" i="26"/>
  <c r="F71" i="26"/>
  <c r="D72" i="26"/>
  <c r="F72" i="26"/>
  <c r="C73" i="26"/>
  <c r="D73" i="26"/>
  <c r="D24" i="29" s="1"/>
  <c r="E73" i="26"/>
  <c r="C75" i="26"/>
  <c r="D75" i="26"/>
  <c r="E75" i="26"/>
  <c r="E82" i="26" s="1"/>
  <c r="F75" i="26"/>
  <c r="F82" i="26" s="1"/>
  <c r="F25" i="29" s="1"/>
  <c r="C82" i="26"/>
  <c r="C110" i="26" s="1"/>
  <c r="D82" i="26"/>
  <c r="D84" i="26"/>
  <c r="F84" i="26"/>
  <c r="C85" i="26"/>
  <c r="D85" i="26"/>
  <c r="D26" i="29" s="1"/>
  <c r="H26" i="29" s="1"/>
  <c r="E85" i="26"/>
  <c r="F85" i="26"/>
  <c r="F26" i="29" s="1"/>
  <c r="D87" i="26"/>
  <c r="F87" i="26"/>
  <c r="F27" i="29" s="1"/>
  <c r="C88" i="26"/>
  <c r="D88" i="26"/>
  <c r="E88" i="26"/>
  <c r="F88" i="26"/>
  <c r="D91" i="26"/>
  <c r="F91" i="26"/>
  <c r="F96" i="26" s="1"/>
  <c r="F28" i="29" s="1"/>
  <c r="D92" i="26"/>
  <c r="D93" i="26"/>
  <c r="F93" i="26"/>
  <c r="D94" i="26"/>
  <c r="F94" i="26"/>
  <c r="D95" i="26"/>
  <c r="C96" i="26"/>
  <c r="D96" i="26"/>
  <c r="D28" i="29" s="1"/>
  <c r="E96" i="26"/>
  <c r="D98" i="26"/>
  <c r="F98" i="26"/>
  <c r="C99" i="26"/>
  <c r="D99" i="26"/>
  <c r="E99" i="26"/>
  <c r="F99" i="26"/>
  <c r="D101" i="26"/>
  <c r="F101" i="26"/>
  <c r="C102" i="26"/>
  <c r="D102" i="26"/>
  <c r="D30" i="29" s="1"/>
  <c r="E102" i="26"/>
  <c r="F102" i="26"/>
  <c r="D105" i="26"/>
  <c r="D107" i="26" s="1"/>
  <c r="F105" i="26"/>
  <c r="F107" i="26" s="1"/>
  <c r="D106" i="26"/>
  <c r="F106" i="26"/>
  <c r="C107" i="26"/>
  <c r="E107" i="26"/>
  <c r="C10" i="28"/>
  <c r="D10" i="28"/>
  <c r="C11" i="28"/>
  <c r="D11" i="28"/>
  <c r="C12" i="28"/>
  <c r="C15" i="28" s="1"/>
  <c r="D12" i="28"/>
  <c r="C13" i="28"/>
  <c r="D13" i="28"/>
  <c r="D14" i="28"/>
  <c r="D18" i="28"/>
  <c r="D19" i="28"/>
  <c r="D20" i="28"/>
  <c r="D27" i="28" s="1"/>
  <c r="D21" i="28"/>
  <c r="D23" i="28"/>
  <c r="D24" i="28"/>
  <c r="D26" i="28"/>
  <c r="C27" i="28"/>
  <c r="C30" i="28"/>
  <c r="C33" i="28" s="1"/>
  <c r="D30" i="28"/>
  <c r="D33" i="28" s="1"/>
  <c r="C31" i="28"/>
  <c r="D31" i="28"/>
  <c r="C32" i="28"/>
  <c r="D32" i="28"/>
  <c r="D36" i="28"/>
  <c r="D38" i="28" s="1"/>
  <c r="C38" i="28"/>
  <c r="G7" i="12"/>
  <c r="I7" i="12"/>
  <c r="I11" i="12" s="1"/>
  <c r="I19" i="12" s="1"/>
  <c r="I23" i="12" s="1"/>
  <c r="K7" i="12"/>
  <c r="M7" i="12"/>
  <c r="E9" i="12"/>
  <c r="E11" i="12" s="1"/>
  <c r="K9" i="12"/>
  <c r="M9" i="12"/>
  <c r="C11" i="12"/>
  <c r="G11" i="12"/>
  <c r="K11" i="12"/>
  <c r="K19" i="12" s="1"/>
  <c r="K23" i="12" s="1"/>
  <c r="M11" i="12"/>
  <c r="E13" i="12"/>
  <c r="G13" i="12"/>
  <c r="I13" i="12"/>
  <c r="K13" i="12"/>
  <c r="M13" i="12"/>
  <c r="M17" i="12" s="1"/>
  <c r="M19" i="12" s="1"/>
  <c r="M23" i="12" s="1"/>
  <c r="K15" i="12"/>
  <c r="K17" i="12" s="1"/>
  <c r="M15" i="12"/>
  <c r="C17" i="12"/>
  <c r="E17" i="12"/>
  <c r="G17" i="12"/>
  <c r="I17" i="12"/>
  <c r="E19" i="12"/>
  <c r="E23" i="12" s="1"/>
  <c r="G19" i="12"/>
  <c r="G23" i="12" s="1"/>
  <c r="E21" i="12"/>
  <c r="M21" i="12"/>
  <c r="G27" i="12"/>
  <c r="I27" i="12"/>
  <c r="I29" i="12" s="1"/>
  <c r="K27" i="12"/>
  <c r="I28" i="12"/>
  <c r="K28" i="12"/>
  <c r="C29" i="12"/>
  <c r="E29" i="12"/>
  <c r="K29" i="12"/>
  <c r="D1" i="18"/>
  <c r="I1" i="18"/>
  <c r="D2" i="18"/>
  <c r="D3" i="18"/>
  <c r="D4" i="18"/>
  <c r="A24" i="18"/>
  <c r="B22" i="25"/>
  <c r="F19" i="29"/>
  <c r="D25" i="29"/>
  <c r="H25" i="29" s="1"/>
  <c r="D27" i="29"/>
  <c r="H27" i="29"/>
  <c r="D29" i="29"/>
  <c r="H29" i="29" s="1"/>
  <c r="F29" i="29"/>
  <c r="F30" i="29"/>
  <c r="H39" i="29"/>
  <c r="H40" i="29"/>
  <c r="H41" i="29"/>
  <c r="F42" i="29"/>
  <c r="H42" i="29" s="1"/>
  <c r="H43" i="29"/>
  <c r="D45" i="29"/>
  <c r="F45" i="29"/>
  <c r="O7" i="9"/>
  <c r="O13" i="9" s="1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G8" i="18"/>
  <c r="O8" i="18"/>
  <c r="K9" i="18"/>
  <c r="G10" i="18"/>
  <c r="O10" i="18"/>
  <c r="K11" i="18"/>
  <c r="G12" i="18"/>
  <c r="O12" i="18"/>
  <c r="K13" i="18"/>
  <c r="G14" i="18"/>
  <c r="O14" i="18"/>
  <c r="K15" i="18"/>
  <c r="G16" i="18"/>
  <c r="O16" i="18"/>
  <c r="K17" i="18"/>
  <c r="G18" i="18"/>
  <c r="O18" i="18"/>
  <c r="G20" i="18"/>
  <c r="O20" i="18"/>
  <c r="I8" i="18"/>
  <c r="E9" i="18"/>
  <c r="M9" i="18"/>
  <c r="I10" i="18"/>
  <c r="E11" i="18"/>
  <c r="M11" i="18"/>
  <c r="I12" i="18"/>
  <c r="E13" i="18"/>
  <c r="M13" i="18"/>
  <c r="I14" i="18"/>
  <c r="E15" i="18"/>
  <c r="M15" i="18"/>
  <c r="I16" i="18"/>
  <c r="E17" i="18"/>
  <c r="M17" i="18"/>
  <c r="I18" i="18"/>
  <c r="I20" i="18"/>
  <c r="K8" i="18"/>
  <c r="G9" i="18"/>
  <c r="O9" i="18"/>
  <c r="K10" i="18"/>
  <c r="G11" i="18"/>
  <c r="O11" i="18"/>
  <c r="K12" i="18"/>
  <c r="G13" i="18"/>
  <c r="O13" i="18"/>
  <c r="K14" i="18"/>
  <c r="G15" i="18"/>
  <c r="O15" i="18"/>
  <c r="K16" i="18"/>
  <c r="G17" i="18"/>
  <c r="O17" i="18"/>
  <c r="K18" i="18"/>
  <c r="K20" i="18"/>
  <c r="D8" i="18"/>
  <c r="D9" i="18"/>
  <c r="E10" i="18"/>
  <c r="F11" i="18"/>
  <c r="F12" i="18"/>
  <c r="H13" i="18"/>
  <c r="H14" i="18"/>
  <c r="I15" i="18"/>
  <c r="J16" i="18"/>
  <c r="J17" i="18"/>
  <c r="L18" i="18"/>
  <c r="M20" i="18"/>
  <c r="E8" i="18"/>
  <c r="F9" i="18"/>
  <c r="F10" i="18"/>
  <c r="H11" i="18"/>
  <c r="H12" i="18"/>
  <c r="I13" i="18"/>
  <c r="J14" i="18"/>
  <c r="J15" i="18"/>
  <c r="L16" i="18"/>
  <c r="L17" i="18"/>
  <c r="M18" i="18"/>
  <c r="N20" i="18"/>
  <c r="M12" i="18"/>
  <c r="E18" i="18"/>
  <c r="N11" i="18"/>
  <c r="F17" i="18"/>
  <c r="N10" i="18"/>
  <c r="H17" i="18"/>
  <c r="F13" i="18"/>
  <c r="F8" i="18"/>
  <c r="H9" i="18"/>
  <c r="H10" i="18"/>
  <c r="I11" i="18"/>
  <c r="J12" i="18"/>
  <c r="J13" i="18"/>
  <c r="L14" i="18"/>
  <c r="L15" i="18"/>
  <c r="M16" i="18"/>
  <c r="N17" i="18"/>
  <c r="N18" i="18"/>
  <c r="D20" i="18"/>
  <c r="L11" i="18"/>
  <c r="N14" i="18"/>
  <c r="D17" i="18"/>
  <c r="F20" i="18"/>
  <c r="L8" i="18"/>
  <c r="N12" i="18"/>
  <c r="E16" i="18"/>
  <c r="H20" i="18"/>
  <c r="D12" i="18"/>
  <c r="F16" i="18"/>
  <c r="J20" i="18"/>
  <c r="D10" i="18"/>
  <c r="F14" i="18"/>
  <c r="I17" i="18"/>
  <c r="H8" i="18"/>
  <c r="I9" i="18"/>
  <c r="J10" i="18"/>
  <c r="J11" i="18"/>
  <c r="L12" i="18"/>
  <c r="L13" i="18"/>
  <c r="M14" i="18"/>
  <c r="N15" i="18"/>
  <c r="N16" i="18"/>
  <c r="D18" i="18"/>
  <c r="E20" i="18"/>
  <c r="J8" i="18"/>
  <c r="J9" i="18"/>
  <c r="L10" i="18"/>
  <c r="N13" i="18"/>
  <c r="D16" i="18"/>
  <c r="M10" i="18"/>
  <c r="D14" i="18"/>
  <c r="F18" i="18"/>
  <c r="M8" i="18"/>
  <c r="E14" i="18"/>
  <c r="H18" i="18"/>
  <c r="N8" i="18"/>
  <c r="H15" i="18"/>
  <c r="L9" i="18"/>
  <c r="D15" i="18"/>
  <c r="D13" i="18"/>
  <c r="F15" i="18"/>
  <c r="D11" i="18"/>
  <c r="H16" i="18"/>
  <c r="L20" i="18"/>
  <c r="N9" i="18"/>
  <c r="E12" i="18"/>
  <c r="J18" i="18"/>
  <c r="N19" i="18" l="1"/>
  <c r="N21" i="18" s="1"/>
  <c r="M19" i="18"/>
  <c r="M21" i="18" s="1"/>
  <c r="J19" i="18"/>
  <c r="J21" i="18" s="1"/>
  <c r="H19" i="18"/>
  <c r="H21" i="18" s="1"/>
  <c r="L19" i="18"/>
  <c r="L21" i="18" s="1"/>
  <c r="F19" i="18"/>
  <c r="F21" i="18" s="1"/>
  <c r="E19" i="18"/>
  <c r="E21" i="18" s="1"/>
  <c r="D19" i="18"/>
  <c r="D21" i="18" s="1"/>
  <c r="K19" i="18"/>
  <c r="K21" i="18" s="1"/>
  <c r="I19" i="18"/>
  <c r="I21" i="18" s="1"/>
  <c r="O19" i="18"/>
  <c r="O21" i="18" s="1"/>
  <c r="G19" i="18"/>
  <c r="G21" i="18" s="1"/>
  <c r="F89" i="23"/>
  <c r="H24" i="29"/>
  <c r="F33" i="29"/>
  <c r="F35" i="29" s="1"/>
  <c r="H20" i="29"/>
  <c r="F31" i="29"/>
  <c r="F110" i="26"/>
  <c r="D31" i="29"/>
  <c r="H31" i="29" s="1"/>
  <c r="D110" i="26"/>
  <c r="I21" i="24"/>
  <c r="H22" i="29"/>
  <c r="J31" i="17"/>
  <c r="J33" i="17" s="1"/>
  <c r="R18" i="24"/>
  <c r="C33" i="17"/>
  <c r="I133" i="4"/>
  <c r="O133" i="4"/>
  <c r="J21" i="24"/>
  <c r="M21" i="24" s="1"/>
  <c r="M12" i="24"/>
  <c r="R10" i="24"/>
  <c r="D14" i="26"/>
  <c r="D19" i="29" s="1"/>
  <c r="F72" i="23"/>
  <c r="E110" i="26"/>
  <c r="N30" i="17"/>
  <c r="D30" i="17"/>
  <c r="D31" i="17" s="1"/>
  <c r="I21" i="17"/>
  <c r="I30" i="17"/>
  <c r="I31" i="17" s="1"/>
  <c r="I33" i="17" s="1"/>
  <c r="H28" i="29"/>
  <c r="P102" i="4"/>
  <c r="P104" i="4" s="1"/>
  <c r="L104" i="4"/>
  <c r="P13" i="9"/>
  <c r="F64" i="23"/>
  <c r="J22" i="4"/>
  <c r="J25" i="4" s="1"/>
  <c r="J13" i="24"/>
  <c r="B21" i="24"/>
  <c r="E12" i="24"/>
  <c r="C19" i="12"/>
  <c r="C23" i="12" s="1"/>
  <c r="F46" i="23"/>
  <c r="G28" i="12"/>
  <c r="H30" i="29"/>
  <c r="D21" i="17"/>
  <c r="H29" i="17"/>
  <c r="H31" i="17" s="1"/>
  <c r="H33" i="17" s="1"/>
  <c r="P128" i="4"/>
  <c r="L31" i="17"/>
  <c r="L33" i="17" s="1"/>
  <c r="H45" i="29"/>
  <c r="M27" i="12"/>
  <c r="D15" i="28"/>
  <c r="D39" i="28" s="1"/>
  <c r="F29" i="23"/>
  <c r="L30" i="17"/>
  <c r="O29" i="17"/>
  <c r="H124" i="4"/>
  <c r="H133" i="4" s="1"/>
  <c r="C28" i="4"/>
  <c r="L21" i="17"/>
  <c r="N29" i="17"/>
  <c r="F29" i="17"/>
  <c r="F31" i="17" s="1"/>
  <c r="F33" i="17" s="1"/>
  <c r="L16" i="4"/>
  <c r="L22" i="4" s="1"/>
  <c r="G30" i="17"/>
  <c r="G31" i="17" s="1"/>
  <c r="G33" i="17" s="1"/>
  <c r="D33" i="17" l="1"/>
  <c r="O33" i="17" s="1"/>
  <c r="J22" i="24"/>
  <c r="E21" i="24"/>
  <c r="R21" i="24" s="1"/>
  <c r="F14" i="23"/>
  <c r="J51" i="4" s="1"/>
  <c r="L51" i="4" s="1"/>
  <c r="P51" i="4" s="1"/>
  <c r="F18" i="23"/>
  <c r="J54" i="4" s="1"/>
  <c r="L54" i="4" s="1"/>
  <c r="F33" i="23"/>
  <c r="J72" i="4" s="1"/>
  <c r="L72" i="4" s="1"/>
  <c r="P72" i="4" s="1"/>
  <c r="F59" i="23"/>
  <c r="F77" i="23"/>
  <c r="F15" i="23"/>
  <c r="J50" i="4" s="1"/>
  <c r="L50" i="4" s="1"/>
  <c r="P50" i="4" s="1"/>
  <c r="F19" i="23"/>
  <c r="J52" i="4" s="1"/>
  <c r="L52" i="4" s="1"/>
  <c r="F49" i="23"/>
  <c r="F67" i="23"/>
  <c r="F12" i="23"/>
  <c r="J55" i="4" s="1"/>
  <c r="L55" i="4" s="1"/>
  <c r="F16" i="23"/>
  <c r="J53" i="4" s="1"/>
  <c r="L53" i="4" s="1"/>
  <c r="P53" i="4" s="1"/>
  <c r="F50" i="23"/>
  <c r="F75" i="23"/>
  <c r="F86" i="23"/>
  <c r="F87" i="23" s="1"/>
  <c r="F20" i="23"/>
  <c r="F28" i="23"/>
  <c r="J67" i="4" s="1"/>
  <c r="L67" i="4" s="1"/>
  <c r="F37" i="23"/>
  <c r="J76" i="4" s="1"/>
  <c r="F43" i="23"/>
  <c r="J82" i="4" s="1"/>
  <c r="L82" i="4" s="1"/>
  <c r="F51" i="23"/>
  <c r="F44" i="23"/>
  <c r="J83" i="4" s="1"/>
  <c r="L83" i="4" s="1"/>
  <c r="F68" i="23"/>
  <c r="F82" i="23"/>
  <c r="F34" i="23"/>
  <c r="F23" i="23"/>
  <c r="J61" i="4" s="1"/>
  <c r="F38" i="23"/>
  <c r="J77" i="4" s="1"/>
  <c r="L77" i="4" s="1"/>
  <c r="P77" i="4" s="1"/>
  <c r="F45" i="23"/>
  <c r="J84" i="4" s="1"/>
  <c r="L84" i="4" s="1"/>
  <c r="F60" i="23"/>
  <c r="F25" i="23"/>
  <c r="J63" i="4" s="1"/>
  <c r="L63" i="4" s="1"/>
  <c r="F81" i="23"/>
  <c r="F83" i="23" s="1"/>
  <c r="F41" i="23"/>
  <c r="J80" i="4" s="1"/>
  <c r="L80" i="4" s="1"/>
  <c r="F13" i="23"/>
  <c r="J56" i="4" s="1"/>
  <c r="L56" i="4" s="1"/>
  <c r="P56" i="4" s="1"/>
  <c r="F27" i="23"/>
  <c r="J66" i="4" s="1"/>
  <c r="L66" i="4" s="1"/>
  <c r="F17" i="23"/>
  <c r="J49" i="4" s="1"/>
  <c r="F24" i="23"/>
  <c r="J62" i="4" s="1"/>
  <c r="L62" i="4" s="1"/>
  <c r="F32" i="23"/>
  <c r="J71" i="4" s="1"/>
  <c r="F39" i="23"/>
  <c r="J78" i="4" s="1"/>
  <c r="L78" i="4" s="1"/>
  <c r="F52" i="23"/>
  <c r="F63" i="23"/>
  <c r="F71" i="23"/>
  <c r="F40" i="23"/>
  <c r="J79" i="4" s="1"/>
  <c r="L79" i="4" s="1"/>
  <c r="F55" i="23"/>
  <c r="J94" i="4" s="1"/>
  <c r="F56" i="23"/>
  <c r="F26" i="23"/>
  <c r="J64" i="4" s="1"/>
  <c r="L64" i="4" s="1"/>
  <c r="F42" i="23"/>
  <c r="J81" i="4" s="1"/>
  <c r="L81" i="4" s="1"/>
  <c r="F76" i="23"/>
  <c r="N31" i="17"/>
  <c r="N33" i="17" s="1"/>
  <c r="O30" i="17"/>
  <c r="L25" i="4"/>
  <c r="J27" i="4"/>
  <c r="J26" i="4"/>
  <c r="J28" i="4" s="1"/>
  <c r="L28" i="4" s="1"/>
  <c r="D33" i="29"/>
  <c r="D35" i="29" s="1"/>
  <c r="H19" i="29"/>
  <c r="H33" i="29" s="1"/>
  <c r="H35" i="29" s="1"/>
  <c r="G29" i="12"/>
  <c r="M28" i="12"/>
  <c r="M29" i="12" s="1"/>
  <c r="R12" i="24"/>
  <c r="J73" i="4" l="1"/>
  <c r="L71" i="4"/>
  <c r="L30" i="4"/>
  <c r="L94" i="4"/>
  <c r="J95" i="4"/>
  <c r="J57" i="4"/>
  <c r="L49" i="4"/>
  <c r="L76" i="4"/>
  <c r="J85" i="4"/>
  <c r="J65" i="4"/>
  <c r="J68" i="4" s="1"/>
  <c r="L61" i="4"/>
  <c r="L65" i="4" s="1"/>
  <c r="L68" i="4" s="1"/>
  <c r="H23" i="23"/>
  <c r="H27" i="23"/>
  <c r="H38" i="23"/>
  <c r="H42" i="23"/>
  <c r="H71" i="23"/>
  <c r="J116" i="4" s="1"/>
  <c r="L116" i="4" s="1"/>
  <c r="P116" i="4" s="1"/>
  <c r="H82" i="23"/>
  <c r="H24" i="23"/>
  <c r="H28" i="23"/>
  <c r="H39" i="23"/>
  <c r="H43" i="23"/>
  <c r="H52" i="23"/>
  <c r="H25" i="23"/>
  <c r="H34" i="23"/>
  <c r="H40" i="23"/>
  <c r="H44" i="23"/>
  <c r="H55" i="23"/>
  <c r="H60" i="23"/>
  <c r="H14" i="23"/>
  <c r="H59" i="23"/>
  <c r="J107" i="4" s="1"/>
  <c r="H76" i="23"/>
  <c r="J122" i="4" s="1"/>
  <c r="L122" i="4" s="1"/>
  <c r="H15" i="23"/>
  <c r="H20" i="23"/>
  <c r="H37" i="23"/>
  <c r="H51" i="23"/>
  <c r="J90" i="4" s="1"/>
  <c r="L90" i="4" s="1"/>
  <c r="P90" i="4" s="1"/>
  <c r="H77" i="23"/>
  <c r="J123" i="4" s="1"/>
  <c r="L123" i="4" s="1"/>
  <c r="H86" i="23"/>
  <c r="H46" i="23"/>
  <c r="H16" i="23"/>
  <c r="H68" i="23"/>
  <c r="H17" i="23"/>
  <c r="H32" i="23"/>
  <c r="H63" i="23"/>
  <c r="J112" i="4" s="1"/>
  <c r="L112" i="4" s="1"/>
  <c r="P112" i="4" s="1"/>
  <c r="H18" i="23"/>
  <c r="H26" i="23"/>
  <c r="H41" i="23"/>
  <c r="H64" i="23"/>
  <c r="H75" i="23"/>
  <c r="H78" i="23" s="1"/>
  <c r="H50" i="23"/>
  <c r="J89" i="4" s="1"/>
  <c r="L89" i="4" s="1"/>
  <c r="P89" i="4" s="1"/>
  <c r="H45" i="23"/>
  <c r="H12" i="23"/>
  <c r="H33" i="23"/>
  <c r="H81" i="23"/>
  <c r="H83" i="23" s="1"/>
  <c r="H19" i="23"/>
  <c r="H13" i="23"/>
  <c r="H67" i="23"/>
  <c r="J114" i="4" s="1"/>
  <c r="L114" i="4" s="1"/>
  <c r="P114" i="4" s="1"/>
  <c r="H72" i="23"/>
  <c r="H49" i="23"/>
  <c r="J88" i="4" s="1"/>
  <c r="H56" i="23"/>
  <c r="H29" i="23"/>
  <c r="H89" i="23"/>
  <c r="J121" i="4"/>
  <c r="F78" i="23"/>
  <c r="O31" i="17"/>
  <c r="J108" i="4" l="1"/>
  <c r="L107" i="4"/>
  <c r="L108" i="4" s="1"/>
  <c r="H87" i="23"/>
  <c r="J126" i="4"/>
  <c r="L126" i="4" s="1"/>
  <c r="P49" i="4"/>
  <c r="P57" i="4" s="1"/>
  <c r="L57" i="4"/>
  <c r="P94" i="4"/>
  <c r="P95" i="4" s="1"/>
  <c r="L95" i="4"/>
  <c r="P76" i="4"/>
  <c r="P85" i="4" s="1"/>
  <c r="L85" i="4"/>
  <c r="L121" i="4"/>
  <c r="L124" i="4" s="1"/>
  <c r="J124" i="4"/>
  <c r="P30" i="4"/>
  <c r="P40" i="4" s="1"/>
  <c r="L40" i="4"/>
  <c r="J40" i="4" s="1"/>
  <c r="L88" i="4"/>
  <c r="J91" i="4"/>
  <c r="L73" i="4"/>
  <c r="P71" i="4"/>
  <c r="P73" i="4" s="1"/>
  <c r="P133" i="4" l="1"/>
  <c r="J133" i="4"/>
  <c r="L133" i="4"/>
  <c r="L91" i="4"/>
  <c r="P88" i="4"/>
  <c r="P91" i="4" s="1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<sst xmlns="http://schemas.openxmlformats.org/spreadsheetml/2006/main" count="649" uniqueCount="505">
  <si>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</si>
  <si>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</si>
  <si>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</si>
  <si>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</si>
  <si>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</si>
  <si>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</si>
  <si>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</si>
  <si>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</si>
  <si>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</si>
  <si>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</si>
  <si>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</si>
  <si>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</si>
  <si>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</si>
  <si>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</si>
  <si>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</si>
  <si>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</si>
  <si>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</si>
  <si>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</si>
  <si>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</si>
  <si>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</si>
  <si>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</si>
  <si>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</si>
  <si>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</si>
  <si>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</si>
  <si>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</si>
  <si>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</si>
  <si>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</si>
  <si>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</si>
  <si>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</si>
  <si>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</si>
  <si>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</si>
  <si>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</si>
  <si>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</si>
  <si>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</si>
  <si>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</si>
  <si>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</si>
  <si>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</si>
  <si>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</si>
  <si>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</si>
  <si>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</si>
  <si>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</si>
  <si>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</si>
  <si>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</si>
  <si>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</si>
  <si>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</si>
  <si>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</si>
  <si>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</si>
  <si>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</si>
  <si>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</si>
  <si>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</si>
  <si>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</si>
  <si>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</si>
  <si>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</si>
  <si>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</si>
  <si>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</si>
  <si>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</si>
  <si>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</si>
  <si>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</si>
  <si>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</si>
  <si>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</si>
  <si>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</si>
  <si>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</si>
  <si>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</si>
  <si>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</si>
  <si>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</si>
  <si>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</si>
  <si>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</si>
  <si>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</si>
  <si>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</si>
  <si>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</si>
  <si>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</si>
  <si>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</si>
  <si>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</si>
  <si>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</si>
  <si>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</si>
  <si>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</si>
  <si>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</si>
  <si>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</si>
  <si>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</si>
  <si>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</si>
  <si>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</si>
  <si>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</si>
  <si>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</si>
  <si>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</si>
  <si>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</si>
  <si>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</si>
  <si>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</si>
  <si>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</si>
  <si>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</si>
  <si>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</si>
  <si>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</si>
  <si>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</si>
  <si>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</si>
  <si>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</si>
  <si>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</si>
  <si>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</si>
  <si>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</si>
  <si>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</si>
  <si>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</si>
  <si>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</si>
  <si>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</si>
  <si>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</si>
  <si>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</si>
  <si>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</si>
  <si>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</si>
  <si>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</si>
  <si>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</si>
  <si>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</si>
  <si>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</si>
  <si>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</si>
  <si>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</si>
  <si>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</si>
  <si>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</si>
  <si>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</si>
  <si>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</si>
  <si>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</si>
  <si>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</si>
  <si>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</si>
  <si>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</si>
  <si>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</si>
  <si>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</si>
  <si>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</si>
  <si>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</si>
  <si>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</si>
  <si>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</si>
  <si>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</si>
  <si>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</si>
  <si>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</si>
  <si>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</si>
  <si>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</si>
  <si>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</si>
  <si>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</si>
  <si>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</si>
  <si>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</si>
  <si>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</si>
  <si>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</si>
  <si>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</si>
  <si>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</si>
  <si>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</si>
  <si>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</si>
  <si>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</si>
  <si>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</si>
  <si>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</si>
  <si>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</si>
  <si>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</si>
  <si>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</si>
  <si>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</si>
  <si>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</si>
  <si>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</si>
  <si>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</si>
  <si>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</si>
  <si>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</si>
  <si>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</si>
  <si>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</si>
  <si>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</si>
  <si>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</si>
  <si>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</si>
  <si>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</si>
  <si>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</si>
  <si>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</si>
  <si>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</si>
  <si>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</si>
  <si>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</si>
  <si>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</si>
  <si>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</si>
  <si>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</si>
  <si>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</si>
  <si>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</si>
  <si>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</si>
  <si>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</si>
  <si>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</si>
  <si>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</si>
  <si>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</si>
  <si>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</si>
  <si>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</si>
  <si>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</si>
  <si>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</si>
  <si>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</si>
  <si>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</si>
  <si>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</si>
  <si>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</si>
  <si>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</si>
  <si>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</si>
  <si>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</si>
  <si>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</si>
  <si>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</si>
  <si>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</si>
  <si>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</si>
  <si>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</si>
  <si>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</si>
  <si>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</si>
  <si>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</si>
  <si>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</si>
  <si>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</si>
  <si>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</si>
  <si>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</si>
  <si>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</si>
  <si>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</si>
  <si>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</si>
  <si>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</si>
  <si>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</si>
  <si>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</si>
  <si>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</si>
  <si>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</si>
  <si>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</si>
  <si>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</si>
  <si>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</si>
  <si>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</si>
  <si>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</si>
  <si>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</si>
  <si>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</si>
  <si>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</si>
  <si>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</si>
  <si>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</si>
  <si>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</si>
  <si>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</si>
  <si>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</si>
  <si>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</si>
  <si>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</si>
  <si>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</si>
  <si>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</si>
  <si>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</si>
  <si>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</si>
  <si>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</si>
  <si>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</si>
  <si>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</si>
  <si>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</si>
  <si>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</si>
  <si>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</si>
  <si>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</si>
  <si>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</si>
  <si>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</si>
  <si>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</si>
  <si>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</si>
  <si>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</si>
  <si>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</si>
  <si>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</si>
  <si>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</si>
  <si>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</si>
  <si>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</si>
  <si>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</si>
  <si>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</si>
  <si>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</si>
  <si>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</si>
  <si>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</si>
  <si>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</si>
  <si>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</si>
  <si>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</si>
  <si>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</si>
  <si>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</si>
  <si>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</si>
  <si>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</si>
  <si>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</si>
  <si>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</si>
  <si>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</si>
  <si>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</si>
  <si>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</si>
  <si>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</si>
  <si>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</si>
  <si>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</si>
  <si>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</si>
  <si>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</si>
  <si>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</si>
  <si>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</si>
  <si>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</si>
  <si>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</si>
  <si>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</si>
  <si>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</si>
  <si>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</si>
  <si>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</si>
  <si>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</si>
  <si>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</si>
  <si>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</si>
  <si>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</si>
  <si>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</si>
  <si>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</si>
  <si>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</si>
  <si>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</si>
  <si>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</si>
  <si>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</si>
  <si>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</si>
  <si>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</si>
  <si>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</si>
  <si>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</si>
  <si>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</si>
  <si>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</si>
  <si>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</si>
  <si>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</si>
  <si>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</si>
  <si>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</si>
  <si>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</si>
  <si>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</si>
  <si>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</si>
  <si>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</si>
  <si>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</si>
  <si>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</si>
  <si>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</si>
  <si>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</si>
  <si>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</si>
  <si>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</si>
  <si>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</si>
  <si>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</si>
  <si>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</si>
  <si>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</si>
  <si>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</si>
  <si>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</si>
  <si>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</si>
  <si>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</si>
  <si>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</si>
  <si>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</si>
  <si>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</si>
  <si>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</si>
  <si>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</si>
  <si>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</si>
  <si>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</si>
  <si>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NATURAL GAS - WEST ORIGINATION</t>
  </si>
  <si>
    <t>Barry Tycholiz</t>
  </si>
  <si>
    <t>Stephanie Miller</t>
  </si>
  <si>
    <t>David Fuller</t>
  </si>
  <si>
    <t>Kimberly Ward</t>
  </si>
  <si>
    <t>Phillip Polsky</t>
  </si>
  <si>
    <t>Mara Bronstein</t>
  </si>
  <si>
    <t>Jessica Presas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</si>
  <si>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</si>
  <si>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</si>
  <si>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</si>
  <si>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</si>
  <si>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</si>
  <si>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</si>
  <si>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</si>
  <si>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</si>
  <si>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</si>
  <si>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</si>
  <si>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</si>
  <si>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</si>
  <si>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</si>
  <si>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</si>
  <si>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</si>
  <si>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</si>
  <si>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</si>
  <si>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</si>
  <si>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</si>
  <si>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</si>
  <si>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</si>
  <si>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</si>
  <si>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</si>
  <si>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</si>
  <si>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</si>
  <si>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</si>
  <si>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</si>
  <si>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</si>
  <si>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</si>
  <si>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</si>
  <si>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</si>
  <si>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</si>
  <si>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</si>
  <si>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</si>
  <si>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</si>
  <si>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</si>
  <si>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</si>
  <si>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</si>
  <si>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</si>
  <si>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</si>
  <si>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</si>
  <si>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</si>
  <si>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</si>
  <si>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</si>
  <si>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</si>
  <si>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</si>
  <si>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</si>
  <si>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</si>
  <si>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</si>
  <si>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</si>
  <si>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</si>
  <si>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</si>
  <si>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</si>
  <si>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</si>
  <si>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</si>
  <si>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</si>
  <si>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</si>
  <si>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</si>
  <si>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</si>
  <si>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</si>
  <si>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</si>
  <si>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</si>
  <si>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</si>
  <si>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</si>
  <si>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</si>
  <si>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</si>
  <si>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</si>
  <si>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</si>
  <si>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</si>
  <si>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</si>
  <si>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</si>
  <si>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</si>
  <si>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</si>
  <si>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</si>
  <si>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</si>
  <si>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</si>
  <si>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</si>
  <si>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</si>
  <si>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</si>
  <si>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</si>
  <si>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</si>
  <si>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</si>
  <si>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</si>
  <si>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</si>
  <si>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</si>
  <si>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</si>
  <si>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</si>
  <si>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</si>
  <si>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</si>
  <si>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</si>
  <si>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</si>
  <si>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</si>
  <si>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</si>
  <si>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</si>
  <si>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</si>
  <si>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</si>
  <si>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</si>
  <si>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</si>
  <si>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</si>
  <si>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</si>
  <si>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</si>
  <si>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</si>
  <si>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</si>
  <si>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</si>
  <si>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</si>
  <si>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</si>
  <si>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</si>
  <si>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</si>
  <si>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</si>
  <si>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</si>
  <si>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</si>
  <si>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2001 EPSC PLAN TEMPLATE</t>
  </si>
  <si>
    <t>COST CENTER:  107321 (West Gas Origination)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</si>
  <si>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</si>
  <si>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</si>
  <si>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</si>
  <si>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</si>
  <si>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</si>
  <si>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</si>
  <si>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</si>
  <si>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</si>
  <si>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</si>
  <si>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</si>
  <si>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</si>
  <si>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</si>
  <si>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</si>
  <si>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</si>
  <si>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</si>
  <si>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</si>
  <si>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</si>
  <si>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</si>
  <si>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</si>
  <si>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</si>
  <si>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</si>
  <si>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</si>
  <si>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</si>
  <si>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</si>
  <si>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</si>
  <si>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</si>
  <si>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</si>
  <si>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</si>
  <si>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</si>
  <si>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</si>
  <si>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</si>
  <si>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</si>
  <si>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</si>
  <si>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</si>
  <si>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</si>
  <si>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</si>
  <si>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</si>
  <si>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</si>
  <si>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Work Place Count =  10</t>
  </si>
  <si>
    <t>Sq. Ft. Occupied =  750</t>
  </si>
  <si>
    <t>West Gas Origination (107321)</t>
  </si>
  <si>
    <t>2002 Direct Expense Plan</t>
  </si>
  <si>
    <t xml:space="preserve">     Other</t>
  </si>
  <si>
    <t xml:space="preserve">     Professional Consultants/Contractors (Temporaries)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</si>
  <si>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</si>
  <si>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</si>
  <si>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</si>
  <si>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</si>
  <si>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</si>
  <si>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</si>
  <si>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</si>
  <si>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</si>
  <si>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</si>
  <si>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</si>
  <si>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</si>
  <si>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</si>
  <si>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</si>
  <si>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</si>
  <si>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</si>
  <si>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</si>
  <si>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</si>
  <si>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</si>
  <si>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</si>
  <si>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Direct Expense (People + Office)/Headcount Ratio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</si>
  <si>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</si>
  <si>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</si>
  <si>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</si>
  <si>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increased 2002 by $2,697</t>
  </si>
  <si>
    <t>increased 2002 by $25,000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</si>
</sst>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62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166" fontId="0" fillId="0" borderId="0" xfId="3" applyNumberFormat="1" applyFont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42" fontId="0" fillId="0" borderId="0" xfId="0" applyNumberFormat="1" applyBorder="1"/>
    <xf numFmtId="42" fontId="21" fillId="0" borderId="0" xfId="0" applyNumberFormat="1" applyFont="1" applyBorder="1"/>
    <xf numFmtId="0" fontId="0" fillId="0" borderId="0" xfId="0" applyAlignment="1">
      <alignment horizontal="right"/>
    </xf>
    <xf numFmtId="166" fontId="1" fillId="0" borderId="0" xfId="3" applyNumberFormat="1" applyFill="1"/>
    <xf numFmtId="166" fontId="1" fillId="0" borderId="8" xfId="3" applyNumberFormat="1" applyBorder="1"/>
    <xf numFmtId="166" fontId="1" fillId="0" borderId="15" xfId="3" applyNumberFormat="1" applyBorder="1"/>
    <xf numFmtId="180" fontId="0" fillId="0" borderId="0" xfId="0" applyNumberFormat="1" applyAlignment="1">
      <alignment horizontal="center"/>
    </xf>
    <xf numFmtId="180" fontId="0" fillId="0" borderId="0" xfId="0" applyNumberFormat="1" applyFill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15" xfId="0" applyNumberFormat="1" applyFill="1" applyBorder="1" applyAlignment="1">
      <alignment horizontal="center"/>
    </xf>
    <xf numFmtId="41" fontId="21" fillId="0" borderId="0" xfId="0" applyNumberFormat="1" applyFont="1" applyAlignment="1">
      <alignment horizontal="center"/>
    </xf>
    <xf numFmtId="41" fontId="0" fillId="0" borderId="0" xfId="0" applyNumberFormat="1" applyAlignment="1">
      <alignment horizontal="lef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C:\Users\Felienne\Enron\EnronSpreadsheets\[barry_tycholiz__847__2002 Plan Worksheet CC107321.xls]Detail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C:\Users\Felienne\Enron\EnronSpreadsheets\[barry_tycholiz__847__2002 Plan Worksheet CC107321.xls]Detail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60" t="s">
        <v>287</v>
      </c>
      <c r="B5" s="360"/>
      <c r="D5" s="214"/>
    </row>
    <row r="6" spans="1:11">
      <c r="A6" s="360" t="s">
        <v>288</v>
      </c>
      <c r="B6" s="360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3" customWidth="1"/>
    <col min="8" max="8" width="12.42578125" style="244" bestFit="1" customWidth="1"/>
    <col min="9" max="9" width="12.42578125" style="263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1" t="s">
        <v>297</v>
      </c>
      <c r="B5" s="361"/>
      <c r="C5" s="361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1" t="s">
        <v>296</v>
      </c>
      <c r="B6" s="361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5"/>
      <c r="H24" s="250"/>
      <c r="I24" s="265"/>
    </row>
    <row r="25" spans="1:18" ht="13.5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323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5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5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tabSelected="1" zoomScale="85" workbookViewId="0">
      <pane xSplit="1" ySplit="5" topLeftCell="B6" activePane="bottomRight" state="frozen"/>
      <selection activeCell="D48" sqref="D48"/>
      <selection pane="topRight" activeCell="D48" sqref="D48"/>
      <selection pane="bottomLeft" activeCell="D48" sqref="D48"/>
      <selection pane="bottomRight" activeCell="G10" sqref="G10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</cols>
  <sheetData>
    <row r="1" spans="1:6" ht="16.5" thickBot="1">
      <c r="A1" s="282" t="s">
        <v>476</v>
      </c>
    </row>
    <row r="2" spans="1:6" ht="15.75">
      <c r="A2" s="282" t="s">
        <v>477</v>
      </c>
      <c r="F2" s="324"/>
    </row>
    <row r="3" spans="1:6">
      <c r="C3" s="25">
        <v>2001</v>
      </c>
      <c r="D3" s="25">
        <v>2001</v>
      </c>
      <c r="E3" s="25">
        <v>2001</v>
      </c>
      <c r="F3" s="325">
        <v>2002</v>
      </c>
    </row>
    <row r="4" spans="1:6">
      <c r="C4" s="25" t="s">
        <v>295</v>
      </c>
      <c r="D4" s="25" t="s">
        <v>298</v>
      </c>
      <c r="E4" s="25" t="s">
        <v>299</v>
      </c>
      <c r="F4" s="325" t="s">
        <v>299</v>
      </c>
    </row>
    <row r="5" spans="1:6">
      <c r="A5" s="283" t="s">
        <v>324</v>
      </c>
      <c r="C5" s="284" t="s">
        <v>325</v>
      </c>
      <c r="D5" s="284" t="s">
        <v>325</v>
      </c>
      <c r="E5" s="284" t="s">
        <v>325</v>
      </c>
      <c r="F5" s="326" t="s">
        <v>325</v>
      </c>
    </row>
    <row r="6" spans="1:6">
      <c r="F6" s="327"/>
    </row>
    <row r="7" spans="1:6">
      <c r="A7" s="24" t="s">
        <v>326</v>
      </c>
      <c r="F7" s="327"/>
    </row>
    <row r="8" spans="1:6">
      <c r="A8" t="s">
        <v>327</v>
      </c>
      <c r="C8" s="301">
        <v>310811</v>
      </c>
      <c r="D8" s="95">
        <f>(C8/7)*12-126000</f>
        <v>406818.85714285716</v>
      </c>
      <c r="F8" s="327"/>
    </row>
    <row r="9" spans="1:6">
      <c r="A9" s="285" t="s">
        <v>328</v>
      </c>
      <c r="C9" s="95">
        <v>0</v>
      </c>
      <c r="D9" s="95">
        <f>(C9/7)*12</f>
        <v>0</v>
      </c>
      <c r="E9" s="95">
        <v>800760</v>
      </c>
      <c r="F9" s="328">
        <v>761764</v>
      </c>
    </row>
    <row r="10" spans="1:6">
      <c r="A10" s="285" t="s">
        <v>419</v>
      </c>
      <c r="C10" s="95">
        <v>0</v>
      </c>
      <c r="D10" s="95">
        <f>(C10/7)*12</f>
        <v>0</v>
      </c>
      <c r="E10" s="95">
        <v>55000</v>
      </c>
      <c r="F10" s="328">
        <v>75000</v>
      </c>
    </row>
    <row r="11" spans="1:6">
      <c r="A11" t="s">
        <v>329</v>
      </c>
      <c r="C11" s="95"/>
      <c r="D11" s="95"/>
      <c r="E11" s="95"/>
      <c r="F11" s="328"/>
    </row>
    <row r="12" spans="1:6">
      <c r="A12" s="285" t="s">
        <v>330</v>
      </c>
      <c r="C12" s="95">
        <v>42995</v>
      </c>
      <c r="D12" s="95">
        <f>(C12/7)*12</f>
        <v>73705.71428571429</v>
      </c>
      <c r="E12" s="95">
        <v>112758</v>
      </c>
      <c r="F12" s="328">
        <v>109746</v>
      </c>
    </row>
    <row r="13" spans="1:6">
      <c r="A13" s="285" t="s">
        <v>331</v>
      </c>
      <c r="C13" s="95">
        <v>4707</v>
      </c>
      <c r="D13" s="95">
        <f>(C13/7)*12</f>
        <v>8069.1428571428569</v>
      </c>
      <c r="E13" s="95">
        <v>54453</v>
      </c>
      <c r="F13" s="328">
        <v>40229</v>
      </c>
    </row>
    <row r="14" spans="1:6">
      <c r="A14" s="24" t="s">
        <v>332</v>
      </c>
      <c r="C14" s="286">
        <f>SUM(C8:C13)</f>
        <v>358513</v>
      </c>
      <c r="D14" s="286">
        <f>SUM(D8:D13)</f>
        <v>488593.71428571432</v>
      </c>
      <c r="E14" s="286">
        <f>SUM(E8:E13)</f>
        <v>1022971</v>
      </c>
      <c r="F14" s="329">
        <f>SUM(F8:F13)</f>
        <v>986739</v>
      </c>
    </row>
    <row r="15" spans="1:6">
      <c r="A15" s="285"/>
      <c r="C15" s="95"/>
      <c r="D15" s="95"/>
      <c r="E15" s="95"/>
      <c r="F15" s="328"/>
    </row>
    <row r="16" spans="1:6">
      <c r="A16" t="s">
        <v>333</v>
      </c>
      <c r="C16" s="95"/>
      <c r="D16" s="95"/>
      <c r="E16" s="95"/>
      <c r="F16" s="328"/>
    </row>
    <row r="17" spans="1:7">
      <c r="A17" s="285" t="s">
        <v>334</v>
      </c>
      <c r="C17" s="95">
        <v>1124</v>
      </c>
      <c r="D17" s="95">
        <f t="shared" ref="D17:D24" si="0">(C17/7)*12</f>
        <v>1926.8571428571431</v>
      </c>
      <c r="E17" s="95">
        <v>5112</v>
      </c>
      <c r="F17" s="328">
        <v>10000</v>
      </c>
      <c r="G17" t="s">
        <v>503</v>
      </c>
    </row>
    <row r="18" spans="1:7">
      <c r="A18" s="285" t="s">
        <v>335</v>
      </c>
      <c r="C18" s="95">
        <v>10</v>
      </c>
      <c r="D18" s="95">
        <f t="shared" si="0"/>
        <v>17.142857142857142</v>
      </c>
      <c r="E18" s="95">
        <v>0</v>
      </c>
      <c r="F18" s="328">
        <f t="shared" ref="F18:F26" si="1">(E18/7)*10</f>
        <v>0</v>
      </c>
    </row>
    <row r="19" spans="1:7">
      <c r="A19" s="285" t="s">
        <v>336</v>
      </c>
      <c r="C19" s="95">
        <v>0</v>
      </c>
      <c r="D19" s="95">
        <f t="shared" si="0"/>
        <v>0</v>
      </c>
      <c r="E19" s="95">
        <v>0</v>
      </c>
      <c r="F19" s="328">
        <f t="shared" si="1"/>
        <v>0</v>
      </c>
    </row>
    <row r="20" spans="1:7">
      <c r="A20" s="285" t="s">
        <v>337</v>
      </c>
      <c r="C20" s="95">
        <v>19870</v>
      </c>
      <c r="D20" s="95">
        <f t="shared" si="0"/>
        <v>34062.857142857145</v>
      </c>
      <c r="E20" s="95">
        <v>13308</v>
      </c>
      <c r="F20" s="328">
        <f>(E20/7)*10+20989</f>
        <v>40000.428571428572</v>
      </c>
    </row>
    <row r="21" spans="1:7">
      <c r="A21" s="285" t="s">
        <v>338</v>
      </c>
      <c r="C21" s="95">
        <v>4390</v>
      </c>
      <c r="D21" s="95">
        <f t="shared" si="0"/>
        <v>7525.7142857142853</v>
      </c>
      <c r="E21" s="95">
        <v>6708</v>
      </c>
      <c r="F21" s="328">
        <f>(E21/7)*10+417</f>
        <v>9999.8571428571431</v>
      </c>
    </row>
    <row r="22" spans="1:7">
      <c r="A22" s="285" t="s">
        <v>339</v>
      </c>
      <c r="C22" s="95">
        <v>0</v>
      </c>
      <c r="D22" s="95">
        <f t="shared" si="0"/>
        <v>0</v>
      </c>
      <c r="E22" s="95">
        <v>0</v>
      </c>
      <c r="F22" s="328">
        <f t="shared" si="1"/>
        <v>0</v>
      </c>
    </row>
    <row r="23" spans="1:7">
      <c r="A23" s="285" t="s">
        <v>423</v>
      </c>
      <c r="C23" s="95">
        <v>0</v>
      </c>
      <c r="D23" s="95">
        <f t="shared" si="0"/>
        <v>0</v>
      </c>
      <c r="E23" s="95">
        <v>0</v>
      </c>
      <c r="F23" s="328">
        <v>5000</v>
      </c>
    </row>
    <row r="24" spans="1:7">
      <c r="A24" s="285" t="s">
        <v>340</v>
      </c>
      <c r="C24" s="95">
        <v>0</v>
      </c>
      <c r="D24" s="95">
        <f t="shared" si="0"/>
        <v>0</v>
      </c>
      <c r="E24" s="95">
        <v>4008</v>
      </c>
      <c r="F24" s="328">
        <f t="shared" si="1"/>
        <v>5725.7142857142853</v>
      </c>
    </row>
    <row r="25" spans="1:7">
      <c r="A25" s="137" t="s">
        <v>341</v>
      </c>
      <c r="C25" s="95"/>
      <c r="D25" s="95"/>
      <c r="E25" s="95"/>
      <c r="F25" s="328">
        <f t="shared" si="1"/>
        <v>0</v>
      </c>
    </row>
    <row r="26" spans="1:7">
      <c r="A26" s="285" t="s">
        <v>342</v>
      </c>
      <c r="C26" s="95">
        <v>0</v>
      </c>
      <c r="D26" s="95">
        <f>(C26/7)*12</f>
        <v>0</v>
      </c>
      <c r="E26" s="95">
        <v>0</v>
      </c>
      <c r="F26" s="328">
        <f t="shared" si="1"/>
        <v>0</v>
      </c>
    </row>
    <row r="27" spans="1:7">
      <c r="A27" s="285" t="s">
        <v>343</v>
      </c>
      <c r="C27" s="95">
        <v>0</v>
      </c>
      <c r="D27" s="95">
        <f>(C27/7)*12</f>
        <v>0</v>
      </c>
      <c r="E27" s="95">
        <v>50004</v>
      </c>
      <c r="F27" s="328">
        <f>(E27/7)*10+3566</f>
        <v>75000.28571428571</v>
      </c>
    </row>
    <row r="28" spans="1:7">
      <c r="A28" s="24" t="s">
        <v>344</v>
      </c>
      <c r="C28" s="286">
        <f>SUM(C17:C27)</f>
        <v>25394</v>
      </c>
      <c r="D28" s="286">
        <f>SUM(D17:D27)</f>
        <v>43532.571428571428</v>
      </c>
      <c r="E28" s="286">
        <f>SUM(E17:E27)</f>
        <v>79140</v>
      </c>
      <c r="F28" s="329">
        <f>SUM(F17:F27)</f>
        <v>145726.28571428571</v>
      </c>
    </row>
    <row r="29" spans="1:7">
      <c r="F29" s="327"/>
    </row>
    <row r="30" spans="1:7">
      <c r="A30" s="24" t="s">
        <v>345</v>
      </c>
      <c r="F30" s="327"/>
    </row>
    <row r="31" spans="1:7">
      <c r="A31" t="s">
        <v>346</v>
      </c>
      <c r="C31" s="95">
        <v>54484</v>
      </c>
      <c r="D31" s="301">
        <f t="shared" ref="D31:D37" si="2">(C31/7)*12</f>
        <v>93401.142857142855</v>
      </c>
      <c r="E31" s="95">
        <v>20088</v>
      </c>
      <c r="F31" s="328"/>
      <c r="G31" t="s">
        <v>504</v>
      </c>
    </row>
    <row r="32" spans="1:7">
      <c r="A32" s="285" t="s">
        <v>347</v>
      </c>
      <c r="C32" s="95">
        <v>0</v>
      </c>
      <c r="D32" s="95">
        <f t="shared" si="2"/>
        <v>0</v>
      </c>
      <c r="E32" s="95">
        <v>0</v>
      </c>
      <c r="F32" s="328">
        <f>100000*0.5</f>
        <v>50000</v>
      </c>
    </row>
    <row r="33" spans="1:6">
      <c r="A33" s="285" t="s">
        <v>432</v>
      </c>
      <c r="C33" s="95">
        <v>0</v>
      </c>
      <c r="D33" s="95">
        <f t="shared" si="2"/>
        <v>0</v>
      </c>
      <c r="E33" s="95">
        <v>0</v>
      </c>
      <c r="F33" s="328">
        <f>100000*0.35</f>
        <v>35000</v>
      </c>
    </row>
    <row r="34" spans="1:6">
      <c r="A34" s="285" t="s">
        <v>430</v>
      </c>
      <c r="C34" s="95">
        <v>0</v>
      </c>
      <c r="D34" s="95">
        <f t="shared" si="2"/>
        <v>0</v>
      </c>
      <c r="E34" s="95">
        <v>0</v>
      </c>
      <c r="F34" s="328">
        <f>100000*0.1</f>
        <v>10000</v>
      </c>
    </row>
    <row r="35" spans="1:6">
      <c r="A35" s="285" t="s">
        <v>431</v>
      </c>
      <c r="C35" s="95">
        <v>0</v>
      </c>
      <c r="D35" s="95">
        <f t="shared" si="2"/>
        <v>0</v>
      </c>
      <c r="E35" s="95">
        <v>0</v>
      </c>
      <c r="F35" s="328">
        <f>100000*0.05</f>
        <v>5000</v>
      </c>
    </row>
    <row r="36" spans="1:6">
      <c r="A36" t="s">
        <v>348</v>
      </c>
      <c r="C36" s="95">
        <v>6445</v>
      </c>
      <c r="D36" s="95">
        <f t="shared" si="2"/>
        <v>11048.571428571428</v>
      </c>
      <c r="E36" s="95">
        <v>50004</v>
      </c>
      <c r="F36" s="328">
        <f>(E36/7)*10+3566</f>
        <v>75000.28571428571</v>
      </c>
    </row>
    <row r="37" spans="1:6">
      <c r="A37" t="s">
        <v>349</v>
      </c>
      <c r="C37" s="104">
        <v>0</v>
      </c>
      <c r="D37" s="95">
        <f t="shared" si="2"/>
        <v>0</v>
      </c>
      <c r="E37" s="104">
        <v>0</v>
      </c>
      <c r="F37" s="328">
        <v>50000</v>
      </c>
    </row>
    <row r="38" spans="1:6">
      <c r="A38" s="24" t="s">
        <v>350</v>
      </c>
      <c r="C38" s="146">
        <f>SUM(C31:C37)</f>
        <v>60929</v>
      </c>
      <c r="D38" s="286">
        <f>SUM(D31:D37)</f>
        <v>104449.71428571429</v>
      </c>
      <c r="E38" s="146">
        <f>SUM(E31:E37)</f>
        <v>70092</v>
      </c>
      <c r="F38" s="329">
        <f>SUM(F31:F37)</f>
        <v>225000.28571428571</v>
      </c>
    </row>
    <row r="39" spans="1:6">
      <c r="C39" s="95"/>
      <c r="D39" s="95"/>
      <c r="E39" s="95"/>
      <c r="F39" s="328"/>
    </row>
    <row r="40" spans="1:6">
      <c r="A40" s="24" t="s">
        <v>351</v>
      </c>
      <c r="C40" s="95"/>
      <c r="D40" s="95"/>
      <c r="E40" s="95"/>
      <c r="F40" s="328"/>
    </row>
    <row r="41" spans="1:6">
      <c r="A41" s="137" t="s">
        <v>383</v>
      </c>
      <c r="C41" s="95">
        <v>0</v>
      </c>
      <c r="D41" s="303">
        <f>(C41/7)*12</f>
        <v>0</v>
      </c>
      <c r="E41" s="95">
        <v>0</v>
      </c>
      <c r="F41" s="328">
        <f>(E41/7)*10</f>
        <v>0</v>
      </c>
    </row>
    <row r="42" spans="1:6">
      <c r="A42" s="137" t="s">
        <v>352</v>
      </c>
      <c r="C42" s="95"/>
      <c r="D42" s="95"/>
      <c r="E42" s="95"/>
      <c r="F42" s="328"/>
    </row>
    <row r="43" spans="1:6">
      <c r="A43" s="285" t="s">
        <v>353</v>
      </c>
      <c r="C43" s="95">
        <v>0</v>
      </c>
      <c r="D43" s="95">
        <f t="shared" ref="D43:D50" si="3">(C43/7)*12</f>
        <v>0</v>
      </c>
      <c r="E43" s="95">
        <v>100000</v>
      </c>
      <c r="F43" s="328">
        <v>0</v>
      </c>
    </row>
    <row r="44" spans="1:6">
      <c r="A44" s="285" t="s">
        <v>354</v>
      </c>
      <c r="C44" s="95">
        <v>0</v>
      </c>
      <c r="D44" s="95">
        <f t="shared" si="3"/>
        <v>0</v>
      </c>
      <c r="E44" s="95">
        <v>0</v>
      </c>
      <c r="F44" s="328">
        <f t="shared" ref="F44:F50" si="4">(E44/7)*10</f>
        <v>0</v>
      </c>
    </row>
    <row r="45" spans="1:6">
      <c r="A45" s="285" t="s">
        <v>355</v>
      </c>
      <c r="C45" s="95">
        <v>0</v>
      </c>
      <c r="D45" s="95">
        <f t="shared" si="3"/>
        <v>0</v>
      </c>
      <c r="E45" s="95">
        <v>2000</v>
      </c>
      <c r="F45" s="328">
        <v>0</v>
      </c>
    </row>
    <row r="46" spans="1:6">
      <c r="A46" s="285" t="s">
        <v>356</v>
      </c>
      <c r="C46" s="95">
        <v>0</v>
      </c>
      <c r="D46" s="95">
        <f t="shared" si="3"/>
        <v>0</v>
      </c>
      <c r="E46" s="95">
        <v>0</v>
      </c>
      <c r="F46" s="328">
        <f t="shared" si="4"/>
        <v>0</v>
      </c>
    </row>
    <row r="47" spans="1:6">
      <c r="A47" s="285" t="s">
        <v>357</v>
      </c>
      <c r="C47" s="95">
        <v>0</v>
      </c>
      <c r="D47" s="95">
        <f t="shared" si="3"/>
        <v>0</v>
      </c>
      <c r="E47" s="95">
        <v>0</v>
      </c>
      <c r="F47" s="328">
        <f t="shared" si="4"/>
        <v>0</v>
      </c>
    </row>
    <row r="48" spans="1:6">
      <c r="A48" s="285" t="s">
        <v>358</v>
      </c>
      <c r="C48" s="95">
        <v>0</v>
      </c>
      <c r="D48" s="95">
        <f t="shared" si="3"/>
        <v>0</v>
      </c>
      <c r="E48" s="95">
        <v>0</v>
      </c>
      <c r="F48" s="328">
        <f t="shared" si="4"/>
        <v>0</v>
      </c>
    </row>
    <row r="49" spans="1:6">
      <c r="A49" s="287" t="s">
        <v>479</v>
      </c>
      <c r="C49" s="95">
        <v>0</v>
      </c>
      <c r="D49" s="95">
        <f t="shared" si="3"/>
        <v>0</v>
      </c>
      <c r="E49" s="95">
        <v>0</v>
      </c>
      <c r="F49" s="328">
        <v>100000</v>
      </c>
    </row>
    <row r="50" spans="1:6">
      <c r="A50" s="285" t="s">
        <v>478</v>
      </c>
      <c r="C50" s="104">
        <v>0</v>
      </c>
      <c r="D50" s="95">
        <f t="shared" si="3"/>
        <v>0</v>
      </c>
      <c r="E50" s="104">
        <v>0</v>
      </c>
      <c r="F50" s="328">
        <f t="shared" si="4"/>
        <v>0</v>
      </c>
    </row>
    <row r="51" spans="1:6">
      <c r="A51" s="24" t="s">
        <v>359</v>
      </c>
      <c r="C51" s="146">
        <f>SUM(C41:C50)</f>
        <v>0</v>
      </c>
      <c r="D51" s="286">
        <f>SUM(D41:D50)</f>
        <v>0</v>
      </c>
      <c r="E51" s="146">
        <f>SUM(E41:E50)</f>
        <v>102000</v>
      </c>
      <c r="F51" s="329">
        <f>SUM(F41:F50)</f>
        <v>100000</v>
      </c>
    </row>
    <row r="52" spans="1:6">
      <c r="C52" s="95"/>
      <c r="D52" s="95"/>
      <c r="E52" s="95"/>
      <c r="F52" s="328"/>
    </row>
    <row r="53" spans="1:6">
      <c r="A53" s="24" t="s">
        <v>360</v>
      </c>
      <c r="C53" s="95"/>
      <c r="D53" s="95"/>
      <c r="E53" s="95"/>
      <c r="F53" s="328"/>
    </row>
    <row r="54" spans="1:6">
      <c r="A54" t="s">
        <v>361</v>
      </c>
      <c r="C54" s="95"/>
      <c r="D54" s="95"/>
      <c r="E54" s="95"/>
      <c r="F54" s="328"/>
    </row>
    <row r="55" spans="1:6">
      <c r="A55" s="285" t="s">
        <v>362</v>
      </c>
      <c r="C55" s="95">
        <v>48</v>
      </c>
      <c r="D55" s="95">
        <f t="shared" ref="D55:D61" si="5">(C55/7)*12</f>
        <v>82.285714285714278</v>
      </c>
      <c r="E55" s="95">
        <v>0</v>
      </c>
      <c r="F55" s="328">
        <v>500</v>
      </c>
    </row>
    <row r="56" spans="1:6">
      <c r="A56" s="285" t="s">
        <v>363</v>
      </c>
      <c r="C56" s="95">
        <v>0</v>
      </c>
      <c r="D56" s="95">
        <f t="shared" si="5"/>
        <v>0</v>
      </c>
      <c r="E56" s="95">
        <v>0</v>
      </c>
      <c r="F56" s="328">
        <f>(E56/7)*10</f>
        <v>0</v>
      </c>
    </row>
    <row r="57" spans="1:6">
      <c r="A57" s="285" t="s">
        <v>364</v>
      </c>
      <c r="C57" s="95">
        <v>2165</v>
      </c>
      <c r="D57" s="95">
        <f t="shared" si="5"/>
        <v>3711.4285714285716</v>
      </c>
      <c r="E57" s="95">
        <v>9000</v>
      </c>
      <c r="F57" s="328">
        <f>(E57/7)*10+2143</f>
        <v>15000.142857142859</v>
      </c>
    </row>
    <row r="58" spans="1:6">
      <c r="A58" s="137" t="s">
        <v>417</v>
      </c>
      <c r="C58" s="95">
        <v>8737</v>
      </c>
      <c r="D58" s="95">
        <f t="shared" si="5"/>
        <v>14977.714285714286</v>
      </c>
      <c r="E58" s="95">
        <v>17580</v>
      </c>
      <c r="F58" s="328">
        <f>(E58/7)*10</f>
        <v>25114.285714285717</v>
      </c>
    </row>
    <row r="59" spans="1:6">
      <c r="A59" s="137" t="s">
        <v>366</v>
      </c>
      <c r="C59" s="95">
        <v>0</v>
      </c>
      <c r="D59" s="95">
        <f t="shared" si="5"/>
        <v>0</v>
      </c>
      <c r="E59" s="95">
        <v>0</v>
      </c>
      <c r="F59" s="328">
        <f>(E59/7)*10</f>
        <v>0</v>
      </c>
    </row>
    <row r="60" spans="1:6">
      <c r="A60" s="137" t="s">
        <v>418</v>
      </c>
      <c r="C60" s="95">
        <v>0</v>
      </c>
      <c r="D60" s="95">
        <f t="shared" si="5"/>
        <v>0</v>
      </c>
      <c r="E60" s="95">
        <v>0</v>
      </c>
      <c r="F60" s="328">
        <f>(E60/7)*10</f>
        <v>0</v>
      </c>
    </row>
    <row r="61" spans="1:6">
      <c r="A61" t="s">
        <v>421</v>
      </c>
      <c r="C61" s="104">
        <v>16887</v>
      </c>
      <c r="D61" s="95">
        <f t="shared" si="5"/>
        <v>28949.142857142859</v>
      </c>
      <c r="E61" s="104">
        <v>59472</v>
      </c>
      <c r="F61" s="328">
        <f>(E61/7)*10-19960</f>
        <v>65000</v>
      </c>
    </row>
    <row r="62" spans="1:6">
      <c r="A62" s="24" t="s">
        <v>367</v>
      </c>
      <c r="C62" s="146">
        <f>SUM(C54:C61)</f>
        <v>27837</v>
      </c>
      <c r="D62" s="286">
        <f>SUM(D54:D61)</f>
        <v>47720.571428571435</v>
      </c>
      <c r="E62" s="146">
        <f>SUM(E54:E61)</f>
        <v>86052</v>
      </c>
      <c r="F62" s="329">
        <f>SUM(F54:F61)</f>
        <v>105614.42857142858</v>
      </c>
    </row>
    <row r="63" spans="1:6">
      <c r="C63" s="95"/>
      <c r="D63" s="95"/>
      <c r="E63" s="95"/>
      <c r="F63" s="328"/>
    </row>
    <row r="64" spans="1:6">
      <c r="A64" s="24" t="s">
        <v>368</v>
      </c>
      <c r="C64" s="95"/>
      <c r="D64" s="97"/>
      <c r="E64" s="95"/>
      <c r="F64" s="328"/>
    </row>
    <row r="65" spans="1:6">
      <c r="A65" s="137" t="s">
        <v>416</v>
      </c>
      <c r="C65" s="164">
        <v>11897</v>
      </c>
      <c r="D65" s="95">
        <f>(C65/7)*12</f>
        <v>20394.857142857145</v>
      </c>
      <c r="E65" s="288">
        <v>86000</v>
      </c>
      <c r="F65" s="328">
        <f>(E65/7)*10+2143</f>
        <v>125000.14285714287</v>
      </c>
    </row>
    <row r="66" spans="1:6">
      <c r="A66" s="285" t="s">
        <v>424</v>
      </c>
      <c r="C66" s="95">
        <v>0</v>
      </c>
      <c r="D66" s="95">
        <f t="shared" ref="D66:D72" si="6">(C66/7)*12</f>
        <v>0</v>
      </c>
      <c r="E66" s="288">
        <v>0</v>
      </c>
      <c r="F66" s="328">
        <f>(E66/7)*10</f>
        <v>0</v>
      </c>
    </row>
    <row r="67" spans="1:6">
      <c r="A67" s="285" t="s">
        <v>425</v>
      </c>
      <c r="C67" s="95">
        <v>0</v>
      </c>
      <c r="D67" s="95">
        <f t="shared" si="6"/>
        <v>0</v>
      </c>
      <c r="E67" s="288">
        <v>0</v>
      </c>
      <c r="F67" s="328">
        <f>(E67/7)*10</f>
        <v>0</v>
      </c>
    </row>
    <row r="68" spans="1:6">
      <c r="A68" s="285" t="s">
        <v>426</v>
      </c>
      <c r="C68" s="95">
        <v>0</v>
      </c>
      <c r="D68" s="95">
        <f t="shared" si="6"/>
        <v>0</v>
      </c>
      <c r="E68" s="288">
        <v>0</v>
      </c>
      <c r="F68" s="328">
        <f>(E68/7)*10</f>
        <v>0</v>
      </c>
    </row>
    <row r="69" spans="1:6">
      <c r="A69" s="304" t="s">
        <v>433</v>
      </c>
      <c r="F69" s="327"/>
    </row>
    <row r="70" spans="1:6">
      <c r="A70" s="285" t="s">
        <v>427</v>
      </c>
      <c r="C70" s="95">
        <v>0</v>
      </c>
      <c r="D70" s="95">
        <f t="shared" si="6"/>
        <v>0</v>
      </c>
      <c r="E70" s="288">
        <v>0</v>
      </c>
      <c r="F70" s="328">
        <f>(E70/7)*10</f>
        <v>0</v>
      </c>
    </row>
    <row r="71" spans="1:6">
      <c r="A71" s="285" t="s">
        <v>428</v>
      </c>
      <c r="C71" s="95">
        <v>0</v>
      </c>
      <c r="D71" s="95">
        <f t="shared" si="6"/>
        <v>0</v>
      </c>
      <c r="E71" s="288">
        <v>0</v>
      </c>
      <c r="F71" s="328">
        <f>(E71/7)*10</f>
        <v>0</v>
      </c>
    </row>
    <row r="72" spans="1:6">
      <c r="A72" s="285" t="s">
        <v>429</v>
      </c>
      <c r="C72" s="145">
        <v>0</v>
      </c>
      <c r="D72" s="95">
        <f t="shared" si="6"/>
        <v>0</v>
      </c>
      <c r="E72" s="145">
        <v>0</v>
      </c>
      <c r="F72" s="328">
        <f>(E72/7)*10</f>
        <v>0</v>
      </c>
    </row>
    <row r="73" spans="1:6">
      <c r="A73" s="24" t="s">
        <v>369</v>
      </c>
      <c r="C73" s="286">
        <f>SUM(C65:C72)</f>
        <v>11897</v>
      </c>
      <c r="D73" s="286">
        <f>SUM(D65:D72)</f>
        <v>20394.857142857145</v>
      </c>
      <c r="E73" s="286">
        <f>SUM(E65:E72)</f>
        <v>86000</v>
      </c>
      <c r="F73" s="329">
        <f>SUM(F65:F72)</f>
        <v>125000.14285714287</v>
      </c>
    </row>
    <row r="74" spans="1:6">
      <c r="C74" s="95"/>
      <c r="D74" s="95"/>
      <c r="E74" s="95"/>
      <c r="F74" s="328"/>
    </row>
    <row r="75" spans="1:6">
      <c r="A75" s="24" t="s">
        <v>370</v>
      </c>
      <c r="C75" s="95">
        <f>SUM(C76:C81)</f>
        <v>0</v>
      </c>
      <c r="D75" s="97">
        <f>(C75/7)*12</f>
        <v>0</v>
      </c>
      <c r="E75" s="95">
        <f>SUM(E76:E81)</f>
        <v>0</v>
      </c>
      <c r="F75" s="328">
        <f>(E75/7)*10</f>
        <v>0</v>
      </c>
    </row>
    <row r="76" spans="1:6" hidden="1">
      <c r="A76" s="137" t="s">
        <v>371</v>
      </c>
      <c r="C76" s="95">
        <v>0</v>
      </c>
      <c r="D76" s="95">
        <v>0</v>
      </c>
      <c r="E76" s="95">
        <v>0</v>
      </c>
      <c r="F76" s="328">
        <v>0</v>
      </c>
    </row>
    <row r="77" spans="1:6" hidden="1">
      <c r="A77" s="137" t="s">
        <v>372</v>
      </c>
      <c r="C77" s="95">
        <v>0</v>
      </c>
      <c r="D77" s="95">
        <v>0</v>
      </c>
      <c r="E77" s="95">
        <v>0</v>
      </c>
      <c r="F77" s="328">
        <v>0</v>
      </c>
    </row>
    <row r="78" spans="1:6" hidden="1">
      <c r="A78" s="137" t="s">
        <v>373</v>
      </c>
      <c r="C78" s="95">
        <v>0</v>
      </c>
      <c r="D78" s="95">
        <v>0</v>
      </c>
      <c r="E78" s="95">
        <v>0</v>
      </c>
      <c r="F78" s="328">
        <v>0</v>
      </c>
    </row>
    <row r="79" spans="1:6" hidden="1">
      <c r="A79" s="137" t="s">
        <v>374</v>
      </c>
      <c r="C79" s="95">
        <v>0</v>
      </c>
      <c r="D79" s="95">
        <v>0</v>
      </c>
      <c r="E79" s="95">
        <v>0</v>
      </c>
      <c r="F79" s="328">
        <v>0</v>
      </c>
    </row>
    <row r="80" spans="1:6" hidden="1">
      <c r="A80" s="137" t="s">
        <v>375</v>
      </c>
      <c r="C80" s="95">
        <v>0</v>
      </c>
      <c r="D80" s="288">
        <v>0</v>
      </c>
      <c r="E80" s="288">
        <v>0</v>
      </c>
      <c r="F80" s="330">
        <v>0</v>
      </c>
    </row>
    <row r="81" spans="1:6" hidden="1">
      <c r="A81" s="137" t="s">
        <v>376</v>
      </c>
      <c r="C81" s="104">
        <v>0</v>
      </c>
      <c r="D81" s="104">
        <v>0</v>
      </c>
      <c r="E81" s="104">
        <v>0</v>
      </c>
      <c r="F81" s="331">
        <v>0</v>
      </c>
    </row>
    <row r="82" spans="1:6">
      <c r="A82" s="24" t="s">
        <v>377</v>
      </c>
      <c r="C82" s="286">
        <f>C75</f>
        <v>0</v>
      </c>
      <c r="D82" s="286">
        <f>D75</f>
        <v>0</v>
      </c>
      <c r="E82" s="286">
        <f>E75</f>
        <v>0</v>
      </c>
      <c r="F82" s="329">
        <f>F75</f>
        <v>0</v>
      </c>
    </row>
    <row r="83" spans="1:6">
      <c r="C83" s="95"/>
      <c r="D83" s="95"/>
      <c r="E83" s="95"/>
      <c r="F83" s="328"/>
    </row>
    <row r="84" spans="1:6">
      <c r="A84" s="24" t="s">
        <v>378</v>
      </c>
      <c r="C84" s="104">
        <v>0</v>
      </c>
      <c r="D84" s="97">
        <f>(C84/7)*12</f>
        <v>0</v>
      </c>
      <c r="E84" s="104">
        <v>0</v>
      </c>
      <c r="F84" s="328">
        <f>(E84/7)*10</f>
        <v>0</v>
      </c>
    </row>
    <row r="85" spans="1:6">
      <c r="A85" s="24" t="s">
        <v>379</v>
      </c>
      <c r="C85" s="289">
        <f>SUM(C84)</f>
        <v>0</v>
      </c>
      <c r="D85" s="302">
        <f>SUM(D84)</f>
        <v>0</v>
      </c>
      <c r="E85" s="289">
        <f>SUM(E84)</f>
        <v>0</v>
      </c>
      <c r="F85" s="332">
        <f>SUM(F84)</f>
        <v>0</v>
      </c>
    </row>
    <row r="86" spans="1:6">
      <c r="C86" s="95"/>
      <c r="D86" s="95"/>
      <c r="E86" s="95"/>
      <c r="F86" s="328"/>
    </row>
    <row r="87" spans="1:6">
      <c r="A87" s="24" t="s">
        <v>420</v>
      </c>
      <c r="C87" s="104">
        <v>27775</v>
      </c>
      <c r="D87" s="303">
        <f>(C87/7)*12+126000</f>
        <v>173614.28571428571</v>
      </c>
      <c r="E87" s="104">
        <v>42876</v>
      </c>
      <c r="F87" s="331">
        <f>((12000*12)*2)+(7800*12)</f>
        <v>381600</v>
      </c>
    </row>
    <row r="88" spans="1:6">
      <c r="A88" s="24" t="s">
        <v>380</v>
      </c>
      <c r="C88" s="286">
        <f>C87</f>
        <v>27775</v>
      </c>
      <c r="D88" s="286">
        <f>D87</f>
        <v>173614.28571428571</v>
      </c>
      <c r="E88" s="286">
        <f>E87</f>
        <v>42876</v>
      </c>
      <c r="F88" s="329">
        <f>F87</f>
        <v>381600</v>
      </c>
    </row>
    <row r="89" spans="1:6">
      <c r="A89" s="137"/>
      <c r="C89" s="145"/>
      <c r="D89" s="145"/>
      <c r="E89" s="145"/>
      <c r="F89" s="328"/>
    </row>
    <row r="90" spans="1:6">
      <c r="A90" s="24" t="s">
        <v>381</v>
      </c>
      <c r="C90" s="95"/>
      <c r="D90" s="95"/>
      <c r="E90" s="95"/>
      <c r="F90" s="328"/>
    </row>
    <row r="91" spans="1:6">
      <c r="A91" s="137" t="s">
        <v>382</v>
      </c>
      <c r="C91" s="95">
        <v>0</v>
      </c>
      <c r="D91" s="303">
        <f>(C91/7)*12</f>
        <v>0</v>
      </c>
      <c r="E91" s="95">
        <v>0</v>
      </c>
      <c r="F91" s="328">
        <f>(E91/7)*10</f>
        <v>0</v>
      </c>
    </row>
    <row r="92" spans="1:6">
      <c r="A92" s="137" t="s">
        <v>365</v>
      </c>
      <c r="C92" s="95">
        <v>500</v>
      </c>
      <c r="D92" s="95">
        <f>(C92/7)*12</f>
        <v>857.14285714285711</v>
      </c>
      <c r="E92" s="95">
        <v>0</v>
      </c>
      <c r="F92" s="328">
        <v>1000</v>
      </c>
    </row>
    <row r="93" spans="1:6">
      <c r="A93" s="137" t="s">
        <v>384</v>
      </c>
      <c r="C93" s="95">
        <v>0</v>
      </c>
      <c r="D93" s="303">
        <f>(C93/7)*12</f>
        <v>0</v>
      </c>
      <c r="E93" s="95"/>
      <c r="F93" s="328">
        <f>(E93/7)*10</f>
        <v>0</v>
      </c>
    </row>
    <row r="94" spans="1:6">
      <c r="A94" s="137" t="s">
        <v>422</v>
      </c>
      <c r="C94" s="95">
        <v>227</v>
      </c>
      <c r="D94" s="303">
        <f>(C94/7)*12</f>
        <v>389.14285714285717</v>
      </c>
      <c r="E94" s="95"/>
      <c r="F94" s="328">
        <f>(E94/7)*10</f>
        <v>0</v>
      </c>
    </row>
    <row r="95" spans="1:6">
      <c r="A95" s="137" t="s">
        <v>385</v>
      </c>
      <c r="C95" s="104">
        <v>1065</v>
      </c>
      <c r="D95" s="303">
        <f>(C95/7)*12</f>
        <v>1825.7142857142858</v>
      </c>
      <c r="E95" s="104">
        <v>0</v>
      </c>
      <c r="F95" s="328">
        <v>2500</v>
      </c>
    </row>
    <row r="96" spans="1:6">
      <c r="A96" s="24" t="s">
        <v>386</v>
      </c>
      <c r="C96" s="146">
        <f>SUM(C91:C95)</f>
        <v>1792</v>
      </c>
      <c r="D96" s="286">
        <f>SUM(D91:D95)</f>
        <v>3072</v>
      </c>
      <c r="E96" s="146">
        <f>SUM(E91:E95)</f>
        <v>0</v>
      </c>
      <c r="F96" s="329">
        <f>SUM(F91:F95)</f>
        <v>3500</v>
      </c>
    </row>
    <row r="97" spans="1:6">
      <c r="C97" s="95"/>
      <c r="D97" s="95"/>
      <c r="E97" s="95"/>
      <c r="F97" s="328"/>
    </row>
    <row r="98" spans="1:6">
      <c r="A98" s="24" t="s">
        <v>387</v>
      </c>
      <c r="C98" s="104">
        <v>0</v>
      </c>
      <c r="D98" s="303">
        <f>(C98/7)*12</f>
        <v>0</v>
      </c>
      <c r="E98" s="290">
        <v>0</v>
      </c>
      <c r="F98" s="328">
        <f>(E98/7)*10</f>
        <v>0</v>
      </c>
    </row>
    <row r="99" spans="1:6">
      <c r="A99" s="24" t="s">
        <v>388</v>
      </c>
      <c r="C99" s="289">
        <f>SUM(C98)</f>
        <v>0</v>
      </c>
      <c r="D99" s="302">
        <f>SUM(D98)</f>
        <v>0</v>
      </c>
      <c r="E99" s="289">
        <f>SUM(E98)</f>
        <v>0</v>
      </c>
      <c r="F99" s="332">
        <f>SUM(F98)</f>
        <v>0</v>
      </c>
    </row>
    <row r="100" spans="1:6">
      <c r="C100" s="95"/>
      <c r="D100" s="95"/>
      <c r="E100" s="95"/>
      <c r="F100" s="328"/>
    </row>
    <row r="101" spans="1:6">
      <c r="A101" s="24" t="s">
        <v>389</v>
      </c>
      <c r="C101" s="104">
        <v>0</v>
      </c>
      <c r="D101" s="303">
        <f>(C101/7)*12</f>
        <v>0</v>
      </c>
      <c r="E101" s="290">
        <v>0</v>
      </c>
      <c r="F101" s="328">
        <f>(E101/7)*10</f>
        <v>0</v>
      </c>
    </row>
    <row r="102" spans="1:6">
      <c r="A102" s="24" t="s">
        <v>390</v>
      </c>
      <c r="C102" s="289">
        <f>SUM(C101)</f>
        <v>0</v>
      </c>
      <c r="D102" s="302">
        <f>SUM(D101)</f>
        <v>0</v>
      </c>
      <c r="E102" s="289">
        <f>SUM(E101)</f>
        <v>0</v>
      </c>
      <c r="F102" s="332">
        <f>SUM(F101)</f>
        <v>0</v>
      </c>
    </row>
    <row r="103" spans="1:6">
      <c r="C103" s="95"/>
      <c r="D103" s="95"/>
      <c r="E103" s="95"/>
      <c r="F103" s="328"/>
    </row>
    <row r="104" spans="1:6">
      <c r="A104" s="24" t="s">
        <v>391</v>
      </c>
      <c r="C104" s="95"/>
      <c r="D104" s="95"/>
      <c r="E104" s="95"/>
      <c r="F104" s="328"/>
    </row>
    <row r="105" spans="1:6">
      <c r="A105" s="137" t="s">
        <v>392</v>
      </c>
      <c r="C105" s="145">
        <v>0</v>
      </c>
      <c r="D105" s="303">
        <f>(C105/7)*12</f>
        <v>0</v>
      </c>
      <c r="E105" s="145">
        <v>0</v>
      </c>
      <c r="F105" s="328">
        <f>(E105/7)*10</f>
        <v>0</v>
      </c>
    </row>
    <row r="106" spans="1:6">
      <c r="A106" s="137" t="s">
        <v>393</v>
      </c>
      <c r="C106" s="145">
        <v>0</v>
      </c>
      <c r="D106" s="303">
        <f>(C106/7)*12</f>
        <v>0</v>
      </c>
      <c r="E106" s="145">
        <v>0</v>
      </c>
      <c r="F106" s="328">
        <f>(E106/7)*10</f>
        <v>0</v>
      </c>
    </row>
    <row r="107" spans="1:6">
      <c r="A107" s="24" t="s">
        <v>394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9">
        <f>SUM(F105:F106)</f>
        <v>0</v>
      </c>
    </row>
    <row r="108" spans="1:6" ht="13.5" thickBot="1">
      <c r="C108" s="95"/>
      <c r="D108" s="95"/>
      <c r="E108" s="95"/>
      <c r="F108" s="328"/>
    </row>
    <row r="109" spans="1:6">
      <c r="C109" s="291"/>
      <c r="D109" s="291"/>
      <c r="E109" s="291"/>
      <c r="F109" s="333"/>
    </row>
    <row r="110" spans="1:6" ht="15.75" thickBot="1">
      <c r="A110" s="35" t="s">
        <v>395</v>
      </c>
      <c r="C110" s="292">
        <f>C107+C102+C99+C96+C88+C85+C82+C73+C62+C51+C38+C28+C14</f>
        <v>514137</v>
      </c>
      <c r="D110" s="292">
        <f>D107+D102+D99+D96+D88+D85+D82+D73+D62+D51+D38+D28+D14</f>
        <v>881377.71428571432</v>
      </c>
      <c r="E110" s="292">
        <f>E107+E102+E99+E96+E88+E85+E82+E73+E62+E51+E38+E28+E14</f>
        <v>1489131</v>
      </c>
      <c r="F110" s="334">
        <f>F107+F102+F99+F96+F88+F85+F82+F73+F62+F51+F38+F28+F14</f>
        <v>2073180.1428571427</v>
      </c>
    </row>
    <row r="111" spans="1:6" ht="14.25" thickTop="1" thickBot="1">
      <c r="C111" s="95"/>
      <c r="D111" s="95"/>
      <c r="E111" s="95"/>
      <c r="F111" s="335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defaultRowHeight="12.75"/>
  <cols>
    <col min="1" max="1" width="17.42578125" customWidth="1"/>
    <col min="2" max="2" width="3.140625" customWidth="1"/>
  </cols>
  <sheetData>
    <row r="1" spans="1:3">
      <c r="A1" t="s">
        <v>315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t="s">
        <v>316</v>
      </c>
      <c r="C5" t="s">
        <v>304</v>
      </c>
    </row>
    <row r="6" spans="1:3">
      <c r="B6" s="24">
        <v>1</v>
      </c>
      <c r="C6" s="24" t="s">
        <v>305</v>
      </c>
    </row>
    <row r="7" spans="1:3">
      <c r="A7" t="s">
        <v>317</v>
      </c>
      <c r="C7" t="s">
        <v>68</v>
      </c>
    </row>
    <row r="8" spans="1:3">
      <c r="A8" t="s">
        <v>306</v>
      </c>
      <c r="C8" t="s">
        <v>68</v>
      </c>
    </row>
    <row r="9" spans="1:3">
      <c r="B9" s="24">
        <v>2</v>
      </c>
      <c r="C9" s="24" t="s">
        <v>307</v>
      </c>
    </row>
    <row r="10" spans="1:3">
      <c r="A10" t="s">
        <v>318</v>
      </c>
      <c r="C10" t="s">
        <v>207</v>
      </c>
    </row>
    <row r="11" spans="1:3">
      <c r="A11" t="s">
        <v>319</v>
      </c>
      <c r="C11" t="s">
        <v>207</v>
      </c>
    </row>
    <row r="12" spans="1:3">
      <c r="A12" t="s">
        <v>306</v>
      </c>
      <c r="C12" t="s">
        <v>207</v>
      </c>
    </row>
    <row r="13" spans="1:3">
      <c r="B13" s="24">
        <v>3</v>
      </c>
      <c r="C13" s="24" t="s">
        <v>308</v>
      </c>
    </row>
    <row r="14" spans="1:3">
      <c r="A14" t="s">
        <v>320</v>
      </c>
      <c r="C14" t="s">
        <v>309</v>
      </c>
    </row>
    <row r="15" spans="1:3">
      <c r="A15" t="s">
        <v>306</v>
      </c>
      <c r="C15" t="s">
        <v>309</v>
      </c>
    </row>
    <row r="16" spans="1:3">
      <c r="B16" s="24">
        <v>2</v>
      </c>
      <c r="C16" s="24" t="s">
        <v>310</v>
      </c>
    </row>
    <row r="17" spans="1:3">
      <c r="A17" t="s">
        <v>321</v>
      </c>
      <c r="C17" t="s">
        <v>311</v>
      </c>
    </row>
    <row r="18" spans="1:3">
      <c r="B18" s="24">
        <v>1</v>
      </c>
      <c r="C18" s="24" t="s">
        <v>312</v>
      </c>
    </row>
    <row r="19" spans="1:3">
      <c r="A19" t="s">
        <v>322</v>
      </c>
      <c r="C19" t="s">
        <v>39</v>
      </c>
    </row>
    <row r="20" spans="1:3">
      <c r="B20" s="24">
        <v>1</v>
      </c>
      <c r="C20" s="24" t="s">
        <v>313</v>
      </c>
    </row>
    <row r="22" spans="1:3">
      <c r="B22" s="24">
        <f>SUM(B6:B20)</f>
        <v>10</v>
      </c>
      <c r="C22" s="24" t="s">
        <v>314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4" customWidth="1"/>
    <col min="2" max="2" width="11.85546875" style="294" customWidth="1"/>
    <col min="3" max="3" width="1" style="294" customWidth="1"/>
    <col min="4" max="4" width="62.42578125" style="294" customWidth="1"/>
    <col min="5" max="8" width="8" style="294" customWidth="1"/>
    <col min="9" max="9" width="11.42578125" style="294" customWidth="1"/>
    <col min="10" max="16384" width="8" style="294"/>
  </cols>
  <sheetData>
    <row r="1" spans="1:4" ht="13.5" thickBot="1">
      <c r="A1" s="293" t="s">
        <v>396</v>
      </c>
    </row>
    <row r="2" spans="1:4" ht="18" customHeight="1" thickBot="1">
      <c r="B2" s="295">
        <v>4800</v>
      </c>
      <c r="D2" s="294" t="s">
        <v>397</v>
      </c>
    </row>
    <row r="3" spans="1:4" ht="13.5" thickBot="1"/>
    <row r="4" spans="1:4" ht="18" customHeight="1">
      <c r="B4" s="296">
        <v>3.7499999999999999E-2</v>
      </c>
      <c r="D4" s="294" t="s">
        <v>398</v>
      </c>
    </row>
    <row r="5" spans="1:4" ht="18" customHeight="1">
      <c r="B5" s="297">
        <v>1.2500000000000001E-2</v>
      </c>
      <c r="D5" s="294" t="s">
        <v>399</v>
      </c>
    </row>
    <row r="6" spans="1:4" ht="18" customHeight="1">
      <c r="B6" s="297">
        <v>0.03</v>
      </c>
      <c r="D6" s="294" t="s">
        <v>400</v>
      </c>
    </row>
    <row r="7" spans="1:4" ht="18" customHeight="1" thickBot="1">
      <c r="B7" s="298">
        <v>1.0999999999999999E-2</v>
      </c>
      <c r="D7" s="294" t="s">
        <v>401</v>
      </c>
    </row>
    <row r="8" spans="1:4" ht="18" customHeight="1" thickBot="1">
      <c r="B8" s="299">
        <f>SUM(B4:B7)</f>
        <v>9.0999999999999998E-2</v>
      </c>
      <c r="D8" s="294" t="s">
        <v>402</v>
      </c>
    </row>
    <row r="11" spans="1:4" ht="13.5" thickBot="1">
      <c r="A11" s="293" t="s">
        <v>403</v>
      </c>
    </row>
    <row r="12" spans="1:4" ht="18" customHeight="1" thickBot="1">
      <c r="B12" s="295">
        <v>84500</v>
      </c>
      <c r="D12" s="294" t="s">
        <v>404</v>
      </c>
    </row>
    <row r="13" spans="1:4" ht="13.5" thickBot="1"/>
    <row r="14" spans="1:4" ht="18" customHeight="1" thickBot="1">
      <c r="B14" s="299">
        <v>6.2E-2</v>
      </c>
      <c r="D14" s="294" t="s">
        <v>405</v>
      </c>
    </row>
    <row r="15" spans="1:4" ht="13.5" thickBot="1"/>
    <row r="16" spans="1:4" ht="18" customHeight="1" thickBot="1">
      <c r="B16" s="299">
        <v>1.4500000000000001E-2</v>
      </c>
      <c r="D16" s="294" t="s">
        <v>406</v>
      </c>
    </row>
    <row r="20" spans="1:4" ht="13.5" thickBot="1">
      <c r="A20" s="293" t="s">
        <v>407</v>
      </c>
    </row>
    <row r="21" spans="1:4" ht="13.5" thickBot="1">
      <c r="B21" s="300">
        <v>8700</v>
      </c>
      <c r="D21" s="294" t="s">
        <v>408</v>
      </c>
    </row>
    <row r="22" spans="1:4" ht="13.5" thickBot="1"/>
    <row r="23" spans="1:4" ht="13.5" thickBot="1">
      <c r="B23" s="300">
        <v>7800</v>
      </c>
      <c r="D23" s="294" t="s">
        <v>409</v>
      </c>
    </row>
    <row r="24" spans="1:4" ht="13.5" thickBot="1">
      <c r="B24" s="34"/>
    </row>
    <row r="25" spans="1:4" ht="13.5" thickBot="1">
      <c r="B25" s="300">
        <v>3900</v>
      </c>
      <c r="D25" s="294" t="s">
        <v>410</v>
      </c>
    </row>
    <row r="26" spans="1:4" ht="13.5" thickBot="1">
      <c r="B26" s="34"/>
    </row>
    <row r="27" spans="1:4" ht="13.5" thickBot="1">
      <c r="B27" s="300">
        <v>2400</v>
      </c>
      <c r="D27" s="294" t="s">
        <v>411</v>
      </c>
    </row>
    <row r="28" spans="1:4" ht="13.5" thickBot="1">
      <c r="B28" s="34"/>
    </row>
    <row r="29" spans="1:4" ht="13.5" thickBot="1">
      <c r="B29" s="300">
        <v>12000</v>
      </c>
      <c r="D29" s="294" t="s">
        <v>412</v>
      </c>
    </row>
    <row r="30" spans="1:4" ht="13.5" thickBot="1">
      <c r="B30" s="34"/>
    </row>
    <row r="31" spans="1:4" ht="13.5" thickBot="1">
      <c r="B31" s="300">
        <v>6900</v>
      </c>
      <c r="D31" s="294" t="s">
        <v>413</v>
      </c>
    </row>
    <row r="33" spans="1:4">
      <c r="D33" s="293"/>
    </row>
    <row r="34" spans="1:4" ht="13.5" thickBot="1">
      <c r="A34" s="293" t="s">
        <v>414</v>
      </c>
    </row>
    <row r="35" spans="1:4" ht="18" customHeight="1" thickBot="1">
      <c r="B35" s="299">
        <v>4.2500000000000003E-2</v>
      </c>
      <c r="D35" s="294" t="s">
        <v>415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7" workbookViewId="0">
      <selection activeCell="D21" sqref="D21"/>
    </sheetView>
  </sheetViews>
  <sheetFormatPr defaultRowHeight="11.25"/>
  <cols>
    <col min="1" max="1" width="6.7109375" style="306" customWidth="1"/>
    <col min="2" max="2" width="35.5703125" style="306" customWidth="1"/>
    <col min="3" max="3" width="10" style="307" customWidth="1"/>
    <col min="4" max="4" width="14.85546875" style="308" customWidth="1"/>
    <col min="5" max="16384" width="9.140625" style="306"/>
  </cols>
  <sheetData>
    <row r="1" spans="1:11" ht="20.25">
      <c r="A1" s="305" t="s">
        <v>434</v>
      </c>
    </row>
    <row r="2" spans="1:11" ht="15.75">
      <c r="A2" s="282" t="s">
        <v>435</v>
      </c>
      <c r="G2" s="306" t="s">
        <v>436</v>
      </c>
      <c r="K2" s="306">
        <v>1</v>
      </c>
    </row>
    <row r="3" spans="1:11" ht="15.75">
      <c r="A3" s="282"/>
    </row>
    <row r="4" spans="1:11" ht="12">
      <c r="D4" s="309"/>
    </row>
    <row r="5" spans="1:11" ht="12">
      <c r="A5" s="310"/>
      <c r="B5" s="310"/>
      <c r="C5" s="311"/>
      <c r="D5" s="309" t="s">
        <v>300</v>
      </c>
    </row>
    <row r="6" spans="1:11" ht="12">
      <c r="A6" s="310"/>
      <c r="B6" s="310"/>
      <c r="C6" s="311" t="s">
        <v>437</v>
      </c>
      <c r="D6" s="312" t="s">
        <v>438</v>
      </c>
    </row>
    <row r="7" spans="1:11" ht="12">
      <c r="A7" s="310" t="s">
        <v>439</v>
      </c>
      <c r="B7" s="310" t="s">
        <v>440</v>
      </c>
      <c r="C7" s="311" t="s">
        <v>441</v>
      </c>
      <c r="D7" s="312" t="s">
        <v>442</v>
      </c>
    </row>
    <row r="9" spans="1:11">
      <c r="B9" s="313" t="s">
        <v>443</v>
      </c>
    </row>
    <row r="10" spans="1:11">
      <c r="A10" s="314">
        <v>100164</v>
      </c>
      <c r="B10" s="306" t="s">
        <v>444</v>
      </c>
      <c r="C10" s="307">
        <f>0.48*$K$2</f>
        <v>0.48</v>
      </c>
      <c r="D10" s="308">
        <f>C10*$C$41</f>
        <v>360</v>
      </c>
    </row>
    <row r="11" spans="1:11">
      <c r="A11" s="314">
        <v>100166</v>
      </c>
      <c r="B11" s="306" t="s">
        <v>445</v>
      </c>
      <c r="C11" s="307">
        <f>0.84*K2</f>
        <v>0.84</v>
      </c>
      <c r="D11" s="308">
        <f>C11*$C$41</f>
        <v>630</v>
      </c>
    </row>
    <row r="12" spans="1:11">
      <c r="A12" s="314">
        <v>100182</v>
      </c>
      <c r="B12" s="306" t="s">
        <v>446</v>
      </c>
      <c r="C12" s="307">
        <f>0.36*K2</f>
        <v>0.36</v>
      </c>
      <c r="D12" s="308">
        <f>C12*$C$41</f>
        <v>270</v>
      </c>
    </row>
    <row r="13" spans="1:11">
      <c r="A13" s="314">
        <v>100186</v>
      </c>
      <c r="B13" s="306" t="s">
        <v>447</v>
      </c>
      <c r="C13" s="307">
        <f>0.6*K2</f>
        <v>0.6</v>
      </c>
      <c r="D13" s="308">
        <f>C13*$C$41</f>
        <v>450</v>
      </c>
    </row>
    <row r="14" spans="1:11">
      <c r="A14" s="314">
        <v>100193</v>
      </c>
      <c r="B14" s="306" t="s">
        <v>448</v>
      </c>
      <c r="C14" s="315">
        <v>37.5</v>
      </c>
      <c r="D14" s="308">
        <f>C14*$C$41</f>
        <v>28125</v>
      </c>
    </row>
    <row r="15" spans="1:11">
      <c r="A15" s="314"/>
      <c r="B15" s="313" t="s">
        <v>449</v>
      </c>
      <c r="C15" s="316">
        <f>SUM(C10:C14)</f>
        <v>39.78</v>
      </c>
      <c r="D15" s="317">
        <f>SUM(D10:D14)</f>
        <v>29835</v>
      </c>
    </row>
    <row r="16" spans="1:11">
      <c r="A16" s="314"/>
    </row>
    <row r="17" spans="1:4">
      <c r="A17" s="314"/>
      <c r="B17" s="313" t="s">
        <v>450</v>
      </c>
    </row>
    <row r="18" spans="1:4">
      <c r="A18" s="314">
        <v>100150</v>
      </c>
      <c r="B18" s="306" t="s">
        <v>451</v>
      </c>
      <c r="C18" s="307">
        <v>0</v>
      </c>
      <c r="D18" s="308">
        <f>50*12</f>
        <v>600</v>
      </c>
    </row>
    <row r="19" spans="1:4">
      <c r="A19" s="314">
        <v>100152</v>
      </c>
      <c r="B19" s="306" t="s">
        <v>452</v>
      </c>
      <c r="C19" s="307">
        <v>0</v>
      </c>
      <c r="D19" s="308">
        <f>100*12</f>
        <v>1200</v>
      </c>
    </row>
    <row r="20" spans="1:4">
      <c r="A20" s="314">
        <v>100155</v>
      </c>
      <c r="B20" s="306" t="s">
        <v>453</v>
      </c>
      <c r="C20" s="307">
        <v>0</v>
      </c>
      <c r="D20" s="308">
        <f>300*12</f>
        <v>3600</v>
      </c>
    </row>
    <row r="21" spans="1:4">
      <c r="A21" s="314">
        <v>100169</v>
      </c>
      <c r="B21" s="306" t="s">
        <v>454</v>
      </c>
      <c r="C21" s="307">
        <v>0</v>
      </c>
      <c r="D21" s="308">
        <f>550*4</f>
        <v>2200</v>
      </c>
    </row>
    <row r="22" spans="1:4">
      <c r="A22" s="314">
        <v>100171</v>
      </c>
      <c r="B22" s="306" t="s">
        <v>455</v>
      </c>
      <c r="C22" s="307">
        <v>0</v>
      </c>
      <c r="D22" s="308">
        <v>0</v>
      </c>
    </row>
    <row r="23" spans="1:4">
      <c r="A23" s="314">
        <v>100187</v>
      </c>
      <c r="B23" s="306" t="s">
        <v>456</v>
      </c>
      <c r="C23" s="307">
        <v>0</v>
      </c>
      <c r="D23" s="308">
        <f>30*12</f>
        <v>360</v>
      </c>
    </row>
    <row r="24" spans="1:4">
      <c r="A24" s="314">
        <v>100188</v>
      </c>
      <c r="B24" s="306" t="s">
        <v>457</v>
      </c>
      <c r="C24" s="307">
        <v>0</v>
      </c>
      <c r="D24" s="308">
        <f>(+C24*20)*6</f>
        <v>0</v>
      </c>
    </row>
    <row r="25" spans="1:4">
      <c r="A25" s="314">
        <v>100191</v>
      </c>
      <c r="B25" s="306" t="s">
        <v>458</v>
      </c>
      <c r="C25" s="307">
        <v>0</v>
      </c>
      <c r="D25" s="308">
        <v>0</v>
      </c>
    </row>
    <row r="26" spans="1:4">
      <c r="A26" s="314">
        <v>100196</v>
      </c>
      <c r="B26" s="306" t="s">
        <v>459</v>
      </c>
      <c r="C26" s="307">
        <v>0</v>
      </c>
      <c r="D26" s="308">
        <f>55.76*10</f>
        <v>557.6</v>
      </c>
    </row>
    <row r="27" spans="1:4">
      <c r="A27" s="314"/>
      <c r="B27" s="313" t="s">
        <v>449</v>
      </c>
      <c r="C27" s="316">
        <f>SUM(C18:C26)</f>
        <v>0</v>
      </c>
      <c r="D27" s="317">
        <f>SUM(D18:D26)</f>
        <v>8517.6</v>
      </c>
    </row>
    <row r="28" spans="1:4">
      <c r="A28" s="314"/>
    </row>
    <row r="29" spans="1:4">
      <c r="A29" s="314"/>
      <c r="B29" s="313" t="s">
        <v>460</v>
      </c>
    </row>
    <row r="30" spans="1:4">
      <c r="A30" s="314">
        <v>100158</v>
      </c>
      <c r="B30" s="306" t="s">
        <v>461</v>
      </c>
      <c r="C30" s="307">
        <f>45*K2</f>
        <v>45</v>
      </c>
      <c r="D30" s="308">
        <f>C30*$C$43</f>
        <v>450</v>
      </c>
    </row>
    <row r="31" spans="1:4">
      <c r="A31" s="314">
        <v>100159</v>
      </c>
      <c r="B31" s="306" t="s">
        <v>462</v>
      </c>
      <c r="C31" s="307">
        <f>172.08*K2</f>
        <v>172.08</v>
      </c>
      <c r="D31" s="308">
        <f>C31*$C$43</f>
        <v>1720.8000000000002</v>
      </c>
    </row>
    <row r="32" spans="1:4">
      <c r="A32" s="314">
        <v>100192</v>
      </c>
      <c r="B32" s="306" t="s">
        <v>463</v>
      </c>
      <c r="C32" s="307">
        <f>240*K2</f>
        <v>240</v>
      </c>
      <c r="D32" s="308">
        <f>C32*$C$43</f>
        <v>2400</v>
      </c>
    </row>
    <row r="33" spans="1:4">
      <c r="A33" s="314"/>
      <c r="B33" s="313" t="s">
        <v>449</v>
      </c>
      <c r="C33" s="316">
        <f>SUM(C30:C32)</f>
        <v>457.08000000000004</v>
      </c>
      <c r="D33" s="317">
        <f>SUM(D30:D32)</f>
        <v>4570.8</v>
      </c>
    </row>
    <row r="34" spans="1:4">
      <c r="A34" s="314"/>
    </row>
    <row r="35" spans="1:4">
      <c r="A35" s="314"/>
      <c r="B35" s="313" t="s">
        <v>464</v>
      </c>
    </row>
    <row r="36" spans="1:4">
      <c r="A36" s="314">
        <v>100154</v>
      </c>
      <c r="B36" s="306" t="s">
        <v>465</v>
      </c>
      <c r="C36" s="307">
        <v>0</v>
      </c>
      <c r="D36" s="308">
        <f>50*12</f>
        <v>600</v>
      </c>
    </row>
    <row r="37" spans="1:4">
      <c r="A37" s="314">
        <v>100156</v>
      </c>
      <c r="B37" s="306" t="s">
        <v>466</v>
      </c>
      <c r="C37" s="307">
        <v>0</v>
      </c>
      <c r="D37" s="308">
        <v>0</v>
      </c>
    </row>
    <row r="38" spans="1:4">
      <c r="A38" s="314"/>
      <c r="B38" s="313" t="s">
        <v>449</v>
      </c>
      <c r="C38" s="316">
        <f>+C36+C37</f>
        <v>0</v>
      </c>
      <c r="D38" s="317">
        <f>+D36+D37</f>
        <v>600</v>
      </c>
    </row>
    <row r="39" spans="1:4" ht="12" thickBot="1">
      <c r="A39" s="314"/>
      <c r="B39" s="313" t="s">
        <v>467</v>
      </c>
      <c r="D39" s="318">
        <f>+D15+D27+D33+D38</f>
        <v>43523.4</v>
      </c>
    </row>
    <row r="40" spans="1:4" ht="12.75" thickTop="1" thickBot="1">
      <c r="D40" s="319"/>
    </row>
    <row r="41" spans="1:4">
      <c r="A41" s="306" t="s">
        <v>468</v>
      </c>
      <c r="B41" s="320" t="s">
        <v>475</v>
      </c>
      <c r="C41" s="307">
        <v>750</v>
      </c>
      <c r="D41" s="321"/>
    </row>
    <row r="42" spans="1:4">
      <c r="B42" s="322"/>
    </row>
    <row r="43" spans="1:4" ht="12" thickBot="1">
      <c r="B43" s="323" t="s">
        <v>474</v>
      </c>
      <c r="C43" s="307">
        <v>10</v>
      </c>
    </row>
    <row r="45" spans="1:4">
      <c r="D45" s="319"/>
    </row>
    <row r="46" spans="1:4">
      <c r="D46" s="319"/>
    </row>
    <row r="48" spans="1:4">
      <c r="B48" s="313" t="s">
        <v>469</v>
      </c>
    </row>
    <row r="49" spans="2:2">
      <c r="B49" s="306" t="s">
        <v>470</v>
      </c>
    </row>
    <row r="50" spans="2:2">
      <c r="B50" s="306" t="s">
        <v>471</v>
      </c>
    </row>
    <row r="51" spans="2:2">
      <c r="B51" s="306" t="s">
        <v>472</v>
      </c>
    </row>
    <row r="52" spans="2:2">
      <c r="B52" s="306" t="s">
        <v>473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opLeftCell="A20" workbookViewId="0">
      <selection activeCell="D48" sqref="D48"/>
    </sheetView>
  </sheetViews>
  <sheetFormatPr defaultRowHeight="12.75"/>
  <cols>
    <col min="1" max="1" width="3.85546875" customWidth="1"/>
    <col min="2" max="2" width="61" customWidth="1"/>
    <col min="3" max="3" width="3.140625" style="349" customWidth="1"/>
    <col min="4" max="4" width="15.7109375" customWidth="1"/>
    <col min="5" max="5" width="3.5703125" style="349" customWidth="1"/>
    <col min="6" max="6" width="15.7109375" customWidth="1"/>
    <col min="7" max="7" width="3.5703125" style="349" customWidth="1"/>
    <col min="8" max="8" width="15.7109375" customWidth="1"/>
  </cols>
  <sheetData>
    <row r="1" spans="1:8" ht="15.75">
      <c r="A1" s="336" t="s">
        <v>480</v>
      </c>
      <c r="C1" s="337"/>
      <c r="E1" s="337"/>
      <c r="G1" s="337"/>
    </row>
    <row r="2" spans="1:8" ht="15.75">
      <c r="A2" s="282" t="s">
        <v>476</v>
      </c>
      <c r="C2" s="337"/>
      <c r="E2" s="337"/>
      <c r="G2" s="337"/>
    </row>
    <row r="3" spans="1:8">
      <c r="C3" s="338"/>
      <c r="E3" s="338"/>
      <c r="G3" s="338"/>
    </row>
    <row r="4" spans="1:8" ht="13.5" thickBot="1">
      <c r="A4" s="95"/>
      <c r="B4" s="95"/>
      <c r="C4" s="339"/>
      <c r="D4" s="340" t="s">
        <v>481</v>
      </c>
      <c r="E4" s="339"/>
      <c r="F4" s="340" t="s">
        <v>208</v>
      </c>
      <c r="G4" s="339"/>
      <c r="H4" s="80" t="s">
        <v>204</v>
      </c>
    </row>
    <row r="5" spans="1:8" ht="5.25" customHeight="1">
      <c r="A5" s="95"/>
      <c r="B5" s="95"/>
      <c r="C5" s="338"/>
      <c r="D5" s="95"/>
      <c r="E5" s="338"/>
      <c r="F5" s="95"/>
      <c r="G5" s="338"/>
    </row>
    <row r="6" spans="1:8">
      <c r="A6" s="95" t="s">
        <v>482</v>
      </c>
      <c r="B6" s="95"/>
      <c r="C6" s="341" t="s">
        <v>325</v>
      </c>
      <c r="D6" s="342"/>
      <c r="E6" s="341" t="s">
        <v>325</v>
      </c>
      <c r="F6" s="342"/>
      <c r="G6" s="341" t="s">
        <v>325</v>
      </c>
      <c r="H6" s="342"/>
    </row>
    <row r="7" spans="1:8">
      <c r="A7" s="95" t="s">
        <v>483</v>
      </c>
      <c r="B7" s="95"/>
      <c r="C7" s="341"/>
      <c r="D7" s="95"/>
      <c r="E7" s="341"/>
      <c r="F7" s="95"/>
      <c r="G7" s="341"/>
      <c r="H7" s="95"/>
    </row>
    <row r="8" spans="1:8">
      <c r="A8" s="95" t="s">
        <v>484</v>
      </c>
      <c r="B8" s="95"/>
      <c r="C8" s="341"/>
      <c r="D8" s="95"/>
      <c r="E8" s="341"/>
      <c r="F8" s="95"/>
      <c r="G8" s="341"/>
      <c r="H8" s="95"/>
    </row>
    <row r="9" spans="1:8">
      <c r="A9" s="95" t="s">
        <v>485</v>
      </c>
      <c r="B9" s="95"/>
      <c r="C9" s="341"/>
      <c r="D9" s="95"/>
      <c r="E9" s="341"/>
      <c r="F9" s="95"/>
      <c r="G9" s="341"/>
      <c r="H9" s="95"/>
    </row>
    <row r="10" spans="1:8">
      <c r="A10" s="95" t="s">
        <v>486</v>
      </c>
      <c r="B10" s="95"/>
      <c r="C10" s="341"/>
      <c r="D10" s="95"/>
      <c r="E10" s="341"/>
      <c r="F10" s="95"/>
      <c r="G10" s="341"/>
      <c r="H10" s="95"/>
    </row>
    <row r="11" spans="1:8">
      <c r="A11" s="95" t="s">
        <v>401</v>
      </c>
      <c r="B11" s="95"/>
      <c r="C11" s="341"/>
      <c r="D11" s="104"/>
      <c r="E11" s="341"/>
      <c r="F11" s="104"/>
      <c r="G11" s="341"/>
      <c r="H11" s="104"/>
    </row>
    <row r="12" spans="1:8" ht="8.25" customHeight="1">
      <c r="A12" s="95"/>
      <c r="B12" s="95"/>
      <c r="C12" s="341"/>
      <c r="D12" s="95"/>
      <c r="E12" s="341"/>
      <c r="F12" s="95"/>
      <c r="G12" s="341"/>
    </row>
    <row r="13" spans="1:8">
      <c r="A13" s="146" t="s">
        <v>487</v>
      </c>
      <c r="B13" s="95"/>
      <c r="C13" s="341" t="s">
        <v>325</v>
      </c>
      <c r="D13" s="342"/>
      <c r="E13" s="341" t="s">
        <v>325</v>
      </c>
      <c r="F13" s="342"/>
      <c r="G13" s="341" t="s">
        <v>325</v>
      </c>
      <c r="H13" s="343"/>
    </row>
    <row r="14" spans="1:8">
      <c r="A14" s="146"/>
      <c r="B14" s="95"/>
      <c r="C14" s="344"/>
      <c r="D14" s="343"/>
      <c r="E14" s="344"/>
      <c r="F14" s="343"/>
      <c r="G14" s="344"/>
      <c r="H14" s="343"/>
    </row>
    <row r="15" spans="1:8">
      <c r="A15" s="289" t="s">
        <v>183</v>
      </c>
      <c r="B15" s="95"/>
      <c r="C15" s="344"/>
      <c r="D15" s="345"/>
      <c r="E15" s="344"/>
      <c r="F15" s="346"/>
      <c r="G15" s="344"/>
      <c r="H15" s="345"/>
    </row>
    <row r="16" spans="1:8" ht="6.75" customHeight="1">
      <c r="A16" s="146"/>
      <c r="B16" s="95"/>
      <c r="C16" s="341"/>
      <c r="D16" s="343"/>
      <c r="E16" s="341"/>
      <c r="F16" s="343"/>
      <c r="G16" s="341"/>
      <c r="H16" s="343"/>
    </row>
    <row r="17" spans="1:8">
      <c r="A17" s="146" t="s">
        <v>488</v>
      </c>
      <c r="B17" s="95"/>
      <c r="C17" s="341" t="s">
        <v>325</v>
      </c>
      <c r="D17" s="347"/>
      <c r="E17" s="341" t="s">
        <v>325</v>
      </c>
      <c r="F17" s="347"/>
      <c r="G17" s="341" t="s">
        <v>325</v>
      </c>
      <c r="H17" s="348"/>
    </row>
    <row r="18" spans="1:8">
      <c r="A18" s="95"/>
      <c r="B18" s="95"/>
      <c r="C18" s="341"/>
      <c r="D18" s="95"/>
      <c r="E18" s="341"/>
      <c r="F18" s="95"/>
      <c r="G18" s="341"/>
    </row>
    <row r="19" spans="1:8">
      <c r="A19" s="95" t="s">
        <v>326</v>
      </c>
      <c r="B19" s="95"/>
      <c r="C19" s="341"/>
      <c r="D19" s="96">
        <f>ROUND('Detail Breakdown'!D14/1000,0)</f>
        <v>489</v>
      </c>
      <c r="E19" s="341"/>
      <c r="F19" s="96">
        <f>ROUND('Detail Breakdown'!F14/1000,0)</f>
        <v>987</v>
      </c>
      <c r="G19" s="341"/>
      <c r="H19" s="95">
        <f>D19-F19</f>
        <v>-498</v>
      </c>
    </row>
    <row r="20" spans="1:8">
      <c r="A20" s="95" t="s">
        <v>489</v>
      </c>
      <c r="B20" s="95"/>
      <c r="C20" s="341"/>
      <c r="D20" s="95">
        <f>ROUND('Detail Breakdown'!D28/1000,0)</f>
        <v>44</v>
      </c>
      <c r="E20" s="341"/>
      <c r="F20" s="95">
        <f>ROUND('Detail Breakdown'!F28/1000,0)</f>
        <v>146</v>
      </c>
      <c r="G20" s="341"/>
      <c r="H20" s="95">
        <f t="shared" ref="H20:H31" si="0">D20-F20</f>
        <v>-102</v>
      </c>
    </row>
    <row r="21" spans="1:8">
      <c r="A21" s="95" t="s">
        <v>490</v>
      </c>
      <c r="B21" s="95"/>
      <c r="C21" s="341"/>
      <c r="D21" s="96">
        <f>ROUND('Detail Breakdown'!D38/1000,0)</f>
        <v>104</v>
      </c>
      <c r="E21" s="341"/>
      <c r="F21" s="96">
        <f>ROUND('Detail Breakdown'!F38/1000,0)</f>
        <v>225</v>
      </c>
      <c r="G21" s="341"/>
      <c r="H21" s="95">
        <f t="shared" si="0"/>
        <v>-121</v>
      </c>
    </row>
    <row r="22" spans="1:8">
      <c r="A22" s="95" t="s">
        <v>351</v>
      </c>
      <c r="B22" s="95"/>
      <c r="C22" s="341"/>
      <c r="D22" s="96">
        <f>'Detail Breakdown'!D51/1000</f>
        <v>0</v>
      </c>
      <c r="E22" s="341"/>
      <c r="F22" s="96">
        <f>ROUND('Detail Breakdown'!F51/1000,0)</f>
        <v>100</v>
      </c>
      <c r="G22" s="341"/>
      <c r="H22" s="95">
        <f t="shared" si="0"/>
        <v>-100</v>
      </c>
    </row>
    <row r="23" spans="1:8">
      <c r="A23" s="95" t="s">
        <v>360</v>
      </c>
      <c r="B23" s="95"/>
      <c r="C23" s="344"/>
      <c r="D23" s="96">
        <f>'Detail Breakdown'!D62/1000</f>
        <v>47.720571428571432</v>
      </c>
      <c r="E23" s="344"/>
      <c r="F23" s="96">
        <f>ROUND('Detail Breakdown'!F62/1000,0)</f>
        <v>106</v>
      </c>
      <c r="G23" s="344"/>
      <c r="H23" s="95">
        <f t="shared" si="0"/>
        <v>-58.279428571428568</v>
      </c>
    </row>
    <row r="24" spans="1:8">
      <c r="A24" s="95" t="s">
        <v>368</v>
      </c>
      <c r="B24" s="95"/>
      <c r="C24" s="341"/>
      <c r="D24" s="96">
        <f>'Detail Breakdown'!D73/1000</f>
        <v>20.394857142857145</v>
      </c>
      <c r="E24" s="341"/>
      <c r="F24" s="96">
        <f>ROUND('Detail Breakdown'!F73/1000,0)</f>
        <v>125</v>
      </c>
      <c r="G24" s="341"/>
      <c r="H24" s="95">
        <f t="shared" si="0"/>
        <v>-104.60514285714285</v>
      </c>
    </row>
    <row r="25" spans="1:8">
      <c r="A25" s="95" t="s">
        <v>370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378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89" t="s">
        <v>502</v>
      </c>
      <c r="B27" s="95"/>
      <c r="D27" s="96">
        <f>'Detail Breakdown'!D87/1000</f>
        <v>173.6142857142857</v>
      </c>
      <c r="F27" s="96">
        <f>ROUND('Detail Breakdown'!F87/1000,0)</f>
        <v>382</v>
      </c>
      <c r="H27" s="95">
        <f t="shared" si="0"/>
        <v>-208.3857142857143</v>
      </c>
    </row>
    <row r="28" spans="1:8">
      <c r="A28" s="95" t="s">
        <v>381</v>
      </c>
      <c r="B28" s="95"/>
      <c r="D28" s="350">
        <f>'Detail Breakdown'!D96/1000</f>
        <v>3.0720000000000001</v>
      </c>
      <c r="F28" s="350">
        <f>ROUND('Detail Breakdown'!F96/1000,0)</f>
        <v>4</v>
      </c>
      <c r="H28" s="95">
        <f t="shared" si="0"/>
        <v>-0.92799999999999994</v>
      </c>
    </row>
    <row r="29" spans="1:8">
      <c r="A29" s="95" t="s">
        <v>387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389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391</v>
      </c>
      <c r="B31" s="95"/>
      <c r="D31" s="104">
        <f>'Detail Breakdown'!D107/1000</f>
        <v>0</v>
      </c>
      <c r="F31" s="104">
        <f>'Detail Breakdown'!F107/1000</f>
        <v>0</v>
      </c>
      <c r="H31" s="104">
        <f t="shared" si="0"/>
        <v>0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1" t="s">
        <v>325</v>
      </c>
      <c r="D33" s="351">
        <f>SUM(D19:D32)</f>
        <v>881.80171428571441</v>
      </c>
      <c r="E33" s="341" t="s">
        <v>325</v>
      </c>
      <c r="F33" s="351">
        <f>SUM(F19:F32)</f>
        <v>2075</v>
      </c>
      <c r="G33" s="341" t="s">
        <v>325</v>
      </c>
      <c r="H33" s="351">
        <f>SUM(H19:H32)</f>
        <v>-1193.1982857142857</v>
      </c>
    </row>
    <row r="34" spans="1:8" ht="6.75" customHeight="1">
      <c r="A34" s="95"/>
      <c r="B34" s="95"/>
      <c r="D34" s="95"/>
      <c r="F34" s="96"/>
      <c r="H34" s="22"/>
    </row>
    <row r="35" spans="1:8" ht="13.5" thickBot="1">
      <c r="A35" s="146" t="s">
        <v>491</v>
      </c>
      <c r="B35" s="95"/>
      <c r="C35" s="341" t="s">
        <v>325</v>
      </c>
      <c r="D35" s="352">
        <f>D13-D33</f>
        <v>-881.80171428571441</v>
      </c>
      <c r="E35" s="341" t="s">
        <v>325</v>
      </c>
      <c r="F35" s="352">
        <f>F13-F33</f>
        <v>-2075</v>
      </c>
      <c r="G35" s="341" t="s">
        <v>325</v>
      </c>
      <c r="H35" s="352">
        <f>H13-H33</f>
        <v>1193.1982857142857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4">
        <v>1</v>
      </c>
      <c r="F39" s="353">
        <v>1</v>
      </c>
      <c r="H39" s="353">
        <f>D39-F39</f>
        <v>0</v>
      </c>
    </row>
    <row r="40" spans="1:8">
      <c r="A40" s="95" t="s">
        <v>492</v>
      </c>
      <c r="B40" s="95"/>
      <c r="D40" s="354">
        <v>1</v>
      </c>
      <c r="F40" s="353">
        <v>2</v>
      </c>
      <c r="H40" s="353">
        <f>D40-F40</f>
        <v>-1</v>
      </c>
    </row>
    <row r="41" spans="1:8">
      <c r="A41" s="95" t="s">
        <v>207</v>
      </c>
      <c r="B41" s="95"/>
      <c r="D41" s="354">
        <v>2</v>
      </c>
      <c r="F41" s="353">
        <v>3</v>
      </c>
      <c r="H41" s="353">
        <f>D41-F41</f>
        <v>-1</v>
      </c>
    </row>
    <row r="42" spans="1:8">
      <c r="A42" s="95" t="s">
        <v>493</v>
      </c>
      <c r="B42" s="95"/>
      <c r="D42" s="354">
        <v>2</v>
      </c>
      <c r="F42" s="353">
        <f>2+1</f>
        <v>3</v>
      </c>
      <c r="H42" s="353">
        <f>D42-F42</f>
        <v>-1</v>
      </c>
    </row>
    <row r="43" spans="1:8">
      <c r="A43" s="95" t="s">
        <v>494</v>
      </c>
      <c r="B43" s="95"/>
      <c r="D43" s="355">
        <v>1</v>
      </c>
      <c r="F43" s="355">
        <v>1</v>
      </c>
      <c r="H43" s="355">
        <f>D43-F43</f>
        <v>0</v>
      </c>
    </row>
    <row r="44" spans="1:8" ht="4.5" customHeight="1">
      <c r="A44" s="145"/>
      <c r="B44" s="145"/>
      <c r="D44" s="356"/>
      <c r="F44" s="356"/>
      <c r="H44" s="356"/>
    </row>
    <row r="45" spans="1:8" ht="13.5" thickBot="1">
      <c r="A45" s="146" t="s">
        <v>495</v>
      </c>
      <c r="B45" s="95"/>
      <c r="D45" s="357">
        <f>SUM(D39:D44)</f>
        <v>7</v>
      </c>
      <c r="F45" s="357">
        <f>SUM(F39:F44)</f>
        <v>10</v>
      </c>
      <c r="H45" s="357">
        <f>SUM(H39:H44)</f>
        <v>-3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496</v>
      </c>
      <c r="B47" s="95"/>
      <c r="D47" s="340" t="s">
        <v>497</v>
      </c>
      <c r="F47" s="358"/>
      <c r="H47" s="340" t="s">
        <v>498</v>
      </c>
    </row>
    <row r="48" spans="1:8">
      <c r="A48" s="359" t="s">
        <v>499</v>
      </c>
      <c r="B48" s="95"/>
      <c r="C48" s="341" t="s">
        <v>325</v>
      </c>
      <c r="D48" s="95"/>
      <c r="F48" s="95"/>
      <c r="G48" s="341" t="s">
        <v>325</v>
      </c>
    </row>
    <row r="49" spans="1:7">
      <c r="A49" s="359" t="s">
        <v>500</v>
      </c>
      <c r="B49" s="95"/>
      <c r="C49" s="341" t="s">
        <v>325</v>
      </c>
      <c r="D49" s="95"/>
      <c r="F49" s="95"/>
      <c r="G49" s="341" t="s">
        <v>325</v>
      </c>
    </row>
    <row r="50" spans="1:7">
      <c r="A50" s="359" t="s">
        <v>501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Felienne</cp:lastModifiedBy>
  <cp:lastPrinted>2001-09-20T15:17:19Z</cp:lastPrinted>
  <dcterms:created xsi:type="dcterms:W3CDTF">1998-08-24T18:19:19Z</dcterms:created>
  <dcterms:modified xsi:type="dcterms:W3CDTF">2014-09-03T10:56:16Z</dcterms:modified>
</cp:coreProperties>
</file>