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20" windowHeight="8775" activeTab="2"/>
  </bookViews>
  <sheets>
    <sheet name="graph" sheetId="1" r:id="rId1"/>
    <sheet name="$kw" sheetId="2" r:id="rId2"/>
    <sheet name="DS sch" sheetId="3" r:id="rId3"/>
  </sheets>
  <calcPr calcId="152511" calcMode="manual"/>
</workbook>
</file>

<file path=xl/calcChain.xml><?xml version="1.0" encoding="utf-8"?>
<calcChain xmlns="http://schemas.openxmlformats.org/spreadsheetml/2006/main">
  <c r="D7" i="2" l="1"/>
  <c r="D9" i="2" s="1"/>
  <c r="D8" i="2"/>
  <c r="A23" i="2"/>
  <c r="J27" i="2" s="1"/>
  <c r="A24" i="2"/>
  <c r="J26" i="2"/>
  <c r="J30" i="2"/>
  <c r="J34" i="2"/>
  <c r="J38" i="2"/>
  <c r="J42" i="2"/>
  <c r="D3" i="3"/>
  <c r="D4" i="3"/>
  <c r="A8" i="3"/>
  <c r="B8" i="3" s="1"/>
  <c r="A9" i="3"/>
  <c r="B9" i="3" s="1"/>
  <c r="A10" i="3"/>
  <c r="B10" i="3" s="1"/>
  <c r="F10" i="3"/>
  <c r="A11" i="3" l="1"/>
  <c r="J41" i="2"/>
  <c r="J37" i="2"/>
  <c r="J33" i="2"/>
  <c r="J29" i="2"/>
  <c r="J25" i="2"/>
  <c r="M25" i="2" s="1"/>
  <c r="J24" i="2"/>
  <c r="J40" i="2"/>
  <c r="J36" i="2"/>
  <c r="J32" i="2"/>
  <c r="J28" i="2"/>
  <c r="J43" i="2"/>
  <c r="J39" i="2"/>
  <c r="J35" i="2"/>
  <c r="J31" i="2"/>
  <c r="A12" i="3" l="1"/>
  <c r="M26" i="2"/>
  <c r="F12" i="3" l="1"/>
  <c r="A13" i="3"/>
  <c r="M27" i="2"/>
  <c r="A14" i="3" l="1"/>
  <c r="M28" i="2"/>
  <c r="M29" i="2" l="1"/>
  <c r="F14" i="3"/>
  <c r="A15" i="3"/>
  <c r="M30" i="2" l="1"/>
  <c r="A16" i="3"/>
  <c r="M31" i="2" l="1"/>
  <c r="A17" i="3"/>
  <c r="F16" i="3"/>
  <c r="M32" i="2" l="1"/>
  <c r="A18" i="3"/>
  <c r="M33" i="2" l="1"/>
  <c r="A19" i="3"/>
  <c r="F18" i="3"/>
  <c r="A20" i="3" l="1"/>
  <c r="M34" i="2"/>
  <c r="M35" i="2" l="1"/>
  <c r="F20" i="3"/>
  <c r="A21" i="3"/>
  <c r="A22" i="3" l="1"/>
  <c r="M36" i="2"/>
  <c r="F22" i="3" l="1"/>
  <c r="A23" i="3"/>
  <c r="M37" i="2"/>
  <c r="M38" i="2" l="1"/>
  <c r="A24" i="3"/>
  <c r="M39" i="2" l="1"/>
  <c r="A25" i="3"/>
  <c r="F24" i="3"/>
  <c r="M40" i="2" l="1"/>
  <c r="A26" i="3"/>
  <c r="M41" i="2" l="1"/>
  <c r="A27" i="3"/>
  <c r="F26" i="3"/>
  <c r="M42" i="2" l="1"/>
  <c r="A28" i="3"/>
  <c r="F28" i="3" l="1"/>
  <c r="A29" i="3"/>
  <c r="M43" i="2"/>
  <c r="K43" i="2" l="1"/>
  <c r="M45" i="2"/>
  <c r="A30" i="3"/>
  <c r="F30" i="3" l="1"/>
  <c r="A31" i="3"/>
  <c r="L43" i="2"/>
  <c r="K42" i="2" s="1"/>
  <c r="L42" i="2" l="1"/>
  <c r="K41" i="2" s="1"/>
  <c r="A32" i="3"/>
  <c r="A33" i="3" l="1"/>
  <c r="F32" i="3"/>
  <c r="L41" i="2"/>
  <c r="K40" i="2" s="1"/>
  <c r="L40" i="2" l="1"/>
  <c r="K39" i="2" s="1"/>
  <c r="A34" i="3"/>
  <c r="A35" i="3" l="1"/>
  <c r="F34" i="3"/>
  <c r="L39" i="2"/>
  <c r="K38" i="2" s="1"/>
  <c r="A36" i="3" l="1"/>
  <c r="L38" i="2"/>
  <c r="K37" i="2" s="1"/>
  <c r="L37" i="2" l="1"/>
  <c r="K36" i="2" s="1"/>
  <c r="A37" i="3"/>
  <c r="F36" i="3"/>
  <c r="A38" i="3" l="1"/>
  <c r="L36" i="2"/>
  <c r="K35" i="2" s="1"/>
  <c r="F38" i="3" l="1"/>
  <c r="A39" i="3"/>
  <c r="L35" i="2"/>
  <c r="K34" i="2" s="1"/>
  <c r="A40" i="3" l="1"/>
  <c r="L34" i="2"/>
  <c r="K33" i="2" s="1"/>
  <c r="A41" i="3" l="1"/>
  <c r="F40" i="3"/>
  <c r="L33" i="2"/>
  <c r="K32" i="2" s="1"/>
  <c r="L32" i="2" l="1"/>
  <c r="K31" i="2" s="1"/>
  <c r="A42" i="3"/>
  <c r="L31" i="2" l="1"/>
  <c r="K30" i="2" s="1"/>
  <c r="A43" i="3"/>
  <c r="F42" i="3"/>
  <c r="A44" i="3" l="1"/>
  <c r="L30" i="2"/>
  <c r="K29" i="2" s="1"/>
  <c r="F44" i="3" l="1"/>
  <c r="A45" i="3"/>
  <c r="L29" i="2"/>
  <c r="K28" i="2" s="1"/>
  <c r="A46" i="3" l="1"/>
  <c r="L28" i="2"/>
  <c r="K27" i="2" s="1"/>
  <c r="L27" i="2" l="1"/>
  <c r="K26" i="2" s="1"/>
  <c r="F46" i="3"/>
  <c r="A47" i="3"/>
  <c r="A48" i="3" l="1"/>
  <c r="L26" i="2"/>
  <c r="K25" i="2" s="1"/>
  <c r="L25" i="2" l="1"/>
  <c r="K24" i="2" s="1"/>
  <c r="A49" i="3"/>
  <c r="F48" i="3"/>
  <c r="K45" i="2" l="1"/>
  <c r="L24" i="2"/>
  <c r="L45" i="2" s="1"/>
  <c r="B43" i="2" l="1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H28" i="2" l="1"/>
  <c r="B19" i="3"/>
  <c r="C19" i="3" s="1"/>
  <c r="B20" i="3"/>
  <c r="C20" i="3" s="1"/>
  <c r="H31" i="2"/>
  <c r="B25" i="3"/>
  <c r="B26" i="3"/>
  <c r="H36" i="2"/>
  <c r="B35" i="3"/>
  <c r="C35" i="3" s="1"/>
  <c r="B36" i="3"/>
  <c r="C36" i="3" s="1"/>
  <c r="H37" i="2"/>
  <c r="B37" i="3"/>
  <c r="B38" i="3"/>
  <c r="C38" i="3" s="1"/>
  <c r="H38" i="2"/>
  <c r="B39" i="3"/>
  <c r="C39" i="3" s="1"/>
  <c r="B40" i="3"/>
  <c r="C40" i="3" s="1"/>
  <c r="H24" i="2"/>
  <c r="B45" i="2"/>
  <c r="B11" i="3"/>
  <c r="B12" i="3"/>
  <c r="C12" i="3" s="1"/>
  <c r="H40" i="2"/>
  <c r="B43" i="3"/>
  <c r="C43" i="3" s="1"/>
  <c r="B44" i="3"/>
  <c r="C44" i="3" s="1"/>
  <c r="H33" i="2"/>
  <c r="B29" i="3"/>
  <c r="C29" i="3" s="1"/>
  <c r="B30" i="3"/>
  <c r="C30" i="3" s="1"/>
  <c r="H26" i="2"/>
  <c r="B15" i="3"/>
  <c r="C15" i="3" s="1"/>
  <c r="B16" i="3"/>
  <c r="C16" i="3" s="1"/>
  <c r="H34" i="2"/>
  <c r="B31" i="3"/>
  <c r="C31" i="3" s="1"/>
  <c r="B32" i="3"/>
  <c r="C32" i="3" s="1"/>
  <c r="C42" i="2"/>
  <c r="D42" i="2"/>
  <c r="E42" i="2" s="1"/>
  <c r="H42" i="2"/>
  <c r="B47" i="3"/>
  <c r="C47" i="3" s="1"/>
  <c r="B48" i="3"/>
  <c r="C48" i="3" s="1"/>
  <c r="H29" i="2"/>
  <c r="B21" i="3"/>
  <c r="C21" i="3" s="1"/>
  <c r="B22" i="3"/>
  <c r="C22" i="3" s="1"/>
  <c r="H30" i="2"/>
  <c r="B23" i="3"/>
  <c r="C23" i="3" s="1"/>
  <c r="B24" i="3"/>
  <c r="C24" i="3" s="1"/>
  <c r="H39" i="2"/>
  <c r="B41" i="3"/>
  <c r="C41" i="3" s="1"/>
  <c r="B42" i="3"/>
  <c r="C42" i="3" s="1"/>
  <c r="H32" i="2"/>
  <c r="B27" i="3"/>
  <c r="C27" i="3" s="1"/>
  <c r="B28" i="3"/>
  <c r="C28" i="3" s="1"/>
  <c r="H25" i="2"/>
  <c r="B13" i="3"/>
  <c r="C13" i="3" s="1"/>
  <c r="B14" i="3"/>
  <c r="C14" i="3" s="1"/>
  <c r="H41" i="2"/>
  <c r="C41" i="2"/>
  <c r="C40" i="2" s="1"/>
  <c r="B45" i="3"/>
  <c r="C45" i="3" s="1"/>
  <c r="B46" i="3"/>
  <c r="C46" i="3" s="1"/>
  <c r="H27" i="2"/>
  <c r="B17" i="3"/>
  <c r="C17" i="3" s="1"/>
  <c r="B18" i="3"/>
  <c r="C18" i="3" s="1"/>
  <c r="H35" i="2"/>
  <c r="B33" i="3"/>
  <c r="C33" i="3" s="1"/>
  <c r="B34" i="3"/>
  <c r="C34" i="3" s="1"/>
  <c r="C43" i="2"/>
  <c r="D43" i="2" s="1"/>
  <c r="E43" i="2" s="1"/>
  <c r="H43" i="2"/>
  <c r="B49" i="3"/>
  <c r="C49" i="3" s="1"/>
  <c r="D40" i="2" l="1"/>
  <c r="E40" i="2" s="1"/>
  <c r="C39" i="2"/>
  <c r="F24" i="2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C10" i="3"/>
  <c r="C9" i="3"/>
  <c r="C8" i="3"/>
  <c r="C37" i="3"/>
  <c r="D41" i="2"/>
  <c r="E41" i="2" s="1"/>
  <c r="H45" i="2"/>
  <c r="H46" i="2" s="1"/>
  <c r="C26" i="3"/>
  <c r="C11" i="3"/>
  <c r="B51" i="3"/>
  <c r="D49" i="3"/>
  <c r="D48" i="3" s="1"/>
  <c r="E49" i="3"/>
  <c r="C25" i="3"/>
  <c r="D47" i="3" l="1"/>
  <c r="F49" i="3"/>
  <c r="E48" i="3"/>
  <c r="C51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D39" i="2"/>
  <c r="E39" i="2" s="1"/>
  <c r="C38" i="2"/>
  <c r="D38" i="2" l="1"/>
  <c r="E38" i="2" s="1"/>
  <c r="C37" i="2"/>
  <c r="F47" i="3"/>
  <c r="D46" i="3"/>
  <c r="E47" i="3"/>
  <c r="E46" i="3" l="1"/>
  <c r="D45" i="3"/>
  <c r="D37" i="2"/>
  <c r="E37" i="2" s="1"/>
  <c r="C36" i="2"/>
  <c r="C35" i="2" l="1"/>
  <c r="D36" i="2"/>
  <c r="E36" i="2" s="1"/>
  <c r="D44" i="3"/>
  <c r="F45" i="3"/>
  <c r="E45" i="3"/>
  <c r="E44" i="3" l="1"/>
  <c r="D43" i="3"/>
  <c r="D35" i="2"/>
  <c r="E35" i="2" s="1"/>
  <c r="C34" i="2"/>
  <c r="C33" i="2" l="1"/>
  <c r="D34" i="2"/>
  <c r="E34" i="2" s="1"/>
  <c r="D42" i="3"/>
  <c r="E43" i="3"/>
  <c r="F43" i="3"/>
  <c r="E42" i="3" l="1"/>
  <c r="D41" i="3"/>
  <c r="C32" i="2"/>
  <c r="D33" i="2"/>
  <c r="E33" i="2" s="1"/>
  <c r="D32" i="2" l="1"/>
  <c r="E32" i="2" s="1"/>
  <c r="C31" i="2"/>
  <c r="E41" i="3"/>
  <c r="D40" i="3"/>
  <c r="F41" i="3"/>
  <c r="C30" i="2" l="1"/>
  <c r="D31" i="2"/>
  <c r="E31" i="2" s="1"/>
  <c r="E40" i="3"/>
  <c r="D39" i="3"/>
  <c r="E39" i="3" l="1"/>
  <c r="D38" i="3"/>
  <c r="F39" i="3"/>
  <c r="D30" i="2"/>
  <c r="E30" i="2" s="1"/>
  <c r="C29" i="2"/>
  <c r="D29" i="2" l="1"/>
  <c r="E29" i="2" s="1"/>
  <c r="C28" i="2"/>
  <c r="E38" i="3"/>
  <c r="D37" i="3"/>
  <c r="D28" i="2" l="1"/>
  <c r="E28" i="2" s="1"/>
  <c r="C27" i="2"/>
  <c r="D36" i="3"/>
  <c r="F37" i="3"/>
  <c r="E37" i="3"/>
  <c r="E36" i="3" l="1"/>
  <c r="D35" i="3"/>
  <c r="C26" i="2"/>
  <c r="D27" i="2"/>
  <c r="E27" i="2" s="1"/>
  <c r="D34" i="3" l="1"/>
  <c r="F35" i="3"/>
  <c r="E35" i="3"/>
  <c r="D26" i="2"/>
  <c r="E26" i="2" s="1"/>
  <c r="C25" i="2"/>
  <c r="D25" i="2" l="1"/>
  <c r="E25" i="2" s="1"/>
  <c r="C24" i="2"/>
  <c r="E34" i="3"/>
  <c r="D33" i="3"/>
  <c r="C45" i="2" l="1"/>
  <c r="D24" i="2"/>
  <c r="D32" i="3"/>
  <c r="E33" i="3"/>
  <c r="F33" i="3"/>
  <c r="E32" i="3" l="1"/>
  <c r="D31" i="3"/>
  <c r="E24" i="2"/>
  <c r="D45" i="2"/>
  <c r="D30" i="3" l="1"/>
  <c r="E31" i="3"/>
  <c r="F31" i="3"/>
  <c r="D29" i="3" l="1"/>
  <c r="E30" i="3"/>
  <c r="E29" i="3" l="1"/>
  <c r="F29" i="3"/>
  <c r="D28" i="3"/>
  <c r="D27" i="3" l="1"/>
  <c r="E28" i="3"/>
  <c r="E27" i="3" l="1"/>
  <c r="F27" i="3"/>
  <c r="D26" i="3"/>
  <c r="E26" i="3" l="1"/>
  <c r="D25" i="3"/>
  <c r="D24" i="3" l="1"/>
  <c r="F25" i="3"/>
  <c r="E25" i="3"/>
  <c r="D23" i="3" l="1"/>
  <c r="E24" i="3"/>
  <c r="E23" i="3" l="1"/>
  <c r="D22" i="3"/>
  <c r="F23" i="3"/>
  <c r="D21" i="3" l="1"/>
  <c r="E22" i="3"/>
  <c r="F21" i="3" l="1"/>
  <c r="E21" i="3"/>
  <c r="D20" i="3"/>
  <c r="D19" i="3" l="1"/>
  <c r="E20" i="3"/>
  <c r="E19" i="3" l="1"/>
  <c r="F19" i="3"/>
  <c r="D18" i="3"/>
  <c r="E18" i="3" l="1"/>
  <c r="D17" i="3"/>
  <c r="E17" i="3" l="1"/>
  <c r="D16" i="3"/>
  <c r="F17" i="3"/>
  <c r="D15" i="3" l="1"/>
  <c r="E16" i="3"/>
  <c r="E15" i="3" l="1"/>
  <c r="F15" i="3"/>
  <c r="D14" i="3"/>
  <c r="E14" i="3" l="1"/>
  <c r="D13" i="3"/>
  <c r="E13" i="3" l="1"/>
  <c r="F13" i="3"/>
  <c r="D12" i="3"/>
  <c r="E12" i="3" l="1"/>
  <c r="D11" i="3"/>
  <c r="E11" i="3" l="1"/>
  <c r="F11" i="3"/>
  <c r="D10" i="3"/>
  <c r="E10" i="3" l="1"/>
  <c r="D9" i="3"/>
  <c r="D51" i="3" l="1"/>
  <c r="E9" i="3"/>
  <c r="E51" i="3" s="1"/>
  <c r="F9" i="3"/>
  <c r="F51" i="3" s="1"/>
</calcChain>
</file>

<file path=xl/sharedStrings.xml><?xml version="1.0" encoding="utf-8"?>
<sst xmlns="http://schemas.openxmlformats.org/spreadsheetml/2006/main" count="46" uniqueCount="34">
  <si>
    <t>TECO amortization schedule...amortizing debt service</t>
  </si>
  <si>
    <t>Closing date</t>
  </si>
  <si>
    <t>plant size</t>
  </si>
  <si>
    <t>mw</t>
  </si>
  <si>
    <t>plant cost</t>
  </si>
  <si>
    <t>$/kw</t>
  </si>
  <si>
    <t>ENA debt exposure</t>
  </si>
  <si>
    <t>loan/val</t>
  </si>
  <si>
    <t>int. rate</t>
  </si>
  <si>
    <t>flex year</t>
  </si>
  <si>
    <t>Year</t>
  </si>
  <si>
    <t>P</t>
  </si>
  <si>
    <t>I</t>
  </si>
  <si>
    <t>Total</t>
  </si>
  <si>
    <t>$/kw-mo</t>
  </si>
  <si>
    <t>Balance</t>
  </si>
  <si>
    <t>Bond</t>
  </si>
  <si>
    <t>Years</t>
  </si>
  <si>
    <t>Avg. life</t>
  </si>
  <si>
    <t>First maturity</t>
  </si>
  <si>
    <t>Final maturity</t>
  </si>
  <si>
    <t>D/S shape</t>
  </si>
  <si>
    <t>debt($mm)</t>
  </si>
  <si>
    <t>equity($mm)</t>
  </si>
  <si>
    <t>rate</t>
  </si>
  <si>
    <t>Debt service schedule</t>
  </si>
  <si>
    <t>First interest pmt</t>
  </si>
  <si>
    <t>Par amount of debt</t>
  </si>
  <si>
    <t>Principal</t>
  </si>
  <si>
    <t>Interest</t>
  </si>
  <si>
    <t>Annual</t>
  </si>
  <si>
    <t>Outstanding</t>
  </si>
  <si>
    <t>Interest rate</t>
  </si>
  <si>
    <t>Semi-Ann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</si>
</sst>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9" formatCode="0.0000"/>
    <numFmt numFmtId="172" formatCode="mm/dd/yy"/>
    <numFmt numFmtId="175" formatCode="_(&quot;$&quot;* #,##0_);_(&quot;$&quot;* \(#,##0\);_(&quot;$&quot;* &quot;-&quot;??_);_(@_)"/>
    <numFmt numFmtId="176" formatCode="0.00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2" applyFont="1"/>
    <xf numFmtId="9" fontId="0" fillId="0" borderId="0" xfId="3" applyFont="1"/>
    <xf numFmtId="164" fontId="0" fillId="0" borderId="0" xfId="3" applyNumberFormat="1" applyFont="1"/>
    <xf numFmtId="0" fontId="0" fillId="0" borderId="0" xfId="0" applyAlignment="1">
      <alignment horizontal="center"/>
    </xf>
    <xf numFmtId="166" fontId="0" fillId="0" borderId="0" xfId="1" applyNumberFormat="1" applyFont="1"/>
    <xf numFmtId="44" fontId="0" fillId="0" borderId="0" xfId="0" applyNumberFormat="1"/>
    <xf numFmtId="10" fontId="0" fillId="0" borderId="0" xfId="3" applyNumberFormat="1" applyFont="1"/>
    <xf numFmtId="169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43" fontId="0" fillId="0" borderId="0" xfId="1" applyFont="1"/>
    <xf numFmtId="172" fontId="0" fillId="0" borderId="0" xfId="3" applyNumberFormat="1" applyFont="1"/>
    <xf numFmtId="172" fontId="0" fillId="0" borderId="0" xfId="1" applyNumberFormat="1" applyFont="1"/>
    <xf numFmtId="172" fontId="0" fillId="0" borderId="0" xfId="0" applyNumberFormat="1"/>
    <xf numFmtId="175" fontId="0" fillId="0" borderId="0" xfId="0" applyNumberFormat="1"/>
    <xf numFmtId="176" fontId="0" fillId="0" borderId="0" xfId="3" applyNumberFormat="1" applyFont="1"/>
    <xf numFmtId="166" fontId="0" fillId="0" borderId="0" xfId="0" applyNumberFormat="1"/>
    <xf numFmtId="172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627714581178899E-2"/>
          <c:y val="3.7288135593220341E-2"/>
          <c:w val="0.80868665977249221"/>
          <c:h val="0.891525423728813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'$kw'!$F$24:$F$43</c:f>
              <c:numCache>
                <c:formatCode>_("$"* #,##0.00_);_("$"* \(#,##0.00\);_("$"* "-"??_);_(@_)</c:formatCode>
                <c:ptCount val="20"/>
                <c:pt idx="0">
                  <c:v>375</c:v>
                </c:pt>
                <c:pt idx="1">
                  <c:v>366.85109599184648</c:v>
                </c:pt>
                <c:pt idx="2">
                  <c:v>357.96879062295915</c:v>
                </c:pt>
                <c:pt idx="3">
                  <c:v>348.28707777087192</c:v>
                </c:pt>
                <c:pt idx="4">
                  <c:v>337.73401076209683</c:v>
                </c:pt>
                <c:pt idx="5">
                  <c:v>326.23116772253201</c:v>
                </c:pt>
                <c:pt idx="6">
                  <c:v>313.69306880940633</c:v>
                </c:pt>
                <c:pt idx="7">
                  <c:v>300.02654099409938</c:v>
                </c:pt>
                <c:pt idx="8">
                  <c:v>285.1300256754148</c:v>
                </c:pt>
                <c:pt idx="9">
                  <c:v>268.89282397804863</c:v>
                </c:pt>
                <c:pt idx="10">
                  <c:v>251.19427412791947</c:v>
                </c:pt>
                <c:pt idx="11">
                  <c:v>231.90285479127868</c:v>
                </c:pt>
                <c:pt idx="12">
                  <c:v>210.87520771434023</c:v>
                </c:pt>
                <c:pt idx="13">
                  <c:v>187.95507240047732</c:v>
                </c:pt>
                <c:pt idx="14">
                  <c:v>162.97212490836674</c:v>
                </c:pt>
                <c:pt idx="15">
                  <c:v>135.74071214196621</c:v>
                </c:pt>
                <c:pt idx="16">
                  <c:v>106.05847222658963</c:v>
                </c:pt>
                <c:pt idx="17">
                  <c:v>73.704830718829157</c:v>
                </c:pt>
                <c:pt idx="18">
                  <c:v>38.439361475370248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299664"/>
        <c:axId val="217301904"/>
      </c:lineChart>
      <c:catAx>
        <c:axId val="21729966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3019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7301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2996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03102378490175"/>
          <c:y val="0.46271186440677964"/>
          <c:w val="8.583247156153051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42" sqref="B42"/>
    </sheetView>
  </sheetViews>
  <sheetFormatPr defaultRowHeight="12.75" x14ac:dyDescent="0.2"/>
  <cols>
    <col min="3" max="3" width="11.28515625" bestFit="1" customWidth="1"/>
    <col min="10" max="10" width="10.28515625" bestFit="1" customWidth="1"/>
    <col min="12" max="13" width="10.28515625" customWidth="1"/>
  </cols>
  <sheetData>
    <row r="1" spans="1:10" x14ac:dyDescent="0.2">
      <c r="A1" t="s">
        <v>0</v>
      </c>
    </row>
    <row r="4" spans="1:10" x14ac:dyDescent="0.2">
      <c r="A4" t="s">
        <v>2</v>
      </c>
      <c r="C4" t="s">
        <v>3</v>
      </c>
      <c r="D4">
        <v>315</v>
      </c>
      <c r="J4" s="5"/>
    </row>
    <row r="5" spans="1:10" x14ac:dyDescent="0.2">
      <c r="A5" t="s">
        <v>4</v>
      </c>
      <c r="C5" t="s">
        <v>5</v>
      </c>
      <c r="D5" s="1">
        <v>560</v>
      </c>
      <c r="J5" s="5"/>
    </row>
    <row r="6" spans="1:10" x14ac:dyDescent="0.2">
      <c r="A6" t="s">
        <v>6</v>
      </c>
      <c r="C6" t="s">
        <v>5</v>
      </c>
      <c r="D6" s="1">
        <v>375</v>
      </c>
      <c r="J6" s="5"/>
    </row>
    <row r="7" spans="1:10" x14ac:dyDescent="0.2">
      <c r="A7" t="s">
        <v>7</v>
      </c>
      <c r="D7" s="2">
        <f>D6/D5</f>
        <v>0.6696428571428571</v>
      </c>
    </row>
    <row r="8" spans="1:10" x14ac:dyDescent="0.2">
      <c r="C8" t="s">
        <v>22</v>
      </c>
      <c r="D8" s="1">
        <f>D6*D4/1000</f>
        <v>118.125</v>
      </c>
    </row>
    <row r="9" spans="1:10" x14ac:dyDescent="0.2">
      <c r="C9" t="s">
        <v>23</v>
      </c>
      <c r="D9" s="6">
        <f>D5*(1-D7)</f>
        <v>185.00000000000003</v>
      </c>
    </row>
    <row r="11" spans="1:10" x14ac:dyDescent="0.2">
      <c r="A11" t="s">
        <v>1</v>
      </c>
      <c r="D11" s="14">
        <v>36708</v>
      </c>
    </row>
    <row r="12" spans="1:10" x14ac:dyDescent="0.2">
      <c r="A12" t="s">
        <v>26</v>
      </c>
      <c r="D12" s="14">
        <v>37165</v>
      </c>
    </row>
    <row r="13" spans="1:10" x14ac:dyDescent="0.2">
      <c r="A13" t="s">
        <v>19</v>
      </c>
      <c r="D13" s="15">
        <v>37530</v>
      </c>
      <c r="E13" s="3"/>
    </row>
    <row r="14" spans="1:10" x14ac:dyDescent="0.2">
      <c r="A14" t="s">
        <v>20</v>
      </c>
      <c r="D14" s="13">
        <v>44105</v>
      </c>
      <c r="F14" s="11"/>
    </row>
    <row r="15" spans="1:10" x14ac:dyDescent="0.2">
      <c r="A15" t="s">
        <v>8</v>
      </c>
      <c r="D15" s="3">
        <v>0.09</v>
      </c>
    </row>
    <row r="16" spans="1:10" x14ac:dyDescent="0.2">
      <c r="D16" s="1"/>
    </row>
    <row r="17" spans="1:13" x14ac:dyDescent="0.2">
      <c r="A17" t="s">
        <v>21</v>
      </c>
      <c r="C17" t="s">
        <v>24</v>
      </c>
      <c r="D17" s="7">
        <v>0</v>
      </c>
    </row>
    <row r="18" spans="1:13" x14ac:dyDescent="0.2">
      <c r="C18" t="s">
        <v>9</v>
      </c>
      <c r="D18">
        <v>5</v>
      </c>
    </row>
    <row r="21" spans="1:13" x14ac:dyDescent="0.2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15</v>
      </c>
      <c r="H21" s="4" t="s">
        <v>16</v>
      </c>
    </row>
    <row r="22" spans="1:13" x14ac:dyDescent="0.2">
      <c r="A22" s="4"/>
      <c r="B22" s="4" t="s">
        <v>5</v>
      </c>
      <c r="C22" s="4" t="s">
        <v>5</v>
      </c>
      <c r="D22" s="4" t="s">
        <v>5</v>
      </c>
      <c r="E22" s="4"/>
      <c r="F22" s="4" t="s">
        <v>5</v>
      </c>
      <c r="H22" s="4" t="s">
        <v>17</v>
      </c>
      <c r="J22" s="4" t="s">
        <v>10</v>
      </c>
      <c r="K22" s="4" t="s">
        <v>11</v>
      </c>
      <c r="L22" s="4" t="s">
        <v>12</v>
      </c>
      <c r="M22" s="4" t="s">
        <v>13</v>
      </c>
    </row>
    <row r="23" spans="1:13" x14ac:dyDescent="0.2">
      <c r="A23" s="10">
        <f>D11</f>
        <v>36708</v>
      </c>
      <c r="B23" s="4"/>
      <c r="C23" s="4"/>
      <c r="D23" s="4"/>
    </row>
    <row r="24" spans="1:13" x14ac:dyDescent="0.2">
      <c r="A24" s="11">
        <f>D13</f>
        <v>37530</v>
      </c>
      <c r="B24" s="1">
        <f>K24/$K$45*$D$6</f>
        <v>8.1489040081535329</v>
      </c>
      <c r="C24" s="1">
        <f t="shared" ref="C24:C43" si="0">B24*$D$15+C25</f>
        <v>33.75</v>
      </c>
      <c r="D24" s="6">
        <f>B24+C24</f>
        <v>41.898904008153536</v>
      </c>
      <c r="E24" s="6">
        <f>D24/12</f>
        <v>3.4915753340127949</v>
      </c>
      <c r="F24" s="6">
        <f>B45</f>
        <v>375</v>
      </c>
      <c r="H24" s="9">
        <f>B24*DAYS360($A$23,A24)/360</f>
        <v>18.33503401834545</v>
      </c>
      <c r="J24" s="12">
        <f>(A24-$A$23)/365</f>
        <v>2.2520547945205478</v>
      </c>
      <c r="K24" s="1">
        <f t="shared" ref="K24:K43" si="1">(M24-L25)/(1+$D$15)</f>
        <v>19.448966986267124</v>
      </c>
      <c r="L24" s="1">
        <f t="shared" ref="L24:L43" si="2">K24*$D$15+L25</f>
        <v>80.551033013732876</v>
      </c>
      <c r="M24" s="8">
        <v>100</v>
      </c>
    </row>
    <row r="25" spans="1:13" x14ac:dyDescent="0.2">
      <c r="A25" s="11">
        <v>37895</v>
      </c>
      <c r="B25" s="1">
        <f t="shared" ref="B25:B40" si="3">K25/$K$45*$D$6</f>
        <v>8.8823053688873514</v>
      </c>
      <c r="C25" s="1">
        <f t="shared" si="0"/>
        <v>33.016598639266185</v>
      </c>
      <c r="D25" s="6">
        <f t="shared" ref="D25:D40" si="4">B25+C25</f>
        <v>41.898904008153536</v>
      </c>
      <c r="E25" s="6">
        <f t="shared" ref="E25:E40" si="5">D25/12</f>
        <v>3.4915753340127949</v>
      </c>
      <c r="F25" s="6">
        <f t="shared" ref="F25:F43" si="6">F24-B24</f>
        <v>366.85109599184648</v>
      </c>
      <c r="H25" s="9">
        <f t="shared" ref="H25:H43" si="7">B25*DAYS360($A$23,A25)/360</f>
        <v>28.86749244888389</v>
      </c>
      <c r="J25" s="12">
        <f t="shared" ref="J25:J43" si="8">(A25-$A$23)/365</f>
        <v>3.2520547945205478</v>
      </c>
      <c r="K25" s="1">
        <f t="shared" si="1"/>
        <v>21.199374015031164</v>
      </c>
      <c r="L25" s="1">
        <f t="shared" si="2"/>
        <v>78.800625984968832</v>
      </c>
      <c r="M25" s="8">
        <f t="shared" ref="M25:M43" si="9">IF(J25&gt;=$D$18,M24*(1+$D$17),M24)*IF(A25&lt;=$D$14,1,0)</f>
        <v>100</v>
      </c>
    </row>
    <row r="26" spans="1:13" x14ac:dyDescent="0.2">
      <c r="A26" s="11">
        <v>38261</v>
      </c>
      <c r="B26" s="1">
        <f t="shared" si="3"/>
        <v>9.6817128520872142</v>
      </c>
      <c r="C26" s="1">
        <f t="shared" si="0"/>
        <v>32.21719115606632</v>
      </c>
      <c r="D26" s="6">
        <f t="shared" si="4"/>
        <v>41.898904008153536</v>
      </c>
      <c r="E26" s="6">
        <f t="shared" si="5"/>
        <v>3.4915753340127949</v>
      </c>
      <c r="F26" s="6">
        <f t="shared" si="6"/>
        <v>357.96879062295915</v>
      </c>
      <c r="H26" s="9">
        <f t="shared" si="7"/>
        <v>41.147279621370664</v>
      </c>
      <c r="J26" s="12">
        <f t="shared" si="8"/>
        <v>4.2547945205479456</v>
      </c>
      <c r="K26" s="1">
        <f t="shared" si="1"/>
        <v>23.107317676383971</v>
      </c>
      <c r="L26" s="1">
        <f t="shared" si="2"/>
        <v>76.892682323616029</v>
      </c>
      <c r="M26" s="8">
        <f t="shared" si="9"/>
        <v>100</v>
      </c>
    </row>
    <row r="27" spans="1:13" x14ac:dyDescent="0.2">
      <c r="A27" s="11">
        <v>38626</v>
      </c>
      <c r="B27" s="1">
        <f t="shared" si="3"/>
        <v>10.553067008775065</v>
      </c>
      <c r="C27" s="1">
        <f t="shared" si="0"/>
        <v>31.34583699937847</v>
      </c>
      <c r="D27" s="6">
        <f t="shared" si="4"/>
        <v>41.898904008153536</v>
      </c>
      <c r="E27" s="6">
        <f t="shared" si="5"/>
        <v>3.4915753340127949</v>
      </c>
      <c r="F27" s="6">
        <f t="shared" si="6"/>
        <v>348.28707777087192</v>
      </c>
      <c r="H27" s="9">
        <f t="shared" si="7"/>
        <v>55.40360179606909</v>
      </c>
      <c r="J27" s="12">
        <f t="shared" si="8"/>
        <v>5.2547945205479456</v>
      </c>
      <c r="K27" s="1">
        <f t="shared" si="1"/>
        <v>25.18697626725853</v>
      </c>
      <c r="L27" s="1">
        <f t="shared" si="2"/>
        <v>74.81302373274147</v>
      </c>
      <c r="M27" s="8">
        <f t="shared" si="9"/>
        <v>100</v>
      </c>
    </row>
    <row r="28" spans="1:13" x14ac:dyDescent="0.2">
      <c r="A28" s="11">
        <v>38991</v>
      </c>
      <c r="B28" s="1">
        <f t="shared" si="3"/>
        <v>11.502843039564821</v>
      </c>
      <c r="C28" s="1">
        <f t="shared" si="0"/>
        <v>30.396060968588714</v>
      </c>
      <c r="D28" s="6">
        <f t="shared" si="4"/>
        <v>41.898904008153536</v>
      </c>
      <c r="E28" s="6">
        <f t="shared" si="5"/>
        <v>3.4915753340127949</v>
      </c>
      <c r="F28" s="6">
        <f t="shared" si="6"/>
        <v>337.73401076209683</v>
      </c>
      <c r="H28" s="9">
        <f t="shared" si="7"/>
        <v>71.892768997280129</v>
      </c>
      <c r="J28" s="12">
        <f t="shared" si="8"/>
        <v>6.2547945205479456</v>
      </c>
      <c r="K28" s="1">
        <f t="shared" si="1"/>
        <v>27.453804131311799</v>
      </c>
      <c r="L28" s="1">
        <f t="shared" si="2"/>
        <v>72.546195868688201</v>
      </c>
      <c r="M28" s="8">
        <f t="shared" si="9"/>
        <v>100</v>
      </c>
    </row>
    <row r="29" spans="1:13" x14ac:dyDescent="0.2">
      <c r="A29" s="11">
        <v>39356</v>
      </c>
      <c r="B29" s="1">
        <f t="shared" si="3"/>
        <v>12.538098913125657</v>
      </c>
      <c r="C29" s="1">
        <f t="shared" si="0"/>
        <v>29.360805095027878</v>
      </c>
      <c r="D29" s="6">
        <f t="shared" si="4"/>
        <v>41.898904008153536</v>
      </c>
      <c r="E29" s="6">
        <f t="shared" si="5"/>
        <v>3.4915753340127949</v>
      </c>
      <c r="F29" s="6">
        <f t="shared" si="6"/>
        <v>326.23116772253201</v>
      </c>
      <c r="H29" s="9">
        <f t="shared" si="7"/>
        <v>90.901217120161007</v>
      </c>
      <c r="J29" s="12">
        <f t="shared" si="8"/>
        <v>7.2547945205479456</v>
      </c>
      <c r="K29" s="1">
        <f t="shared" si="1"/>
        <v>29.924646503129868</v>
      </c>
      <c r="L29" s="1">
        <f t="shared" si="2"/>
        <v>70.075353496870136</v>
      </c>
      <c r="M29" s="8">
        <f t="shared" si="9"/>
        <v>100</v>
      </c>
    </row>
    <row r="30" spans="1:13" x14ac:dyDescent="0.2">
      <c r="A30" s="11">
        <v>39722</v>
      </c>
      <c r="B30" s="1">
        <f t="shared" si="3"/>
        <v>13.666527815306964</v>
      </c>
      <c r="C30" s="1">
        <f t="shared" si="0"/>
        <v>28.232376192846569</v>
      </c>
      <c r="D30" s="6">
        <f t="shared" si="4"/>
        <v>41.898904008153536</v>
      </c>
      <c r="E30" s="6">
        <f t="shared" si="5"/>
        <v>3.4915753340127949</v>
      </c>
      <c r="F30" s="6">
        <f t="shared" si="6"/>
        <v>313.69306880940633</v>
      </c>
      <c r="H30" s="9">
        <f t="shared" si="7"/>
        <v>112.74885447628246</v>
      </c>
      <c r="J30" s="12">
        <f t="shared" si="8"/>
        <v>8.257534246575343</v>
      </c>
      <c r="K30" s="1">
        <f t="shared" si="1"/>
        <v>32.617864688411551</v>
      </c>
      <c r="L30" s="1">
        <f t="shared" si="2"/>
        <v>67.382135311588442</v>
      </c>
      <c r="M30" s="8">
        <f t="shared" si="9"/>
        <v>100</v>
      </c>
    </row>
    <row r="31" spans="1:13" x14ac:dyDescent="0.2">
      <c r="A31" s="11">
        <v>40087</v>
      </c>
      <c r="B31" s="1">
        <f t="shared" si="3"/>
        <v>14.896515318684591</v>
      </c>
      <c r="C31" s="1">
        <f t="shared" si="0"/>
        <v>27.002388689468944</v>
      </c>
      <c r="D31" s="6">
        <f t="shared" si="4"/>
        <v>41.898904008153536</v>
      </c>
      <c r="E31" s="6">
        <f t="shared" si="5"/>
        <v>3.4915753340127949</v>
      </c>
      <c r="F31" s="6">
        <f t="shared" si="6"/>
        <v>300.02654099409938</v>
      </c>
      <c r="H31" s="9">
        <f t="shared" si="7"/>
        <v>137.79276669783246</v>
      </c>
      <c r="J31" s="12">
        <f t="shared" si="8"/>
        <v>9.257534246575343</v>
      </c>
      <c r="K31" s="1">
        <f t="shared" si="1"/>
        <v>35.553472510368586</v>
      </c>
      <c r="L31" s="1">
        <f t="shared" si="2"/>
        <v>64.446527489631407</v>
      </c>
      <c r="M31" s="8">
        <f t="shared" si="9"/>
        <v>100</v>
      </c>
    </row>
    <row r="32" spans="1:13" x14ac:dyDescent="0.2">
      <c r="A32" s="11">
        <v>40452</v>
      </c>
      <c r="B32" s="1">
        <f t="shared" si="3"/>
        <v>16.237201697366199</v>
      </c>
      <c r="C32" s="1">
        <f t="shared" si="0"/>
        <v>25.66170231078733</v>
      </c>
      <c r="D32" s="6">
        <f t="shared" si="4"/>
        <v>41.898904008153529</v>
      </c>
      <c r="E32" s="6">
        <f t="shared" si="5"/>
        <v>3.491575334012794</v>
      </c>
      <c r="F32" s="6">
        <f t="shared" si="6"/>
        <v>285.1300256754148</v>
      </c>
      <c r="H32" s="9">
        <f t="shared" si="7"/>
        <v>166.43131739800353</v>
      </c>
      <c r="J32" s="12">
        <f t="shared" si="8"/>
        <v>10.257534246575343</v>
      </c>
      <c r="K32" s="1">
        <f t="shared" si="1"/>
        <v>38.753285036301754</v>
      </c>
      <c r="L32" s="1">
        <f t="shared" si="2"/>
        <v>61.246714963698238</v>
      </c>
      <c r="M32" s="8">
        <f t="shared" si="9"/>
        <v>100</v>
      </c>
    </row>
    <row r="33" spans="1:13" x14ac:dyDescent="0.2">
      <c r="A33" s="11">
        <v>40817</v>
      </c>
      <c r="B33" s="1">
        <f t="shared" si="3"/>
        <v>17.698549850129162</v>
      </c>
      <c r="C33" s="1">
        <f t="shared" si="0"/>
        <v>24.200354158024371</v>
      </c>
      <c r="D33" s="6">
        <f t="shared" si="4"/>
        <v>41.898904008153536</v>
      </c>
      <c r="E33" s="6">
        <f t="shared" si="5"/>
        <v>3.4915753340127949</v>
      </c>
      <c r="F33" s="6">
        <f t="shared" si="6"/>
        <v>268.89282397804863</v>
      </c>
      <c r="H33" s="9">
        <f t="shared" si="7"/>
        <v>199.10868581395306</v>
      </c>
      <c r="J33" s="12">
        <f t="shared" si="8"/>
        <v>11.257534246575343</v>
      </c>
      <c r="K33" s="1">
        <f t="shared" si="1"/>
        <v>42.241080689568918</v>
      </c>
      <c r="L33" s="1">
        <f t="shared" si="2"/>
        <v>57.758919310431082</v>
      </c>
      <c r="M33" s="8">
        <f t="shared" si="9"/>
        <v>100</v>
      </c>
    </row>
    <row r="34" spans="1:13" x14ac:dyDescent="0.2">
      <c r="A34" s="11">
        <v>41183</v>
      </c>
      <c r="B34" s="1">
        <f t="shared" si="3"/>
        <v>19.291419336640786</v>
      </c>
      <c r="C34" s="1">
        <f t="shared" si="0"/>
        <v>22.607484671512747</v>
      </c>
      <c r="D34" s="6">
        <f t="shared" si="4"/>
        <v>41.898904008153536</v>
      </c>
      <c r="E34" s="6">
        <f t="shared" si="5"/>
        <v>3.4915753340127949</v>
      </c>
      <c r="F34" s="6">
        <f t="shared" si="6"/>
        <v>251.19427412791947</v>
      </c>
      <c r="H34" s="9">
        <f t="shared" si="7"/>
        <v>236.31988687384961</v>
      </c>
      <c r="J34" s="12">
        <f t="shared" si="8"/>
        <v>12.260273972602739</v>
      </c>
      <c r="K34" s="1">
        <f t="shared" si="1"/>
        <v>46.042777951630121</v>
      </c>
      <c r="L34" s="1">
        <f t="shared" si="2"/>
        <v>53.957222048369879</v>
      </c>
      <c r="M34" s="8">
        <f t="shared" si="9"/>
        <v>100</v>
      </c>
    </row>
    <row r="35" spans="1:13" x14ac:dyDescent="0.2">
      <c r="A35" s="11">
        <v>41548</v>
      </c>
      <c r="B35" s="1">
        <f t="shared" si="3"/>
        <v>21.027647076938454</v>
      </c>
      <c r="C35" s="1">
        <f t="shared" si="0"/>
        <v>20.871256931215076</v>
      </c>
      <c r="D35" s="6">
        <f t="shared" si="4"/>
        <v>41.898904008153529</v>
      </c>
      <c r="E35" s="6">
        <f t="shared" si="5"/>
        <v>3.491575334012794</v>
      </c>
      <c r="F35" s="6">
        <f t="shared" si="6"/>
        <v>231.90285479127868</v>
      </c>
      <c r="H35" s="9">
        <f t="shared" si="7"/>
        <v>278.61632376943453</v>
      </c>
      <c r="J35" s="12">
        <f t="shared" si="8"/>
        <v>13.260273972602739</v>
      </c>
      <c r="K35" s="1">
        <f t="shared" si="1"/>
        <v>50.186627967276827</v>
      </c>
      <c r="L35" s="1">
        <f t="shared" si="2"/>
        <v>49.813372032723166</v>
      </c>
      <c r="M35" s="8">
        <f t="shared" si="9"/>
        <v>100</v>
      </c>
    </row>
    <row r="36" spans="1:13" x14ac:dyDescent="0.2">
      <c r="A36" s="11">
        <v>41913</v>
      </c>
      <c r="B36" s="1">
        <f t="shared" si="3"/>
        <v>22.920135313862914</v>
      </c>
      <c r="C36" s="1">
        <f t="shared" si="0"/>
        <v>18.978768694290615</v>
      </c>
      <c r="D36" s="6">
        <f t="shared" si="4"/>
        <v>41.898904008153529</v>
      </c>
      <c r="E36" s="6">
        <f t="shared" si="5"/>
        <v>3.491575334012794</v>
      </c>
      <c r="F36" s="6">
        <f t="shared" si="6"/>
        <v>210.87520771434023</v>
      </c>
      <c r="H36" s="9">
        <f t="shared" si="7"/>
        <v>326.61192822254657</v>
      </c>
      <c r="J36" s="12">
        <f t="shared" si="8"/>
        <v>14.260273972602739</v>
      </c>
      <c r="K36" s="1">
        <f t="shared" si="1"/>
        <v>54.703424484331741</v>
      </c>
      <c r="L36" s="1">
        <f t="shared" si="2"/>
        <v>45.296575515668252</v>
      </c>
      <c r="M36" s="8">
        <f t="shared" si="9"/>
        <v>100</v>
      </c>
    </row>
    <row r="37" spans="1:13" x14ac:dyDescent="0.2">
      <c r="A37" s="11">
        <v>42278</v>
      </c>
      <c r="B37" s="1">
        <f t="shared" si="3"/>
        <v>24.982947492110576</v>
      </c>
      <c r="C37" s="1">
        <f t="shared" si="0"/>
        <v>16.915956516042954</v>
      </c>
      <c r="D37" s="6">
        <f t="shared" si="4"/>
        <v>41.898904008153529</v>
      </c>
      <c r="E37" s="6">
        <f t="shared" si="5"/>
        <v>3.491575334012794</v>
      </c>
      <c r="F37" s="6">
        <f t="shared" si="6"/>
        <v>187.95507240047732</v>
      </c>
      <c r="H37" s="9">
        <f t="shared" si="7"/>
        <v>380.98994925468628</v>
      </c>
      <c r="J37" s="12">
        <f t="shared" si="8"/>
        <v>15.260273972602739</v>
      </c>
      <c r="K37" s="1">
        <f t="shared" si="1"/>
        <v>59.626732687921596</v>
      </c>
      <c r="L37" s="1">
        <f t="shared" si="2"/>
        <v>40.373267312078397</v>
      </c>
      <c r="M37" s="8">
        <f t="shared" si="9"/>
        <v>100</v>
      </c>
    </row>
    <row r="38" spans="1:13" x14ac:dyDescent="0.2">
      <c r="A38" s="11">
        <v>42644</v>
      </c>
      <c r="B38" s="1">
        <f t="shared" si="3"/>
        <v>27.231412766400535</v>
      </c>
      <c r="C38" s="1">
        <f t="shared" si="0"/>
        <v>14.667491241753002</v>
      </c>
      <c r="D38" s="6">
        <f t="shared" si="4"/>
        <v>41.898904008153536</v>
      </c>
      <c r="E38" s="6">
        <f t="shared" si="5"/>
        <v>3.4915753340127949</v>
      </c>
      <c r="F38" s="6">
        <f t="shared" si="6"/>
        <v>162.97212490836674</v>
      </c>
      <c r="H38" s="9">
        <f t="shared" si="7"/>
        <v>442.51045745400864</v>
      </c>
      <c r="J38" s="12">
        <f t="shared" si="8"/>
        <v>16.263013698630136</v>
      </c>
      <c r="K38" s="1">
        <f t="shared" si="1"/>
        <v>64.993138629834547</v>
      </c>
      <c r="L38" s="1">
        <f t="shared" si="2"/>
        <v>35.006861370165453</v>
      </c>
      <c r="M38" s="8">
        <f t="shared" si="9"/>
        <v>100</v>
      </c>
    </row>
    <row r="39" spans="1:13" x14ac:dyDescent="0.2">
      <c r="A39" s="11">
        <v>43009</v>
      </c>
      <c r="B39" s="1">
        <f t="shared" si="3"/>
        <v>29.682239915376581</v>
      </c>
      <c r="C39" s="1">
        <f t="shared" si="0"/>
        <v>12.216664092776954</v>
      </c>
      <c r="D39" s="6">
        <f t="shared" si="4"/>
        <v>41.898904008153536</v>
      </c>
      <c r="E39" s="6">
        <f t="shared" si="5"/>
        <v>3.4915753340127949</v>
      </c>
      <c r="F39" s="6">
        <f t="shared" si="6"/>
        <v>135.74071214196621</v>
      </c>
      <c r="H39" s="9">
        <f t="shared" si="7"/>
        <v>512.018638540246</v>
      </c>
      <c r="J39" s="12">
        <f t="shared" si="8"/>
        <v>17.263013698630136</v>
      </c>
      <c r="K39" s="1">
        <f t="shared" si="1"/>
        <v>70.842521106519655</v>
      </c>
      <c r="L39" s="1">
        <f t="shared" si="2"/>
        <v>29.157478893480341</v>
      </c>
      <c r="M39" s="8">
        <f t="shared" si="9"/>
        <v>100</v>
      </c>
    </row>
    <row r="40" spans="1:13" x14ac:dyDescent="0.2">
      <c r="A40" s="11">
        <v>43374</v>
      </c>
      <c r="B40" s="1">
        <f t="shared" si="3"/>
        <v>32.353641507760472</v>
      </c>
      <c r="C40" s="1">
        <f t="shared" si="0"/>
        <v>9.5452625003930613</v>
      </c>
      <c r="D40" s="6">
        <f t="shared" si="4"/>
        <v>41.898904008153536</v>
      </c>
      <c r="E40" s="6">
        <f t="shared" si="5"/>
        <v>3.4915753340127949</v>
      </c>
      <c r="F40" s="6">
        <f t="shared" si="6"/>
        <v>106.05847222658963</v>
      </c>
      <c r="H40" s="9">
        <f t="shared" si="7"/>
        <v>590.45395751662863</v>
      </c>
      <c r="J40" s="12">
        <f t="shared" si="8"/>
        <v>18.263013698630136</v>
      </c>
      <c r="K40" s="1">
        <f t="shared" si="1"/>
        <v>77.218348006106424</v>
      </c>
      <c r="L40" s="1">
        <f t="shared" si="2"/>
        <v>22.781651993893572</v>
      </c>
      <c r="M40" s="8">
        <f t="shared" si="9"/>
        <v>100</v>
      </c>
    </row>
    <row r="41" spans="1:13" x14ac:dyDescent="0.2">
      <c r="A41" s="11">
        <v>43739</v>
      </c>
      <c r="B41" s="1">
        <f>K41/$K$45*$D$6</f>
        <v>35.265469243458909</v>
      </c>
      <c r="C41" s="1">
        <f t="shared" si="0"/>
        <v>6.6334347646946199</v>
      </c>
      <c r="D41" s="6">
        <f>B41+C41</f>
        <v>41.898904008153529</v>
      </c>
      <c r="E41" s="6">
        <f>D41/12</f>
        <v>3.491575334012794</v>
      </c>
      <c r="F41" s="6">
        <f t="shared" si="6"/>
        <v>73.704830718829157</v>
      </c>
      <c r="H41" s="9">
        <f t="shared" si="7"/>
        <v>678.86028293658399</v>
      </c>
      <c r="J41" s="12">
        <f t="shared" si="8"/>
        <v>19.263013698630136</v>
      </c>
      <c r="K41" s="1">
        <f t="shared" si="1"/>
        <v>84.167999326656002</v>
      </c>
      <c r="L41" s="1">
        <f t="shared" si="2"/>
        <v>15.832000673343995</v>
      </c>
      <c r="M41" s="8">
        <f t="shared" si="9"/>
        <v>100</v>
      </c>
    </row>
    <row r="42" spans="1:13" x14ac:dyDescent="0.2">
      <c r="A42" s="11">
        <v>44105</v>
      </c>
      <c r="B42" s="1">
        <f>K42/$K$45*$D$6</f>
        <v>38.439361475370205</v>
      </c>
      <c r="C42" s="1">
        <f t="shared" si="0"/>
        <v>3.4595425327833182</v>
      </c>
      <c r="D42" s="6">
        <f>B42+C42</f>
        <v>41.898904008153522</v>
      </c>
      <c r="E42" s="6">
        <f>D42/12</f>
        <v>3.4915753340127935</v>
      </c>
      <c r="F42" s="6">
        <f t="shared" si="6"/>
        <v>38.439361475370248</v>
      </c>
      <c r="H42" s="9">
        <f t="shared" si="7"/>
        <v>778.39706987624663</v>
      </c>
      <c r="J42" s="12">
        <f t="shared" si="8"/>
        <v>20.265753424657536</v>
      </c>
      <c r="K42" s="1">
        <f t="shared" si="1"/>
        <v>91.743119266055032</v>
      </c>
      <c r="L42" s="1">
        <f t="shared" si="2"/>
        <v>8.2568807339449535</v>
      </c>
      <c r="M42" s="8">
        <f t="shared" si="9"/>
        <v>100</v>
      </c>
    </row>
    <row r="43" spans="1:13" x14ac:dyDescent="0.2">
      <c r="A43" s="11">
        <v>44470</v>
      </c>
      <c r="B43" s="1">
        <f>K43/$K$45*$D$6</f>
        <v>0</v>
      </c>
      <c r="C43" s="1">
        <f t="shared" si="0"/>
        <v>0</v>
      </c>
      <c r="D43" s="6">
        <f>B43+C43</f>
        <v>0</v>
      </c>
      <c r="E43" s="6">
        <f>D43/12</f>
        <v>0</v>
      </c>
      <c r="F43" s="6">
        <f t="shared" si="6"/>
        <v>0</v>
      </c>
      <c r="H43" s="9">
        <f t="shared" si="7"/>
        <v>0</v>
      </c>
      <c r="J43" s="12">
        <f t="shared" si="8"/>
        <v>21.265753424657536</v>
      </c>
      <c r="K43" s="1">
        <f t="shared" si="1"/>
        <v>0</v>
      </c>
      <c r="L43" s="1">
        <f t="shared" si="2"/>
        <v>0</v>
      </c>
      <c r="M43" s="8">
        <f t="shared" si="9"/>
        <v>0</v>
      </c>
    </row>
    <row r="44" spans="1:13" x14ac:dyDescent="0.2">
      <c r="F44" s="6"/>
    </row>
    <row r="45" spans="1:13" x14ac:dyDescent="0.2">
      <c r="B45" s="6">
        <f>SUM(B24:B43)</f>
        <v>375</v>
      </c>
      <c r="C45" s="6">
        <f>SUM(C24:C43)</f>
        <v>421.07917615491715</v>
      </c>
      <c r="D45" s="6">
        <f>SUM(D24:D43)</f>
        <v>796.07917615491704</v>
      </c>
      <c r="H45" s="9">
        <f>SUM(H24:H43)</f>
        <v>5147.407512832413</v>
      </c>
      <c r="K45" s="6">
        <f>SUM(K24:K43)</f>
        <v>895.01147793036523</v>
      </c>
      <c r="L45" s="6">
        <f>SUM(L24:L43)</f>
        <v>1004.9885220696345</v>
      </c>
      <c r="M45" s="6">
        <f>SUM(M24:M43)</f>
        <v>1900</v>
      </c>
    </row>
    <row r="46" spans="1:13" x14ac:dyDescent="0.2">
      <c r="G46" t="s">
        <v>18</v>
      </c>
      <c r="H46" s="9">
        <f>H45/B45</f>
        <v>13.726420034219768</v>
      </c>
    </row>
  </sheetData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E7" sqref="E7"/>
    </sheetView>
  </sheetViews>
  <sheetFormatPr defaultRowHeight="12.75" x14ac:dyDescent="0.2"/>
  <cols>
    <col min="3" max="3" width="13.85546875" bestFit="1" customWidth="1"/>
    <col min="4" max="4" width="14" bestFit="1" customWidth="1"/>
    <col min="5" max="5" width="12.28515625" bestFit="1" customWidth="1"/>
    <col min="6" max="6" width="13.85546875" bestFit="1" customWidth="1"/>
    <col min="8" max="8" width="13.28515625" bestFit="1" customWidth="1"/>
  </cols>
  <sheetData>
    <row r="1" spans="1:8" x14ac:dyDescent="0.2">
      <c r="A1" t="s">
        <v>25</v>
      </c>
    </row>
    <row r="3" spans="1:8" x14ac:dyDescent="0.2">
      <c r="A3" t="s">
        <v>27</v>
      </c>
      <c r="D3" s="16">
        <f>'$kw'!D8*1000000</f>
        <v>118125000</v>
      </c>
    </row>
    <row r="4" spans="1:8" x14ac:dyDescent="0.2">
      <c r="A4" t="s">
        <v>32</v>
      </c>
      <c r="D4" s="17">
        <f>'$kw'!$D$15</f>
        <v>0.09</v>
      </c>
    </row>
    <row r="6" spans="1:8" x14ac:dyDescent="0.2">
      <c r="A6" s="19"/>
      <c r="B6" s="4"/>
      <c r="C6" s="4"/>
      <c r="D6" s="4"/>
      <c r="E6" s="4" t="s">
        <v>33</v>
      </c>
      <c r="F6" s="4" t="s">
        <v>30</v>
      </c>
      <c r="G6" s="4"/>
      <c r="H6" s="4" t="s">
        <v>31</v>
      </c>
    </row>
    <row r="7" spans="1:8" x14ac:dyDescent="0.2">
      <c r="A7" s="19"/>
      <c r="B7" s="4"/>
      <c r="C7" s="4" t="s">
        <v>28</v>
      </c>
      <c r="D7" s="4" t="s">
        <v>29</v>
      </c>
      <c r="E7" s="4" t="s">
        <v>13</v>
      </c>
      <c r="F7" s="4" t="s">
        <v>13</v>
      </c>
      <c r="G7" s="4"/>
      <c r="H7" s="4" t="s">
        <v>28</v>
      </c>
    </row>
    <row r="8" spans="1:8" x14ac:dyDescent="0.2">
      <c r="A8" s="15">
        <f>'$kw'!D11</f>
        <v>36708</v>
      </c>
      <c r="B8" s="12">
        <f>VLOOKUP(A8,'$kw'!$A$23:$B$43,2)*IF(MONTH(A8)=MONTH('$kw'!$D$13),1,0)</f>
        <v>0</v>
      </c>
      <c r="C8" s="5">
        <f>INT(B8/'$kw'!$B$45*'DS sch'!$D$3/1000)*1000</f>
        <v>0</v>
      </c>
      <c r="D8" s="5"/>
    </row>
    <row r="9" spans="1:8" x14ac:dyDescent="0.2">
      <c r="A9" s="15">
        <f>'$kw'!D12</f>
        <v>37165</v>
      </c>
      <c r="B9" s="12">
        <f>VLOOKUP(A9,'$kw'!$A$23:$B$43,2)*IF(MONTH(A9)=MONTH('$kw'!$D$13),1,0)</f>
        <v>0</v>
      </c>
      <c r="C9" s="5">
        <f>INT(B9/'$kw'!$B$45*'DS sch'!$D$3/1000)*1000</f>
        <v>0</v>
      </c>
      <c r="D9" s="5">
        <f>C9*$D$4/2+D10</f>
        <v>5315085</v>
      </c>
      <c r="E9" s="18">
        <f>C9+D9</f>
        <v>5315085</v>
      </c>
      <c r="F9" s="5">
        <f>IF(MONTH(A9)=MONTH('$kw'!$D$13),'DS sch'!C9+'DS sch'!D9+'DS sch'!D8,0)</f>
        <v>5315085</v>
      </c>
      <c r="H9" s="16">
        <f>D3-C9</f>
        <v>118125000</v>
      </c>
    </row>
    <row r="10" spans="1:8" x14ac:dyDescent="0.2">
      <c r="A10" s="15">
        <f t="shared" ref="A10:A49" si="0">EDATE(A9,6)</f>
        <v>37347</v>
      </c>
      <c r="B10" s="12">
        <f>VLOOKUP(A10,'$kw'!$A$23:$B$43,2)*IF(MONTH(A10)=MONTH('$kw'!$D$13),1,0)</f>
        <v>0</v>
      </c>
      <c r="C10" s="5">
        <f>INT(B10/'$kw'!$B$45*'DS sch'!$D$3/1000)*1000</f>
        <v>0</v>
      </c>
      <c r="D10" s="5">
        <f t="shared" ref="D10:D49" si="1">C10*$D$4/2+D11</f>
        <v>5315085</v>
      </c>
      <c r="E10" s="18">
        <f t="shared" ref="E10:E49" si="2">C10+D10</f>
        <v>5315085</v>
      </c>
      <c r="F10" s="5">
        <f>IF(MONTH(A10)=MONTH('$kw'!$D$13),'DS sch'!C10+'DS sch'!D10+'DS sch'!D9,0)</f>
        <v>0</v>
      </c>
      <c r="H10" s="16">
        <f>H9-C10</f>
        <v>118125000</v>
      </c>
    </row>
    <row r="11" spans="1:8" x14ac:dyDescent="0.2">
      <c r="A11" s="15">
        <f t="shared" si="0"/>
        <v>37530</v>
      </c>
      <c r="B11" s="12">
        <f>VLOOKUP(A11,'$kw'!$A$23:$B$43,2)*IF(MONTH(A11)=MONTH('$kw'!$D$13),1,0)</f>
        <v>8.1489040081535329</v>
      </c>
      <c r="C11" s="5">
        <f>INT(B11/'$kw'!$B$45*'DS sch'!$D$3/1000)*1000</f>
        <v>2566000</v>
      </c>
      <c r="D11" s="5">
        <f t="shared" si="1"/>
        <v>5315085</v>
      </c>
      <c r="E11" s="18">
        <f t="shared" si="2"/>
        <v>7881085</v>
      </c>
      <c r="F11" s="5">
        <f>IF(MONTH(A11)=MONTH('$kw'!$D$13),'DS sch'!C11+'DS sch'!D11+'DS sch'!D10,0)</f>
        <v>13196170</v>
      </c>
      <c r="H11" s="16">
        <f t="shared" ref="H11:H49" si="3">H10-C11</f>
        <v>115559000</v>
      </c>
    </row>
    <row r="12" spans="1:8" x14ac:dyDescent="0.2">
      <c r="A12" s="15">
        <f t="shared" si="0"/>
        <v>37712</v>
      </c>
      <c r="B12" s="12">
        <f>VLOOKUP(A12,'$kw'!$A$23:$B$43,2)*IF(MONTH(A12)=MONTH('$kw'!$D$13),1,0)</f>
        <v>0</v>
      </c>
      <c r="C12" s="5">
        <f>INT(B12/'$kw'!$B$45*'DS sch'!$D$3/1000)*1000</f>
        <v>0</v>
      </c>
      <c r="D12" s="5">
        <f t="shared" si="1"/>
        <v>5199615</v>
      </c>
      <c r="E12" s="18">
        <f t="shared" si="2"/>
        <v>5199615</v>
      </c>
      <c r="F12" s="5">
        <f>IF(MONTH(A12)=MONTH('$kw'!$D$13),'DS sch'!C12+'DS sch'!D12+'DS sch'!D11,0)</f>
        <v>0</v>
      </c>
      <c r="H12" s="16">
        <f t="shared" si="3"/>
        <v>115559000</v>
      </c>
    </row>
    <row r="13" spans="1:8" x14ac:dyDescent="0.2">
      <c r="A13" s="15">
        <f t="shared" si="0"/>
        <v>37895</v>
      </c>
      <c r="B13" s="12">
        <f>VLOOKUP(A13,'$kw'!$A$23:$B$43,2)*IF(MONTH(A13)=MONTH('$kw'!$D$13),1,0)</f>
        <v>8.8823053688873514</v>
      </c>
      <c r="C13" s="5">
        <f>INT(B13/'$kw'!$B$45*'DS sch'!$D$3/1000)*1000</f>
        <v>2797000</v>
      </c>
      <c r="D13" s="5">
        <f t="shared" si="1"/>
        <v>5199615</v>
      </c>
      <c r="E13" s="18">
        <f t="shared" si="2"/>
        <v>7996615</v>
      </c>
      <c r="F13" s="5">
        <f>IF(MONTH(A13)=MONTH('$kw'!$D$13),'DS sch'!C13+'DS sch'!D13+'DS sch'!D12,0)</f>
        <v>13196230</v>
      </c>
      <c r="H13" s="16">
        <f t="shared" si="3"/>
        <v>112762000</v>
      </c>
    </row>
    <row r="14" spans="1:8" x14ac:dyDescent="0.2">
      <c r="A14" s="15">
        <f t="shared" si="0"/>
        <v>38078</v>
      </c>
      <c r="B14" s="12">
        <f>VLOOKUP(A14,'$kw'!$A$23:$B$43,2)*IF(MONTH(A14)=MONTH('$kw'!$D$13),1,0)</f>
        <v>0</v>
      </c>
      <c r="C14" s="5">
        <f>INT(B14/'$kw'!$B$45*'DS sch'!$D$3/1000)*1000</f>
        <v>0</v>
      </c>
      <c r="D14" s="5">
        <f t="shared" si="1"/>
        <v>5073750</v>
      </c>
      <c r="E14" s="18">
        <f t="shared" si="2"/>
        <v>5073750</v>
      </c>
      <c r="F14" s="5">
        <f>IF(MONTH(A14)=MONTH('$kw'!$D$13),'DS sch'!C14+'DS sch'!D14+'DS sch'!D13,0)</f>
        <v>0</v>
      </c>
      <c r="H14" s="16">
        <f t="shared" si="3"/>
        <v>112762000</v>
      </c>
    </row>
    <row r="15" spans="1:8" x14ac:dyDescent="0.2">
      <c r="A15" s="15">
        <f t="shared" si="0"/>
        <v>38261</v>
      </c>
      <c r="B15" s="12">
        <f>VLOOKUP(A15,'$kw'!$A$23:$B$43,2)*IF(MONTH(A15)=MONTH('$kw'!$D$13),1,0)</f>
        <v>9.6817128520872142</v>
      </c>
      <c r="C15" s="5">
        <f>INT(B15/'$kw'!$B$45*'DS sch'!$D$3/1000)*1000</f>
        <v>3049000</v>
      </c>
      <c r="D15" s="5">
        <f t="shared" si="1"/>
        <v>5073750</v>
      </c>
      <c r="E15" s="18">
        <f t="shared" si="2"/>
        <v>8122750</v>
      </c>
      <c r="F15" s="5">
        <f>IF(MONTH(A15)=MONTH('$kw'!$D$13),'DS sch'!C15+'DS sch'!D15+'DS sch'!D14,0)</f>
        <v>13196500</v>
      </c>
      <c r="H15" s="16">
        <f t="shared" si="3"/>
        <v>109713000</v>
      </c>
    </row>
    <row r="16" spans="1:8" x14ac:dyDescent="0.2">
      <c r="A16" s="15">
        <f t="shared" si="0"/>
        <v>38443</v>
      </c>
      <c r="B16" s="12">
        <f>VLOOKUP(A16,'$kw'!$A$23:$B$43,2)*IF(MONTH(A16)=MONTH('$kw'!$D$13),1,0)</f>
        <v>0</v>
      </c>
      <c r="C16" s="5">
        <f>INT(B16/'$kw'!$B$45*'DS sch'!$D$3/1000)*1000</f>
        <v>0</v>
      </c>
      <c r="D16" s="5">
        <f t="shared" si="1"/>
        <v>4936545</v>
      </c>
      <c r="E16" s="18">
        <f t="shared" si="2"/>
        <v>4936545</v>
      </c>
      <c r="F16" s="5">
        <f>IF(MONTH(A16)=MONTH('$kw'!$D$13),'DS sch'!C16+'DS sch'!D16+'DS sch'!D15,0)</f>
        <v>0</v>
      </c>
      <c r="H16" s="16">
        <f t="shared" si="3"/>
        <v>109713000</v>
      </c>
    </row>
    <row r="17" spans="1:8" x14ac:dyDescent="0.2">
      <c r="A17" s="15">
        <f t="shared" si="0"/>
        <v>38626</v>
      </c>
      <c r="B17" s="12">
        <f>VLOOKUP(A17,'$kw'!$A$23:$B$43,2)*IF(MONTH(A17)=MONTH('$kw'!$D$13),1,0)</f>
        <v>10.553067008775065</v>
      </c>
      <c r="C17" s="5">
        <f>INT(B17/'$kw'!$B$45*'DS sch'!$D$3/1000)*1000</f>
        <v>3324000</v>
      </c>
      <c r="D17" s="5">
        <f t="shared" si="1"/>
        <v>4936545</v>
      </c>
      <c r="E17" s="18">
        <f t="shared" si="2"/>
        <v>8260545</v>
      </c>
      <c r="F17" s="5">
        <f>IF(MONTH(A17)=MONTH('$kw'!$D$13),'DS sch'!C17+'DS sch'!D17+'DS sch'!D16,0)</f>
        <v>13197090</v>
      </c>
      <c r="H17" s="16">
        <f t="shared" si="3"/>
        <v>106389000</v>
      </c>
    </row>
    <row r="18" spans="1:8" x14ac:dyDescent="0.2">
      <c r="A18" s="15">
        <f t="shared" si="0"/>
        <v>38808</v>
      </c>
      <c r="B18" s="12">
        <f>VLOOKUP(A18,'$kw'!$A$23:$B$43,2)*IF(MONTH(A18)=MONTH('$kw'!$D$13),1,0)</f>
        <v>0</v>
      </c>
      <c r="C18" s="5">
        <f>INT(B18/'$kw'!$B$45*'DS sch'!$D$3/1000)*1000</f>
        <v>0</v>
      </c>
      <c r="D18" s="5">
        <f t="shared" si="1"/>
        <v>4786965</v>
      </c>
      <c r="E18" s="18">
        <f t="shared" si="2"/>
        <v>4786965</v>
      </c>
      <c r="F18" s="5">
        <f>IF(MONTH(A18)=MONTH('$kw'!$D$13),'DS sch'!C18+'DS sch'!D18+'DS sch'!D17,0)</f>
        <v>0</v>
      </c>
      <c r="H18" s="16">
        <f t="shared" si="3"/>
        <v>106389000</v>
      </c>
    </row>
    <row r="19" spans="1:8" x14ac:dyDescent="0.2">
      <c r="A19" s="15">
        <f t="shared" si="0"/>
        <v>38991</v>
      </c>
      <c r="B19" s="12">
        <f>VLOOKUP(A19,'$kw'!$A$23:$B$43,2)*IF(MONTH(A19)=MONTH('$kw'!$D$13),1,0)</f>
        <v>11.502843039564821</v>
      </c>
      <c r="C19" s="5">
        <f>INT(B19/'$kw'!$B$45*'DS sch'!$D$3/1000)*1000</f>
        <v>3623000</v>
      </c>
      <c r="D19" s="5">
        <f t="shared" si="1"/>
        <v>4786965</v>
      </c>
      <c r="E19" s="18">
        <f t="shared" si="2"/>
        <v>8409965</v>
      </c>
      <c r="F19" s="5">
        <f>IF(MONTH(A19)=MONTH('$kw'!$D$13),'DS sch'!C19+'DS sch'!D19+'DS sch'!D18,0)</f>
        <v>13196930</v>
      </c>
      <c r="H19" s="16">
        <f t="shared" si="3"/>
        <v>102766000</v>
      </c>
    </row>
    <row r="20" spans="1:8" x14ac:dyDescent="0.2">
      <c r="A20" s="15">
        <f t="shared" si="0"/>
        <v>39173</v>
      </c>
      <c r="B20" s="12">
        <f>VLOOKUP(A20,'$kw'!$A$23:$B$43,2)*IF(MONTH(A20)=MONTH('$kw'!$D$13),1,0)</f>
        <v>0</v>
      </c>
      <c r="C20" s="5">
        <f>INT(B20/'$kw'!$B$45*'DS sch'!$D$3/1000)*1000</f>
        <v>0</v>
      </c>
      <c r="D20" s="5">
        <f t="shared" si="1"/>
        <v>4623930</v>
      </c>
      <c r="E20" s="18">
        <f t="shared" si="2"/>
        <v>4623930</v>
      </c>
      <c r="F20" s="5">
        <f>IF(MONTH(A20)=MONTH('$kw'!$D$13),'DS sch'!C20+'DS sch'!D20+'DS sch'!D19,0)</f>
        <v>0</v>
      </c>
      <c r="H20" s="16">
        <f t="shared" si="3"/>
        <v>102766000</v>
      </c>
    </row>
    <row r="21" spans="1:8" x14ac:dyDescent="0.2">
      <c r="A21" s="15">
        <f t="shared" si="0"/>
        <v>39356</v>
      </c>
      <c r="B21" s="12">
        <f>VLOOKUP(A21,'$kw'!$A$23:$B$43,2)*IF(MONTH(A21)=MONTH('$kw'!$D$13),1,0)</f>
        <v>12.538098913125657</v>
      </c>
      <c r="C21" s="5">
        <f>INT(B21/'$kw'!$B$45*'DS sch'!$D$3/1000)*1000</f>
        <v>3949000</v>
      </c>
      <c r="D21" s="5">
        <f t="shared" si="1"/>
        <v>4623930</v>
      </c>
      <c r="E21" s="18">
        <f t="shared" si="2"/>
        <v>8572930</v>
      </c>
      <c r="F21" s="5">
        <f>IF(MONTH(A21)=MONTH('$kw'!$D$13),'DS sch'!C21+'DS sch'!D21+'DS sch'!D20,0)</f>
        <v>13196860</v>
      </c>
      <c r="H21" s="16">
        <f t="shared" si="3"/>
        <v>98817000</v>
      </c>
    </row>
    <row r="22" spans="1:8" x14ac:dyDescent="0.2">
      <c r="A22" s="15">
        <f t="shared" si="0"/>
        <v>39539</v>
      </c>
      <c r="B22" s="12">
        <f>VLOOKUP(A22,'$kw'!$A$23:$B$43,2)*IF(MONTH(A22)=MONTH('$kw'!$D$13),1,0)</f>
        <v>0</v>
      </c>
      <c r="C22" s="5">
        <f>INT(B22/'$kw'!$B$45*'DS sch'!$D$3/1000)*1000</f>
        <v>0</v>
      </c>
      <c r="D22" s="5">
        <f t="shared" si="1"/>
        <v>4446225</v>
      </c>
      <c r="E22" s="18">
        <f t="shared" si="2"/>
        <v>4446225</v>
      </c>
      <c r="F22" s="5">
        <f>IF(MONTH(A22)=MONTH('$kw'!$D$13),'DS sch'!C22+'DS sch'!D22+'DS sch'!D21,0)</f>
        <v>0</v>
      </c>
      <c r="H22" s="16">
        <f t="shared" si="3"/>
        <v>98817000</v>
      </c>
    </row>
    <row r="23" spans="1:8" x14ac:dyDescent="0.2">
      <c r="A23" s="15">
        <f t="shared" si="0"/>
        <v>39722</v>
      </c>
      <c r="B23" s="12">
        <f>VLOOKUP(A23,'$kw'!$A$23:$B$43,2)*IF(MONTH(A23)=MONTH('$kw'!$D$13),1,0)</f>
        <v>13.666527815306964</v>
      </c>
      <c r="C23" s="5">
        <f>INT(B23/'$kw'!$B$45*'DS sch'!$D$3/1000)*1000</f>
        <v>4304000</v>
      </c>
      <c r="D23" s="5">
        <f t="shared" si="1"/>
        <v>4446225</v>
      </c>
      <c r="E23" s="18">
        <f t="shared" si="2"/>
        <v>8750225</v>
      </c>
      <c r="F23" s="5">
        <f>IF(MONTH(A23)=MONTH('$kw'!$D$13),'DS sch'!C23+'DS sch'!D23+'DS sch'!D22,0)</f>
        <v>13196450</v>
      </c>
      <c r="H23" s="16">
        <f t="shared" si="3"/>
        <v>94513000</v>
      </c>
    </row>
    <row r="24" spans="1:8" x14ac:dyDescent="0.2">
      <c r="A24" s="15">
        <f t="shared" si="0"/>
        <v>39904</v>
      </c>
      <c r="B24" s="12">
        <f>VLOOKUP(A24,'$kw'!$A$23:$B$43,2)*IF(MONTH(A24)=MONTH('$kw'!$D$13),1,0)</f>
        <v>0</v>
      </c>
      <c r="C24" s="5">
        <f>INT(B24/'$kw'!$B$45*'DS sch'!$D$3/1000)*1000</f>
        <v>0</v>
      </c>
      <c r="D24" s="5">
        <f t="shared" si="1"/>
        <v>4252545</v>
      </c>
      <c r="E24" s="18">
        <f t="shared" si="2"/>
        <v>4252545</v>
      </c>
      <c r="F24" s="5">
        <f>IF(MONTH(A24)=MONTH('$kw'!$D$13),'DS sch'!C24+'DS sch'!D24+'DS sch'!D23,0)</f>
        <v>0</v>
      </c>
      <c r="H24" s="16">
        <f t="shared" si="3"/>
        <v>94513000</v>
      </c>
    </row>
    <row r="25" spans="1:8" x14ac:dyDescent="0.2">
      <c r="A25" s="15">
        <f t="shared" si="0"/>
        <v>40087</v>
      </c>
      <c r="B25" s="12">
        <f>VLOOKUP(A25,'$kw'!$A$23:$B$43,2)*IF(MONTH(A25)=MONTH('$kw'!$D$13),1,0)</f>
        <v>14.896515318684591</v>
      </c>
      <c r="C25" s="5">
        <f>INT(B25/'$kw'!$B$45*'DS sch'!$D$3/1000)*1000</f>
        <v>4692000</v>
      </c>
      <c r="D25" s="5">
        <f t="shared" si="1"/>
        <v>4252545</v>
      </c>
      <c r="E25" s="18">
        <f t="shared" si="2"/>
        <v>8944545</v>
      </c>
      <c r="F25" s="5">
        <f>IF(MONTH(A25)=MONTH('$kw'!$D$13),'DS sch'!C25+'DS sch'!D25+'DS sch'!D24,0)</f>
        <v>13197090</v>
      </c>
      <c r="H25" s="16">
        <f t="shared" si="3"/>
        <v>89821000</v>
      </c>
    </row>
    <row r="26" spans="1:8" x14ac:dyDescent="0.2">
      <c r="A26" s="15">
        <f t="shared" si="0"/>
        <v>40269</v>
      </c>
      <c r="B26" s="12">
        <f>VLOOKUP(A26,'$kw'!$A$23:$B$43,2)*IF(MONTH(A26)=MONTH('$kw'!$D$13),1,0)</f>
        <v>0</v>
      </c>
      <c r="C26" s="5">
        <f>INT(B26/'$kw'!$B$45*'DS sch'!$D$3/1000)*1000</f>
        <v>0</v>
      </c>
      <c r="D26" s="5">
        <f t="shared" si="1"/>
        <v>4041405</v>
      </c>
      <c r="E26" s="18">
        <f t="shared" si="2"/>
        <v>4041405</v>
      </c>
      <c r="F26" s="5">
        <f>IF(MONTH(A26)=MONTH('$kw'!$D$13),'DS sch'!C26+'DS sch'!D26+'DS sch'!D25,0)</f>
        <v>0</v>
      </c>
      <c r="H26" s="16">
        <f t="shared" si="3"/>
        <v>89821000</v>
      </c>
    </row>
    <row r="27" spans="1:8" x14ac:dyDescent="0.2">
      <c r="A27" s="15">
        <f t="shared" si="0"/>
        <v>40452</v>
      </c>
      <c r="B27" s="12">
        <f>VLOOKUP(A27,'$kw'!$A$23:$B$43,2)*IF(MONTH(A27)=MONTH('$kw'!$D$13),1,0)</f>
        <v>16.237201697366199</v>
      </c>
      <c r="C27" s="5">
        <f>INT(B27/'$kw'!$B$45*'DS sch'!$D$3/1000)*1000</f>
        <v>5114000</v>
      </c>
      <c r="D27" s="5">
        <f t="shared" si="1"/>
        <v>4041405</v>
      </c>
      <c r="E27" s="18">
        <f t="shared" si="2"/>
        <v>9155405</v>
      </c>
      <c r="F27" s="5">
        <f>IF(MONTH(A27)=MONTH('$kw'!$D$13),'DS sch'!C27+'DS sch'!D27+'DS sch'!D26,0)</f>
        <v>13196810</v>
      </c>
      <c r="H27" s="16">
        <f t="shared" si="3"/>
        <v>84707000</v>
      </c>
    </row>
    <row r="28" spans="1:8" x14ac:dyDescent="0.2">
      <c r="A28" s="15">
        <f t="shared" si="0"/>
        <v>40634</v>
      </c>
      <c r="B28" s="12">
        <f>VLOOKUP(A28,'$kw'!$A$23:$B$43,2)*IF(MONTH(A28)=MONTH('$kw'!$D$13),1,0)</f>
        <v>0</v>
      </c>
      <c r="C28" s="5">
        <f>INT(B28/'$kw'!$B$45*'DS sch'!$D$3/1000)*1000</f>
        <v>0</v>
      </c>
      <c r="D28" s="5">
        <f t="shared" si="1"/>
        <v>3811275</v>
      </c>
      <c r="E28" s="18">
        <f t="shared" si="2"/>
        <v>3811275</v>
      </c>
      <c r="F28" s="5">
        <f>IF(MONTH(A28)=MONTH('$kw'!$D$13),'DS sch'!C28+'DS sch'!D28+'DS sch'!D27,0)</f>
        <v>0</v>
      </c>
      <c r="H28" s="16">
        <f t="shared" si="3"/>
        <v>84707000</v>
      </c>
    </row>
    <row r="29" spans="1:8" x14ac:dyDescent="0.2">
      <c r="A29" s="15">
        <f t="shared" si="0"/>
        <v>40817</v>
      </c>
      <c r="B29" s="12">
        <f>VLOOKUP(A29,'$kw'!$A$23:$B$43,2)*IF(MONTH(A29)=MONTH('$kw'!$D$13),1,0)</f>
        <v>17.698549850129162</v>
      </c>
      <c r="C29" s="5">
        <f>INT(B29/'$kw'!$B$45*'DS sch'!$D$3/1000)*1000</f>
        <v>5575000</v>
      </c>
      <c r="D29" s="5">
        <f t="shared" si="1"/>
        <v>3811275</v>
      </c>
      <c r="E29" s="18">
        <f t="shared" si="2"/>
        <v>9386275</v>
      </c>
      <c r="F29" s="5">
        <f>IF(MONTH(A29)=MONTH('$kw'!$D$13),'DS sch'!C29+'DS sch'!D29+'DS sch'!D28,0)</f>
        <v>13197550</v>
      </c>
      <c r="H29" s="16">
        <f t="shared" si="3"/>
        <v>79132000</v>
      </c>
    </row>
    <row r="30" spans="1:8" x14ac:dyDescent="0.2">
      <c r="A30" s="15">
        <f t="shared" si="0"/>
        <v>41000</v>
      </c>
      <c r="B30" s="12">
        <f>VLOOKUP(A30,'$kw'!$A$23:$B$43,2)*IF(MONTH(A30)=MONTH('$kw'!$D$13),1,0)</f>
        <v>0</v>
      </c>
      <c r="C30" s="5">
        <f>INT(B30/'$kw'!$B$45*'DS sch'!$D$3/1000)*1000</f>
        <v>0</v>
      </c>
      <c r="D30" s="5">
        <f t="shared" si="1"/>
        <v>3560400</v>
      </c>
      <c r="E30" s="18">
        <f t="shared" si="2"/>
        <v>3560400</v>
      </c>
      <c r="F30" s="5">
        <f>IF(MONTH(A30)=MONTH('$kw'!$D$13),'DS sch'!C30+'DS sch'!D30+'DS sch'!D29,0)</f>
        <v>0</v>
      </c>
      <c r="H30" s="16">
        <f t="shared" si="3"/>
        <v>79132000</v>
      </c>
    </row>
    <row r="31" spans="1:8" x14ac:dyDescent="0.2">
      <c r="A31" s="15">
        <f t="shared" si="0"/>
        <v>41183</v>
      </c>
      <c r="B31" s="12">
        <f>VLOOKUP(A31,'$kw'!$A$23:$B$43,2)*IF(MONTH(A31)=MONTH('$kw'!$D$13),1,0)</f>
        <v>19.291419336640786</v>
      </c>
      <c r="C31" s="5">
        <f>INT(B31/'$kw'!$B$45*'DS sch'!$D$3/1000)*1000</f>
        <v>6076000</v>
      </c>
      <c r="D31" s="5">
        <f t="shared" si="1"/>
        <v>3560400</v>
      </c>
      <c r="E31" s="18">
        <f t="shared" si="2"/>
        <v>9636400</v>
      </c>
      <c r="F31" s="5">
        <f>IF(MONTH(A31)=MONTH('$kw'!$D$13),'DS sch'!C31+'DS sch'!D31+'DS sch'!D30,0)</f>
        <v>13196800</v>
      </c>
      <c r="H31" s="16">
        <f t="shared" si="3"/>
        <v>73056000</v>
      </c>
    </row>
    <row r="32" spans="1:8" x14ac:dyDescent="0.2">
      <c r="A32" s="15">
        <f t="shared" si="0"/>
        <v>41365</v>
      </c>
      <c r="B32" s="12">
        <f>VLOOKUP(A32,'$kw'!$A$23:$B$43,2)*IF(MONTH(A32)=MONTH('$kw'!$D$13),1,0)</f>
        <v>0</v>
      </c>
      <c r="C32" s="5">
        <f>INT(B32/'$kw'!$B$45*'DS sch'!$D$3/1000)*1000</f>
        <v>0</v>
      </c>
      <c r="D32" s="5">
        <f t="shared" si="1"/>
        <v>3286980</v>
      </c>
      <c r="E32" s="18">
        <f t="shared" si="2"/>
        <v>3286980</v>
      </c>
      <c r="F32" s="5">
        <f>IF(MONTH(A32)=MONTH('$kw'!$D$13),'DS sch'!C32+'DS sch'!D32+'DS sch'!D31,0)</f>
        <v>0</v>
      </c>
      <c r="H32" s="16">
        <f t="shared" si="3"/>
        <v>73056000</v>
      </c>
    </row>
    <row r="33" spans="1:8" x14ac:dyDescent="0.2">
      <c r="A33" s="15">
        <f t="shared" si="0"/>
        <v>41548</v>
      </c>
      <c r="B33" s="12">
        <f>VLOOKUP(A33,'$kw'!$A$23:$B$43,2)*IF(MONTH(A33)=MONTH('$kw'!$D$13),1,0)</f>
        <v>21.027647076938454</v>
      </c>
      <c r="C33" s="5">
        <f>INT(B33/'$kw'!$B$45*'DS sch'!$D$3/1000)*1000</f>
        <v>6623000</v>
      </c>
      <c r="D33" s="5">
        <f t="shared" si="1"/>
        <v>3286980</v>
      </c>
      <c r="E33" s="18">
        <f t="shared" si="2"/>
        <v>9909980</v>
      </c>
      <c r="F33" s="5">
        <f>IF(MONTH(A33)=MONTH('$kw'!$D$13),'DS sch'!C33+'DS sch'!D33+'DS sch'!D32,0)</f>
        <v>13196960</v>
      </c>
      <c r="H33" s="16">
        <f t="shared" si="3"/>
        <v>66433000</v>
      </c>
    </row>
    <row r="34" spans="1:8" x14ac:dyDescent="0.2">
      <c r="A34" s="15">
        <f t="shared" si="0"/>
        <v>41730</v>
      </c>
      <c r="B34" s="12">
        <f>VLOOKUP(A34,'$kw'!$A$23:$B$43,2)*IF(MONTH(A34)=MONTH('$kw'!$D$13),1,0)</f>
        <v>0</v>
      </c>
      <c r="C34" s="5">
        <f>INT(B34/'$kw'!$B$45*'DS sch'!$D$3/1000)*1000</f>
        <v>0</v>
      </c>
      <c r="D34" s="5">
        <f t="shared" si="1"/>
        <v>2988945</v>
      </c>
      <c r="E34" s="18">
        <f t="shared" si="2"/>
        <v>2988945</v>
      </c>
      <c r="F34" s="5">
        <f>IF(MONTH(A34)=MONTH('$kw'!$D$13),'DS sch'!C34+'DS sch'!D34+'DS sch'!D33,0)</f>
        <v>0</v>
      </c>
      <c r="H34" s="16">
        <f t="shared" si="3"/>
        <v>66433000</v>
      </c>
    </row>
    <row r="35" spans="1:8" x14ac:dyDescent="0.2">
      <c r="A35" s="15">
        <f t="shared" si="0"/>
        <v>41913</v>
      </c>
      <c r="B35" s="12">
        <f>VLOOKUP(A35,'$kw'!$A$23:$B$43,2)*IF(MONTH(A35)=MONTH('$kw'!$D$13),1,0)</f>
        <v>22.920135313862914</v>
      </c>
      <c r="C35" s="5">
        <f>INT(B35/'$kw'!$B$45*'DS sch'!$D$3/1000)*1000</f>
        <v>7219000</v>
      </c>
      <c r="D35" s="5">
        <f t="shared" si="1"/>
        <v>2988945</v>
      </c>
      <c r="E35" s="18">
        <f t="shared" si="2"/>
        <v>10207945</v>
      </c>
      <c r="F35" s="5">
        <f>IF(MONTH(A35)=MONTH('$kw'!$D$13),'DS sch'!C35+'DS sch'!D35+'DS sch'!D34,0)</f>
        <v>13196890</v>
      </c>
      <c r="H35" s="16">
        <f t="shared" si="3"/>
        <v>59214000</v>
      </c>
    </row>
    <row r="36" spans="1:8" x14ac:dyDescent="0.2">
      <c r="A36" s="15">
        <f t="shared" si="0"/>
        <v>42095</v>
      </c>
      <c r="B36" s="12">
        <f>VLOOKUP(A36,'$kw'!$A$23:$B$43,2)*IF(MONTH(A36)=MONTH('$kw'!$D$13),1,0)</f>
        <v>0</v>
      </c>
      <c r="C36" s="5">
        <f>INT(B36/'$kw'!$B$45*'DS sch'!$D$3/1000)*1000</f>
        <v>0</v>
      </c>
      <c r="D36" s="5">
        <f t="shared" si="1"/>
        <v>2664090</v>
      </c>
      <c r="E36" s="18">
        <f t="shared" si="2"/>
        <v>2664090</v>
      </c>
      <c r="F36" s="5">
        <f>IF(MONTH(A36)=MONTH('$kw'!$D$13),'DS sch'!C36+'DS sch'!D36+'DS sch'!D35,0)</f>
        <v>0</v>
      </c>
      <c r="H36" s="16">
        <f t="shared" si="3"/>
        <v>59214000</v>
      </c>
    </row>
    <row r="37" spans="1:8" x14ac:dyDescent="0.2">
      <c r="A37" s="15">
        <f t="shared" si="0"/>
        <v>42278</v>
      </c>
      <c r="B37" s="12">
        <f>VLOOKUP(A37,'$kw'!$A$23:$B$43,2)*IF(MONTH(A37)=MONTH('$kw'!$D$13),1,0)</f>
        <v>24.982947492110576</v>
      </c>
      <c r="C37" s="5">
        <f>INT(B37/'$kw'!$B$45*'DS sch'!$D$3/1000)*1000</f>
        <v>7869000</v>
      </c>
      <c r="D37" s="5">
        <f t="shared" si="1"/>
        <v>2664090</v>
      </c>
      <c r="E37" s="18">
        <f t="shared" si="2"/>
        <v>10533090</v>
      </c>
      <c r="F37" s="5">
        <f>IF(MONTH(A37)=MONTH('$kw'!$D$13),'DS sch'!C37+'DS sch'!D37+'DS sch'!D36,0)</f>
        <v>13197180</v>
      </c>
      <c r="H37" s="16">
        <f t="shared" si="3"/>
        <v>51345000</v>
      </c>
    </row>
    <row r="38" spans="1:8" x14ac:dyDescent="0.2">
      <c r="A38" s="15">
        <f t="shared" si="0"/>
        <v>42461</v>
      </c>
      <c r="B38" s="12">
        <f>VLOOKUP(A38,'$kw'!$A$23:$B$43,2)*IF(MONTH(A38)=MONTH('$kw'!$D$13),1,0)</f>
        <v>0</v>
      </c>
      <c r="C38" s="5">
        <f>INT(B38/'$kw'!$B$45*'DS sch'!$D$3/1000)*1000</f>
        <v>0</v>
      </c>
      <c r="D38" s="5">
        <f t="shared" si="1"/>
        <v>2309985</v>
      </c>
      <c r="E38" s="18">
        <f t="shared" si="2"/>
        <v>2309985</v>
      </c>
      <c r="F38" s="5">
        <f>IF(MONTH(A38)=MONTH('$kw'!$D$13),'DS sch'!C38+'DS sch'!D38+'DS sch'!D37,0)</f>
        <v>0</v>
      </c>
      <c r="H38" s="16">
        <f t="shared" si="3"/>
        <v>51345000</v>
      </c>
    </row>
    <row r="39" spans="1:8" x14ac:dyDescent="0.2">
      <c r="A39" s="15">
        <f t="shared" si="0"/>
        <v>42644</v>
      </c>
      <c r="B39" s="12">
        <f>VLOOKUP(A39,'$kw'!$A$23:$B$43,2)*IF(MONTH(A39)=MONTH('$kw'!$D$13),1,0)</f>
        <v>27.231412766400535</v>
      </c>
      <c r="C39" s="5">
        <f>INT(B39/'$kw'!$B$45*'DS sch'!$D$3/1000)*1000</f>
        <v>8577000</v>
      </c>
      <c r="D39" s="5">
        <f t="shared" si="1"/>
        <v>2309985</v>
      </c>
      <c r="E39" s="18">
        <f t="shared" si="2"/>
        <v>10886985</v>
      </c>
      <c r="F39" s="5">
        <f>IF(MONTH(A39)=MONTH('$kw'!$D$13),'DS sch'!C39+'DS sch'!D39+'DS sch'!D38,0)</f>
        <v>13196970</v>
      </c>
      <c r="H39" s="16">
        <f t="shared" si="3"/>
        <v>42768000</v>
      </c>
    </row>
    <row r="40" spans="1:8" x14ac:dyDescent="0.2">
      <c r="A40" s="15">
        <f t="shared" si="0"/>
        <v>42826</v>
      </c>
      <c r="B40" s="12">
        <f>VLOOKUP(A40,'$kw'!$A$23:$B$43,2)*IF(MONTH(A40)=MONTH('$kw'!$D$13),1,0)</f>
        <v>0</v>
      </c>
      <c r="C40" s="5">
        <f>INT(B40/'$kw'!$B$45*'DS sch'!$D$3/1000)*1000</f>
        <v>0</v>
      </c>
      <c r="D40" s="5">
        <f t="shared" si="1"/>
        <v>1924020</v>
      </c>
      <c r="E40" s="18">
        <f t="shared" si="2"/>
        <v>1924020</v>
      </c>
      <c r="F40" s="5">
        <f>IF(MONTH(A40)=MONTH('$kw'!$D$13),'DS sch'!C40+'DS sch'!D40+'DS sch'!D39,0)</f>
        <v>0</v>
      </c>
      <c r="H40" s="16">
        <f t="shared" si="3"/>
        <v>42768000</v>
      </c>
    </row>
    <row r="41" spans="1:8" x14ac:dyDescent="0.2">
      <c r="A41" s="15">
        <f t="shared" si="0"/>
        <v>43009</v>
      </c>
      <c r="B41" s="12">
        <f>VLOOKUP(A41,'$kw'!$A$23:$B$43,2)*IF(MONTH(A41)=MONTH('$kw'!$D$13),1,0)</f>
        <v>29.682239915376581</v>
      </c>
      <c r="C41" s="5">
        <f>INT(B41/'$kw'!$B$45*'DS sch'!$D$3/1000)*1000</f>
        <v>9349000</v>
      </c>
      <c r="D41" s="5">
        <f t="shared" si="1"/>
        <v>1924020</v>
      </c>
      <c r="E41" s="18">
        <f t="shared" si="2"/>
        <v>11273020</v>
      </c>
      <c r="F41" s="5">
        <f>IF(MONTH(A41)=MONTH('$kw'!$D$13),'DS sch'!C41+'DS sch'!D41+'DS sch'!D40,0)</f>
        <v>13197040</v>
      </c>
      <c r="H41" s="16">
        <f t="shared" si="3"/>
        <v>33419000</v>
      </c>
    </row>
    <row r="42" spans="1:8" x14ac:dyDescent="0.2">
      <c r="A42" s="15">
        <f t="shared" si="0"/>
        <v>43191</v>
      </c>
      <c r="B42" s="12">
        <f>VLOOKUP(A42,'$kw'!$A$23:$B$43,2)*IF(MONTH(A42)=MONTH('$kw'!$D$13),1,0)</f>
        <v>0</v>
      </c>
      <c r="C42" s="5">
        <f>INT(B42/'$kw'!$B$45*'DS sch'!$D$3/1000)*1000</f>
        <v>0</v>
      </c>
      <c r="D42" s="5">
        <f t="shared" si="1"/>
        <v>1503315</v>
      </c>
      <c r="E42" s="18">
        <f t="shared" si="2"/>
        <v>1503315</v>
      </c>
      <c r="F42" s="5">
        <f>IF(MONTH(A42)=MONTH('$kw'!$D$13),'DS sch'!C42+'DS sch'!D42+'DS sch'!D41,0)</f>
        <v>0</v>
      </c>
      <c r="H42" s="16">
        <f t="shared" si="3"/>
        <v>33419000</v>
      </c>
    </row>
    <row r="43" spans="1:8" x14ac:dyDescent="0.2">
      <c r="A43" s="15">
        <f t="shared" si="0"/>
        <v>43374</v>
      </c>
      <c r="B43" s="12">
        <f>VLOOKUP(A43,'$kw'!$A$23:$B$43,2)*IF(MONTH(A43)=MONTH('$kw'!$D$13),1,0)</f>
        <v>32.353641507760472</v>
      </c>
      <c r="C43" s="5">
        <f>INT(B43/'$kw'!$B$45*'DS sch'!$D$3/1000)*1000</f>
        <v>10191000</v>
      </c>
      <c r="D43" s="5">
        <f t="shared" si="1"/>
        <v>1503315</v>
      </c>
      <c r="E43" s="18">
        <f t="shared" si="2"/>
        <v>11694315</v>
      </c>
      <c r="F43" s="5">
        <f>IF(MONTH(A43)=MONTH('$kw'!$D$13),'DS sch'!C43+'DS sch'!D43+'DS sch'!D42,0)</f>
        <v>13197630</v>
      </c>
      <c r="H43" s="16">
        <f t="shared" si="3"/>
        <v>23228000</v>
      </c>
    </row>
    <row r="44" spans="1:8" x14ac:dyDescent="0.2">
      <c r="A44" s="15">
        <f t="shared" si="0"/>
        <v>43556</v>
      </c>
      <c r="B44" s="12">
        <f>VLOOKUP(A44,'$kw'!$A$23:$B$43,2)*IF(MONTH(A44)=MONTH('$kw'!$D$13),1,0)</f>
        <v>0</v>
      </c>
      <c r="C44" s="5">
        <f>INT(B44/'$kw'!$B$45*'DS sch'!$D$3/1000)*1000</f>
        <v>0</v>
      </c>
      <c r="D44" s="5">
        <f t="shared" si="1"/>
        <v>1044720</v>
      </c>
      <c r="E44" s="18">
        <f t="shared" si="2"/>
        <v>1044720</v>
      </c>
      <c r="F44" s="5">
        <f>IF(MONTH(A44)=MONTH('$kw'!$D$13),'DS sch'!C44+'DS sch'!D44+'DS sch'!D43,0)</f>
        <v>0</v>
      </c>
      <c r="H44" s="16">
        <f t="shared" si="3"/>
        <v>23228000</v>
      </c>
    </row>
    <row r="45" spans="1:8" x14ac:dyDescent="0.2">
      <c r="A45" s="15">
        <f t="shared" si="0"/>
        <v>43739</v>
      </c>
      <c r="B45" s="12">
        <f>VLOOKUP(A45,'$kw'!$A$23:$B$43,2)*IF(MONTH(A45)=MONTH('$kw'!$D$13),1,0)</f>
        <v>35.265469243458909</v>
      </c>
      <c r="C45" s="5">
        <f>INT(B45/'$kw'!$B$45*'DS sch'!$D$3/1000)*1000</f>
        <v>11108000</v>
      </c>
      <c r="D45" s="5">
        <f t="shared" si="1"/>
        <v>1044720</v>
      </c>
      <c r="E45" s="18">
        <f t="shared" si="2"/>
        <v>12152720</v>
      </c>
      <c r="F45" s="5">
        <f>IF(MONTH(A45)=MONTH('$kw'!$D$13),'DS sch'!C45+'DS sch'!D45+'DS sch'!D44,0)</f>
        <v>13197440</v>
      </c>
      <c r="H45" s="16">
        <f t="shared" si="3"/>
        <v>12120000</v>
      </c>
    </row>
    <row r="46" spans="1:8" x14ac:dyDescent="0.2">
      <c r="A46" s="15">
        <f t="shared" si="0"/>
        <v>43922</v>
      </c>
      <c r="B46" s="12">
        <f>VLOOKUP(A46,'$kw'!$A$23:$B$43,2)*IF(MONTH(A46)=MONTH('$kw'!$D$13),1,0)</f>
        <v>0</v>
      </c>
      <c r="C46" s="5">
        <f>INT(B46/'$kw'!$B$45*'DS sch'!$D$3/1000)*1000</f>
        <v>0</v>
      </c>
      <c r="D46" s="5">
        <f t="shared" si="1"/>
        <v>544860</v>
      </c>
      <c r="E46" s="18">
        <f t="shared" si="2"/>
        <v>544860</v>
      </c>
      <c r="F46" s="5">
        <f>IF(MONTH(A46)=MONTH('$kw'!$D$13),'DS sch'!C46+'DS sch'!D46+'DS sch'!D45,0)</f>
        <v>0</v>
      </c>
      <c r="H46" s="16">
        <f t="shared" si="3"/>
        <v>12120000</v>
      </c>
    </row>
    <row r="47" spans="1:8" x14ac:dyDescent="0.2">
      <c r="A47" s="15">
        <f t="shared" si="0"/>
        <v>44105</v>
      </c>
      <c r="B47" s="12">
        <f>VLOOKUP(A47,'$kw'!$A$23:$B$43,2)*IF(MONTH(A47)=MONTH('$kw'!$D$13),1,0)</f>
        <v>38.439361475370205</v>
      </c>
      <c r="C47" s="5">
        <f>INT(B47/'$kw'!$B$45*'DS sch'!$D$3/1000)*1000</f>
        <v>12108000</v>
      </c>
      <c r="D47" s="5">
        <f t="shared" si="1"/>
        <v>544860</v>
      </c>
      <c r="E47" s="18">
        <f t="shared" si="2"/>
        <v>12652860</v>
      </c>
      <c r="F47" s="5">
        <f>IF(MONTH(A47)=MONTH('$kw'!$D$13),'DS sch'!C47+'DS sch'!D47+'DS sch'!D46,0)</f>
        <v>13197720</v>
      </c>
      <c r="H47" s="16">
        <f t="shared" si="3"/>
        <v>12000</v>
      </c>
    </row>
    <row r="48" spans="1:8" x14ac:dyDescent="0.2">
      <c r="A48" s="15">
        <f t="shared" si="0"/>
        <v>44287</v>
      </c>
      <c r="B48" s="12">
        <f>VLOOKUP(A48,'$kw'!$A$23:$B$43,2)*IF(MONTH(A48)=MONTH('$kw'!$D$13),1,0)</f>
        <v>0</v>
      </c>
      <c r="C48" s="5">
        <f>INT(B48/'$kw'!$B$45*'DS sch'!$D$3/1000)*1000</f>
        <v>0</v>
      </c>
      <c r="D48" s="5">
        <f t="shared" si="1"/>
        <v>0</v>
      </c>
      <c r="E48" s="18">
        <f t="shared" si="2"/>
        <v>0</v>
      </c>
      <c r="F48" s="5">
        <f>IF(MONTH(A48)=MONTH('$kw'!$D$13),'DS sch'!C48+'DS sch'!D48+'DS sch'!D47,0)</f>
        <v>0</v>
      </c>
      <c r="H48" s="16">
        <f t="shared" si="3"/>
        <v>12000</v>
      </c>
    </row>
    <row r="49" spans="1:8" x14ac:dyDescent="0.2">
      <c r="A49" s="15">
        <f t="shared" si="0"/>
        <v>44470</v>
      </c>
      <c r="B49" s="12">
        <f>VLOOKUP(A49,'$kw'!$A$23:$B$43,2)*IF(MONTH(A49)=MONTH('$kw'!$D$13),1,0)</f>
        <v>0</v>
      </c>
      <c r="C49" s="5">
        <f>INT(B49/'$kw'!$B$45*'DS sch'!$D$3/1000)*1000</f>
        <v>0</v>
      </c>
      <c r="D49" s="5">
        <f t="shared" si="1"/>
        <v>0</v>
      </c>
      <c r="E49" s="18">
        <f t="shared" si="2"/>
        <v>0</v>
      </c>
      <c r="F49" s="5">
        <f>IF(MONTH(A49)=MONTH('$kw'!$D$13),'DS sch'!C49+'DS sch'!D49+'DS sch'!D48,0)</f>
        <v>0</v>
      </c>
      <c r="H49" s="16">
        <f t="shared" si="3"/>
        <v>12000</v>
      </c>
    </row>
    <row r="50" spans="1:8" x14ac:dyDescent="0.2">
      <c r="A50" s="15"/>
      <c r="C50" s="18"/>
      <c r="D50" s="18"/>
      <c r="E50" s="18"/>
      <c r="F50" s="18"/>
    </row>
    <row r="51" spans="1:8" x14ac:dyDescent="0.2">
      <c r="A51" s="15"/>
      <c r="B51" s="18">
        <f>SUM(B8:B49)</f>
        <v>375</v>
      </c>
      <c r="C51" s="18">
        <f>SUM(C8:C49)</f>
        <v>118113000</v>
      </c>
      <c r="D51" s="18">
        <f>SUM(D8:D49)</f>
        <v>137944395</v>
      </c>
      <c r="E51" s="18">
        <f>SUM(E8:E49)</f>
        <v>256057395</v>
      </c>
      <c r="F51" s="18">
        <f>SUM(F8:F49)</f>
        <v>256057395</v>
      </c>
    </row>
    <row r="52" spans="1:8" x14ac:dyDescent="0.2">
      <c r="A52" s="15"/>
    </row>
    <row r="53" spans="1:8" x14ac:dyDescent="0.2">
      <c r="A53" s="15"/>
    </row>
    <row r="54" spans="1:8" x14ac:dyDescent="0.2">
      <c r="A54" s="15"/>
    </row>
    <row r="55" spans="1:8" x14ac:dyDescent="0.2">
      <c r="A55" s="15"/>
    </row>
    <row r="56" spans="1:8" x14ac:dyDescent="0.2">
      <c r="A56" s="15"/>
    </row>
    <row r="57" spans="1:8" x14ac:dyDescent="0.2">
      <c r="A57" s="15"/>
    </row>
    <row r="58" spans="1:8" x14ac:dyDescent="0.2">
      <c r="A58" s="15"/>
    </row>
    <row r="59" spans="1:8" x14ac:dyDescent="0.2">
      <c r="A59" s="15"/>
    </row>
    <row r="60" spans="1:8" x14ac:dyDescent="0.2">
      <c r="A60" s="15"/>
    </row>
    <row r="61" spans="1:8" x14ac:dyDescent="0.2">
      <c r="A61" s="15"/>
    </row>
    <row r="62" spans="1:8" x14ac:dyDescent="0.2">
      <c r="A62" s="15"/>
    </row>
    <row r="63" spans="1:8" x14ac:dyDescent="0.2">
      <c r="A63" s="15"/>
    </row>
    <row r="64" spans="1:8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$kw</vt:lpstr>
      <vt:lpstr>DS sch</vt:lpstr>
      <vt:lpstr>graph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1999-12-15T17:29:55Z</cp:lastPrinted>
  <dcterms:created xsi:type="dcterms:W3CDTF">1999-10-14T22:38:00Z</dcterms:created>
  <dcterms:modified xsi:type="dcterms:W3CDTF">2014-09-03T10:59:06Z</dcterms:modified>
</cp:coreProperties>
</file>