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520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mortization of Power Contract" sheetId="2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" hidden="1">{"Income Statement",#N/A,FALSE,"CFMODEL";"Balance Sheet",#N/A,FALSE,"CFMODEL"}</definedName>
    <definedName name="AnnualHours" localSheetId="6">[8]Assumptions!#REF!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Gleason!$D$506:$U$506</definedName>
    <definedName name="Coso_Distributable_Cash" localSheetId="10">'New Albany'!$D$517:$U$517</definedName>
    <definedName name="Coso_Distributable_Cash" localSheetId="12">Wheatland!$D$483:$U$483</definedName>
    <definedName name="Coso_Net_ATCash" localSheetId="11">Gleason!$D$507:$U$507</definedName>
    <definedName name="Coso_Net_ATCash" localSheetId="10">'New Albany'!$D$518:$U$518</definedName>
    <definedName name="Coso_Net_ATCash" localSheetId="12">Wheatland!$D$484:$U$484</definedName>
    <definedName name="Coso_Net_Income" localSheetId="11">Gleason!$D$505:$U$505</definedName>
    <definedName name="Coso_Net_Income" localSheetId="10">'New Albany'!$D$516:$U$516</definedName>
    <definedName name="Coso_Net_Income" localSheetId="12">Wheatland!$D$482:$U$482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Gleason!$D$500:$U$500</definedName>
    <definedName name="Energy_Credit_Coso" localSheetId="10">'New Albany'!$D$511:$U$511</definedName>
    <definedName name="Energy_Credit_Coso" localSheetId="12">Wheatland!$D$477:$U$477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Gleason!$D$447:$N$447</definedName>
    <definedName name="FPOC_Distributable_Cash" localSheetId="10">'New Albany'!$D$458:$N$458</definedName>
    <definedName name="FPOC_Distributable_Cash" localSheetId="12">Wheatland!$D$424:$N$424</definedName>
    <definedName name="FPOC_Net_ATCash" localSheetId="11">Gleason!$D$449:$N$449</definedName>
    <definedName name="FPOC_Net_ATCash" localSheetId="10">'New Albany'!$D$460:$N$460</definedName>
    <definedName name="FPOC_Net_ATCash" localSheetId="12">Wheatland!$D$426:$N$426</definedName>
    <definedName name="FPOC_Net_Income" localSheetId="11">Gleason!$D$449:$N$449</definedName>
    <definedName name="FPOC_Net_Income" localSheetId="10">'New Albany'!$D$460:$N$460</definedName>
    <definedName name="FPOC_Net_Income" localSheetId="12">Wheatland!$D$426:$N$426</definedName>
    <definedName name="FSGC_ATCash" localSheetId="11">Gleason!$D$284:$H$284</definedName>
    <definedName name="FSGC_ATCash" localSheetId="10">'New Albany'!$D$295:$H$295</definedName>
    <definedName name="FSGC_ATCash" localSheetId="12">Wheatland!$D$261:$H$261</definedName>
    <definedName name="FSGC_Distributable_Cash" localSheetId="11">Gleason!$C$282:$H$282</definedName>
    <definedName name="FSGC_Distributable_Cash" localSheetId="10">'New Albany'!$C$293:$H$293</definedName>
    <definedName name="FSGC_Distributable_Cash" localSheetId="12">Wheatland!$C$259:$H$259</definedName>
    <definedName name="FSGC_Net_Income" localSheetId="11">Gleason!$D$284:$H$284</definedName>
    <definedName name="FSGC_Net_Income" localSheetId="10">'New Albany'!$D$295:$H$295</definedName>
    <definedName name="FSGC_Net_Income" localSheetId="12">Wheatland!$D$261:$H$261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[8]Assumptions!#REF!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Gleason!$D$183:$U$183</definedName>
    <definedName name="Minerals_Distributable_Cash" localSheetId="10">'New Albany'!$D$194:$U$194</definedName>
    <definedName name="Minerals_Distributable_Cash" localSheetId="12">Wheatland!$D$160:$U$160</definedName>
    <definedName name="Minerals_Net_ATCash" localSheetId="11">Gleason!$D$184:$U$184</definedName>
    <definedName name="Minerals_Net_ATCash" localSheetId="10">'New Albany'!$D$195:$U$195</definedName>
    <definedName name="Minerals_Net_ATCash" localSheetId="12">Wheatland!$D$161:$U$161</definedName>
    <definedName name="Minerals_Net_Income" localSheetId="11">Gleason!$D$182:$U$182</definedName>
    <definedName name="Minerals_Net_Income" localSheetId="10">'New Albany'!$D$193:$U$193</definedName>
    <definedName name="Minerals_Net_Income" localSheetId="12">Wheatland!$D$159:$U$159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Gleason!$B$548:$L$548</definedName>
    <definedName name="Norcon_Distributable_Cash" localSheetId="10">'New Albany'!$B$559:$L$559</definedName>
    <definedName name="Norcon_Distributable_Cash" localSheetId="12">Wheatland!$B$525:$L$525</definedName>
    <definedName name="Norcon_Net_ATCash" localSheetId="11">Gleason!$B$549:$L$549</definedName>
    <definedName name="Norcon_Net_ATCash" localSheetId="10">'New Albany'!$B$560:$L$560</definedName>
    <definedName name="Norcon_Net_ATCash" localSheetId="12">Wheatland!$B$526:$L$526</definedName>
    <definedName name="Norcon_Net_Income" localSheetId="11">Gleason!$B$547:$L$547</definedName>
    <definedName name="Norcon_Net_Income" localSheetId="10">'New Albany'!$B$558:$L$558</definedName>
    <definedName name="Norcon_Net_Income" localSheetId="12">Wheatland!$B$524:$L$524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Gleason!$D$227:$H$227</definedName>
    <definedName name="PRI_Cash_Taxes" localSheetId="10">'New Albany'!$D$238:$H$238</definedName>
    <definedName name="PRI_Cash_Taxes" localSheetId="12">Wheatland!$D$204:$H$204</definedName>
    <definedName name="PRI_Net_ATCash" localSheetId="11">Gleason!$D$235:$H$235</definedName>
    <definedName name="PRI_Net_ATCash" localSheetId="10">'New Albany'!$D$246:$H$246</definedName>
    <definedName name="PRI_Net_ATCash" localSheetId="12">Wheatland!$D$212:$H$212</definedName>
    <definedName name="PRI_Net_Income" localSheetId="11">Gleason!$D$234:$H$234</definedName>
    <definedName name="PRI_Net_Income" localSheetId="10">'New Albany'!$D$245:$H$245</definedName>
    <definedName name="PRI_Net_Income" localSheetId="12">Wheatland!$D$211:$H$211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4">'Amortization of Power Contract'!$A$2:$F$54</definedName>
    <definedName name="_xlnm.Print_Area" localSheetId="1">Assumptions!$A$1:$K$46</definedName>
    <definedName name="_xlnm.Print_Area" localSheetId="8">Brownsville!$A$2:$U$103</definedName>
    <definedName name="_xlnm.Print_Area" localSheetId="9">Caledonia!$A$2:$U$100</definedName>
    <definedName name="_xlnm.Print_Area" localSheetId="5">CF!$A$1:$V$40</definedName>
    <definedName name="_xlnm.Print_Area" localSheetId="4">Debt!$A$1:$U$88</definedName>
    <definedName name="_xlnm.Print_Area" localSheetId="6">Depreciation!$A$2:$V$107</definedName>
    <definedName name="_xlnm.Print_Area" localSheetId="11">Gleason!$A$2:$U$103</definedName>
    <definedName name="_xlnm.Print_Area" localSheetId="3">IS!$A$2:$U$45</definedName>
    <definedName name="_xlnm.Print_Area" localSheetId="10">'New Albany'!$A$2:$U$100</definedName>
    <definedName name="_xlnm.Print_Area" localSheetId="0">'Summary Output'!$A$3:$G$64</definedName>
    <definedName name="_xlnm.Print_Area" localSheetId="7">Tax!$A$2:$U$20</definedName>
    <definedName name="_xlnm.Print_Area" localSheetId="12">Wheatland!$A$2:$U$106</definedName>
    <definedName name="_xlnm.Print_Area" localSheetId="13">Wilton!$A$2:$U$97</definedName>
    <definedName name="ProjectLife">'[7]Project Assumptions'!$I$15</definedName>
    <definedName name="Saranac_Distributable_Cash" localSheetId="11">Gleason!$D$402:$N$402</definedName>
    <definedName name="Saranac_Distributable_Cash" localSheetId="10">'New Albany'!$D$413:$N$413</definedName>
    <definedName name="Saranac_Distributable_Cash" localSheetId="12">Wheatland!$D$379:$N$379</definedName>
    <definedName name="Saranac_Net_ATCash" localSheetId="11">Gleason!$D$403:$N$403</definedName>
    <definedName name="Saranac_Net_ATCash" localSheetId="10">'New Albany'!$D$414:$N$414</definedName>
    <definedName name="Saranac_Net_ATCash" localSheetId="12">Wheatland!$D$380:$N$380</definedName>
    <definedName name="Saranac_Net_Income" localSheetId="11">Gleason!$D$401:$N$401</definedName>
    <definedName name="Saranac_Net_Income" localSheetId="10">'New Albany'!$D$412:$N$412</definedName>
    <definedName name="Saranac_Net_Income" localSheetId="12">Wheatland!$D$378:$N$378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[8]Assumptions!#REF!</definedName>
    <definedName name="Variable">[1]Assumptions!#REF!</definedName>
    <definedName name="WaterTreatmentVar" localSheetId="6">[8]Assumptions!#REF!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Gleason!$D$364:$U$364</definedName>
    <definedName name="Yuma_Distributable_Cash" localSheetId="10">'New Albany'!$D$375:$U$375</definedName>
    <definedName name="Yuma_Distributable_Cash" localSheetId="12">Wheatland!$D$341:$U$341</definedName>
    <definedName name="Yuma_Net_ATCash" localSheetId="11">Gleason!$D$365:$U$365</definedName>
    <definedName name="Yuma_Net_ATCash" localSheetId="10">'New Albany'!$D$376:$U$376</definedName>
    <definedName name="Yuma_Net_ATCash" localSheetId="12">Wheatland!$D$342:$U$342</definedName>
    <definedName name="Yuma_Net_Income" localSheetId="11">Gleason!$D$363:$U$363</definedName>
    <definedName name="Yuma_Net_Income" localSheetId="10">'New Albany'!$D$374:$U$374</definedName>
    <definedName name="Yuma_Net_Income" localSheetId="12">Wheatland!$D$340:$U$340</definedName>
    <definedName name="zinc" localSheetId="11">Gleason!$X$14</definedName>
    <definedName name="zinc" localSheetId="10">'New Albany'!$X$14</definedName>
    <definedName name="zinc" localSheetId="12">Wheatland!$X$11</definedName>
    <definedName name="Zinc_Distributable_Cash" localSheetId="11">Gleason!$D$128:$U$128</definedName>
    <definedName name="Zinc_Distributable_Cash" localSheetId="10">'New Albany'!$D$139:$U$139</definedName>
    <definedName name="Zinc_Distributable_Cash" localSheetId="12">Wheatland!$D$105:$U$105</definedName>
    <definedName name="Zinc_Net_ATCash" localSheetId="11">Gleason!$D$129:$U$129</definedName>
    <definedName name="Zinc_Net_ATCash" localSheetId="10">'New Albany'!$D$140:$U$140</definedName>
    <definedName name="Zinc_Net_ATCash" localSheetId="12">Wheatland!$D$106:$U$106</definedName>
    <definedName name="Zinc_Net_Income" localSheetId="11">Gleason!$D$127:$U$127</definedName>
    <definedName name="Zinc_Net_Income" localSheetId="10">'New Albany'!$D$138:$U$138</definedName>
    <definedName name="Zinc_Net_Income" localSheetId="12">Wheatland!$D$104:$U$104</definedName>
  </definedNames>
  <calcPr calcId="152511" calcMode="manual" iterate="1"/>
</workbook>
</file>

<file path=xl/calcChain.xml><?xml version="1.0" encoding="utf-8"?>
<calcChain xmlns="http://schemas.openxmlformats.org/spreadsheetml/2006/main">
  <c r="C10" i="16" l="1"/>
  <c r="E10" i="16"/>
  <c r="C15" i="16"/>
  <c r="E15" i="16"/>
  <c r="C17" i="16"/>
  <c r="E17" i="16"/>
  <c r="E8" i="24"/>
  <c r="D9" i="24"/>
  <c r="E9" i="24"/>
  <c r="F9" i="24"/>
  <c r="D15" i="24"/>
  <c r="E15" i="24"/>
  <c r="F15" i="24"/>
  <c r="D21" i="24"/>
  <c r="E21" i="24"/>
  <c r="F21" i="24"/>
  <c r="D27" i="24"/>
  <c r="E27" i="24"/>
  <c r="F27" i="24"/>
  <c r="D33" i="24"/>
  <c r="E33" i="24"/>
  <c r="F33" i="24"/>
  <c r="D39" i="24"/>
  <c r="E39" i="24"/>
  <c r="F39" i="24"/>
  <c r="C45" i="24"/>
  <c r="C49" i="24"/>
  <c r="C53" i="24"/>
  <c r="K8" i="23"/>
  <c r="K9" i="23"/>
  <c r="K10" i="23"/>
  <c r="K11" i="23"/>
  <c r="D16" i="23"/>
  <c r="E16" i="23"/>
  <c r="G16" i="23"/>
  <c r="H16" i="23"/>
  <c r="I16" i="23"/>
  <c r="C17" i="23"/>
  <c r="D17" i="23"/>
  <c r="E17" i="23"/>
  <c r="G17" i="23"/>
  <c r="H17" i="23"/>
  <c r="I17" i="23"/>
  <c r="C18" i="23"/>
  <c r="D18" i="23"/>
  <c r="E18" i="23"/>
  <c r="G18" i="23"/>
  <c r="H18" i="23"/>
  <c r="I18" i="23"/>
  <c r="D25" i="23"/>
  <c r="E25" i="23"/>
  <c r="G25" i="23"/>
  <c r="H25" i="23"/>
  <c r="I25" i="23"/>
  <c r="C29" i="23"/>
  <c r="D29" i="23"/>
  <c r="E29" i="23"/>
  <c r="G29" i="23"/>
  <c r="H29" i="23"/>
  <c r="I29" i="23"/>
  <c r="C30" i="23"/>
  <c r="D30" i="23"/>
  <c r="E30" i="23"/>
  <c r="G30" i="23"/>
  <c r="H30" i="23"/>
  <c r="I30" i="23"/>
  <c r="C32" i="23"/>
  <c r="D32" i="23"/>
  <c r="E32" i="23"/>
  <c r="G32" i="23"/>
  <c r="H32" i="23"/>
  <c r="I32" i="23"/>
  <c r="C5" i="9"/>
  <c r="D5" i="9"/>
  <c r="Z8" i="9"/>
  <c r="B10" i="9"/>
  <c r="C10" i="9" s="1"/>
  <c r="D10" i="9" s="1"/>
  <c r="AB7" i="9" s="1"/>
  <c r="W10" i="9"/>
  <c r="B11" i="9"/>
  <c r="C11" i="9" s="1"/>
  <c r="D11" i="9" s="1"/>
  <c r="W17" i="9"/>
  <c r="B22" i="9"/>
  <c r="C22" i="9"/>
  <c r="D22" i="9"/>
  <c r="E22" i="9" s="1"/>
  <c r="B23" i="9"/>
  <c r="B24" i="9"/>
  <c r="B25" i="9"/>
  <c r="C25" i="9" s="1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/>
  <c r="U26" i="9"/>
  <c r="W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W27" i="9"/>
  <c r="C52" i="9"/>
  <c r="D52" i="9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B55" i="9"/>
  <c r="C55" i="9"/>
  <c r="D56" i="9" s="1"/>
  <c r="D55" i="9"/>
  <c r="E56" i="9" s="1"/>
  <c r="E55" i="9"/>
  <c r="F55" i="9"/>
  <c r="G55" i="9"/>
  <c r="H55" i="9"/>
  <c r="I55" i="9"/>
  <c r="J56" i="9" s="1"/>
  <c r="J55" i="9"/>
  <c r="K56" i="9" s="1"/>
  <c r="K55" i="9"/>
  <c r="L56" i="9" s="1"/>
  <c r="L55" i="9"/>
  <c r="M55" i="9"/>
  <c r="N55" i="9"/>
  <c r="O55" i="9"/>
  <c r="P55" i="9"/>
  <c r="Q55" i="9"/>
  <c r="R56" i="9" s="1"/>
  <c r="R55" i="9"/>
  <c r="S56" i="9" s="1"/>
  <c r="S55" i="9"/>
  <c r="T56" i="9" s="1"/>
  <c r="T55" i="9"/>
  <c r="U55" i="9" s="1"/>
  <c r="F56" i="9"/>
  <c r="G56" i="9"/>
  <c r="H56" i="9"/>
  <c r="I56" i="9"/>
  <c r="M56" i="9"/>
  <c r="N56" i="9"/>
  <c r="O56" i="9"/>
  <c r="P56" i="9"/>
  <c r="Q56" i="9"/>
  <c r="U56" i="9"/>
  <c r="W81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4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G97" i="9"/>
  <c r="B5" i="10"/>
  <c r="C5" i="10"/>
  <c r="B10" i="10"/>
  <c r="W17" i="10"/>
  <c r="U26" i="10"/>
  <c r="W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C52" i="10"/>
  <c r="D52" i="10" s="1"/>
  <c r="E52" i="10" s="1"/>
  <c r="F52" i="10" s="1"/>
  <c r="G52" i="10" s="1"/>
  <c r="H52" i="10" s="1"/>
  <c r="I52" i="10" s="1"/>
  <c r="J52" i="10" s="1"/>
  <c r="K52" i="10" s="1"/>
  <c r="L52" i="10" s="1"/>
  <c r="M52" i="10"/>
  <c r="N52" i="10" s="1"/>
  <c r="O52" i="10" s="1"/>
  <c r="P52" i="10" s="1"/>
  <c r="Q52" i="10" s="1"/>
  <c r="R52" i="10" s="1"/>
  <c r="S52" i="10" s="1"/>
  <c r="T52" i="10" s="1"/>
  <c r="U52" i="10" s="1"/>
  <c r="B55" i="10"/>
  <c r="C55" i="10"/>
  <c r="D55" i="10"/>
  <c r="E55" i="10"/>
  <c r="F55" i="10"/>
  <c r="G55" i="10"/>
  <c r="H56" i="10" s="1"/>
  <c r="H55" i="10"/>
  <c r="I56" i="10" s="1"/>
  <c r="I55" i="10"/>
  <c r="J56" i="10" s="1"/>
  <c r="J55" i="10"/>
  <c r="K55" i="10"/>
  <c r="L55" i="10"/>
  <c r="M55" i="10"/>
  <c r="N55" i="10"/>
  <c r="O55" i="10"/>
  <c r="P56" i="10" s="1"/>
  <c r="P55" i="10"/>
  <c r="Q55" i="10"/>
  <c r="R56" i="10" s="1"/>
  <c r="R55" i="10"/>
  <c r="S55" i="10"/>
  <c r="T56" i="10" s="1"/>
  <c r="T55" i="10"/>
  <c r="U55" i="10" s="1"/>
  <c r="C56" i="10"/>
  <c r="D56" i="10"/>
  <c r="E56" i="10"/>
  <c r="F56" i="10"/>
  <c r="G56" i="10"/>
  <c r="K56" i="10"/>
  <c r="L56" i="10"/>
  <c r="M56" i="10"/>
  <c r="N56" i="10"/>
  <c r="O56" i="10"/>
  <c r="Q56" i="10"/>
  <c r="S56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D7" i="5"/>
  <c r="E7" i="5" s="1"/>
  <c r="F7" i="5" s="1"/>
  <c r="G7" i="5"/>
  <c r="H7" i="5" s="1"/>
  <c r="I7" i="5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B8" i="5"/>
  <c r="G12" i="5"/>
  <c r="C13" i="5"/>
  <c r="G13" i="5"/>
  <c r="H13" i="5"/>
  <c r="B17" i="5"/>
  <c r="B22" i="5"/>
  <c r="B30" i="5" s="1"/>
  <c r="D27" i="5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/>
  <c r="U27" i="5" s="1"/>
  <c r="V27" i="5"/>
  <c r="C5" i="22"/>
  <c r="D5" i="22"/>
  <c r="E5" i="22" s="1"/>
  <c r="F5" i="22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 s="1"/>
  <c r="S5" i="22" s="1"/>
  <c r="T5" i="22" s="1"/>
  <c r="U5" i="22" s="1"/>
  <c r="B11" i="22"/>
  <c r="B14" i="22"/>
  <c r="B17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31" i="22"/>
  <c r="B34" i="22"/>
  <c r="B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51" i="22"/>
  <c r="B54" i="22"/>
  <c r="B57" i="22"/>
  <c r="B59" i="22"/>
  <c r="D59" i="22"/>
  <c r="L59" i="22"/>
  <c r="N59" i="22"/>
  <c r="O59" i="22"/>
  <c r="T59" i="22"/>
  <c r="D66" i="22"/>
  <c r="F66" i="22"/>
  <c r="G66" i="22"/>
  <c r="H66" i="22"/>
  <c r="I66" i="22"/>
  <c r="P66" i="22"/>
  <c r="Q66" i="22"/>
  <c r="R66" i="22"/>
  <c r="B72" i="22"/>
  <c r="E95" i="22"/>
  <c r="J95" i="22"/>
  <c r="O95" i="22"/>
  <c r="E96" i="22"/>
  <c r="J96" i="22"/>
  <c r="O96" i="22"/>
  <c r="O97" i="22"/>
  <c r="E98" i="22"/>
  <c r="J98" i="22"/>
  <c r="O98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E5" i="20"/>
  <c r="F5" i="20"/>
  <c r="G5" i="20" s="1"/>
  <c r="H5" i="20" s="1"/>
  <c r="E6" i="20"/>
  <c r="F6" i="20"/>
  <c r="F92" i="20" s="1"/>
  <c r="G6" i="20"/>
  <c r="H6" i="20"/>
  <c r="I6" i="20" s="1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Z62" i="20"/>
  <c r="B68" i="20"/>
  <c r="C68" i="20"/>
  <c r="D68" i="20"/>
  <c r="E68" i="20"/>
  <c r="F68" i="20"/>
  <c r="B74" i="20"/>
  <c r="C74" i="20"/>
  <c r="D74" i="20"/>
  <c r="E74" i="20"/>
  <c r="F74" i="20"/>
  <c r="B80" i="20"/>
  <c r="C80" i="20"/>
  <c r="D80" i="20"/>
  <c r="E80" i="20"/>
  <c r="F80" i="20"/>
  <c r="B86" i="20"/>
  <c r="C86" i="20"/>
  <c r="D86" i="20"/>
  <c r="E86" i="20"/>
  <c r="F86" i="20"/>
  <c r="B92" i="20"/>
  <c r="C92" i="20"/>
  <c r="D92" i="20"/>
  <c r="E92" i="20"/>
  <c r="B98" i="20"/>
  <c r="C98" i="20"/>
  <c r="D98" i="20"/>
  <c r="E98" i="20"/>
  <c r="F98" i="20"/>
  <c r="H98" i="20"/>
  <c r="B5" i="12"/>
  <c r="C5" i="12"/>
  <c r="D5" i="12" s="1"/>
  <c r="E5" i="12" s="1"/>
  <c r="B10" i="12"/>
  <c r="Z7" i="12" s="1"/>
  <c r="C10" i="12"/>
  <c r="D10" i="12" s="1"/>
  <c r="W10" i="12"/>
  <c r="B11" i="12"/>
  <c r="C11" i="12" s="1"/>
  <c r="AA7" i="12" s="1"/>
  <c r="W17" i="12"/>
  <c r="B22" i="12"/>
  <c r="C22" i="12"/>
  <c r="D22" i="12"/>
  <c r="E22" i="12" s="1"/>
  <c r="F22" i="12"/>
  <c r="B23" i="12"/>
  <c r="C23" i="12"/>
  <c r="B24" i="12"/>
  <c r="C24" i="12"/>
  <c r="D24" i="12" s="1"/>
  <c r="E24" i="12" s="1"/>
  <c r="F24" i="12"/>
  <c r="G24" i="12"/>
  <c r="H24" i="12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B25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C52" i="12"/>
  <c r="D52" i="12" s="1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/>
  <c r="R52" i="12" s="1"/>
  <c r="S52" i="12" s="1"/>
  <c r="T52" i="12" s="1"/>
  <c r="U52" i="12" s="1"/>
  <c r="B55" i="12"/>
  <c r="C56" i="12" s="1"/>
  <c r="C55" i="12"/>
  <c r="D55" i="12"/>
  <c r="E55" i="12"/>
  <c r="F55" i="12"/>
  <c r="G56" i="12" s="1"/>
  <c r="G55" i="12"/>
  <c r="H56" i="12" s="1"/>
  <c r="H55" i="12"/>
  <c r="I56" i="12" s="1"/>
  <c r="I55" i="12"/>
  <c r="J56" i="12" s="1"/>
  <c r="J55" i="12"/>
  <c r="K56" i="12" s="1"/>
  <c r="K55" i="12"/>
  <c r="L55" i="12"/>
  <c r="M55" i="12"/>
  <c r="N55" i="12"/>
  <c r="O55" i="12"/>
  <c r="P56" i="12" s="1"/>
  <c r="P55" i="12"/>
  <c r="Q56" i="12" s="1"/>
  <c r="Q55" i="12"/>
  <c r="R56" i="12" s="1"/>
  <c r="R55" i="12"/>
  <c r="S56" i="12" s="1"/>
  <c r="S55" i="12"/>
  <c r="T55" i="12"/>
  <c r="U55" i="12"/>
  <c r="D56" i="12"/>
  <c r="E56" i="12"/>
  <c r="F56" i="12"/>
  <c r="L56" i="12"/>
  <c r="M56" i="12"/>
  <c r="N56" i="12"/>
  <c r="O56" i="12"/>
  <c r="T56" i="12"/>
  <c r="U56" i="12"/>
  <c r="I77" i="12"/>
  <c r="J77" i="12"/>
  <c r="K77" i="12"/>
  <c r="L77" i="12"/>
  <c r="T77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5" i="4"/>
  <c r="C5" i="4"/>
  <c r="D5" i="4"/>
  <c r="E5" i="4"/>
  <c r="F5" i="4" s="1"/>
  <c r="G5" i="4" s="1"/>
  <c r="H5" i="4" s="1"/>
  <c r="I5" i="4" s="1"/>
  <c r="J5" i="4" s="1"/>
  <c r="K5" i="4" s="1"/>
  <c r="L5" i="4"/>
  <c r="M5" i="4"/>
  <c r="N5" i="4" s="1"/>
  <c r="O5" i="4" s="1"/>
  <c r="P5" i="4" s="1"/>
  <c r="Q5" i="4" s="1"/>
  <c r="R5" i="4" s="1"/>
  <c r="S5" i="4" s="1"/>
  <c r="T5" i="4" s="1"/>
  <c r="U5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6" i="4"/>
  <c r="C16" i="4"/>
  <c r="D16" i="4"/>
  <c r="B17" i="4"/>
  <c r="C17" i="4"/>
  <c r="D17" i="4"/>
  <c r="B27" i="4"/>
  <c r="C27" i="4"/>
  <c r="D12" i="5" s="1"/>
  <c r="E13" i="5" s="1"/>
  <c r="D27" i="4"/>
  <c r="E12" i="5" s="1"/>
  <c r="F13" i="5" s="1"/>
  <c r="E27" i="4"/>
  <c r="F12" i="5" s="1"/>
  <c r="F27" i="4"/>
  <c r="G27" i="4"/>
  <c r="H12" i="5" s="1"/>
  <c r="I13" i="5" s="1"/>
  <c r="H27" i="4"/>
  <c r="I12" i="5" s="1"/>
  <c r="J13" i="5" s="1"/>
  <c r="I27" i="4"/>
  <c r="J12" i="5" s="1"/>
  <c r="K13" i="5" s="1"/>
  <c r="J27" i="4"/>
  <c r="K12" i="5" s="1"/>
  <c r="L13" i="5" s="1"/>
  <c r="K27" i="4"/>
  <c r="L12" i="5" s="1"/>
  <c r="M13" i="5" s="1"/>
  <c r="L27" i="4"/>
  <c r="M12" i="5" s="1"/>
  <c r="N13" i="5" s="1"/>
  <c r="M27" i="4"/>
  <c r="N12" i="5" s="1"/>
  <c r="O13" i="5" s="1"/>
  <c r="N27" i="4"/>
  <c r="O12" i="5" s="1"/>
  <c r="P13" i="5" s="1"/>
  <c r="O27" i="4"/>
  <c r="P12" i="5" s="1"/>
  <c r="Q13" i="5" s="1"/>
  <c r="P27" i="4"/>
  <c r="Q12" i="5" s="1"/>
  <c r="R13" i="5" s="1"/>
  <c r="Q27" i="4"/>
  <c r="R12" i="5" s="1"/>
  <c r="S13" i="5" s="1"/>
  <c r="R27" i="4"/>
  <c r="S12" i="5" s="1"/>
  <c r="T13" i="5" s="1"/>
  <c r="S27" i="4"/>
  <c r="T12" i="5" s="1"/>
  <c r="U13" i="5" s="1"/>
  <c r="T27" i="4"/>
  <c r="U12" i="5" s="1"/>
  <c r="V13" i="5" s="1"/>
  <c r="B5" i="11"/>
  <c r="C5" i="11"/>
  <c r="D5" i="11"/>
  <c r="E5" i="11"/>
  <c r="F5" i="11"/>
  <c r="G5" i="11"/>
  <c r="Z7" i="11"/>
  <c r="B10" i="11"/>
  <c r="C10" i="11" s="1"/>
  <c r="B11" i="11"/>
  <c r="C11" i="11"/>
  <c r="D11" i="11"/>
  <c r="W17" i="11"/>
  <c r="B22" i="11"/>
  <c r="B23" i="11"/>
  <c r="B24" i="11"/>
  <c r="C24" i="11"/>
  <c r="D24" i="11" s="1"/>
  <c r="E24" i="11" s="1"/>
  <c r="F24" i="11" s="1"/>
  <c r="G24" i="11" s="1"/>
  <c r="H24" i="11" s="1"/>
  <c r="I24" i="11"/>
  <c r="J24" i="11"/>
  <c r="K24" i="11"/>
  <c r="L24" i="11" s="1"/>
  <c r="M24" i="11" s="1"/>
  <c r="N24" i="11" s="1"/>
  <c r="O24" i="11" s="1"/>
  <c r="P24" i="11" s="1"/>
  <c r="Q24" i="11" s="1"/>
  <c r="R24" i="11" s="1"/>
  <c r="S24" i="11" s="1"/>
  <c r="T24" i="11" s="1"/>
  <c r="U24" i="11" s="1"/>
  <c r="B25" i="11"/>
  <c r="C25" i="11"/>
  <c r="D25" i="11" s="1"/>
  <c r="E25" i="11" s="1"/>
  <c r="F25" i="11" s="1"/>
  <c r="G25" i="11"/>
  <c r="H25" i="11"/>
  <c r="I25" i="11" s="1"/>
  <c r="J25" i="11" s="1"/>
  <c r="K25" i="11"/>
  <c r="L25" i="11" s="1"/>
  <c r="M25" i="11" s="1"/>
  <c r="N25" i="11" s="1"/>
  <c r="O25" i="11" s="1"/>
  <c r="P25" i="11" s="1"/>
  <c r="Q25" i="11" s="1"/>
  <c r="R25" i="11" s="1"/>
  <c r="S25" i="11" s="1"/>
  <c r="T25" i="11" s="1"/>
  <c r="U25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C52" i="11"/>
  <c r="D52" i="11"/>
  <c r="E52" i="11"/>
  <c r="F52" i="11" s="1"/>
  <c r="G52" i="11" s="1"/>
  <c r="H52" i="11" s="1"/>
  <c r="I52" i="11" s="1"/>
  <c r="J52" i="11" s="1"/>
  <c r="K52" i="11" s="1"/>
  <c r="L52" i="11" s="1"/>
  <c r="M52" i="11" s="1"/>
  <c r="N52" i="11" s="1"/>
  <c r="O52" i="11" s="1"/>
  <c r="P52" i="11" s="1"/>
  <c r="Q52" i="11" s="1"/>
  <c r="R52" i="11" s="1"/>
  <c r="S52" i="11" s="1"/>
  <c r="T52" i="11" s="1"/>
  <c r="U52" i="11" s="1"/>
  <c r="B55" i="11"/>
  <c r="C56" i="11" s="1"/>
  <c r="C55" i="11"/>
  <c r="D56" i="11" s="1"/>
  <c r="D55" i="11"/>
  <c r="E56" i="11" s="1"/>
  <c r="E55" i="11"/>
  <c r="F55" i="11"/>
  <c r="G55" i="11"/>
  <c r="H55" i="11"/>
  <c r="I55" i="11"/>
  <c r="J55" i="11"/>
  <c r="K56" i="11" s="1"/>
  <c r="K55" i="11"/>
  <c r="L56" i="11" s="1"/>
  <c r="L55" i="11"/>
  <c r="M56" i="11" s="1"/>
  <c r="M55" i="11"/>
  <c r="N56" i="11" s="1"/>
  <c r="N55" i="11"/>
  <c r="O55" i="11"/>
  <c r="P55" i="11"/>
  <c r="Q55" i="11"/>
  <c r="R55" i="11"/>
  <c r="S56" i="11" s="1"/>
  <c r="S55" i="11"/>
  <c r="T56" i="11" s="1"/>
  <c r="T55" i="11"/>
  <c r="U56" i="11" s="1"/>
  <c r="U55" i="11"/>
  <c r="G56" i="11"/>
  <c r="H56" i="11"/>
  <c r="I56" i="11"/>
  <c r="J56" i="11"/>
  <c r="O56" i="11"/>
  <c r="P56" i="11"/>
  <c r="Q56" i="11"/>
  <c r="R56" i="11"/>
  <c r="B76" i="11"/>
  <c r="C76" i="11"/>
  <c r="D76" i="11"/>
  <c r="F76" i="11"/>
  <c r="G76" i="11"/>
  <c r="H76" i="11"/>
  <c r="I76" i="11"/>
  <c r="J76" i="11"/>
  <c r="K76" i="11"/>
  <c r="L76" i="11"/>
  <c r="N76" i="11"/>
  <c r="O76" i="11"/>
  <c r="P76" i="11"/>
  <c r="Q76" i="11"/>
  <c r="R76" i="11"/>
  <c r="S76" i="11"/>
  <c r="T76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C8" i="3"/>
  <c r="D8" i="3"/>
  <c r="D27" i="3" s="1"/>
  <c r="E8" i="3"/>
  <c r="E27" i="3" s="1"/>
  <c r="C14" i="3"/>
  <c r="O24" i="3" s="1"/>
  <c r="O25" i="3" s="1"/>
  <c r="O27" i="3" s="1"/>
  <c r="C24" i="3"/>
  <c r="C25" i="3" s="1"/>
  <c r="D8" i="24" s="1"/>
  <c r="D24" i="3"/>
  <c r="D25" i="3" s="1"/>
  <c r="F24" i="3"/>
  <c r="F25" i="3" s="1"/>
  <c r="F27" i="3" s="1"/>
  <c r="C27" i="3"/>
  <c r="P37" i="3"/>
  <c r="R37" i="3"/>
  <c r="S37" i="3"/>
  <c r="S38" i="3" s="1"/>
  <c r="S40" i="3" s="1"/>
  <c r="R15" i="13" s="1"/>
  <c r="T37" i="3"/>
  <c r="T38" i="3" s="1"/>
  <c r="T40" i="3" s="1"/>
  <c r="S15" i="13" s="1"/>
  <c r="P38" i="3"/>
  <c r="P40" i="3" s="1"/>
  <c r="O15" i="13" s="1"/>
  <c r="R38" i="3"/>
  <c r="R40" i="3" s="1"/>
  <c r="Q15" i="13" s="1"/>
  <c r="C40" i="3"/>
  <c r="D40" i="3"/>
  <c r="C9" i="13" s="1"/>
  <c r="E40" i="3"/>
  <c r="F50" i="3"/>
  <c r="F51" i="3" s="1"/>
  <c r="F53" i="3" s="1"/>
  <c r="E15" i="14" s="1"/>
  <c r="K50" i="3"/>
  <c r="L50" i="3"/>
  <c r="N50" i="3"/>
  <c r="N51" i="3" s="1"/>
  <c r="N53" i="3" s="1"/>
  <c r="M15" i="14" s="1"/>
  <c r="K51" i="3"/>
  <c r="K53" i="3" s="1"/>
  <c r="J15" i="14" s="1"/>
  <c r="L51" i="3"/>
  <c r="L53" i="3" s="1"/>
  <c r="C8" i="2"/>
  <c r="D77" i="12" s="1"/>
  <c r="C9" i="2"/>
  <c r="E20" i="2"/>
  <c r="E26" i="2" s="1"/>
  <c r="B21" i="2"/>
  <c r="C21" i="2"/>
  <c r="D21" i="2"/>
  <c r="E25" i="2"/>
  <c r="B27" i="2"/>
  <c r="C27" i="2"/>
  <c r="D27" i="2"/>
  <c r="E27" i="2"/>
  <c r="D52" i="2"/>
  <c r="E52" i="2"/>
  <c r="F52" i="2"/>
  <c r="D54" i="2"/>
  <c r="F54" i="2" s="1"/>
  <c r="E54" i="2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5" i="13"/>
  <c r="C5" i="13"/>
  <c r="D5" i="13" s="1"/>
  <c r="E5" i="13" s="1"/>
  <c r="F5" i="13" s="1"/>
  <c r="F16" i="13" s="1"/>
  <c r="AD7" i="13" s="1"/>
  <c r="G5" i="13"/>
  <c r="B9" i="13"/>
  <c r="D9" i="13"/>
  <c r="B10" i="13"/>
  <c r="Z7" i="13" s="1"/>
  <c r="C10" i="13"/>
  <c r="D10" i="13"/>
  <c r="W10" i="13"/>
  <c r="B11" i="13"/>
  <c r="C11" i="13" s="1"/>
  <c r="W17" i="13"/>
  <c r="B22" i="13"/>
  <c r="B23" i="13"/>
  <c r="C23" i="13"/>
  <c r="D23" i="13"/>
  <c r="B24" i="13"/>
  <c r="C24" i="13"/>
  <c r="D24" i="13" s="1"/>
  <c r="E24" i="13" s="1"/>
  <c r="F24" i="13" s="1"/>
  <c r="G24" i="13"/>
  <c r="H24" i="13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/>
  <c r="T24" i="13" s="1"/>
  <c r="U24" i="13" s="1"/>
  <c r="B25" i="13"/>
  <c r="C25" i="13" s="1"/>
  <c r="W26" i="13"/>
  <c r="W27" i="13"/>
  <c r="C52" i="13"/>
  <c r="D52" i="13" s="1"/>
  <c r="E52" i="13" s="1"/>
  <c r="F52" i="13" s="1"/>
  <c r="G52" i="13" s="1"/>
  <c r="H52" i="13" s="1"/>
  <c r="I52" i="13" s="1"/>
  <c r="J52" i="13" s="1"/>
  <c r="K52" i="13" s="1"/>
  <c r="L52" i="13" s="1"/>
  <c r="M52" i="13" s="1"/>
  <c r="N52" i="13" s="1"/>
  <c r="O52" i="13" s="1"/>
  <c r="P52" i="13"/>
  <c r="Q52" i="13" s="1"/>
  <c r="R52" i="13" s="1"/>
  <c r="S52" i="13" s="1"/>
  <c r="T52" i="13" s="1"/>
  <c r="U52" i="13" s="1"/>
  <c r="B55" i="13"/>
  <c r="C55" i="13"/>
  <c r="D55" i="13"/>
  <c r="E55" i="13"/>
  <c r="F55" i="13"/>
  <c r="G56" i="13" s="1"/>
  <c r="G55" i="13"/>
  <c r="H56" i="13" s="1"/>
  <c r="H55" i="13"/>
  <c r="I56" i="13" s="1"/>
  <c r="I55" i="13"/>
  <c r="J55" i="13"/>
  <c r="K55" i="13"/>
  <c r="L55" i="13"/>
  <c r="M55" i="13"/>
  <c r="N55" i="13"/>
  <c r="O56" i="13" s="1"/>
  <c r="O55" i="13"/>
  <c r="P56" i="13" s="1"/>
  <c r="P55" i="13"/>
  <c r="Q56" i="13" s="1"/>
  <c r="Q55" i="13"/>
  <c r="R55" i="13"/>
  <c r="S55" i="13"/>
  <c r="T55" i="13"/>
  <c r="U55" i="13"/>
  <c r="C56" i="13"/>
  <c r="D56" i="13"/>
  <c r="E56" i="13"/>
  <c r="F56" i="13"/>
  <c r="J56" i="13"/>
  <c r="K56" i="13"/>
  <c r="L56" i="13"/>
  <c r="M56" i="13"/>
  <c r="N56" i="13"/>
  <c r="R56" i="13"/>
  <c r="S56" i="13"/>
  <c r="T56" i="13"/>
  <c r="U5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5" i="14"/>
  <c r="C5" i="14" s="1"/>
  <c r="D5" i="14" s="1"/>
  <c r="E5" i="14" s="1"/>
  <c r="F5" i="14" s="1"/>
  <c r="Z7" i="14"/>
  <c r="AA7" i="14"/>
  <c r="B9" i="14"/>
  <c r="C9" i="14"/>
  <c r="D9" i="14"/>
  <c r="W9" i="14"/>
  <c r="B10" i="14"/>
  <c r="C10" i="14"/>
  <c r="B11" i="14"/>
  <c r="C11" i="14"/>
  <c r="D11" i="14"/>
  <c r="W11" i="14"/>
  <c r="K15" i="14"/>
  <c r="F16" i="14"/>
  <c r="AD7" i="14" s="1"/>
  <c r="W17" i="14"/>
  <c r="B22" i="14"/>
  <c r="C22" i="14" s="1"/>
  <c r="D22" i="14" s="1"/>
  <c r="E22" i="14"/>
  <c r="F22" i="14"/>
  <c r="B23" i="14"/>
  <c r="C23" i="14"/>
  <c r="D23" i="14"/>
  <c r="AB8" i="14" s="1"/>
  <c r="E23" i="14"/>
  <c r="AC8" i="14" s="1"/>
  <c r="B24" i="14"/>
  <c r="C24" i="14"/>
  <c r="D24" i="14"/>
  <c r="E24" i="14"/>
  <c r="F24" i="14" s="1"/>
  <c r="G24" i="14" s="1"/>
  <c r="H24" i="14" s="1"/>
  <c r="I24" i="14" s="1"/>
  <c r="J24" i="14" s="1"/>
  <c r="K24" i="14" s="1"/>
  <c r="L24" i="14" s="1"/>
  <c r="M24" i="14" s="1"/>
  <c r="N24" i="14"/>
  <c r="O24" i="14" s="1"/>
  <c r="P24" i="14" s="1"/>
  <c r="Q24" i="14" s="1"/>
  <c r="R24" i="14" s="1"/>
  <c r="S24" i="14" s="1"/>
  <c r="T24" i="14" s="1"/>
  <c r="U24" i="14" s="1"/>
  <c r="B25" i="14"/>
  <c r="C25" i="14"/>
  <c r="D25" i="14" s="1"/>
  <c r="E25" i="14" s="1"/>
  <c r="F25" i="14"/>
  <c r="G25" i="14" s="1"/>
  <c r="H25" i="14" s="1"/>
  <c r="I25" i="14" s="1"/>
  <c r="J25" i="14" s="1"/>
  <c r="K25" i="14" s="1"/>
  <c r="L25" i="14" s="1"/>
  <c r="M25" i="14" s="1"/>
  <c r="N25" i="14" s="1"/>
  <c r="O25" i="14"/>
  <c r="P25" i="14"/>
  <c r="Q25" i="14" s="1"/>
  <c r="R25" i="14" s="1"/>
  <c r="S25" i="14" s="1"/>
  <c r="T25" i="14" s="1"/>
  <c r="U25" i="14" s="1"/>
  <c r="W26" i="14"/>
  <c r="B27" i="14"/>
  <c r="C27" i="14"/>
  <c r="C28" i="4" s="1"/>
  <c r="K27" i="14"/>
  <c r="K28" i="4" s="1"/>
  <c r="L27" i="14"/>
  <c r="S27" i="14"/>
  <c r="S28" i="4" s="1"/>
  <c r="T27" i="14"/>
  <c r="T28" i="4" s="1"/>
  <c r="C52" i="14"/>
  <c r="D52" i="14"/>
  <c r="E52" i="14"/>
  <c r="F52" i="14"/>
  <c r="G52" i="14"/>
  <c r="H52" i="14"/>
  <c r="I52" i="14"/>
  <c r="J52" i="14" s="1"/>
  <c r="K52" i="14" s="1"/>
  <c r="L52" i="14" s="1"/>
  <c r="M52" i="14" s="1"/>
  <c r="N52" i="14" s="1"/>
  <c r="O52" i="14" s="1"/>
  <c r="P52" i="14"/>
  <c r="Q52" i="14" s="1"/>
  <c r="R52" i="14" s="1"/>
  <c r="S52" i="14" s="1"/>
  <c r="T52" i="14" s="1"/>
  <c r="U52" i="14" s="1"/>
  <c r="B55" i="14"/>
  <c r="C55" i="14"/>
  <c r="D55" i="14"/>
  <c r="E56" i="14" s="1"/>
  <c r="E55" i="14"/>
  <c r="F56" i="14" s="1"/>
  <c r="F55" i="14"/>
  <c r="G56" i="14" s="1"/>
  <c r="G55" i="14"/>
  <c r="H55" i="14"/>
  <c r="I56" i="14" s="1"/>
  <c r="I55" i="14"/>
  <c r="J55" i="14"/>
  <c r="K55" i="14"/>
  <c r="L55" i="14"/>
  <c r="M56" i="14" s="1"/>
  <c r="M55" i="14"/>
  <c r="N56" i="14" s="1"/>
  <c r="N55" i="14"/>
  <c r="O56" i="14" s="1"/>
  <c r="O55" i="14"/>
  <c r="P56" i="14" s="1"/>
  <c r="P55" i="14"/>
  <c r="Q56" i="14" s="1"/>
  <c r="Q55" i="14"/>
  <c r="R55" i="14"/>
  <c r="S55" i="14"/>
  <c r="T55" i="14"/>
  <c r="U56" i="14" s="1"/>
  <c r="U55" i="14"/>
  <c r="C56" i="14"/>
  <c r="D56" i="14"/>
  <c r="J56" i="14"/>
  <c r="K56" i="14"/>
  <c r="L56" i="14"/>
  <c r="R56" i="14"/>
  <c r="S56" i="14"/>
  <c r="T56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M78" i="14" s="1"/>
  <c r="M27" i="14" s="1"/>
  <c r="N76" i="14"/>
  <c r="O76" i="14"/>
  <c r="P76" i="14"/>
  <c r="Q76" i="14"/>
  <c r="R76" i="14"/>
  <c r="S76" i="14"/>
  <c r="T76" i="14"/>
  <c r="U76" i="14"/>
  <c r="B77" i="14"/>
  <c r="B78" i="14" s="1"/>
  <c r="C77" i="14"/>
  <c r="D77" i="14"/>
  <c r="E77" i="14"/>
  <c r="F77" i="14"/>
  <c r="G77" i="14"/>
  <c r="G78" i="14" s="1"/>
  <c r="G27" i="14" s="1"/>
  <c r="H77" i="14"/>
  <c r="H78" i="14" s="1"/>
  <c r="H27" i="14" s="1"/>
  <c r="I77" i="14"/>
  <c r="I78" i="14" s="1"/>
  <c r="I27" i="14" s="1"/>
  <c r="I28" i="4" s="1"/>
  <c r="J77" i="14"/>
  <c r="J78" i="14" s="1"/>
  <c r="J27" i="14" s="1"/>
  <c r="J28" i="4" s="1"/>
  <c r="K77" i="14"/>
  <c r="L77" i="14"/>
  <c r="M77" i="14"/>
  <c r="N77" i="14"/>
  <c r="O77" i="14"/>
  <c r="O78" i="14" s="1"/>
  <c r="O27" i="14" s="1"/>
  <c r="P77" i="14"/>
  <c r="P78" i="14" s="1"/>
  <c r="P27" i="14" s="1"/>
  <c r="Q77" i="14"/>
  <c r="Q78" i="14" s="1"/>
  <c r="Q27" i="14" s="1"/>
  <c r="Q28" i="4" s="1"/>
  <c r="R77" i="14"/>
  <c r="R78" i="14" s="1"/>
  <c r="R27" i="14" s="1"/>
  <c r="R28" i="4" s="1"/>
  <c r="S77" i="14"/>
  <c r="T77" i="14"/>
  <c r="U77" i="14"/>
  <c r="C78" i="14"/>
  <c r="D78" i="14"/>
  <c r="D27" i="14" s="1"/>
  <c r="E78" i="14"/>
  <c r="E27" i="14" s="1"/>
  <c r="F78" i="14"/>
  <c r="F27" i="14" s="1"/>
  <c r="K78" i="14"/>
  <c r="L78" i="14"/>
  <c r="N78" i="14"/>
  <c r="N27" i="14" s="1"/>
  <c r="S78" i="14"/>
  <c r="T78" i="14"/>
  <c r="U78" i="14"/>
  <c r="U27" i="14" s="1"/>
  <c r="U28" i="4" s="1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E15" i="9" l="1"/>
  <c r="E15" i="12"/>
  <c r="E15" i="10"/>
  <c r="E15" i="11"/>
  <c r="D23" i="12"/>
  <c r="AB8" i="12" s="1"/>
  <c r="C28" i="12"/>
  <c r="AA8" i="12"/>
  <c r="AA9" i="12" s="1"/>
  <c r="E26" i="24"/>
  <c r="E28" i="24" s="1"/>
  <c r="E10" i="24"/>
  <c r="E20" i="24"/>
  <c r="E22" i="24" s="1"/>
  <c r="E14" i="24"/>
  <c r="E16" i="24" s="1"/>
  <c r="G28" i="4"/>
  <c r="W27" i="11"/>
  <c r="W56" i="14"/>
  <c r="D11" i="13"/>
  <c r="N15" i="9"/>
  <c r="N15" i="10"/>
  <c r="N15" i="12"/>
  <c r="N15" i="11"/>
  <c r="W27" i="14"/>
  <c r="W24" i="14"/>
  <c r="D14" i="24"/>
  <c r="D16" i="24" s="1"/>
  <c r="D10" i="24"/>
  <c r="D45" i="24" s="1"/>
  <c r="D20" i="24"/>
  <c r="D22" i="24" s="1"/>
  <c r="D26" i="24"/>
  <c r="D28" i="24" s="1"/>
  <c r="E16" i="14"/>
  <c r="E18" i="14" s="1"/>
  <c r="B28" i="13"/>
  <c r="C22" i="13"/>
  <c r="G22" i="14"/>
  <c r="F28" i="14"/>
  <c r="D10" i="14"/>
  <c r="AB7" i="14" s="1"/>
  <c r="AB9" i="14" s="1"/>
  <c r="AB8" i="13"/>
  <c r="D25" i="13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W25" i="13"/>
  <c r="AA9" i="14"/>
  <c r="O28" i="4"/>
  <c r="W25" i="14"/>
  <c r="E28" i="14"/>
  <c r="W10" i="14"/>
  <c r="B18" i="14"/>
  <c r="W56" i="13"/>
  <c r="H56" i="14"/>
  <c r="W55" i="14"/>
  <c r="D28" i="14"/>
  <c r="C18" i="14"/>
  <c r="F23" i="14"/>
  <c r="AD8" i="14" s="1"/>
  <c r="AD9" i="14" s="1"/>
  <c r="G5" i="14"/>
  <c r="H5" i="13"/>
  <c r="G16" i="13"/>
  <c r="AE7" i="13" s="1"/>
  <c r="G23" i="13"/>
  <c r="AE8" i="13" s="1"/>
  <c r="B9" i="9"/>
  <c r="B9" i="10"/>
  <c r="B9" i="12"/>
  <c r="B9" i="11"/>
  <c r="W55" i="11"/>
  <c r="F56" i="11"/>
  <c r="C22" i="11"/>
  <c r="B28" i="11"/>
  <c r="B28" i="4"/>
  <c r="F23" i="11"/>
  <c r="AD8" i="11" s="1"/>
  <c r="F16" i="11"/>
  <c r="AD7" i="11" s="1"/>
  <c r="B18" i="13"/>
  <c r="C10" i="2"/>
  <c r="H5" i="11"/>
  <c r="G23" i="11"/>
  <c r="AE8" i="11" s="1"/>
  <c r="G16" i="11"/>
  <c r="AE7" i="11" s="1"/>
  <c r="AE9" i="11" s="1"/>
  <c r="W55" i="13"/>
  <c r="Z8" i="14"/>
  <c r="Z9" i="14" s="1"/>
  <c r="E23" i="11"/>
  <c r="AC8" i="11" s="1"/>
  <c r="E16" i="11"/>
  <c r="W24" i="12"/>
  <c r="V50" i="3"/>
  <c r="V51" i="3" s="1"/>
  <c r="V53" i="3" s="1"/>
  <c r="U15" i="14" s="1"/>
  <c r="C50" i="3"/>
  <c r="C51" i="3" s="1"/>
  <c r="D38" i="24" s="1"/>
  <c r="D40" i="24" s="1"/>
  <c r="J37" i="3"/>
  <c r="J38" i="3" s="1"/>
  <c r="J40" i="3" s="1"/>
  <c r="I15" i="13" s="1"/>
  <c r="C9" i="9"/>
  <c r="C9" i="10"/>
  <c r="C9" i="11"/>
  <c r="C9" i="12"/>
  <c r="I86" i="20"/>
  <c r="I92" i="20"/>
  <c r="I98" i="20"/>
  <c r="J6" i="20"/>
  <c r="B110" i="22"/>
  <c r="J99" i="22" s="1"/>
  <c r="C23" i="2" s="1"/>
  <c r="AB7" i="13"/>
  <c r="AB9" i="13" s="1"/>
  <c r="AA8" i="14"/>
  <c r="Z8" i="13"/>
  <c r="Z9" i="13" s="1"/>
  <c r="W24" i="13"/>
  <c r="E24" i="3"/>
  <c r="E25" i="3" s="1"/>
  <c r="F8" i="24" s="1"/>
  <c r="M24" i="3"/>
  <c r="M25" i="3" s="1"/>
  <c r="M27" i="3" s="1"/>
  <c r="U24" i="3"/>
  <c r="U25" i="3" s="1"/>
  <c r="U27" i="3" s="1"/>
  <c r="I37" i="3"/>
  <c r="I38" i="3" s="1"/>
  <c r="I40" i="3" s="1"/>
  <c r="H15" i="13" s="1"/>
  <c r="Q37" i="3"/>
  <c r="Q38" i="3" s="1"/>
  <c r="Q40" i="3" s="1"/>
  <c r="P15" i="13" s="1"/>
  <c r="E50" i="3"/>
  <c r="E51" i="3" s="1"/>
  <c r="F38" i="24" s="1"/>
  <c r="F40" i="24" s="1"/>
  <c r="M50" i="3"/>
  <c r="M51" i="3" s="1"/>
  <c r="M53" i="3" s="1"/>
  <c r="L15" i="14" s="1"/>
  <c r="U50" i="3"/>
  <c r="U51" i="3" s="1"/>
  <c r="U53" i="3" s="1"/>
  <c r="T15" i="14" s="1"/>
  <c r="G24" i="3"/>
  <c r="G25" i="3" s="1"/>
  <c r="G27" i="3" s="1"/>
  <c r="H24" i="3"/>
  <c r="H25" i="3" s="1"/>
  <c r="H27" i="3" s="1"/>
  <c r="Q24" i="3"/>
  <c r="Q25" i="3" s="1"/>
  <c r="Q27" i="3" s="1"/>
  <c r="C37" i="3"/>
  <c r="C38" i="3" s="1"/>
  <c r="D32" i="24" s="1"/>
  <c r="D34" i="24" s="1"/>
  <c r="L37" i="3"/>
  <c r="L38" i="3" s="1"/>
  <c r="L40" i="3" s="1"/>
  <c r="K15" i="13" s="1"/>
  <c r="U37" i="3"/>
  <c r="U38" i="3" s="1"/>
  <c r="U40" i="3" s="1"/>
  <c r="T15" i="13" s="1"/>
  <c r="G50" i="3"/>
  <c r="G51" i="3" s="1"/>
  <c r="G53" i="3" s="1"/>
  <c r="F15" i="14" s="1"/>
  <c r="W15" i="14" s="1"/>
  <c r="P50" i="3"/>
  <c r="P51" i="3" s="1"/>
  <c r="P53" i="3" s="1"/>
  <c r="O15" i="14" s="1"/>
  <c r="I24" i="3"/>
  <c r="I25" i="3" s="1"/>
  <c r="I27" i="3" s="1"/>
  <c r="R24" i="3"/>
  <c r="R25" i="3" s="1"/>
  <c r="R27" i="3" s="1"/>
  <c r="D37" i="3"/>
  <c r="D38" i="3" s="1"/>
  <c r="E32" i="24" s="1"/>
  <c r="E34" i="24" s="1"/>
  <c r="M37" i="3"/>
  <c r="M38" i="3" s="1"/>
  <c r="M40" i="3" s="1"/>
  <c r="L15" i="13" s="1"/>
  <c r="V37" i="3"/>
  <c r="V38" i="3" s="1"/>
  <c r="V40" i="3" s="1"/>
  <c r="U15" i="13" s="1"/>
  <c r="H50" i="3"/>
  <c r="H51" i="3" s="1"/>
  <c r="H53" i="3" s="1"/>
  <c r="G15" i="14" s="1"/>
  <c r="Q50" i="3"/>
  <c r="Q51" i="3" s="1"/>
  <c r="Q53" i="3" s="1"/>
  <c r="P15" i="14" s="1"/>
  <c r="J24" i="3"/>
  <c r="J25" i="3" s="1"/>
  <c r="J27" i="3" s="1"/>
  <c r="S24" i="3"/>
  <c r="S25" i="3" s="1"/>
  <c r="S27" i="3" s="1"/>
  <c r="E37" i="3"/>
  <c r="E38" i="3" s="1"/>
  <c r="F32" i="24" s="1"/>
  <c r="F34" i="24" s="1"/>
  <c r="N37" i="3"/>
  <c r="N38" i="3" s="1"/>
  <c r="N40" i="3" s="1"/>
  <c r="M15" i="13" s="1"/>
  <c r="I50" i="3"/>
  <c r="I51" i="3" s="1"/>
  <c r="I53" i="3" s="1"/>
  <c r="H15" i="14" s="1"/>
  <c r="R50" i="3"/>
  <c r="R51" i="3" s="1"/>
  <c r="R53" i="3" s="1"/>
  <c r="Q15" i="14" s="1"/>
  <c r="K24" i="3"/>
  <c r="K25" i="3" s="1"/>
  <c r="K27" i="3" s="1"/>
  <c r="T24" i="3"/>
  <c r="T25" i="3" s="1"/>
  <c r="T27" i="3" s="1"/>
  <c r="F37" i="3"/>
  <c r="F38" i="3" s="1"/>
  <c r="F40" i="3" s="1"/>
  <c r="E15" i="13" s="1"/>
  <c r="O37" i="3"/>
  <c r="O38" i="3" s="1"/>
  <c r="O40" i="3" s="1"/>
  <c r="N15" i="13" s="1"/>
  <c r="J50" i="3"/>
  <c r="J51" i="3" s="1"/>
  <c r="J53" i="3" s="1"/>
  <c r="I15" i="14" s="1"/>
  <c r="S50" i="3"/>
  <c r="S51" i="3" s="1"/>
  <c r="S53" i="3" s="1"/>
  <c r="R15" i="14" s="1"/>
  <c r="G22" i="12"/>
  <c r="AA8" i="13"/>
  <c r="D50" i="3"/>
  <c r="D51" i="3" s="1"/>
  <c r="E38" i="24" s="1"/>
  <c r="E40" i="24" s="1"/>
  <c r="C28" i="14"/>
  <c r="F23" i="13"/>
  <c r="AD8" i="13" s="1"/>
  <c r="AD9" i="13" s="1"/>
  <c r="E16" i="13"/>
  <c r="T50" i="3"/>
  <c r="T51" i="3" s="1"/>
  <c r="T53" i="3" s="1"/>
  <c r="S15" i="14" s="1"/>
  <c r="H37" i="3"/>
  <c r="H38" i="3" s="1"/>
  <c r="H40" i="3" s="1"/>
  <c r="G15" i="13" s="1"/>
  <c r="N24" i="3"/>
  <c r="N25" i="3" s="1"/>
  <c r="N27" i="3" s="1"/>
  <c r="U27" i="4"/>
  <c r="V12" i="5" s="1"/>
  <c r="W26" i="11"/>
  <c r="X27" i="4" s="1"/>
  <c r="W11" i="11"/>
  <c r="V24" i="3"/>
  <c r="V25" i="3" s="1"/>
  <c r="V27" i="3" s="1"/>
  <c r="W56" i="11"/>
  <c r="L28" i="4"/>
  <c r="K37" i="3"/>
  <c r="K38" i="3" s="1"/>
  <c r="K40" i="3" s="1"/>
  <c r="J15" i="13" s="1"/>
  <c r="P24" i="3"/>
  <c r="P25" i="3" s="1"/>
  <c r="P27" i="3" s="1"/>
  <c r="B41" i="22"/>
  <c r="B44" i="22" s="1"/>
  <c r="B40" i="22"/>
  <c r="B28" i="14"/>
  <c r="E23" i="13"/>
  <c r="AC8" i="13" s="1"/>
  <c r="W11" i="13"/>
  <c r="W9" i="13"/>
  <c r="B29" i="24"/>
  <c r="B54" i="24"/>
  <c r="B35" i="24"/>
  <c r="C35" i="24" s="1"/>
  <c r="B46" i="24"/>
  <c r="B17" i="24"/>
  <c r="B23" i="24"/>
  <c r="B11" i="24"/>
  <c r="B50" i="24"/>
  <c r="B41" i="24"/>
  <c r="O50" i="3"/>
  <c r="O51" i="3" s="1"/>
  <c r="O53" i="3" s="1"/>
  <c r="N15" i="14" s="1"/>
  <c r="G37" i="3"/>
  <c r="G38" i="3" s="1"/>
  <c r="G40" i="3" s="1"/>
  <c r="F15" i="13" s="1"/>
  <c r="L24" i="3"/>
  <c r="L25" i="3" s="1"/>
  <c r="L27" i="3" s="1"/>
  <c r="P28" i="4"/>
  <c r="H28" i="4"/>
  <c r="W25" i="11"/>
  <c r="W56" i="12"/>
  <c r="AA7" i="13"/>
  <c r="AA9" i="13" s="1"/>
  <c r="D9" i="9"/>
  <c r="D9" i="10"/>
  <c r="D9" i="12"/>
  <c r="D9" i="11"/>
  <c r="N28" i="4"/>
  <c r="F28" i="4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B28" i="12"/>
  <c r="Z8" i="12"/>
  <c r="Z9" i="12" s="1"/>
  <c r="M28" i="4"/>
  <c r="E28" i="4"/>
  <c r="AA7" i="11"/>
  <c r="D10" i="11"/>
  <c r="E23" i="12"/>
  <c r="AC8" i="12" s="1"/>
  <c r="F5" i="12"/>
  <c r="D28" i="4"/>
  <c r="W24" i="11"/>
  <c r="W55" i="12"/>
  <c r="W27" i="12"/>
  <c r="E16" i="12"/>
  <c r="C23" i="11"/>
  <c r="Z8" i="11"/>
  <c r="Z9" i="11" s="1"/>
  <c r="H74" i="20"/>
  <c r="I5" i="20"/>
  <c r="H68" i="20"/>
  <c r="H80" i="20"/>
  <c r="S77" i="12"/>
  <c r="G77" i="12"/>
  <c r="D11" i="12"/>
  <c r="W11" i="12" s="1"/>
  <c r="B109" i="22"/>
  <c r="E99" i="22" s="1"/>
  <c r="B23" i="2" s="1"/>
  <c r="X12" i="5"/>
  <c r="C12" i="5"/>
  <c r="W27" i="4"/>
  <c r="Y27" i="4" s="1"/>
  <c r="R77" i="12"/>
  <c r="H86" i="20"/>
  <c r="H92" i="20"/>
  <c r="R75" i="22"/>
  <c r="W34" i="22"/>
  <c r="X34" i="22" s="1"/>
  <c r="C77" i="9"/>
  <c r="K77" i="9"/>
  <c r="S77" i="9"/>
  <c r="D77" i="9"/>
  <c r="L77" i="9"/>
  <c r="T77" i="9"/>
  <c r="E77" i="9"/>
  <c r="M77" i="9"/>
  <c r="U77" i="9"/>
  <c r="J77" i="9"/>
  <c r="N77" i="9"/>
  <c r="D76" i="10"/>
  <c r="L76" i="10"/>
  <c r="T76" i="10"/>
  <c r="B77" i="9"/>
  <c r="P77" i="9"/>
  <c r="G77" i="9"/>
  <c r="H77" i="9"/>
  <c r="Q77" i="9"/>
  <c r="H76" i="10"/>
  <c r="Q76" i="10"/>
  <c r="I76" i="10"/>
  <c r="R76" i="10"/>
  <c r="C76" i="10"/>
  <c r="O76" i="10"/>
  <c r="F76" i="10"/>
  <c r="S76" i="10"/>
  <c r="B29" i="5"/>
  <c r="B32" i="5" s="1"/>
  <c r="F77" i="9"/>
  <c r="G76" i="10"/>
  <c r="I77" i="9"/>
  <c r="J76" i="10"/>
  <c r="O77" i="9"/>
  <c r="K76" i="10"/>
  <c r="B76" i="10"/>
  <c r="R77" i="9"/>
  <c r="E76" i="10"/>
  <c r="M76" i="10"/>
  <c r="N76" i="10"/>
  <c r="P76" i="10"/>
  <c r="E77" i="12"/>
  <c r="M77" i="12"/>
  <c r="U77" i="12"/>
  <c r="U76" i="10"/>
  <c r="F77" i="12"/>
  <c r="N77" i="12"/>
  <c r="H77" i="12"/>
  <c r="P77" i="12"/>
  <c r="U76" i="11"/>
  <c r="M76" i="11"/>
  <c r="E76" i="11"/>
  <c r="Q77" i="12"/>
  <c r="C77" i="12"/>
  <c r="G86" i="20"/>
  <c r="G92" i="20"/>
  <c r="G98" i="20"/>
  <c r="B61" i="22"/>
  <c r="B64" i="22" s="1"/>
  <c r="B60" i="22"/>
  <c r="C10" i="10"/>
  <c r="Z7" i="10"/>
  <c r="B11" i="4"/>
  <c r="O77" i="12"/>
  <c r="B77" i="12"/>
  <c r="P75" i="22"/>
  <c r="AB7" i="12"/>
  <c r="AB9" i="12" s="1"/>
  <c r="G75" i="22"/>
  <c r="D75" i="22"/>
  <c r="B21" i="22"/>
  <c r="B24" i="22" s="1"/>
  <c r="W14" i="22"/>
  <c r="X14" i="22" s="1"/>
  <c r="E5" i="9"/>
  <c r="D5" i="10"/>
  <c r="B22" i="10"/>
  <c r="B11" i="10"/>
  <c r="B25" i="10"/>
  <c r="B23" i="10"/>
  <c r="B24" i="10"/>
  <c r="J97" i="22"/>
  <c r="C59" i="22"/>
  <c r="W54" i="22" s="1"/>
  <c r="X54" i="22" s="1"/>
  <c r="K59" i="22"/>
  <c r="S59" i="22"/>
  <c r="B111" i="22" s="1"/>
  <c r="O99" i="22" s="1"/>
  <c r="D23" i="2" s="1"/>
  <c r="C66" i="22"/>
  <c r="K66" i="22"/>
  <c r="S66" i="22"/>
  <c r="E59" i="22"/>
  <c r="M59" i="22"/>
  <c r="U59" i="22"/>
  <c r="E66" i="22"/>
  <c r="E75" i="22" s="1"/>
  <c r="F59" i="22"/>
  <c r="F75" i="22" s="1"/>
  <c r="P59" i="22"/>
  <c r="J66" i="22"/>
  <c r="J75" i="22" s="1"/>
  <c r="T66" i="22"/>
  <c r="T75" i="22" s="1"/>
  <c r="G59" i="22"/>
  <c r="Q59" i="22"/>
  <c r="Q75" i="22" s="1"/>
  <c r="L66" i="22"/>
  <c r="L75" i="22" s="1"/>
  <c r="U66" i="22"/>
  <c r="U75" i="22" s="1"/>
  <c r="H59" i="22"/>
  <c r="H75" i="22" s="1"/>
  <c r="R59" i="22"/>
  <c r="B66" i="22"/>
  <c r="B75" i="22" s="1"/>
  <c r="M66" i="22"/>
  <c r="W55" i="9"/>
  <c r="C56" i="9"/>
  <c r="W56" i="9" s="1"/>
  <c r="E97" i="22"/>
  <c r="B20" i="22" s="1"/>
  <c r="O66" i="22"/>
  <c r="O75" i="22" s="1"/>
  <c r="J59" i="22"/>
  <c r="G68" i="20"/>
  <c r="G74" i="20"/>
  <c r="G80" i="20"/>
  <c r="N66" i="22"/>
  <c r="N75" i="22" s="1"/>
  <c r="I59" i="22"/>
  <c r="I75" i="22" s="1"/>
  <c r="W56" i="10"/>
  <c r="X13" i="5" s="1"/>
  <c r="U56" i="10"/>
  <c r="W27" i="10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W24" i="9"/>
  <c r="F22" i="9"/>
  <c r="W55" i="10"/>
  <c r="C23" i="9"/>
  <c r="C28" i="9"/>
  <c r="W11" i="9"/>
  <c r="B28" i="9"/>
  <c r="W25" i="9"/>
  <c r="AA7" i="9"/>
  <c r="Z7" i="9"/>
  <c r="G14" i="5" l="1"/>
  <c r="J14" i="5"/>
  <c r="R14" i="5"/>
  <c r="AA9" i="9"/>
  <c r="P14" i="5"/>
  <c r="AC7" i="12"/>
  <c r="AC9" i="12" s="1"/>
  <c r="W15" i="13"/>
  <c r="C18" i="11"/>
  <c r="B18" i="12"/>
  <c r="W9" i="12"/>
  <c r="M14" i="5"/>
  <c r="H14" i="5"/>
  <c r="K15" i="9"/>
  <c r="K15" i="10"/>
  <c r="K15" i="12"/>
  <c r="K15" i="11"/>
  <c r="W28" i="4"/>
  <c r="B18" i="10"/>
  <c r="W9" i="10"/>
  <c r="B10" i="4"/>
  <c r="G22" i="9"/>
  <c r="D10" i="10"/>
  <c r="C11" i="4"/>
  <c r="U15" i="9"/>
  <c r="U15" i="10"/>
  <c r="U15" i="11"/>
  <c r="U15" i="12"/>
  <c r="D22" i="13"/>
  <c r="C28" i="13"/>
  <c r="Z8" i="10"/>
  <c r="Z9" i="10" s="1"/>
  <c r="C23" i="10"/>
  <c r="B24" i="4"/>
  <c r="Q14" i="5"/>
  <c r="D23" i="11"/>
  <c r="AB8" i="11" s="1"/>
  <c r="AA8" i="11"/>
  <c r="AC7" i="11"/>
  <c r="AC9" i="11" s="1"/>
  <c r="M75" i="22"/>
  <c r="U14" i="5"/>
  <c r="C25" i="10"/>
  <c r="B26" i="4"/>
  <c r="C22" i="10"/>
  <c r="B28" i="10"/>
  <c r="B23" i="4"/>
  <c r="W77" i="12"/>
  <c r="B67" i="22"/>
  <c r="B68" i="22"/>
  <c r="C41" i="24"/>
  <c r="E28" i="12"/>
  <c r="AC7" i="13"/>
  <c r="AC9" i="13" s="1"/>
  <c r="H22" i="12"/>
  <c r="D53" i="24"/>
  <c r="D22" i="11"/>
  <c r="D18" i="11" s="1"/>
  <c r="C28" i="11"/>
  <c r="E16" i="4"/>
  <c r="V14" i="5"/>
  <c r="E14" i="5"/>
  <c r="W77" i="9"/>
  <c r="S14" i="5"/>
  <c r="G5" i="12"/>
  <c r="F23" i="12"/>
  <c r="F16" i="12"/>
  <c r="AD7" i="12" s="1"/>
  <c r="I15" i="9"/>
  <c r="I15" i="10"/>
  <c r="I15" i="12"/>
  <c r="I15" i="11"/>
  <c r="G23" i="14"/>
  <c r="AE8" i="14" s="1"/>
  <c r="G16" i="14"/>
  <c r="AE7" i="14" s="1"/>
  <c r="AE9" i="14" s="1"/>
  <c r="H5" i="14"/>
  <c r="S15" i="9"/>
  <c r="S15" i="10"/>
  <c r="S15" i="12"/>
  <c r="S15" i="11"/>
  <c r="F18" i="14"/>
  <c r="F19" i="14" s="1"/>
  <c r="F31" i="14" s="1"/>
  <c r="C10" i="4"/>
  <c r="H22" i="14"/>
  <c r="G28" i="14"/>
  <c r="O14" i="5"/>
  <c r="B12" i="13"/>
  <c r="C12" i="13"/>
  <c r="C19" i="13" s="1"/>
  <c r="D12" i="13"/>
  <c r="N16" i="4"/>
  <c r="D28" i="12"/>
  <c r="C14" i="5"/>
  <c r="S75" i="22"/>
  <c r="AB7" i="11"/>
  <c r="W10" i="11"/>
  <c r="D18" i="12"/>
  <c r="P15" i="9"/>
  <c r="P15" i="10"/>
  <c r="P15" i="12"/>
  <c r="P15" i="11"/>
  <c r="T15" i="9"/>
  <c r="T15" i="10"/>
  <c r="T15" i="12"/>
  <c r="T15" i="11"/>
  <c r="AC7" i="14"/>
  <c r="AC9" i="14" s="1"/>
  <c r="E19" i="14"/>
  <c r="E31" i="14" s="1"/>
  <c r="C18" i="13"/>
  <c r="E18" i="12"/>
  <c r="E19" i="12"/>
  <c r="E31" i="12" s="1"/>
  <c r="K75" i="22"/>
  <c r="D13" i="5"/>
  <c r="W13" i="5" s="1"/>
  <c r="Y13" i="5" s="1"/>
  <c r="W12" i="5"/>
  <c r="Y12" i="5" s="1"/>
  <c r="AA9" i="11"/>
  <c r="W25" i="12"/>
  <c r="D10" i="4"/>
  <c r="O15" i="9"/>
  <c r="O15" i="10"/>
  <c r="O15" i="12"/>
  <c r="O15" i="11"/>
  <c r="Q15" i="9"/>
  <c r="Q15" i="10"/>
  <c r="Q15" i="12"/>
  <c r="Q15" i="11"/>
  <c r="G15" i="9"/>
  <c r="G15" i="10"/>
  <c r="G15" i="11"/>
  <c r="G15" i="12"/>
  <c r="L15" i="10"/>
  <c r="L15" i="9"/>
  <c r="L15" i="12"/>
  <c r="L15" i="11"/>
  <c r="AE9" i="13"/>
  <c r="D49" i="24"/>
  <c r="E45" i="24"/>
  <c r="F14" i="5"/>
  <c r="K6" i="20"/>
  <c r="J86" i="20"/>
  <c r="J98" i="20"/>
  <c r="J92" i="20"/>
  <c r="B76" i="22"/>
  <c r="B91" i="22"/>
  <c r="B38" i="4" s="1"/>
  <c r="B48" i="22"/>
  <c r="C32" i="22" s="1"/>
  <c r="B47" i="22"/>
  <c r="J15" i="9"/>
  <c r="J15" i="10"/>
  <c r="J15" i="11"/>
  <c r="J15" i="12"/>
  <c r="C18" i="9"/>
  <c r="H16" i="11"/>
  <c r="AF7" i="11" s="1"/>
  <c r="I5" i="11"/>
  <c r="H23" i="11"/>
  <c r="AF8" i="11" s="1"/>
  <c r="B18" i="9"/>
  <c r="W9" i="9"/>
  <c r="C11" i="10"/>
  <c r="B12" i="4"/>
  <c r="Z5" i="4" s="1"/>
  <c r="X28" i="4"/>
  <c r="K14" i="5"/>
  <c r="E16" i="9"/>
  <c r="F5" i="9"/>
  <c r="E23" i="9"/>
  <c r="E5" i="10"/>
  <c r="Z9" i="9"/>
  <c r="D23" i="9"/>
  <c r="AA8" i="9"/>
  <c r="I14" i="5"/>
  <c r="C75" i="22"/>
  <c r="X14" i="5" s="1"/>
  <c r="C24" i="10"/>
  <c r="B25" i="4"/>
  <c r="B27" i="22"/>
  <c r="B28" i="22"/>
  <c r="C12" i="22" s="1"/>
  <c r="I68" i="20"/>
  <c r="I74" i="20"/>
  <c r="I80" i="20"/>
  <c r="J5" i="20"/>
  <c r="D18" i="9"/>
  <c r="M15" i="10"/>
  <c r="M15" i="9"/>
  <c r="M15" i="12"/>
  <c r="M15" i="11"/>
  <c r="E53" i="24"/>
  <c r="R15" i="9"/>
  <c r="R15" i="10"/>
  <c r="R15" i="11"/>
  <c r="R15" i="12"/>
  <c r="H15" i="9"/>
  <c r="H15" i="10"/>
  <c r="H15" i="12"/>
  <c r="H15" i="11"/>
  <c r="F15" i="9"/>
  <c r="F15" i="10"/>
  <c r="F15" i="12"/>
  <c r="F15" i="11"/>
  <c r="F26" i="24"/>
  <c r="F28" i="24" s="1"/>
  <c r="F49" i="24" s="1"/>
  <c r="F14" i="24"/>
  <c r="F16" i="24" s="1"/>
  <c r="C17" i="24" s="1"/>
  <c r="F20" i="24"/>
  <c r="F22" i="24" s="1"/>
  <c r="C23" i="24" s="1"/>
  <c r="F10" i="24"/>
  <c r="C11" i="24" s="1"/>
  <c r="C18" i="12"/>
  <c r="AD9" i="11"/>
  <c r="B18" i="11"/>
  <c r="W9" i="11"/>
  <c r="H16" i="13"/>
  <c r="AF7" i="13" s="1"/>
  <c r="AF9" i="13" s="1"/>
  <c r="I5" i="13"/>
  <c r="H23" i="13"/>
  <c r="AF8" i="13" s="1"/>
  <c r="E49" i="24"/>
  <c r="C50" i="24" s="1"/>
  <c r="D18" i="14"/>
  <c r="C12" i="9" l="1"/>
  <c r="C19" i="9" s="1"/>
  <c r="C31" i="9" s="1"/>
  <c r="B12" i="9"/>
  <c r="D12" i="9"/>
  <c r="D19" i="9" s="1"/>
  <c r="D31" i="9" s="1"/>
  <c r="C12" i="11"/>
  <c r="C19" i="11" s="1"/>
  <c r="C31" i="11" s="1"/>
  <c r="D12" i="11"/>
  <c r="D19" i="11" s="1"/>
  <c r="D31" i="11" s="1"/>
  <c r="B12" i="11"/>
  <c r="C12" i="10"/>
  <c r="C19" i="10" s="1"/>
  <c r="C31" i="10" s="1"/>
  <c r="B12" i="10"/>
  <c r="D12" i="10"/>
  <c r="F54" i="14"/>
  <c r="E54" i="14"/>
  <c r="N14" i="5"/>
  <c r="D24" i="10"/>
  <c r="C25" i="4"/>
  <c r="W15" i="9"/>
  <c r="C15" i="5"/>
  <c r="T14" i="5"/>
  <c r="S16" i="4"/>
  <c r="Q16" i="4"/>
  <c r="E22" i="13"/>
  <c r="D28" i="13"/>
  <c r="D18" i="13"/>
  <c r="AC7" i="9"/>
  <c r="L16" i="4"/>
  <c r="E54" i="12"/>
  <c r="F53" i="24"/>
  <c r="C54" i="24" s="1"/>
  <c r="C18" i="10"/>
  <c r="C19" i="4" s="1"/>
  <c r="H23" i="14"/>
  <c r="H16" i="14"/>
  <c r="I5" i="14"/>
  <c r="L6" i="20"/>
  <c r="K86" i="20"/>
  <c r="K92" i="20"/>
  <c r="K98" i="20"/>
  <c r="B37" i="9"/>
  <c r="B37" i="10"/>
  <c r="B37" i="11"/>
  <c r="B37" i="12"/>
  <c r="B37" i="14"/>
  <c r="B37" i="13"/>
  <c r="H22" i="9"/>
  <c r="AC8" i="9"/>
  <c r="E28" i="9"/>
  <c r="J16" i="4"/>
  <c r="E18" i="9"/>
  <c r="E19" i="9" s="1"/>
  <c r="E31" i="9" s="1"/>
  <c r="O16" i="4"/>
  <c r="W12" i="13"/>
  <c r="B19" i="13"/>
  <c r="F19" i="12"/>
  <c r="F18" i="12"/>
  <c r="F16" i="9"/>
  <c r="AD7" i="9" s="1"/>
  <c r="F23" i="9"/>
  <c r="F5" i="10"/>
  <c r="G5" i="9"/>
  <c r="X10" i="4"/>
  <c r="K16" i="4"/>
  <c r="F16" i="4"/>
  <c r="W16" i="4" s="1"/>
  <c r="M16" i="4"/>
  <c r="C33" i="22"/>
  <c r="C34" i="22"/>
  <c r="C37" i="22" s="1"/>
  <c r="W15" i="12"/>
  <c r="P16" i="4"/>
  <c r="AB9" i="11"/>
  <c r="AD8" i="12"/>
  <c r="AD9" i="12" s="1"/>
  <c r="F28" i="12"/>
  <c r="C29" i="24"/>
  <c r="D25" i="10"/>
  <c r="C26" i="4"/>
  <c r="B19" i="4"/>
  <c r="H16" i="4"/>
  <c r="E16" i="10"/>
  <c r="E23" i="10"/>
  <c r="C28" i="10"/>
  <c r="D22" i="10"/>
  <c r="C23" i="4"/>
  <c r="U16" i="4"/>
  <c r="J74" i="20"/>
  <c r="J80" i="20"/>
  <c r="K5" i="20"/>
  <c r="J68" i="20"/>
  <c r="I16" i="11"/>
  <c r="J5" i="11"/>
  <c r="I23" i="11"/>
  <c r="AG8" i="11" s="1"/>
  <c r="I22" i="14"/>
  <c r="W15" i="11"/>
  <c r="AF9" i="11"/>
  <c r="B77" i="22"/>
  <c r="R16" i="4"/>
  <c r="I23" i="13"/>
  <c r="J5" i="13"/>
  <c r="I16" i="13"/>
  <c r="F45" i="24"/>
  <c r="C46" i="24" s="1"/>
  <c r="C13" i="22"/>
  <c r="C14" i="22"/>
  <c r="C17" i="22" s="1"/>
  <c r="G16" i="12"/>
  <c r="H5" i="12"/>
  <c r="G23" i="12"/>
  <c r="D12" i="14"/>
  <c r="D19" i="14" s="1"/>
  <c r="D31" i="14" s="1"/>
  <c r="C12" i="14"/>
  <c r="C19" i="14" s="1"/>
  <c r="C31" i="14" s="1"/>
  <c r="B12" i="14"/>
  <c r="Z6" i="4"/>
  <c r="G18" i="14"/>
  <c r="G19" i="14" s="1"/>
  <c r="G31" i="14" s="1"/>
  <c r="D11" i="4"/>
  <c r="W10" i="10"/>
  <c r="X11" i="4" s="1"/>
  <c r="Y28" i="4"/>
  <c r="D28" i="11"/>
  <c r="E22" i="11"/>
  <c r="T16" i="4"/>
  <c r="C31" i="13"/>
  <c r="C81" i="13"/>
  <c r="C83" i="13" s="1"/>
  <c r="I16" i="4"/>
  <c r="I22" i="12"/>
  <c r="W10" i="4"/>
  <c r="D14" i="5"/>
  <c r="W14" i="5" s="1"/>
  <c r="Y14" i="5" s="1"/>
  <c r="C12" i="4"/>
  <c r="AA5" i="4" s="1"/>
  <c r="D11" i="10"/>
  <c r="L14" i="5"/>
  <c r="W15" i="10"/>
  <c r="C52" i="22"/>
  <c r="B73" i="22"/>
  <c r="AB8" i="9"/>
  <c r="AB9" i="9" s="1"/>
  <c r="D28" i="9"/>
  <c r="G16" i="4"/>
  <c r="B29" i="4"/>
  <c r="D23" i="10"/>
  <c r="AA8" i="10"/>
  <c r="C24" i="4"/>
  <c r="AA6" i="4" s="1"/>
  <c r="AA7" i="10"/>
  <c r="G54" i="14" l="1"/>
  <c r="C54" i="10"/>
  <c r="C12" i="2"/>
  <c r="G12" i="2"/>
  <c r="Y16" i="4"/>
  <c r="D12" i="4"/>
  <c r="D18" i="10"/>
  <c r="D19" i="4" s="1"/>
  <c r="W12" i="14"/>
  <c r="B19" i="14"/>
  <c r="C41" i="22"/>
  <c r="C44" i="22" s="1"/>
  <c r="C40" i="22"/>
  <c r="AF8" i="14"/>
  <c r="W12" i="9"/>
  <c r="B19" i="9"/>
  <c r="AB8" i="10"/>
  <c r="D24" i="4"/>
  <c r="AB6" i="4" s="1"/>
  <c r="AG8" i="13"/>
  <c r="C20" i="22"/>
  <c r="C21" i="22"/>
  <c r="C24" i="22" s="1"/>
  <c r="J22" i="14"/>
  <c r="I22" i="9"/>
  <c r="D54" i="11"/>
  <c r="X16" i="4"/>
  <c r="C54" i="13"/>
  <c r="AE8" i="12"/>
  <c r="G28" i="12"/>
  <c r="B57" i="9"/>
  <c r="B57" i="10"/>
  <c r="B57" i="12"/>
  <c r="B57" i="11"/>
  <c r="B57" i="13"/>
  <c r="B57" i="14"/>
  <c r="E24" i="4"/>
  <c r="C54" i="11"/>
  <c r="AG7" i="13"/>
  <c r="AD8" i="9"/>
  <c r="AD9" i="9" s="1"/>
  <c r="F28" i="9"/>
  <c r="D54" i="9"/>
  <c r="J23" i="13"/>
  <c r="AH8" i="13" s="1"/>
  <c r="K5" i="13"/>
  <c r="J16" i="13"/>
  <c r="M6" i="20"/>
  <c r="L86" i="20"/>
  <c r="L92" i="20"/>
  <c r="L98" i="20"/>
  <c r="B79" i="9"/>
  <c r="B78" i="10"/>
  <c r="B79" i="12"/>
  <c r="B78" i="11"/>
  <c r="B81" i="13"/>
  <c r="B83" i="13" s="1"/>
  <c r="B31" i="13"/>
  <c r="W12" i="11"/>
  <c r="B19" i="11"/>
  <c r="E28" i="11"/>
  <c r="F22" i="11"/>
  <c r="E18" i="11"/>
  <c r="I5" i="12"/>
  <c r="H16" i="12"/>
  <c r="H23" i="12"/>
  <c r="C29" i="4"/>
  <c r="AC7" i="10"/>
  <c r="E17" i="4"/>
  <c r="F31" i="12"/>
  <c r="W11" i="10"/>
  <c r="X12" i="4" s="1"/>
  <c r="C54" i="14"/>
  <c r="AB5" i="4"/>
  <c r="W11" i="4"/>
  <c r="Y11" i="4" s="1"/>
  <c r="B12" i="12"/>
  <c r="D12" i="12"/>
  <c r="D19" i="12" s="1"/>
  <c r="D31" i="12" s="1"/>
  <c r="C12" i="12"/>
  <c r="C19" i="12" s="1"/>
  <c r="C31" i="12" s="1"/>
  <c r="F22" i="13"/>
  <c r="E28" i="13"/>
  <c r="E18" i="13"/>
  <c r="E19" i="13" s="1"/>
  <c r="C54" i="9"/>
  <c r="C53" i="22"/>
  <c r="C54" i="22"/>
  <c r="C57" i="22" s="1"/>
  <c r="C72" i="22"/>
  <c r="W12" i="4"/>
  <c r="Y12" i="4" s="1"/>
  <c r="AB7" i="10"/>
  <c r="AB9" i="10" s="1"/>
  <c r="Y10" i="4"/>
  <c r="AE7" i="12"/>
  <c r="F19" i="9"/>
  <c r="D28" i="10"/>
  <c r="E22" i="10"/>
  <c r="E18" i="10" s="1"/>
  <c r="D23" i="4"/>
  <c r="G18" i="12"/>
  <c r="H5" i="9"/>
  <c r="G16" i="9"/>
  <c r="G5" i="10"/>
  <c r="G23" i="9"/>
  <c r="AC9" i="9"/>
  <c r="D25" i="4"/>
  <c r="E24" i="10"/>
  <c r="D13" i="4"/>
  <c r="D20" i="4" s="1"/>
  <c r="AG7" i="11"/>
  <c r="AF7" i="14"/>
  <c r="H19" i="14"/>
  <c r="H18" i="14"/>
  <c r="C13" i="4"/>
  <c r="C20" i="4" s="1"/>
  <c r="C32" i="4" s="1"/>
  <c r="E25" i="10"/>
  <c r="D26" i="4"/>
  <c r="E54" i="9"/>
  <c r="D19" i="13"/>
  <c r="D54" i="14"/>
  <c r="H28" i="14"/>
  <c r="K74" i="20"/>
  <c r="K68" i="20"/>
  <c r="K80" i="20"/>
  <c r="L5" i="20"/>
  <c r="AA9" i="10"/>
  <c r="J22" i="12"/>
  <c r="F18" i="9"/>
  <c r="K5" i="11"/>
  <c r="J16" i="11"/>
  <c r="J23" i="11"/>
  <c r="F16" i="10"/>
  <c r="F23" i="10"/>
  <c r="I23" i="14"/>
  <c r="AG8" i="14" s="1"/>
  <c r="J5" i="14"/>
  <c r="I16" i="14"/>
  <c r="W12" i="10"/>
  <c r="B19" i="10"/>
  <c r="E19" i="4" l="1"/>
  <c r="E19" i="10"/>
  <c r="D10" i="5"/>
  <c r="C8" i="22"/>
  <c r="C61" i="2"/>
  <c r="W12" i="12"/>
  <c r="X13" i="4" s="1"/>
  <c r="B19" i="12"/>
  <c r="F54" i="12"/>
  <c r="B13" i="4"/>
  <c r="I28" i="14"/>
  <c r="C48" i="22"/>
  <c r="D32" i="22" s="1"/>
  <c r="C47" i="22"/>
  <c r="AH8" i="11"/>
  <c r="F24" i="10"/>
  <c r="E25" i="4"/>
  <c r="AH7" i="13"/>
  <c r="AH9" i="13" s="1"/>
  <c r="C27" i="22"/>
  <c r="C28" i="22"/>
  <c r="D12" i="22" s="1"/>
  <c r="B31" i="14"/>
  <c r="AH7" i="11"/>
  <c r="AH9" i="11" s="1"/>
  <c r="AE7" i="9"/>
  <c r="G19" i="9"/>
  <c r="G31" i="9" s="1"/>
  <c r="G18" i="9"/>
  <c r="AE9" i="12"/>
  <c r="I16" i="12"/>
  <c r="I23" i="12"/>
  <c r="J5" i="12"/>
  <c r="K23" i="13"/>
  <c r="AI8" i="13" s="1"/>
  <c r="K16" i="13"/>
  <c r="L5" i="13"/>
  <c r="AC8" i="10"/>
  <c r="K22" i="14"/>
  <c r="AE8" i="9"/>
  <c r="G28" i="9"/>
  <c r="G22" i="13"/>
  <c r="F28" i="13"/>
  <c r="F18" i="13"/>
  <c r="F19" i="13" s="1"/>
  <c r="AC6" i="4"/>
  <c r="H23" i="9"/>
  <c r="H16" i="9"/>
  <c r="I5" i="9"/>
  <c r="H5" i="10"/>
  <c r="C61" i="22"/>
  <c r="C64" i="22" s="1"/>
  <c r="C60" i="22"/>
  <c r="C54" i="12"/>
  <c r="B54" i="13"/>
  <c r="AG9" i="13"/>
  <c r="D19" i="10"/>
  <c r="D31" i="10" s="1"/>
  <c r="F22" i="10"/>
  <c r="E28" i="10"/>
  <c r="E23" i="4"/>
  <c r="E29" i="4" s="1"/>
  <c r="E19" i="11"/>
  <c r="E31" i="11" s="1"/>
  <c r="B31" i="10"/>
  <c r="F28" i="11"/>
  <c r="G22" i="11"/>
  <c r="F18" i="11"/>
  <c r="F19" i="11" s="1"/>
  <c r="F31" i="11" s="1"/>
  <c r="AD7" i="10"/>
  <c r="F17" i="4"/>
  <c r="E26" i="4"/>
  <c r="F25" i="10"/>
  <c r="F31" i="9"/>
  <c r="AF7" i="12"/>
  <c r="H18" i="12"/>
  <c r="H19" i="12"/>
  <c r="H31" i="12" s="1"/>
  <c r="B31" i="11"/>
  <c r="B31" i="9"/>
  <c r="C14" i="2"/>
  <c r="B12" i="2"/>
  <c r="K23" i="11"/>
  <c r="AI8" i="11" s="1"/>
  <c r="L5" i="11"/>
  <c r="K16" i="11"/>
  <c r="AG7" i="14"/>
  <c r="AG9" i="14" s="1"/>
  <c r="I18" i="14"/>
  <c r="I19" i="14" s="1"/>
  <c r="M5" i="20"/>
  <c r="L68" i="20"/>
  <c r="L80" i="20"/>
  <c r="L74" i="20"/>
  <c r="D31" i="13"/>
  <c r="D81" i="13"/>
  <c r="D83" i="13" s="1"/>
  <c r="H31" i="14"/>
  <c r="AC5" i="4"/>
  <c r="E20" i="4"/>
  <c r="AD8" i="10"/>
  <c r="F24" i="4"/>
  <c r="AG9" i="11"/>
  <c r="E81" i="13"/>
  <c r="E83" i="13" s="1"/>
  <c r="E31" i="13"/>
  <c r="M92" i="20"/>
  <c r="N6" i="20"/>
  <c r="M98" i="20"/>
  <c r="M86" i="20"/>
  <c r="AF8" i="12"/>
  <c r="H28" i="12"/>
  <c r="G23" i="10"/>
  <c r="G16" i="10"/>
  <c r="K5" i="14"/>
  <c r="J16" i="14"/>
  <c r="J23" i="14"/>
  <c r="AH8" i="14" s="1"/>
  <c r="K22" i="12"/>
  <c r="AF9" i="14"/>
  <c r="D29" i="4"/>
  <c r="D32" i="4" s="1"/>
  <c r="D54" i="12"/>
  <c r="AC9" i="10"/>
  <c r="J22" i="9"/>
  <c r="G19" i="12"/>
  <c r="G31" i="12" s="1"/>
  <c r="D8" i="22" l="1"/>
  <c r="E10" i="5"/>
  <c r="D61" i="2"/>
  <c r="I31" i="14"/>
  <c r="H22" i="13"/>
  <c r="G28" i="13"/>
  <c r="G18" i="13"/>
  <c r="G19" i="13" s="1"/>
  <c r="AG7" i="12"/>
  <c r="I18" i="12"/>
  <c r="H54" i="12"/>
  <c r="D54" i="10"/>
  <c r="G54" i="12"/>
  <c r="E54" i="13"/>
  <c r="N5" i="20"/>
  <c r="M68" i="20"/>
  <c r="M80" i="20"/>
  <c r="M74" i="20"/>
  <c r="G8" i="2"/>
  <c r="G9" i="2"/>
  <c r="B8" i="2"/>
  <c r="B10" i="2" s="1"/>
  <c r="B14" i="2"/>
  <c r="B9" i="2"/>
  <c r="B54" i="10"/>
  <c r="AF8" i="9"/>
  <c r="H28" i="9"/>
  <c r="M5" i="13"/>
  <c r="L23" i="13"/>
  <c r="L16" i="13"/>
  <c r="B54" i="14"/>
  <c r="E31" i="10"/>
  <c r="AH7" i="14"/>
  <c r="J18" i="14"/>
  <c r="J19" i="14"/>
  <c r="C68" i="22"/>
  <c r="C67" i="22"/>
  <c r="C76" i="22" s="1"/>
  <c r="K16" i="14"/>
  <c r="L5" i="14"/>
  <c r="K23" i="14"/>
  <c r="AI8" i="14" s="1"/>
  <c r="B54" i="11"/>
  <c r="AE7" i="10"/>
  <c r="G17" i="4"/>
  <c r="G18" i="10"/>
  <c r="G19" i="4" s="1"/>
  <c r="G22" i="10"/>
  <c r="F23" i="4"/>
  <c r="F28" i="10"/>
  <c r="AE8" i="10"/>
  <c r="G24" i="4"/>
  <c r="L22" i="12"/>
  <c r="B54" i="9"/>
  <c r="AF9" i="12"/>
  <c r="AD5" i="4"/>
  <c r="AI7" i="13"/>
  <c r="AI9" i="13" s="1"/>
  <c r="G54" i="9"/>
  <c r="D14" i="22"/>
  <c r="D17" i="22" s="1"/>
  <c r="D13" i="22"/>
  <c r="G24" i="10"/>
  <c r="F25" i="4"/>
  <c r="W13" i="4"/>
  <c r="Y13" i="4" s="1"/>
  <c r="B20" i="4"/>
  <c r="D54" i="13"/>
  <c r="F54" i="11"/>
  <c r="L22" i="14"/>
  <c r="G25" i="10"/>
  <c r="F26" i="4"/>
  <c r="B59" i="13"/>
  <c r="B31" i="12"/>
  <c r="N92" i="20"/>
  <c r="O6" i="20"/>
  <c r="N98" i="20"/>
  <c r="N86" i="20"/>
  <c r="I23" i="9"/>
  <c r="J5" i="9"/>
  <c r="I5" i="10"/>
  <c r="I16" i="9"/>
  <c r="F18" i="10"/>
  <c r="K22" i="9"/>
  <c r="H54" i="14"/>
  <c r="AD9" i="10"/>
  <c r="E54" i="11"/>
  <c r="F81" i="13"/>
  <c r="F83" i="13" s="1"/>
  <c r="F31" i="13"/>
  <c r="AE9" i="9"/>
  <c r="AI7" i="11"/>
  <c r="AI9" i="11" s="1"/>
  <c r="F54" i="9"/>
  <c r="AG8" i="12"/>
  <c r="I28" i="12"/>
  <c r="L23" i="11"/>
  <c r="AJ8" i="11" s="1"/>
  <c r="L16" i="11"/>
  <c r="M5" i="11"/>
  <c r="H22" i="11"/>
  <c r="G28" i="11"/>
  <c r="G18" i="11"/>
  <c r="G19" i="11" s="1"/>
  <c r="G31" i="11" s="1"/>
  <c r="H16" i="10"/>
  <c r="H23" i="10"/>
  <c r="D33" i="22"/>
  <c r="D34" i="22"/>
  <c r="D37" i="22" s="1"/>
  <c r="E32" i="4"/>
  <c r="AF7" i="9"/>
  <c r="H18" i="9"/>
  <c r="H19" i="9" s="1"/>
  <c r="J28" i="14"/>
  <c r="J16" i="12"/>
  <c r="J23" i="12"/>
  <c r="K5" i="12"/>
  <c r="H31" i="9" l="1"/>
  <c r="D15" i="5"/>
  <c r="C77" i="22"/>
  <c r="M22" i="12"/>
  <c r="L16" i="14"/>
  <c r="L23" i="14"/>
  <c r="AJ8" i="14" s="1"/>
  <c r="M5" i="14"/>
  <c r="I54" i="14"/>
  <c r="AH7" i="12"/>
  <c r="AH9" i="12" s="1"/>
  <c r="J19" i="12"/>
  <c r="J18" i="12"/>
  <c r="G26" i="4"/>
  <c r="H25" i="10"/>
  <c r="I22" i="11"/>
  <c r="H28" i="11"/>
  <c r="H18" i="11"/>
  <c r="F19" i="4"/>
  <c r="F19" i="10"/>
  <c r="O86" i="20"/>
  <c r="O92" i="20"/>
  <c r="O98" i="20"/>
  <c r="P6" i="20"/>
  <c r="K28" i="14"/>
  <c r="B32" i="4"/>
  <c r="B59" i="11"/>
  <c r="J31" i="14"/>
  <c r="AJ7" i="13"/>
  <c r="AJ9" i="13" s="1"/>
  <c r="K16" i="12"/>
  <c r="K23" i="12"/>
  <c r="L5" i="12"/>
  <c r="K5" i="9"/>
  <c r="J5" i="10"/>
  <c r="J23" i="9"/>
  <c r="J16" i="9"/>
  <c r="AG8" i="9"/>
  <c r="I28" i="9"/>
  <c r="B67" i="20"/>
  <c r="B79" i="20"/>
  <c r="B91" i="20"/>
  <c r="B97" i="20"/>
  <c r="B85" i="20"/>
  <c r="B40" i="2"/>
  <c r="B73" i="20"/>
  <c r="G10" i="2"/>
  <c r="G14" i="2" s="1"/>
  <c r="F12" i="2" s="1"/>
  <c r="B43" i="2"/>
  <c r="B44" i="20"/>
  <c r="B12" i="20"/>
  <c r="B52" i="20"/>
  <c r="B28" i="20"/>
  <c r="B20" i="20"/>
  <c r="B36" i="20"/>
  <c r="C91" i="22"/>
  <c r="C38" i="4" s="1"/>
  <c r="D52" i="22"/>
  <c r="C73" i="22"/>
  <c r="G81" i="13"/>
  <c r="G83" i="13" s="1"/>
  <c r="G31" i="13"/>
  <c r="E8" i="22"/>
  <c r="F10" i="5"/>
  <c r="E61" i="2"/>
  <c r="N5" i="11"/>
  <c r="M16" i="11"/>
  <c r="M23" i="11"/>
  <c r="L28" i="14"/>
  <c r="M22" i="14"/>
  <c r="F29" i="4"/>
  <c r="AJ8" i="13"/>
  <c r="O5" i="20"/>
  <c r="N68" i="20"/>
  <c r="N80" i="20"/>
  <c r="N74" i="20"/>
  <c r="H28" i="13"/>
  <c r="I22" i="13"/>
  <c r="H18" i="13"/>
  <c r="H19" i="13" s="1"/>
  <c r="AF8" i="10"/>
  <c r="H24" i="4"/>
  <c r="L22" i="9"/>
  <c r="C40" i="2"/>
  <c r="C43" i="2"/>
  <c r="AF7" i="10"/>
  <c r="AF9" i="10" s="1"/>
  <c r="H17" i="4"/>
  <c r="D20" i="22"/>
  <c r="D21" i="22"/>
  <c r="D24" i="22" s="1"/>
  <c r="G19" i="10"/>
  <c r="G54" i="11"/>
  <c r="AE5" i="4"/>
  <c r="G20" i="4"/>
  <c r="B59" i="10"/>
  <c r="AF9" i="9"/>
  <c r="D40" i="22"/>
  <c r="D41" i="22"/>
  <c r="D44" i="22" s="1"/>
  <c r="AJ7" i="11"/>
  <c r="AJ9" i="11" s="1"/>
  <c r="AG7" i="9"/>
  <c r="AG9" i="9" s="1"/>
  <c r="I18" i="9"/>
  <c r="I19" i="9" s="1"/>
  <c r="B54" i="12"/>
  <c r="B59" i="9"/>
  <c r="G28" i="10"/>
  <c r="H22" i="10"/>
  <c r="G23" i="4"/>
  <c r="AH9" i="14"/>
  <c r="N5" i="13"/>
  <c r="M23" i="13"/>
  <c r="AK8" i="13" s="1"/>
  <c r="M16" i="13"/>
  <c r="AD6" i="4"/>
  <c r="B59" i="14"/>
  <c r="AH8" i="12"/>
  <c r="J28" i="12"/>
  <c r="AI7" i="14"/>
  <c r="AI9" i="14" s="1"/>
  <c r="K18" i="14"/>
  <c r="K19" i="14"/>
  <c r="I19" i="12"/>
  <c r="AG9" i="12"/>
  <c r="AE9" i="10"/>
  <c r="F54" i="13"/>
  <c r="I16" i="10"/>
  <c r="I23" i="10"/>
  <c r="H24" i="10"/>
  <c r="G25" i="4"/>
  <c r="AE6" i="4" s="1"/>
  <c r="E54" i="10"/>
  <c r="I31" i="9" l="1"/>
  <c r="M22" i="9"/>
  <c r="K23" i="9"/>
  <c r="K16" i="9"/>
  <c r="L5" i="9"/>
  <c r="K5" i="10"/>
  <c r="J54" i="14"/>
  <c r="AK7" i="13"/>
  <c r="AK9" i="13" s="1"/>
  <c r="G54" i="13"/>
  <c r="AK7" i="11"/>
  <c r="AK9" i="11" s="1"/>
  <c r="H54" i="9"/>
  <c r="I24" i="10"/>
  <c r="H25" i="4"/>
  <c r="AF6" i="4" s="1"/>
  <c r="N16" i="13"/>
  <c r="O5" i="13"/>
  <c r="N23" i="13"/>
  <c r="AL8" i="13" s="1"/>
  <c r="H31" i="13"/>
  <c r="H81" i="13"/>
  <c r="H83" i="13" s="1"/>
  <c r="N16" i="11"/>
  <c r="O5" i="11"/>
  <c r="N23" i="11"/>
  <c r="AL8" i="11" s="1"/>
  <c r="C79" i="9"/>
  <c r="C78" i="10"/>
  <c r="C79" i="12"/>
  <c r="C78" i="11"/>
  <c r="F53" i="20"/>
  <c r="E33" i="14" s="1"/>
  <c r="N53" i="20"/>
  <c r="M33" i="14" s="1"/>
  <c r="M84" i="14" s="1"/>
  <c r="V53" i="20"/>
  <c r="U33" i="14" s="1"/>
  <c r="U84" i="14" s="1"/>
  <c r="H53" i="20"/>
  <c r="G33" i="14" s="1"/>
  <c r="P53" i="20"/>
  <c r="O33" i="14" s="1"/>
  <c r="O84" i="14" s="1"/>
  <c r="B53" i="20"/>
  <c r="L53" i="20"/>
  <c r="K33" i="14" s="1"/>
  <c r="K84" i="14" s="1"/>
  <c r="B54" i="20"/>
  <c r="C52" i="20" s="1"/>
  <c r="C54" i="20" s="1"/>
  <c r="D52" i="20" s="1"/>
  <c r="D54" i="20" s="1"/>
  <c r="E52" i="20" s="1"/>
  <c r="E54" i="20" s="1"/>
  <c r="F52" i="20" s="1"/>
  <c r="F54" i="20" s="1"/>
  <c r="G52" i="20" s="1"/>
  <c r="G54" i="20" s="1"/>
  <c r="H52" i="20" s="1"/>
  <c r="H54" i="20" s="1"/>
  <c r="I52" i="20" s="1"/>
  <c r="I54" i="20" s="1"/>
  <c r="J52" i="20" s="1"/>
  <c r="J54" i="20" s="1"/>
  <c r="K52" i="20" s="1"/>
  <c r="K54" i="20" s="1"/>
  <c r="L52" i="20" s="1"/>
  <c r="L54" i="20" s="1"/>
  <c r="M52" i="20" s="1"/>
  <c r="M54" i="20" s="1"/>
  <c r="N52" i="20" s="1"/>
  <c r="N54" i="20" s="1"/>
  <c r="O52" i="20" s="1"/>
  <c r="O54" i="20" s="1"/>
  <c r="P52" i="20" s="1"/>
  <c r="P54" i="20" s="1"/>
  <c r="Q52" i="20" s="1"/>
  <c r="Q54" i="20" s="1"/>
  <c r="R52" i="20" s="1"/>
  <c r="R54" i="20" s="1"/>
  <c r="S52" i="20" s="1"/>
  <c r="S54" i="20" s="1"/>
  <c r="T52" i="20" s="1"/>
  <c r="T54" i="20" s="1"/>
  <c r="U52" i="20" s="1"/>
  <c r="U54" i="20" s="1"/>
  <c r="V52" i="20" s="1"/>
  <c r="V54" i="20" s="1"/>
  <c r="C53" i="20"/>
  <c r="B33" i="14" s="1"/>
  <c r="M53" i="20"/>
  <c r="L33" i="14" s="1"/>
  <c r="L84" i="14" s="1"/>
  <c r="D53" i="20"/>
  <c r="C33" i="14" s="1"/>
  <c r="O53" i="20"/>
  <c r="N33" i="14" s="1"/>
  <c r="N84" i="14" s="1"/>
  <c r="E53" i="20"/>
  <c r="D33" i="14" s="1"/>
  <c r="Q53" i="20"/>
  <c r="P33" i="14" s="1"/>
  <c r="P84" i="14" s="1"/>
  <c r="I53" i="20"/>
  <c r="H33" i="14" s="1"/>
  <c r="J53" i="20"/>
  <c r="I33" i="14" s="1"/>
  <c r="R53" i="20"/>
  <c r="Q33" i="14" s="1"/>
  <c r="Q84" i="14" s="1"/>
  <c r="T53" i="20"/>
  <c r="S33" i="14" s="1"/>
  <c r="S84" i="14" s="1"/>
  <c r="U53" i="20"/>
  <c r="T33" i="14" s="1"/>
  <c r="T84" i="14" s="1"/>
  <c r="G53" i="20"/>
  <c r="F33" i="14" s="1"/>
  <c r="K53" i="20"/>
  <c r="J33" i="14" s="1"/>
  <c r="J84" i="14" s="1"/>
  <c r="S53" i="20"/>
  <c r="R33" i="14" s="1"/>
  <c r="R84" i="14" s="1"/>
  <c r="F87" i="20"/>
  <c r="E91" i="12" s="1"/>
  <c r="N87" i="20"/>
  <c r="M91" i="12" s="1"/>
  <c r="V87" i="20"/>
  <c r="U91" i="12" s="1"/>
  <c r="H87" i="20"/>
  <c r="G91" i="12" s="1"/>
  <c r="B87" i="20"/>
  <c r="L87" i="20"/>
  <c r="K91" i="12" s="1"/>
  <c r="B88" i="20"/>
  <c r="C85" i="20" s="1"/>
  <c r="C87" i="20"/>
  <c r="B91" i="12" s="1"/>
  <c r="M87" i="20"/>
  <c r="L91" i="12" s="1"/>
  <c r="D87" i="20"/>
  <c r="C91" i="12" s="1"/>
  <c r="O87" i="20"/>
  <c r="N91" i="12" s="1"/>
  <c r="G87" i="20"/>
  <c r="F91" i="12" s="1"/>
  <c r="U87" i="20"/>
  <c r="T91" i="12" s="1"/>
  <c r="I87" i="20"/>
  <c r="H91" i="12" s="1"/>
  <c r="K87" i="20"/>
  <c r="J91" i="12" s="1"/>
  <c r="J87" i="20"/>
  <c r="I91" i="12" s="1"/>
  <c r="S87" i="20"/>
  <c r="R91" i="12" s="1"/>
  <c r="E87" i="20"/>
  <c r="D91" i="12" s="1"/>
  <c r="T87" i="20"/>
  <c r="S91" i="12" s="1"/>
  <c r="I25" i="10"/>
  <c r="H26" i="4"/>
  <c r="M16" i="14"/>
  <c r="M23" i="14"/>
  <c r="AK8" i="14" s="1"/>
  <c r="N5" i="14"/>
  <c r="P92" i="20"/>
  <c r="P86" i="20"/>
  <c r="P87" i="20" s="1"/>
  <c r="O91" i="12" s="1"/>
  <c r="Q6" i="20"/>
  <c r="P98" i="20"/>
  <c r="P99" i="20" s="1"/>
  <c r="O85" i="14" s="1"/>
  <c r="F8" i="2"/>
  <c r="F10" i="2" s="1"/>
  <c r="F14" i="2" s="1"/>
  <c r="L23" i="12"/>
  <c r="L16" i="12"/>
  <c r="M5" i="12"/>
  <c r="D17" i="5"/>
  <c r="C63" i="2" s="1"/>
  <c r="F9" i="2"/>
  <c r="O68" i="20"/>
  <c r="O69" i="20" s="1"/>
  <c r="O74" i="20"/>
  <c r="O80" i="20"/>
  <c r="P5" i="20"/>
  <c r="F75" i="20"/>
  <c r="E88" i="10" s="1"/>
  <c r="N75" i="20"/>
  <c r="M88" i="10" s="1"/>
  <c r="V75" i="20"/>
  <c r="U88" i="10" s="1"/>
  <c r="H75" i="20"/>
  <c r="G88" i="10" s="1"/>
  <c r="B75" i="20"/>
  <c r="L75" i="20"/>
  <c r="K88" i="10" s="1"/>
  <c r="B76" i="20"/>
  <c r="C73" i="20" s="1"/>
  <c r="C76" i="20" s="1"/>
  <c r="D73" i="20" s="1"/>
  <c r="C75" i="20"/>
  <c r="B88" i="10" s="1"/>
  <c r="M75" i="20"/>
  <c r="L88" i="10" s="1"/>
  <c r="D75" i="20"/>
  <c r="C88" i="10" s="1"/>
  <c r="O75" i="20"/>
  <c r="N88" i="10" s="1"/>
  <c r="S75" i="20"/>
  <c r="R88" i="10" s="1"/>
  <c r="E75" i="20"/>
  <c r="D88" i="10" s="1"/>
  <c r="T75" i="20"/>
  <c r="S88" i="10" s="1"/>
  <c r="I75" i="20"/>
  <c r="H88" i="10" s="1"/>
  <c r="G75" i="20"/>
  <c r="F88" i="10" s="1"/>
  <c r="J75" i="20"/>
  <c r="I88" i="10" s="1"/>
  <c r="K75" i="20"/>
  <c r="J88" i="10" s="1"/>
  <c r="U75" i="20"/>
  <c r="T88" i="10" s="1"/>
  <c r="AI7" i="12"/>
  <c r="K18" i="12"/>
  <c r="K19" i="12"/>
  <c r="K31" i="12" s="1"/>
  <c r="I28" i="13"/>
  <c r="J22" i="13"/>
  <c r="I18" i="13"/>
  <c r="I19" i="13" s="1"/>
  <c r="D53" i="22"/>
  <c r="D54" i="22"/>
  <c r="D57" i="22" s="1"/>
  <c r="D72" i="22"/>
  <c r="E13" i="20"/>
  <c r="D33" i="9" s="1"/>
  <c r="M13" i="20"/>
  <c r="L33" i="9" s="1"/>
  <c r="L90" i="9" s="1"/>
  <c r="U13" i="20"/>
  <c r="T33" i="9" s="1"/>
  <c r="T90" i="9" s="1"/>
  <c r="F13" i="20"/>
  <c r="E33" i="9" s="1"/>
  <c r="N13" i="20"/>
  <c r="M33" i="9" s="1"/>
  <c r="M90" i="9" s="1"/>
  <c r="V13" i="20"/>
  <c r="U33" i="9" s="1"/>
  <c r="U90" i="9" s="1"/>
  <c r="G13" i="20"/>
  <c r="F33" i="9" s="1"/>
  <c r="O13" i="20"/>
  <c r="N33" i="9" s="1"/>
  <c r="N90" i="9" s="1"/>
  <c r="C13" i="20"/>
  <c r="B33" i="9" s="1"/>
  <c r="Q13" i="20"/>
  <c r="P33" i="9" s="1"/>
  <c r="P90" i="9" s="1"/>
  <c r="D13" i="20"/>
  <c r="C33" i="9" s="1"/>
  <c r="R13" i="20"/>
  <c r="Q33" i="9" s="1"/>
  <c r="Q90" i="9" s="1"/>
  <c r="H13" i="20"/>
  <c r="G33" i="9" s="1"/>
  <c r="S13" i="20"/>
  <c r="R33" i="9" s="1"/>
  <c r="R90" i="9" s="1"/>
  <c r="I13" i="20"/>
  <c r="H33" i="9" s="1"/>
  <c r="H90" i="9" s="1"/>
  <c r="T13" i="20"/>
  <c r="S33" i="9" s="1"/>
  <c r="S90" i="9" s="1"/>
  <c r="L13" i="20"/>
  <c r="K33" i="9" s="1"/>
  <c r="K90" i="9" s="1"/>
  <c r="P13" i="20"/>
  <c r="O33" i="9" s="1"/>
  <c r="O90" i="9" s="1"/>
  <c r="B13" i="20"/>
  <c r="B14" i="20" s="1"/>
  <c r="C12" i="20" s="1"/>
  <c r="C14" i="20" s="1"/>
  <c r="K13" i="20"/>
  <c r="J33" i="9" s="1"/>
  <c r="J90" i="9" s="1"/>
  <c r="J13" i="20"/>
  <c r="I33" i="9" s="1"/>
  <c r="I90" i="9" s="1"/>
  <c r="F99" i="20"/>
  <c r="E85" i="14" s="1"/>
  <c r="N99" i="20"/>
  <c r="M85" i="14" s="1"/>
  <c r="V99" i="20"/>
  <c r="U85" i="14" s="1"/>
  <c r="H99" i="20"/>
  <c r="G85" i="14" s="1"/>
  <c r="C99" i="20"/>
  <c r="B85" i="14" s="1"/>
  <c r="M99" i="20"/>
  <c r="L85" i="14" s="1"/>
  <c r="I99" i="20"/>
  <c r="H85" i="14" s="1"/>
  <c r="T99" i="20"/>
  <c r="S85" i="14" s="1"/>
  <c r="J99" i="20"/>
  <c r="I85" i="14" s="1"/>
  <c r="U99" i="20"/>
  <c r="T85" i="14" s="1"/>
  <c r="L99" i="20"/>
  <c r="K85" i="14" s="1"/>
  <c r="E99" i="20"/>
  <c r="D85" i="14" s="1"/>
  <c r="G99" i="20"/>
  <c r="F85" i="14" s="1"/>
  <c r="K99" i="20"/>
  <c r="J85" i="14" s="1"/>
  <c r="O99" i="20"/>
  <c r="N85" i="14" s="1"/>
  <c r="S99" i="20"/>
  <c r="R85" i="14" s="1"/>
  <c r="B99" i="20"/>
  <c r="B100" i="20" s="1"/>
  <c r="C97" i="20" s="1"/>
  <c r="C100" i="20" s="1"/>
  <c r="D97" i="20" s="1"/>
  <c r="D100" i="20" s="1"/>
  <c r="E97" i="20" s="1"/>
  <c r="E100" i="20" s="1"/>
  <c r="F97" i="20" s="1"/>
  <c r="F100" i="20" s="1"/>
  <c r="G97" i="20" s="1"/>
  <c r="G100" i="20" s="1"/>
  <c r="H97" i="20" s="1"/>
  <c r="H100" i="20" s="1"/>
  <c r="I97" i="20" s="1"/>
  <c r="I100" i="20" s="1"/>
  <c r="J97" i="20" s="1"/>
  <c r="J100" i="20" s="1"/>
  <c r="K97" i="20" s="1"/>
  <c r="K100" i="20" s="1"/>
  <c r="L97" i="20" s="1"/>
  <c r="L100" i="20" s="1"/>
  <c r="M97" i="20" s="1"/>
  <c r="M100" i="20" s="1"/>
  <c r="N97" i="20" s="1"/>
  <c r="N100" i="20" s="1"/>
  <c r="O97" i="20" s="1"/>
  <c r="O100" i="20" s="1"/>
  <c r="P97" i="20" s="1"/>
  <c r="P100" i="20" s="1"/>
  <c r="Q97" i="20" s="1"/>
  <c r="D99" i="20"/>
  <c r="C85" i="14" s="1"/>
  <c r="AH7" i="9"/>
  <c r="J18" i="9"/>
  <c r="J19" i="9"/>
  <c r="J31" i="9" s="1"/>
  <c r="F31" i="10"/>
  <c r="H28" i="10"/>
  <c r="I22" i="10"/>
  <c r="H23" i="4"/>
  <c r="H29" i="4" s="1"/>
  <c r="D37" i="20"/>
  <c r="C33" i="12" s="1"/>
  <c r="L37" i="20"/>
  <c r="K33" i="12" s="1"/>
  <c r="K90" i="12" s="1"/>
  <c r="T37" i="20"/>
  <c r="S33" i="12" s="1"/>
  <c r="S90" i="12" s="1"/>
  <c r="F37" i="20"/>
  <c r="E33" i="12" s="1"/>
  <c r="N37" i="20"/>
  <c r="M33" i="12" s="1"/>
  <c r="M90" i="12" s="1"/>
  <c r="V37" i="20"/>
  <c r="U33" i="12" s="1"/>
  <c r="U90" i="12" s="1"/>
  <c r="J37" i="20"/>
  <c r="I33" i="12" s="1"/>
  <c r="I90" i="12" s="1"/>
  <c r="U37" i="20"/>
  <c r="T33" i="12" s="1"/>
  <c r="T90" i="12" s="1"/>
  <c r="K37" i="20"/>
  <c r="J33" i="12" s="1"/>
  <c r="J90" i="12" s="1"/>
  <c r="B38" i="20"/>
  <c r="C36" i="20" s="1"/>
  <c r="B37" i="20"/>
  <c r="M37" i="20"/>
  <c r="L33" i="12" s="1"/>
  <c r="L90" i="12" s="1"/>
  <c r="C37" i="20"/>
  <c r="B33" i="12" s="1"/>
  <c r="O37" i="20"/>
  <c r="N33" i="12" s="1"/>
  <c r="N90" i="12" s="1"/>
  <c r="E37" i="20"/>
  <c r="D33" i="12" s="1"/>
  <c r="G37" i="20"/>
  <c r="F33" i="12" s="1"/>
  <c r="I37" i="20"/>
  <c r="H33" i="12" s="1"/>
  <c r="P37" i="20"/>
  <c r="O33" i="12" s="1"/>
  <c r="O90" i="12" s="1"/>
  <c r="Q37" i="20"/>
  <c r="P33" i="12" s="1"/>
  <c r="P90" i="12" s="1"/>
  <c r="R37" i="20"/>
  <c r="Q33" i="12" s="1"/>
  <c r="Q90" i="12" s="1"/>
  <c r="S37" i="20"/>
  <c r="R33" i="12" s="1"/>
  <c r="R90" i="12" s="1"/>
  <c r="H37" i="20"/>
  <c r="G33" i="12" s="1"/>
  <c r="G31" i="10"/>
  <c r="B21" i="20"/>
  <c r="J21" i="20"/>
  <c r="R21" i="20"/>
  <c r="C21" i="20"/>
  <c r="K21" i="20"/>
  <c r="S21" i="20"/>
  <c r="D21" i="20"/>
  <c r="L21" i="20"/>
  <c r="T21" i="20"/>
  <c r="H21" i="20"/>
  <c r="V21" i="20"/>
  <c r="B57" i="20"/>
  <c r="I21" i="20"/>
  <c r="B22" i="20"/>
  <c r="C20" i="20" s="1"/>
  <c r="C22" i="20" s="1"/>
  <c r="D20" i="20" s="1"/>
  <c r="M21" i="20"/>
  <c r="N21" i="20"/>
  <c r="O21" i="20"/>
  <c r="P21" i="20"/>
  <c r="U21" i="20"/>
  <c r="Q21" i="20"/>
  <c r="G21" i="20"/>
  <c r="E21" i="20"/>
  <c r="F21" i="20"/>
  <c r="G29" i="20"/>
  <c r="F33" i="11" s="1"/>
  <c r="O29" i="20"/>
  <c r="N33" i="11" s="1"/>
  <c r="N87" i="11" s="1"/>
  <c r="I29" i="20"/>
  <c r="H33" i="11" s="1"/>
  <c r="H87" i="11" s="1"/>
  <c r="Q29" i="20"/>
  <c r="P33" i="11" s="1"/>
  <c r="P87" i="11" s="1"/>
  <c r="D29" i="20"/>
  <c r="C33" i="11" s="1"/>
  <c r="N29" i="20"/>
  <c r="M33" i="11" s="1"/>
  <c r="M87" i="11" s="1"/>
  <c r="E29" i="20"/>
  <c r="D33" i="11" s="1"/>
  <c r="P29" i="20"/>
  <c r="O33" i="11" s="1"/>
  <c r="O87" i="11" s="1"/>
  <c r="F29" i="20"/>
  <c r="E33" i="11" s="1"/>
  <c r="R29" i="20"/>
  <c r="Q33" i="11" s="1"/>
  <c r="Q87" i="11" s="1"/>
  <c r="H29" i="20"/>
  <c r="G33" i="11" s="1"/>
  <c r="S29" i="20"/>
  <c r="R33" i="11" s="1"/>
  <c r="R87" i="11" s="1"/>
  <c r="L29" i="20"/>
  <c r="K33" i="11" s="1"/>
  <c r="K87" i="11" s="1"/>
  <c r="M29" i="20"/>
  <c r="L33" i="11" s="1"/>
  <c r="L87" i="11" s="1"/>
  <c r="U29" i="20"/>
  <c r="T33" i="11" s="1"/>
  <c r="T87" i="11" s="1"/>
  <c r="T29" i="20"/>
  <c r="S33" i="11" s="1"/>
  <c r="S87" i="11" s="1"/>
  <c r="V29" i="20"/>
  <c r="U33" i="11" s="1"/>
  <c r="U87" i="11" s="1"/>
  <c r="J29" i="20"/>
  <c r="I33" i="11" s="1"/>
  <c r="I87" i="11" s="1"/>
  <c r="K29" i="20"/>
  <c r="J33" i="11" s="1"/>
  <c r="J87" i="11" s="1"/>
  <c r="C29" i="20"/>
  <c r="B33" i="11" s="1"/>
  <c r="B29" i="20"/>
  <c r="B30" i="20" s="1"/>
  <c r="C28" i="20" s="1"/>
  <c r="C30" i="20" s="1"/>
  <c r="D28" i="20" s="1"/>
  <c r="D30" i="20" s="1"/>
  <c r="E28" i="20" s="1"/>
  <c r="E30" i="20" s="1"/>
  <c r="F28" i="20" s="1"/>
  <c r="F30" i="20" s="1"/>
  <c r="G28" i="20" s="1"/>
  <c r="G30" i="20" s="1"/>
  <c r="H28" i="20" s="1"/>
  <c r="H30" i="20" s="1"/>
  <c r="I28" i="20" s="1"/>
  <c r="I30" i="20" s="1"/>
  <c r="J28" i="20" s="1"/>
  <c r="J30" i="20" s="1"/>
  <c r="K28" i="20" s="1"/>
  <c r="K30" i="20" s="1"/>
  <c r="L28" i="20" s="1"/>
  <c r="L30" i="20" s="1"/>
  <c r="M28" i="20" s="1"/>
  <c r="M30" i="20" s="1"/>
  <c r="N28" i="20" s="1"/>
  <c r="N30" i="20" s="1"/>
  <c r="O28" i="20" s="1"/>
  <c r="O30" i="20" s="1"/>
  <c r="P28" i="20" s="1"/>
  <c r="P30" i="20" s="1"/>
  <c r="Q28" i="20" s="1"/>
  <c r="Q30" i="20" s="1"/>
  <c r="R28" i="20" s="1"/>
  <c r="R30" i="20" s="1"/>
  <c r="S28" i="20" s="1"/>
  <c r="S30" i="20" s="1"/>
  <c r="T28" i="20" s="1"/>
  <c r="T30" i="20" s="1"/>
  <c r="U28" i="20" s="1"/>
  <c r="U30" i="20" s="1"/>
  <c r="V28" i="20" s="1"/>
  <c r="V30" i="20" s="1"/>
  <c r="AG8" i="10"/>
  <c r="I24" i="4"/>
  <c r="B59" i="12"/>
  <c r="I45" i="20"/>
  <c r="H33" i="13" s="1"/>
  <c r="H91" i="13" s="1"/>
  <c r="Q45" i="20"/>
  <c r="P33" i="13" s="1"/>
  <c r="P91" i="13" s="1"/>
  <c r="C45" i="20"/>
  <c r="B33" i="13" s="1"/>
  <c r="K45" i="20"/>
  <c r="J33" i="13" s="1"/>
  <c r="J91" i="13" s="1"/>
  <c r="S45" i="20"/>
  <c r="R33" i="13" s="1"/>
  <c r="R91" i="13" s="1"/>
  <c r="E45" i="20"/>
  <c r="D33" i="13" s="1"/>
  <c r="O45" i="20"/>
  <c r="N33" i="13" s="1"/>
  <c r="N91" i="13" s="1"/>
  <c r="F45" i="20"/>
  <c r="E33" i="13" s="1"/>
  <c r="P45" i="20"/>
  <c r="O33" i="13" s="1"/>
  <c r="O91" i="13" s="1"/>
  <c r="G45" i="20"/>
  <c r="F33" i="13" s="1"/>
  <c r="R45" i="20"/>
  <c r="Q33" i="13" s="1"/>
  <c r="Q91" i="13" s="1"/>
  <c r="H45" i="20"/>
  <c r="G33" i="13" s="1"/>
  <c r="G91" i="13" s="1"/>
  <c r="T45" i="20"/>
  <c r="S33" i="13" s="1"/>
  <c r="S91" i="13" s="1"/>
  <c r="M45" i="20"/>
  <c r="L33" i="13" s="1"/>
  <c r="L91" i="13" s="1"/>
  <c r="N45" i="20"/>
  <c r="M33" i="13" s="1"/>
  <c r="M91" i="13" s="1"/>
  <c r="V45" i="20"/>
  <c r="U33" i="13" s="1"/>
  <c r="U91" i="13" s="1"/>
  <c r="B45" i="20"/>
  <c r="D45" i="20"/>
  <c r="C33" i="13" s="1"/>
  <c r="L45" i="20"/>
  <c r="K33" i="13" s="1"/>
  <c r="K91" i="13" s="1"/>
  <c r="U45" i="20"/>
  <c r="T33" i="13" s="1"/>
  <c r="T91" i="13" s="1"/>
  <c r="B46" i="20"/>
  <c r="C44" i="20" s="1"/>
  <c r="C46" i="20" s="1"/>
  <c r="D44" i="20" s="1"/>
  <c r="D46" i="20" s="1"/>
  <c r="E44" i="20" s="1"/>
  <c r="J45" i="20"/>
  <c r="I33" i="13" s="1"/>
  <c r="I91" i="13" s="1"/>
  <c r="F93" i="20"/>
  <c r="E92" i="13" s="1"/>
  <c r="N93" i="20"/>
  <c r="M92" i="13" s="1"/>
  <c r="V93" i="20"/>
  <c r="U92" i="13" s="1"/>
  <c r="H93" i="20"/>
  <c r="G92" i="13" s="1"/>
  <c r="P93" i="20"/>
  <c r="O92" i="13" s="1"/>
  <c r="G93" i="20"/>
  <c r="F92" i="13" s="1"/>
  <c r="I93" i="20"/>
  <c r="H92" i="13" s="1"/>
  <c r="S93" i="20"/>
  <c r="R92" i="13" s="1"/>
  <c r="J93" i="20"/>
  <c r="I92" i="13" s="1"/>
  <c r="T93" i="20"/>
  <c r="S92" i="13" s="1"/>
  <c r="D93" i="20"/>
  <c r="C92" i="13" s="1"/>
  <c r="B94" i="20"/>
  <c r="C91" i="20" s="1"/>
  <c r="E93" i="20"/>
  <c r="D92" i="13" s="1"/>
  <c r="L93" i="20"/>
  <c r="K92" i="13" s="1"/>
  <c r="C93" i="20"/>
  <c r="B92" i="13" s="1"/>
  <c r="K93" i="20"/>
  <c r="J92" i="13" s="1"/>
  <c r="M93" i="20"/>
  <c r="L92" i="13" s="1"/>
  <c r="O93" i="20"/>
  <c r="N92" i="13" s="1"/>
  <c r="B93" i="20"/>
  <c r="U93" i="20"/>
  <c r="T92" i="13" s="1"/>
  <c r="AH8" i="9"/>
  <c r="J28" i="9"/>
  <c r="B8" i="22"/>
  <c r="B79" i="22" s="1"/>
  <c r="C10" i="5"/>
  <c r="B61" i="2"/>
  <c r="F20" i="4"/>
  <c r="AJ7" i="14"/>
  <c r="AJ9" i="14" s="1"/>
  <c r="L18" i="14"/>
  <c r="L19" i="14" s="1"/>
  <c r="K31" i="14"/>
  <c r="AF5" i="4"/>
  <c r="F69" i="20"/>
  <c r="N69" i="20"/>
  <c r="V69" i="20"/>
  <c r="H69" i="20"/>
  <c r="G69" i="20"/>
  <c r="I69" i="20"/>
  <c r="S69" i="20"/>
  <c r="J69" i="20"/>
  <c r="T69" i="20"/>
  <c r="K69" i="20"/>
  <c r="U69" i="20"/>
  <c r="C69" i="20"/>
  <c r="B103" i="20"/>
  <c r="D69" i="20"/>
  <c r="L69" i="20"/>
  <c r="B69" i="20"/>
  <c r="B104" i="20" s="1"/>
  <c r="B109" i="20" s="1"/>
  <c r="B111" i="20" s="1"/>
  <c r="E69" i="20"/>
  <c r="B70" i="20"/>
  <c r="C67" i="20" s="1"/>
  <c r="C70" i="20" s="1"/>
  <c r="D67" i="20" s="1"/>
  <c r="D70" i="20" s="1"/>
  <c r="E67" i="20" s="1"/>
  <c r="E70" i="20" s="1"/>
  <c r="F67" i="20" s="1"/>
  <c r="F70" i="20" s="1"/>
  <c r="G67" i="20" s="1"/>
  <c r="G70" i="20" s="1"/>
  <c r="H67" i="20" s="1"/>
  <c r="H70" i="20" s="1"/>
  <c r="I67" i="20" s="1"/>
  <c r="I70" i="20" s="1"/>
  <c r="J67" i="20" s="1"/>
  <c r="J70" i="20" s="1"/>
  <c r="K67" i="20" s="1"/>
  <c r="K70" i="20" s="1"/>
  <c r="L67" i="20" s="1"/>
  <c r="L70" i="20" s="1"/>
  <c r="M67" i="20" s="1"/>
  <c r="M70" i="20" s="1"/>
  <c r="N67" i="20" s="1"/>
  <c r="N70" i="20" s="1"/>
  <c r="O67" i="20" s="1"/>
  <c r="M69" i="20"/>
  <c r="J22" i="11"/>
  <c r="I28" i="11"/>
  <c r="I18" i="11"/>
  <c r="I19" i="11" s="1"/>
  <c r="I31" i="11" s="1"/>
  <c r="AK8" i="11"/>
  <c r="AI8" i="12"/>
  <c r="K28" i="12"/>
  <c r="D27" i="22"/>
  <c r="D28" i="22"/>
  <c r="E12" i="22" s="1"/>
  <c r="AG7" i="10"/>
  <c r="AG9" i="10" s="1"/>
  <c r="I17" i="4"/>
  <c r="I31" i="12"/>
  <c r="G29" i="4"/>
  <c r="G32" i="4" s="1"/>
  <c r="D47" i="22"/>
  <c r="D48" i="22"/>
  <c r="E32" i="22" s="1"/>
  <c r="H18" i="10"/>
  <c r="N22" i="14"/>
  <c r="C37" i="9"/>
  <c r="C37" i="10"/>
  <c r="C37" i="11"/>
  <c r="C37" i="12"/>
  <c r="C37" i="14"/>
  <c r="C37" i="13"/>
  <c r="F81" i="20"/>
  <c r="E88" i="11" s="1"/>
  <c r="N81" i="20"/>
  <c r="M88" i="11" s="1"/>
  <c r="V81" i="20"/>
  <c r="U88" i="11" s="1"/>
  <c r="H81" i="20"/>
  <c r="G88" i="11" s="1"/>
  <c r="G81" i="20"/>
  <c r="F88" i="11" s="1"/>
  <c r="I81" i="20"/>
  <c r="H88" i="11" s="1"/>
  <c r="S81" i="20"/>
  <c r="R88" i="11" s="1"/>
  <c r="J81" i="20"/>
  <c r="I88" i="11" s="1"/>
  <c r="T81" i="20"/>
  <c r="S88" i="11" s="1"/>
  <c r="B81" i="20"/>
  <c r="B82" i="20" s="1"/>
  <c r="C79" i="20" s="1"/>
  <c r="C82" i="20" s="1"/>
  <c r="D79" i="20" s="1"/>
  <c r="D82" i="20" s="1"/>
  <c r="E79" i="20" s="1"/>
  <c r="E82" i="20" s="1"/>
  <c r="F79" i="20" s="1"/>
  <c r="F82" i="20" s="1"/>
  <c r="G79" i="20" s="1"/>
  <c r="G82" i="20" s="1"/>
  <c r="H79" i="20" s="1"/>
  <c r="H82" i="20" s="1"/>
  <c r="I79" i="20" s="1"/>
  <c r="I82" i="20" s="1"/>
  <c r="J79" i="20" s="1"/>
  <c r="J82" i="20" s="1"/>
  <c r="K79" i="20" s="1"/>
  <c r="K82" i="20" s="1"/>
  <c r="L79" i="20" s="1"/>
  <c r="L82" i="20" s="1"/>
  <c r="M79" i="20" s="1"/>
  <c r="M82" i="20" s="1"/>
  <c r="N79" i="20" s="1"/>
  <c r="N82" i="20" s="1"/>
  <c r="O79" i="20" s="1"/>
  <c r="O82" i="20" s="1"/>
  <c r="P79" i="20" s="1"/>
  <c r="C81" i="20"/>
  <c r="B88" i="11" s="1"/>
  <c r="U81" i="20"/>
  <c r="T88" i="11" s="1"/>
  <c r="E81" i="20"/>
  <c r="D88" i="11" s="1"/>
  <c r="M81" i="20"/>
  <c r="L88" i="11" s="1"/>
  <c r="O81" i="20"/>
  <c r="N88" i="11" s="1"/>
  <c r="D81" i="20"/>
  <c r="C88" i="11" s="1"/>
  <c r="K81" i="20"/>
  <c r="J88" i="11" s="1"/>
  <c r="L81" i="20"/>
  <c r="K88" i="11" s="1"/>
  <c r="J23" i="10"/>
  <c r="J16" i="10"/>
  <c r="H19" i="11"/>
  <c r="J31" i="12"/>
  <c r="N22" i="12"/>
  <c r="C79" i="22"/>
  <c r="C57" i="10"/>
  <c r="C57" i="12"/>
  <c r="C57" i="9"/>
  <c r="C57" i="11"/>
  <c r="C57" i="13"/>
  <c r="C57" i="14"/>
  <c r="L31" i="14" l="1"/>
  <c r="B76" i="9"/>
  <c r="D12" i="20"/>
  <c r="D14" i="20" s="1"/>
  <c r="H10" i="5"/>
  <c r="G8" i="22"/>
  <c r="G36" i="4"/>
  <c r="N91" i="9"/>
  <c r="O110" i="20" s="1"/>
  <c r="O104" i="20"/>
  <c r="O70" i="20"/>
  <c r="P67" i="20" s="1"/>
  <c r="P70" i="20" s="1"/>
  <c r="Q67" i="20" s="1"/>
  <c r="C17" i="5"/>
  <c r="C87" i="11"/>
  <c r="C35" i="11"/>
  <c r="C39" i="11" s="1"/>
  <c r="M58" i="20"/>
  <c r="L34" i="4" s="1"/>
  <c r="L13" i="8" s="1"/>
  <c r="L33" i="10"/>
  <c r="L87" i="10" s="1"/>
  <c r="D90" i="12"/>
  <c r="D35" i="12"/>
  <c r="I84" i="14"/>
  <c r="I35" i="14"/>
  <c r="D91" i="9"/>
  <c r="E110" i="20" s="1"/>
  <c r="E104" i="20"/>
  <c r="D22" i="20"/>
  <c r="E20" i="20" s="1"/>
  <c r="E22" i="20" s="1"/>
  <c r="F20" i="20" s="1"/>
  <c r="F22" i="20" s="1"/>
  <c r="G20" i="20" s="1"/>
  <c r="G22" i="20" s="1"/>
  <c r="H20" i="20" s="1"/>
  <c r="H22" i="20" s="1"/>
  <c r="I20" i="20" s="1"/>
  <c r="I22" i="20" s="1"/>
  <c r="J20" i="20" s="1"/>
  <c r="J22" i="20" s="1"/>
  <c r="K20" i="20" s="1"/>
  <c r="K22" i="20" s="1"/>
  <c r="L20" i="20" s="1"/>
  <c r="L22" i="20" s="1"/>
  <c r="M20" i="20" s="1"/>
  <c r="M22" i="20" s="1"/>
  <c r="N20" i="20" s="1"/>
  <c r="N22" i="20" s="1"/>
  <c r="O20" i="20" s="1"/>
  <c r="O22" i="20" s="1"/>
  <c r="P20" i="20" s="1"/>
  <c r="P22" i="20" s="1"/>
  <c r="Q20" i="20" s="1"/>
  <c r="Q22" i="20" s="1"/>
  <c r="R20" i="20" s="1"/>
  <c r="R22" i="20" s="1"/>
  <c r="S20" i="20" s="1"/>
  <c r="S22" i="20" s="1"/>
  <c r="T20" i="20" s="1"/>
  <c r="T22" i="20" s="1"/>
  <c r="U20" i="20" s="1"/>
  <c r="U22" i="20" s="1"/>
  <c r="V20" i="20" s="1"/>
  <c r="V22" i="20" s="1"/>
  <c r="F90" i="9"/>
  <c r="F35" i="9"/>
  <c r="H84" i="14"/>
  <c r="H35" i="14"/>
  <c r="N22" i="9"/>
  <c r="I91" i="9"/>
  <c r="J110" i="20" s="1"/>
  <c r="J104" i="20"/>
  <c r="D91" i="13"/>
  <c r="D35" i="13"/>
  <c r="G87" i="11"/>
  <c r="G35" i="11"/>
  <c r="G90" i="9"/>
  <c r="G35" i="9"/>
  <c r="Q86" i="20"/>
  <c r="Q87" i="20" s="1"/>
  <c r="P91" i="12" s="1"/>
  <c r="Q92" i="20"/>
  <c r="Q93" i="20" s="1"/>
  <c r="P92" i="13" s="1"/>
  <c r="Q98" i="20"/>
  <c r="Q99" i="20" s="1"/>
  <c r="P85" i="14" s="1"/>
  <c r="R6" i="20"/>
  <c r="O22" i="14"/>
  <c r="F32" i="4"/>
  <c r="B59" i="20"/>
  <c r="C57" i="20" s="1"/>
  <c r="B33" i="10"/>
  <c r="C58" i="20"/>
  <c r="B34" i="4" s="1"/>
  <c r="I26" i="4"/>
  <c r="J25" i="10"/>
  <c r="D84" i="14"/>
  <c r="D35" i="14"/>
  <c r="AL7" i="13"/>
  <c r="AL9" i="13" s="1"/>
  <c r="J35" i="14"/>
  <c r="I54" i="12"/>
  <c r="I35" i="12"/>
  <c r="K22" i="11"/>
  <c r="J28" i="11"/>
  <c r="J18" i="11"/>
  <c r="J19" i="11" s="1"/>
  <c r="J31" i="11" s="1"/>
  <c r="C91" i="9"/>
  <c r="D110" i="20" s="1"/>
  <c r="D104" i="20"/>
  <c r="H91" i="9"/>
  <c r="I110" i="20" s="1"/>
  <c r="I104" i="20"/>
  <c r="E87" i="11"/>
  <c r="E35" i="11"/>
  <c r="T33" i="10"/>
  <c r="T87" i="10" s="1"/>
  <c r="U58" i="20"/>
  <c r="T34" i="4" s="1"/>
  <c r="T13" i="8" s="1"/>
  <c r="U33" i="10"/>
  <c r="U87" i="10" s="1"/>
  <c r="V58" i="20"/>
  <c r="U34" i="4" s="1"/>
  <c r="U13" i="8" s="1"/>
  <c r="Q33" i="10"/>
  <c r="Q87" i="10" s="1"/>
  <c r="R58" i="20"/>
  <c r="Q34" i="4" s="1"/>
  <c r="Q13" i="8" s="1"/>
  <c r="C90" i="9"/>
  <c r="C35" i="9"/>
  <c r="C39" i="9" s="1"/>
  <c r="E90" i="9"/>
  <c r="E35" i="9"/>
  <c r="J28" i="13"/>
  <c r="K22" i="13"/>
  <c r="J18" i="13"/>
  <c r="J19" i="13" s="1"/>
  <c r="AI9" i="12"/>
  <c r="F84" i="14"/>
  <c r="F35" i="14"/>
  <c r="G84" i="14"/>
  <c r="G35" i="14"/>
  <c r="K16" i="10"/>
  <c r="K23" i="10"/>
  <c r="J91" i="9"/>
  <c r="K110" i="20" s="1"/>
  <c r="K104" i="20"/>
  <c r="H35" i="9"/>
  <c r="R33" i="10"/>
  <c r="R87" i="10" s="1"/>
  <c r="S58" i="20"/>
  <c r="R34" i="4" s="1"/>
  <c r="R13" i="8" s="1"/>
  <c r="J54" i="9"/>
  <c r="J35" i="9"/>
  <c r="D60" i="22"/>
  <c r="D61" i="22"/>
  <c r="D64" i="22" s="1"/>
  <c r="I35" i="11"/>
  <c r="I54" i="11"/>
  <c r="M91" i="9"/>
  <c r="N110" i="20" s="1"/>
  <c r="N104" i="20"/>
  <c r="H33" i="10"/>
  <c r="H87" i="10" s="1"/>
  <c r="I58" i="20"/>
  <c r="H34" i="4" s="1"/>
  <c r="H13" i="8" s="1"/>
  <c r="K91" i="9"/>
  <c r="L110" i="20" s="1"/>
  <c r="L104" i="20"/>
  <c r="E91" i="9"/>
  <c r="F110" i="20" s="1"/>
  <c r="F104" i="20"/>
  <c r="P33" i="10"/>
  <c r="P87" i="10" s="1"/>
  <c r="Q58" i="20"/>
  <c r="P34" i="4" s="1"/>
  <c r="P13" i="8" s="1"/>
  <c r="E90" i="12"/>
  <c r="E35" i="12"/>
  <c r="O33" i="10"/>
  <c r="O87" i="10" s="1"/>
  <c r="P58" i="20"/>
  <c r="O34" i="4" s="1"/>
  <c r="O13" i="8" s="1"/>
  <c r="G33" i="10"/>
  <c r="G87" i="10" s="1"/>
  <c r="H58" i="20"/>
  <c r="G34" i="4" s="1"/>
  <c r="G13" i="8" s="1"/>
  <c r="I33" i="10"/>
  <c r="I87" i="10" s="1"/>
  <c r="J58" i="20"/>
  <c r="I34" i="4" s="1"/>
  <c r="I13" i="8" s="1"/>
  <c r="C38" i="20"/>
  <c r="D76" i="20"/>
  <c r="E73" i="20" s="1"/>
  <c r="E76" i="20" s="1"/>
  <c r="F73" i="20" s="1"/>
  <c r="F76" i="20" s="1"/>
  <c r="G73" i="20" s="1"/>
  <c r="G76" i="20" s="1"/>
  <c r="H73" i="20" s="1"/>
  <c r="H76" i="20" s="1"/>
  <c r="I73" i="20" s="1"/>
  <c r="I76" i="20" s="1"/>
  <c r="J73" i="20" s="1"/>
  <c r="J76" i="20" s="1"/>
  <c r="K73" i="20" s="1"/>
  <c r="K76" i="20" s="1"/>
  <c r="L73" i="20" s="1"/>
  <c r="L76" i="20" s="1"/>
  <c r="M73" i="20" s="1"/>
  <c r="M76" i="20" s="1"/>
  <c r="N73" i="20" s="1"/>
  <c r="N76" i="20" s="1"/>
  <c r="O73" i="20" s="1"/>
  <c r="O76" i="20" s="1"/>
  <c r="P73" i="20" s="1"/>
  <c r="P68" i="20"/>
  <c r="P69" i="20" s="1"/>
  <c r="P80" i="20"/>
  <c r="P81" i="20" s="1"/>
  <c r="O88" i="11" s="1"/>
  <c r="Q5" i="20"/>
  <c r="P74" i="20"/>
  <c r="P75" i="20" s="1"/>
  <c r="O88" i="10" s="1"/>
  <c r="N5" i="12"/>
  <c r="M16" i="12"/>
  <c r="M23" i="12"/>
  <c r="C84" i="14"/>
  <c r="C35" i="14"/>
  <c r="C39" i="14" s="1"/>
  <c r="P5" i="11"/>
  <c r="O23" i="11"/>
  <c r="AM8" i="11" s="1"/>
  <c r="O16" i="11"/>
  <c r="J24" i="10"/>
  <c r="I25" i="4"/>
  <c r="AG6" i="4" s="1"/>
  <c r="G35" i="13"/>
  <c r="M5" i="9"/>
  <c r="L5" i="10"/>
  <c r="L16" i="9"/>
  <c r="L23" i="9"/>
  <c r="C59" i="9"/>
  <c r="E91" i="13"/>
  <c r="E35" i="13"/>
  <c r="E33" i="10"/>
  <c r="F58" i="20"/>
  <c r="E34" i="4" s="1"/>
  <c r="H54" i="13"/>
  <c r="H35" i="13"/>
  <c r="AH7" i="10"/>
  <c r="J17" i="4"/>
  <c r="U91" i="9"/>
  <c r="V110" i="20" s="1"/>
  <c r="V104" i="20"/>
  <c r="G90" i="12"/>
  <c r="G35" i="12"/>
  <c r="I28" i="10"/>
  <c r="J22" i="10"/>
  <c r="I23" i="4"/>
  <c r="J24" i="4"/>
  <c r="B90" i="12"/>
  <c r="W33" i="12"/>
  <c r="B35" i="12"/>
  <c r="K35" i="12"/>
  <c r="K54" i="12"/>
  <c r="C88" i="20"/>
  <c r="D85" i="20" s="1"/>
  <c r="D88" i="20" s="1"/>
  <c r="E85" i="20" s="1"/>
  <c r="E88" i="20" s="1"/>
  <c r="F85" i="20" s="1"/>
  <c r="F88" i="20" s="1"/>
  <c r="G85" i="20" s="1"/>
  <c r="G88" i="20" s="1"/>
  <c r="H85" i="20" s="1"/>
  <c r="H88" i="20" s="1"/>
  <c r="I85" i="20" s="1"/>
  <c r="I88" i="20" s="1"/>
  <c r="J85" i="20" s="1"/>
  <c r="J88" i="20" s="1"/>
  <c r="K85" i="20" s="1"/>
  <c r="K88" i="20" s="1"/>
  <c r="L85" i="20" s="1"/>
  <c r="L88" i="20" s="1"/>
  <c r="M85" i="20" s="1"/>
  <c r="M88" i="20" s="1"/>
  <c r="N85" i="20" s="1"/>
  <c r="N88" i="20" s="1"/>
  <c r="O85" i="20" s="1"/>
  <c r="O88" i="20" s="1"/>
  <c r="P85" i="20" s="1"/>
  <c r="P88" i="20" s="1"/>
  <c r="Q85" i="20" s="1"/>
  <c r="R91" i="9"/>
  <c r="S110" i="20" s="1"/>
  <c r="S104" i="20"/>
  <c r="I31" i="13"/>
  <c r="I81" i="13"/>
  <c r="I83" i="13" s="1"/>
  <c r="C59" i="14"/>
  <c r="B105" i="20"/>
  <c r="C103" i="20" s="1"/>
  <c r="C105" i="20" s="1"/>
  <c r="D103" i="20" s="1"/>
  <c r="F87" i="11"/>
  <c r="F35" i="11"/>
  <c r="C59" i="13"/>
  <c r="B91" i="9"/>
  <c r="C104" i="20"/>
  <c r="F91" i="9"/>
  <c r="G110" i="20" s="1"/>
  <c r="G104" i="20"/>
  <c r="C91" i="13"/>
  <c r="C35" i="13"/>
  <c r="C39" i="13" s="1"/>
  <c r="F91" i="13"/>
  <c r="F35" i="13"/>
  <c r="D87" i="11"/>
  <c r="D35" i="11"/>
  <c r="N33" i="10"/>
  <c r="N87" i="10" s="1"/>
  <c r="O58" i="20"/>
  <c r="N34" i="4" s="1"/>
  <c r="N13" i="8" s="1"/>
  <c r="S33" i="10"/>
  <c r="S87" i="10" s="1"/>
  <c r="T58" i="20"/>
  <c r="S34" i="4" s="1"/>
  <c r="S13" i="8" s="1"/>
  <c r="B58" i="20"/>
  <c r="H90" i="12"/>
  <c r="H35" i="12"/>
  <c r="C90" i="12"/>
  <c r="C35" i="12"/>
  <c r="C39" i="12" s="1"/>
  <c r="F54" i="10"/>
  <c r="W33" i="9"/>
  <c r="B90" i="9"/>
  <c r="B35" i="9"/>
  <c r="AJ7" i="12"/>
  <c r="AJ9" i="12" s="1"/>
  <c r="L18" i="12"/>
  <c r="L19" i="12" s="1"/>
  <c r="AL7" i="11"/>
  <c r="AL9" i="11" s="1"/>
  <c r="AI7" i="9"/>
  <c r="K18" i="9"/>
  <c r="K19" i="9" s="1"/>
  <c r="H31" i="11"/>
  <c r="G91" i="9"/>
  <c r="H110" i="20" s="1"/>
  <c r="H104" i="20"/>
  <c r="C33" i="10"/>
  <c r="D58" i="20"/>
  <c r="C34" i="4" s="1"/>
  <c r="C59" i="12"/>
  <c r="S91" i="9"/>
  <c r="T110" i="20" s="1"/>
  <c r="T104" i="20"/>
  <c r="W33" i="11"/>
  <c r="B87" i="11"/>
  <c r="B35" i="11"/>
  <c r="D33" i="10"/>
  <c r="E58" i="20"/>
  <c r="D34" i="4" s="1"/>
  <c r="AK7" i="14"/>
  <c r="AK9" i="14" s="1"/>
  <c r="M18" i="14"/>
  <c r="M19" i="14" s="1"/>
  <c r="C59" i="10"/>
  <c r="M28" i="14"/>
  <c r="E13" i="22"/>
  <c r="E14" i="22"/>
  <c r="E17" i="22" s="1"/>
  <c r="F33" i="10"/>
  <c r="F87" i="10" s="1"/>
  <c r="G58" i="20"/>
  <c r="F34" i="4" s="1"/>
  <c r="F13" i="8" s="1"/>
  <c r="J33" i="10"/>
  <c r="J87" i="10" s="1"/>
  <c r="K58" i="20"/>
  <c r="J34" i="4" s="1"/>
  <c r="J13" i="8" s="1"/>
  <c r="P5" i="13"/>
  <c r="O16" i="13"/>
  <c r="O23" i="13"/>
  <c r="AM8" i="13" s="1"/>
  <c r="E46" i="20"/>
  <c r="F44" i="20" s="1"/>
  <c r="F46" i="20" s="1"/>
  <c r="G44" i="20" s="1"/>
  <c r="G46" i="20" s="1"/>
  <c r="H44" i="20" s="1"/>
  <c r="H46" i="20" s="1"/>
  <c r="I44" i="20" s="1"/>
  <c r="I46" i="20" s="1"/>
  <c r="J44" i="20" s="1"/>
  <c r="J46" i="20" s="1"/>
  <c r="K44" i="20" s="1"/>
  <c r="K46" i="20" s="1"/>
  <c r="L44" i="20" s="1"/>
  <c r="L46" i="20" s="1"/>
  <c r="M44" i="20" s="1"/>
  <c r="M46" i="20" s="1"/>
  <c r="N44" i="20" s="1"/>
  <c r="N46" i="20" s="1"/>
  <c r="O44" i="20" s="1"/>
  <c r="O46" i="20" s="1"/>
  <c r="P44" i="20" s="1"/>
  <c r="P46" i="20" s="1"/>
  <c r="Q44" i="20" s="1"/>
  <c r="Q46" i="20" s="1"/>
  <c r="R44" i="20" s="1"/>
  <c r="R46" i="20" s="1"/>
  <c r="S44" i="20" s="1"/>
  <c r="S46" i="20" s="1"/>
  <c r="T44" i="20" s="1"/>
  <c r="T46" i="20" s="1"/>
  <c r="U44" i="20" s="1"/>
  <c r="U46" i="20" s="1"/>
  <c r="V44" i="20" s="1"/>
  <c r="V46" i="20" s="1"/>
  <c r="AH9" i="9"/>
  <c r="O22" i="12"/>
  <c r="H19" i="4"/>
  <c r="H20" i="4" s="1"/>
  <c r="H32" i="4" s="1"/>
  <c r="H19" i="10"/>
  <c r="I18" i="10"/>
  <c r="C94" i="20"/>
  <c r="D91" i="20" s="1"/>
  <c r="D94" i="20" s="1"/>
  <c r="E91" i="20" s="1"/>
  <c r="E94" i="20" s="1"/>
  <c r="F91" i="20" s="1"/>
  <c r="F94" i="20" s="1"/>
  <c r="G91" i="20" s="1"/>
  <c r="G94" i="20" s="1"/>
  <c r="H91" i="20" s="1"/>
  <c r="H94" i="20" s="1"/>
  <c r="I91" i="20" s="1"/>
  <c r="I94" i="20" s="1"/>
  <c r="J91" i="20" s="1"/>
  <c r="J94" i="20" s="1"/>
  <c r="K91" i="20" s="1"/>
  <c r="K94" i="20" s="1"/>
  <c r="L91" i="20" s="1"/>
  <c r="L94" i="20" s="1"/>
  <c r="M91" i="20" s="1"/>
  <c r="M94" i="20" s="1"/>
  <c r="N91" i="20" s="1"/>
  <c r="N94" i="20" s="1"/>
  <c r="O91" i="20" s="1"/>
  <c r="O94" i="20" s="1"/>
  <c r="P91" i="20" s="1"/>
  <c r="P94" i="20" s="1"/>
  <c r="Q91" i="20" s="1"/>
  <c r="Q94" i="20" s="1"/>
  <c r="R91" i="20" s="1"/>
  <c r="W33" i="13"/>
  <c r="B91" i="13"/>
  <c r="W91" i="13" s="1"/>
  <c r="B35" i="13"/>
  <c r="J35" i="12"/>
  <c r="J54" i="12"/>
  <c r="C59" i="11"/>
  <c r="E34" i="22"/>
  <c r="E37" i="22" s="1"/>
  <c r="E33" i="22"/>
  <c r="AG5" i="4"/>
  <c r="L91" i="9"/>
  <c r="M110" i="20" s="1"/>
  <c r="M104" i="20"/>
  <c r="T91" i="9"/>
  <c r="U110" i="20" s="1"/>
  <c r="U104" i="20"/>
  <c r="K54" i="14"/>
  <c r="K35" i="14"/>
  <c r="M33" i="10"/>
  <c r="M87" i="10" s="1"/>
  <c r="N58" i="20"/>
  <c r="M34" i="4" s="1"/>
  <c r="M13" i="8" s="1"/>
  <c r="K33" i="10"/>
  <c r="K87" i="10" s="1"/>
  <c r="L58" i="20"/>
  <c r="K34" i="4" s="1"/>
  <c r="K13" i="8" s="1"/>
  <c r="G35" i="10"/>
  <c r="G54" i="10"/>
  <c r="F90" i="12"/>
  <c r="F35" i="12"/>
  <c r="D90" i="9"/>
  <c r="D35" i="9"/>
  <c r="AJ8" i="12"/>
  <c r="L28" i="12"/>
  <c r="N23" i="14"/>
  <c r="AL8" i="14" s="1"/>
  <c r="O5" i="14"/>
  <c r="N16" i="14"/>
  <c r="B84" i="14"/>
  <c r="W84" i="14" s="1"/>
  <c r="W33" i="14"/>
  <c r="B35" i="14"/>
  <c r="E84" i="14"/>
  <c r="E35" i="14"/>
  <c r="AI8" i="9"/>
  <c r="K28" i="9"/>
  <c r="I35" i="9"/>
  <c r="I54" i="9"/>
  <c r="L31" i="12" l="1"/>
  <c r="K31" i="9"/>
  <c r="M31" i="14"/>
  <c r="D109" i="20"/>
  <c r="D111" i="20" s="1"/>
  <c r="C14" i="8"/>
  <c r="S6" i="20"/>
  <c r="T6" i="20" s="1"/>
  <c r="U6" i="20" s="1"/>
  <c r="V6" i="20" s="1"/>
  <c r="R98" i="20"/>
  <c r="R99" i="20" s="1"/>
  <c r="Q85" i="14" s="1"/>
  <c r="W85" i="14" s="1"/>
  <c r="R86" i="20"/>
  <c r="R87" i="20" s="1"/>
  <c r="Q91" i="12" s="1"/>
  <c r="W91" i="12" s="1"/>
  <c r="R92" i="20"/>
  <c r="R93" i="20" s="1"/>
  <c r="Q92" i="13" s="1"/>
  <c r="W92" i="13" s="1"/>
  <c r="B63" i="2"/>
  <c r="W90" i="12"/>
  <c r="K24" i="10"/>
  <c r="J25" i="4"/>
  <c r="R94" i="20"/>
  <c r="S91" i="20" s="1"/>
  <c r="S94" i="20" s="1"/>
  <c r="T91" i="20" s="1"/>
  <c r="T94" i="20" s="1"/>
  <c r="U91" i="20" s="1"/>
  <c r="U94" i="20" s="1"/>
  <c r="V91" i="20" s="1"/>
  <c r="V94" i="20" s="1"/>
  <c r="AH6" i="4"/>
  <c r="B87" i="10"/>
  <c r="W87" i="10" s="1"/>
  <c r="X13" i="8" s="1"/>
  <c r="W33" i="10"/>
  <c r="X34" i="4" s="1"/>
  <c r="B35" i="10"/>
  <c r="AJ7" i="9"/>
  <c r="AJ9" i="9" s="1"/>
  <c r="L18" i="9"/>
  <c r="L19" i="9"/>
  <c r="L31" i="9" s="1"/>
  <c r="I14" i="8"/>
  <c r="J109" i="20"/>
  <c r="J111" i="20" s="1"/>
  <c r="M109" i="20"/>
  <c r="M111" i="20" s="1"/>
  <c r="L14" i="8"/>
  <c r="AI9" i="9"/>
  <c r="W90" i="9"/>
  <c r="Q88" i="20"/>
  <c r="R85" i="20" s="1"/>
  <c r="R88" i="20" s="1"/>
  <c r="S85" i="20" s="1"/>
  <c r="S88" i="20" s="1"/>
  <c r="T85" i="20" s="1"/>
  <c r="T88" i="20" s="1"/>
  <c r="U85" i="20" s="1"/>
  <c r="U88" i="20" s="1"/>
  <c r="V85" i="20" s="1"/>
  <c r="V88" i="20" s="1"/>
  <c r="I29" i="4"/>
  <c r="E13" i="8"/>
  <c r="E36" i="4"/>
  <c r="L23" i="10"/>
  <c r="L16" i="10"/>
  <c r="P16" i="11"/>
  <c r="Q5" i="11"/>
  <c r="P23" i="11"/>
  <c r="AN8" i="11" s="1"/>
  <c r="L109" i="20"/>
  <c r="L111" i="20" s="1"/>
  <c r="K14" i="8"/>
  <c r="AI8" i="10"/>
  <c r="K24" i="4"/>
  <c r="K28" i="11"/>
  <c r="L22" i="11"/>
  <c r="K18" i="11"/>
  <c r="K19" i="11" s="1"/>
  <c r="O109" i="20"/>
  <c r="O111" i="20" s="1"/>
  <c r="N14" i="8"/>
  <c r="H35" i="11"/>
  <c r="H54" i="11"/>
  <c r="G109" i="20"/>
  <c r="G111" i="20" s="1"/>
  <c r="F14" i="8"/>
  <c r="I35" i="13"/>
  <c r="I54" i="13"/>
  <c r="D105" i="20"/>
  <c r="E103" i="20" s="1"/>
  <c r="E105" i="20" s="1"/>
  <c r="F103" i="20" s="1"/>
  <c r="F105" i="20" s="1"/>
  <c r="G103" i="20" s="1"/>
  <c r="G105" i="20" s="1"/>
  <c r="H103" i="20" s="1"/>
  <c r="H105" i="20" s="1"/>
  <c r="I103" i="20" s="1"/>
  <c r="I105" i="20" s="1"/>
  <c r="J103" i="20" s="1"/>
  <c r="J105" i="20" s="1"/>
  <c r="K103" i="20" s="1"/>
  <c r="K105" i="20" s="1"/>
  <c r="L103" i="20" s="1"/>
  <c r="L105" i="20" s="1"/>
  <c r="M103" i="20" s="1"/>
  <c r="M105" i="20" s="1"/>
  <c r="N103" i="20" s="1"/>
  <c r="N105" i="20" s="1"/>
  <c r="O103" i="20" s="1"/>
  <c r="O105" i="20" s="1"/>
  <c r="P103" i="20" s="1"/>
  <c r="O5" i="12"/>
  <c r="N23" i="12"/>
  <c r="N16" i="12"/>
  <c r="K109" i="20"/>
  <c r="K111" i="20" s="1"/>
  <c r="J14" i="8"/>
  <c r="C89" i="9"/>
  <c r="C92" i="9" s="1"/>
  <c r="C95" i="9" s="1"/>
  <c r="C41" i="9"/>
  <c r="I19" i="4"/>
  <c r="I20" i="4" s="1"/>
  <c r="I32" i="4" s="1"/>
  <c r="I19" i="10"/>
  <c r="I31" i="10" s="1"/>
  <c r="D87" i="10"/>
  <c r="D35" i="10"/>
  <c r="B39" i="9"/>
  <c r="C59" i="20"/>
  <c r="D57" i="20" s="1"/>
  <c r="D59" i="20" s="1"/>
  <c r="E57" i="20" s="1"/>
  <c r="E59" i="20" s="1"/>
  <c r="F57" i="20" s="1"/>
  <c r="F59" i="20" s="1"/>
  <c r="G57" i="20" s="1"/>
  <c r="G59" i="20" s="1"/>
  <c r="H57" i="20" s="1"/>
  <c r="H59" i="20" s="1"/>
  <c r="I57" i="20" s="1"/>
  <c r="I59" i="20" s="1"/>
  <c r="J57" i="20" s="1"/>
  <c r="J59" i="20" s="1"/>
  <c r="K57" i="20" s="1"/>
  <c r="K59" i="20" s="1"/>
  <c r="L57" i="20" s="1"/>
  <c r="L59" i="20" s="1"/>
  <c r="M57" i="20" s="1"/>
  <c r="M59" i="20" s="1"/>
  <c r="N57" i="20" s="1"/>
  <c r="N59" i="20" s="1"/>
  <c r="O57" i="20" s="1"/>
  <c r="O59" i="20" s="1"/>
  <c r="P57" i="20" s="1"/>
  <c r="P59" i="20" s="1"/>
  <c r="Q57" i="20" s="1"/>
  <c r="Q59" i="20" s="1"/>
  <c r="R57" i="20" s="1"/>
  <c r="R59" i="20" s="1"/>
  <c r="S57" i="20" s="1"/>
  <c r="S59" i="20" s="1"/>
  <c r="T57" i="20" s="1"/>
  <c r="T59" i="20" s="1"/>
  <c r="U57" i="20" s="1"/>
  <c r="U59" i="20" s="1"/>
  <c r="V57" i="20" s="1"/>
  <c r="V59" i="20" s="1"/>
  <c r="C87" i="10"/>
  <c r="C35" i="10"/>
  <c r="C39" i="10" s="1"/>
  <c r="H31" i="10"/>
  <c r="P16" i="13"/>
  <c r="P23" i="13"/>
  <c r="AN8" i="13" s="1"/>
  <c r="Q5" i="13"/>
  <c r="W87" i="11"/>
  <c r="H109" i="20"/>
  <c r="H111" i="20" s="1"/>
  <c r="G14" i="8"/>
  <c r="K22" i="10"/>
  <c r="K18" i="10" s="1"/>
  <c r="J28" i="10"/>
  <c r="J23" i="4"/>
  <c r="E87" i="10"/>
  <c r="E35" i="10"/>
  <c r="M16" i="9"/>
  <c r="N5" i="9"/>
  <c r="M23" i="9"/>
  <c r="M5" i="10"/>
  <c r="C41" i="14"/>
  <c r="C83" i="14"/>
  <c r="C86" i="14" s="1"/>
  <c r="C89" i="14" s="1"/>
  <c r="C42" i="14"/>
  <c r="C44" i="14" s="1"/>
  <c r="O91" i="9"/>
  <c r="P110" i="20" s="1"/>
  <c r="P104" i="20"/>
  <c r="AI7" i="10"/>
  <c r="K17" i="4"/>
  <c r="J31" i="13"/>
  <c r="J81" i="13"/>
  <c r="J83" i="13" s="1"/>
  <c r="G10" i="5"/>
  <c r="F8" i="22"/>
  <c r="F36" i="4"/>
  <c r="F61" i="2"/>
  <c r="E109" i="20"/>
  <c r="E111" i="20" s="1"/>
  <c r="D14" i="8"/>
  <c r="C42" i="11"/>
  <c r="C86" i="11"/>
  <c r="C89" i="11" s="1"/>
  <c r="C92" i="11" s="1"/>
  <c r="C41" i="11"/>
  <c r="C44" i="11" s="1"/>
  <c r="P82" i="20"/>
  <c r="Q79" i="20" s="1"/>
  <c r="AK7" i="12"/>
  <c r="M18" i="12"/>
  <c r="M19" i="12" s="1"/>
  <c r="E40" i="22"/>
  <c r="E41" i="22"/>
  <c r="E44" i="22" s="1"/>
  <c r="S109" i="20"/>
  <c r="S111" i="20" s="1"/>
  <c r="R14" i="8"/>
  <c r="D68" i="22"/>
  <c r="D67" i="22"/>
  <c r="D91" i="22" s="1"/>
  <c r="D38" i="4" s="1"/>
  <c r="W34" i="4"/>
  <c r="Y34" i="4" s="1"/>
  <c r="B13" i="8"/>
  <c r="W13" i="8" s="1"/>
  <c r="B36" i="4"/>
  <c r="O23" i="14"/>
  <c r="AM8" i="14" s="1"/>
  <c r="P5" i="14"/>
  <c r="O16" i="14"/>
  <c r="U109" i="20"/>
  <c r="U111" i="20" s="1"/>
  <c r="T14" i="8"/>
  <c r="E21" i="22"/>
  <c r="E24" i="22" s="1"/>
  <c r="E20" i="22"/>
  <c r="C109" i="20"/>
  <c r="C111" i="20" s="1"/>
  <c r="B14" i="8"/>
  <c r="AM7" i="11"/>
  <c r="AM9" i="11" s="1"/>
  <c r="C13" i="8"/>
  <c r="C36" i="4"/>
  <c r="C40" i="4" s="1"/>
  <c r="AH8" i="10"/>
  <c r="AH9" i="10" s="1"/>
  <c r="D76" i="22"/>
  <c r="AM7" i="13"/>
  <c r="AM9" i="13" s="1"/>
  <c r="I10" i="5"/>
  <c r="H8" i="22"/>
  <c r="H36" i="4"/>
  <c r="C41" i="13"/>
  <c r="C76" i="13"/>
  <c r="C78" i="13" s="1"/>
  <c r="C85" i="13" s="1"/>
  <c r="C90" i="13"/>
  <c r="C93" i="13" s="1"/>
  <c r="C96" i="13" s="1"/>
  <c r="J18" i="10"/>
  <c r="P76" i="20"/>
  <c r="Q73" i="20" s="1"/>
  <c r="L22" i="13"/>
  <c r="K28" i="13"/>
  <c r="K18" i="13"/>
  <c r="K19" i="13" s="1"/>
  <c r="I109" i="20"/>
  <c r="I111" i="20" s="1"/>
  <c r="H14" i="8"/>
  <c r="P22" i="14"/>
  <c r="Q100" i="20"/>
  <c r="R97" i="20" s="1"/>
  <c r="R100" i="20" s="1"/>
  <c r="S97" i="20" s="1"/>
  <c r="S100" i="20" s="1"/>
  <c r="T97" i="20" s="1"/>
  <c r="T100" i="20" s="1"/>
  <c r="U97" i="20" s="1"/>
  <c r="U100" i="20" s="1"/>
  <c r="V97" i="20" s="1"/>
  <c r="V100" i="20" s="1"/>
  <c r="AH5" i="4"/>
  <c r="AL7" i="14"/>
  <c r="AL9" i="14" s="1"/>
  <c r="N18" i="14"/>
  <c r="N19" i="14"/>
  <c r="N31" i="14" s="1"/>
  <c r="C41" i="12"/>
  <c r="C89" i="12"/>
  <c r="C92" i="12" s="1"/>
  <c r="C95" i="12" s="1"/>
  <c r="C42" i="12"/>
  <c r="C44" i="12" s="1"/>
  <c r="Q70" i="20"/>
  <c r="R67" i="20" s="1"/>
  <c r="D13" i="8"/>
  <c r="D36" i="4"/>
  <c r="AJ8" i="9"/>
  <c r="L28" i="9"/>
  <c r="F109" i="20"/>
  <c r="F111" i="20" s="1"/>
  <c r="E14" i="8"/>
  <c r="J54" i="11"/>
  <c r="J35" i="11"/>
  <c r="C110" i="20"/>
  <c r="V109" i="20"/>
  <c r="V111" i="20" s="1"/>
  <c r="U14" i="8"/>
  <c r="Q68" i="20"/>
  <c r="Q69" i="20" s="1"/>
  <c r="Q74" i="20"/>
  <c r="Q75" i="20" s="1"/>
  <c r="P88" i="10" s="1"/>
  <c r="Q80" i="20"/>
  <c r="Q81" i="20" s="1"/>
  <c r="P88" i="11" s="1"/>
  <c r="R5" i="20"/>
  <c r="N109" i="20"/>
  <c r="N111" i="20" s="1"/>
  <c r="M14" i="8"/>
  <c r="E12" i="20"/>
  <c r="E14" i="20" s="1"/>
  <c r="C76" i="9"/>
  <c r="B39" i="11"/>
  <c r="B39" i="14"/>
  <c r="B39" i="13"/>
  <c r="P22" i="12"/>
  <c r="T109" i="20"/>
  <c r="T111" i="20" s="1"/>
  <c r="S14" i="8"/>
  <c r="F35" i="10"/>
  <c r="B39" i="12"/>
  <c r="AK8" i="12"/>
  <c r="M28" i="12"/>
  <c r="D36" i="20"/>
  <c r="D38" i="20" s="1"/>
  <c r="B76" i="12"/>
  <c r="K25" i="10"/>
  <c r="J26" i="4"/>
  <c r="N28" i="14"/>
  <c r="O22" i="9"/>
  <c r="L35" i="14"/>
  <c r="L54" i="14"/>
  <c r="M31" i="12" l="1"/>
  <c r="K19" i="4"/>
  <c r="K20" i="4" s="1"/>
  <c r="K19" i="10"/>
  <c r="K31" i="10" s="1"/>
  <c r="D37" i="10"/>
  <c r="D37" i="9"/>
  <c r="D37" i="12"/>
  <c r="D37" i="13"/>
  <c r="D37" i="11"/>
  <c r="D37" i="14"/>
  <c r="B42" i="14"/>
  <c r="B44" i="14"/>
  <c r="B83" i="14"/>
  <c r="B41" i="14"/>
  <c r="N54" i="14"/>
  <c r="N35" i="14"/>
  <c r="E15" i="5"/>
  <c r="D77" i="22"/>
  <c r="C95" i="11"/>
  <c r="C97" i="11"/>
  <c r="C100" i="11"/>
  <c r="C61" i="11" s="1"/>
  <c r="O14" i="8"/>
  <c r="P109" i="20"/>
  <c r="P111" i="20" s="1"/>
  <c r="L35" i="9"/>
  <c r="L54" i="9"/>
  <c r="C12" i="8"/>
  <c r="AK7" i="9"/>
  <c r="M19" i="9"/>
  <c r="M18" i="9"/>
  <c r="AL8" i="12"/>
  <c r="N28" i="12"/>
  <c r="S5" i="20"/>
  <c r="T5" i="20" s="1"/>
  <c r="U5" i="20" s="1"/>
  <c r="V5" i="20" s="1"/>
  <c r="R68" i="20"/>
  <c r="R69" i="20" s="1"/>
  <c r="R70" i="20" s="1"/>
  <c r="S67" i="20" s="1"/>
  <c r="S70" i="20" s="1"/>
  <c r="T67" i="20" s="1"/>
  <c r="T70" i="20" s="1"/>
  <c r="U67" i="20" s="1"/>
  <c r="U70" i="20" s="1"/>
  <c r="V67" i="20" s="1"/>
  <c r="V70" i="20" s="1"/>
  <c r="R74" i="20"/>
  <c r="R75" i="20" s="1"/>
  <c r="Q88" i="10" s="1"/>
  <c r="W88" i="10" s="1"/>
  <c r="R80" i="20"/>
  <c r="R81" i="20" s="1"/>
  <c r="Q88" i="11" s="1"/>
  <c r="W88" i="11" s="1"/>
  <c r="Q22" i="14"/>
  <c r="L24" i="4"/>
  <c r="L54" i="12"/>
  <c r="L35" i="12"/>
  <c r="C100" i="12"/>
  <c r="C103" i="12"/>
  <c r="C61" i="12" s="1"/>
  <c r="C98" i="12"/>
  <c r="O28" i="14"/>
  <c r="C42" i="13"/>
  <c r="AK9" i="12"/>
  <c r="C41" i="10"/>
  <c r="C42" i="10" s="1"/>
  <c r="C44" i="10" s="1"/>
  <c r="C86" i="10"/>
  <c r="C89" i="10" s="1"/>
  <c r="C92" i="10" s="1"/>
  <c r="B41" i="9"/>
  <c r="B42" i="9" s="1"/>
  <c r="B89" i="9"/>
  <c r="C103" i="9"/>
  <c r="C61" i="9" s="1"/>
  <c r="C98" i="9"/>
  <c r="C100" i="9"/>
  <c r="L28" i="11"/>
  <c r="M22" i="11"/>
  <c r="L18" i="11"/>
  <c r="L19" i="11" s="1"/>
  <c r="L31" i="11" s="1"/>
  <c r="B40" i="4"/>
  <c r="AN7" i="11"/>
  <c r="AN9" i="11" s="1"/>
  <c r="L28" i="13"/>
  <c r="M22" i="13"/>
  <c r="L18" i="13"/>
  <c r="L19" i="13" s="1"/>
  <c r="H35" i="10"/>
  <c r="H54" i="10"/>
  <c r="AJ7" i="10"/>
  <c r="L17" i="4"/>
  <c r="L18" i="10"/>
  <c r="L19" i="10"/>
  <c r="Q22" i="12"/>
  <c r="Q76" i="20"/>
  <c r="R73" i="20" s="1"/>
  <c r="AM7" i="14"/>
  <c r="AM9" i="14" s="1"/>
  <c r="O18" i="14"/>
  <c r="O19" i="14" s="1"/>
  <c r="O31" i="14" s="1"/>
  <c r="D73" i="22"/>
  <c r="E52" i="22"/>
  <c r="Q82" i="20"/>
  <c r="R79" i="20" s="1"/>
  <c r="R82" i="20" s="1"/>
  <c r="S79" i="20" s="1"/>
  <c r="S82" i="20" s="1"/>
  <c r="T79" i="20" s="1"/>
  <c r="T82" i="20" s="1"/>
  <c r="U79" i="20" s="1"/>
  <c r="U82" i="20" s="1"/>
  <c r="V79" i="20" s="1"/>
  <c r="V82" i="20" s="1"/>
  <c r="C94" i="14"/>
  <c r="C97" i="14"/>
  <c r="C61" i="14" s="1"/>
  <c r="C92" i="14"/>
  <c r="J29" i="4"/>
  <c r="C42" i="9"/>
  <c r="C44" i="9" s="1"/>
  <c r="P105" i="20"/>
  <c r="Q103" i="20" s="1"/>
  <c r="K31" i="13"/>
  <c r="K81" i="13"/>
  <c r="K83" i="13" s="1"/>
  <c r="J19" i="4"/>
  <c r="J20" i="4" s="1"/>
  <c r="J32" i="4" s="1"/>
  <c r="J19" i="10"/>
  <c r="E48" i="22"/>
  <c r="F32" i="22" s="1"/>
  <c r="E47" i="22"/>
  <c r="AN7" i="13"/>
  <c r="AN9" i="13" s="1"/>
  <c r="L25" i="10"/>
  <c r="K26" i="4"/>
  <c r="N16" i="9"/>
  <c r="O5" i="9"/>
  <c r="N23" i="9"/>
  <c r="N5" i="10"/>
  <c r="Y13" i="8"/>
  <c r="B89" i="12"/>
  <c r="B41" i="12"/>
  <c r="B42" i="12"/>
  <c r="B86" i="11"/>
  <c r="B41" i="11"/>
  <c r="J35" i="13"/>
  <c r="J54" i="13"/>
  <c r="B41" i="13"/>
  <c r="B76" i="13"/>
  <c r="B78" i="13" s="1"/>
  <c r="B85" i="13" s="1"/>
  <c r="B90" i="13"/>
  <c r="B42" i="13"/>
  <c r="B44" i="13" s="1"/>
  <c r="P22" i="9"/>
  <c r="E36" i="20"/>
  <c r="E38" i="20" s="1"/>
  <c r="C76" i="12"/>
  <c r="P91" i="9"/>
  <c r="Q110" i="20" s="1"/>
  <c r="Q104" i="20"/>
  <c r="D40" i="4"/>
  <c r="C99" i="13"/>
  <c r="C104" i="13"/>
  <c r="C101" i="13"/>
  <c r="Q5" i="14"/>
  <c r="P23" i="14"/>
  <c r="AN8" i="14" s="1"/>
  <c r="P16" i="14"/>
  <c r="AI5" i="4"/>
  <c r="Q23" i="13"/>
  <c r="AO8" i="13" s="1"/>
  <c r="R5" i="13"/>
  <c r="Q16" i="13"/>
  <c r="B39" i="10"/>
  <c r="M35" i="14"/>
  <c r="M54" i="14"/>
  <c r="C42" i="4"/>
  <c r="AK8" i="9"/>
  <c r="M28" i="9"/>
  <c r="I8" i="22"/>
  <c r="J10" i="5"/>
  <c r="I36" i="4"/>
  <c r="Q16" i="11"/>
  <c r="Q23" i="11"/>
  <c r="AO8" i="11" s="1"/>
  <c r="R5" i="11"/>
  <c r="K35" i="9"/>
  <c r="K54" i="9"/>
  <c r="AL7" i="12"/>
  <c r="AL9" i="12" s="1"/>
  <c r="N18" i="12"/>
  <c r="N19" i="12"/>
  <c r="N31" i="12" s="1"/>
  <c r="E28" i="22"/>
  <c r="F12" i="22" s="1"/>
  <c r="E27" i="22"/>
  <c r="P5" i="12"/>
  <c r="O23" i="12"/>
  <c r="O16" i="12"/>
  <c r="D76" i="9"/>
  <c r="F12" i="20"/>
  <c r="F14" i="20" s="1"/>
  <c r="C106" i="13"/>
  <c r="C61" i="13" s="1"/>
  <c r="AI9" i="10"/>
  <c r="M23" i="10"/>
  <c r="M16" i="10"/>
  <c r="K28" i="10"/>
  <c r="L22" i="10"/>
  <c r="K23" i="4"/>
  <c r="I54" i="10"/>
  <c r="I35" i="10"/>
  <c r="K31" i="11"/>
  <c r="L24" i="10"/>
  <c r="AJ8" i="10" s="1"/>
  <c r="K25" i="4"/>
  <c r="AI6" i="4" s="1"/>
  <c r="O54" i="14" l="1"/>
  <c r="O35" i="14"/>
  <c r="D12" i="8"/>
  <c r="D39" i="13"/>
  <c r="AL8" i="9"/>
  <c r="N28" i="9"/>
  <c r="L54" i="11"/>
  <c r="L35" i="11"/>
  <c r="C43" i="4"/>
  <c r="C45" i="4" s="1"/>
  <c r="C62" i="2" s="1"/>
  <c r="K35" i="13"/>
  <c r="K54" i="13"/>
  <c r="AJ9" i="10"/>
  <c r="D57" i="9"/>
  <c r="D57" i="10"/>
  <c r="D79" i="22"/>
  <c r="D57" i="12"/>
  <c r="D57" i="11"/>
  <c r="D57" i="13"/>
  <c r="D57" i="14"/>
  <c r="AO7" i="13"/>
  <c r="AO9" i="13" s="1"/>
  <c r="Q16" i="14"/>
  <c r="R5" i="14"/>
  <c r="Q23" i="14"/>
  <c r="AO8" i="14" s="1"/>
  <c r="B93" i="13"/>
  <c r="B44" i="9"/>
  <c r="E17" i="5"/>
  <c r="AO7" i="11"/>
  <c r="AO9" i="11" s="1"/>
  <c r="J8" i="22"/>
  <c r="J36" i="4"/>
  <c r="K10" i="5"/>
  <c r="L31" i="13"/>
  <c r="L81" i="13"/>
  <c r="L83" i="13" s="1"/>
  <c r="B92" i="9"/>
  <c r="K54" i="10"/>
  <c r="K35" i="10"/>
  <c r="Q109" i="20"/>
  <c r="Q111" i="20" s="1"/>
  <c r="P14" i="8"/>
  <c r="N22" i="13"/>
  <c r="M28" i="13"/>
  <c r="M18" i="13"/>
  <c r="M19" i="13" s="1"/>
  <c r="AM8" i="12"/>
  <c r="O28" i="12"/>
  <c r="B86" i="10"/>
  <c r="B41" i="10"/>
  <c r="B42" i="4" s="1"/>
  <c r="B92" i="12"/>
  <c r="AJ5" i="4"/>
  <c r="D39" i="9"/>
  <c r="Q5" i="12"/>
  <c r="P16" i="12"/>
  <c r="P23" i="12"/>
  <c r="K29" i="4"/>
  <c r="K32" i="4" s="1"/>
  <c r="R23" i="13"/>
  <c r="AP8" i="13" s="1"/>
  <c r="R16" i="13"/>
  <c r="S5" i="13"/>
  <c r="F36" i="20"/>
  <c r="F38" i="20" s="1"/>
  <c r="D76" i="12"/>
  <c r="B89" i="11"/>
  <c r="Q105" i="20"/>
  <c r="R103" i="20" s="1"/>
  <c r="R105" i="20" s="1"/>
  <c r="S103" i="20" s="1"/>
  <c r="S105" i="20" s="1"/>
  <c r="T103" i="20" s="1"/>
  <c r="T105" i="20" s="1"/>
  <c r="U103" i="20" s="1"/>
  <c r="U105" i="20" s="1"/>
  <c r="V103" i="20" s="1"/>
  <c r="V105" i="20" s="1"/>
  <c r="E54" i="22"/>
  <c r="E57" i="22" s="1"/>
  <c r="E72" i="22"/>
  <c r="E53" i="22"/>
  <c r="P28" i="14"/>
  <c r="C44" i="13"/>
  <c r="K54" i="11"/>
  <c r="K35" i="11"/>
  <c r="B86" i="14"/>
  <c r="M24" i="4"/>
  <c r="AN7" i="14"/>
  <c r="AN9" i="14" s="1"/>
  <c r="P18" i="14"/>
  <c r="P19" i="14"/>
  <c r="P31" i="14" s="1"/>
  <c r="P5" i="9"/>
  <c r="O23" i="9"/>
  <c r="O16" i="9"/>
  <c r="O5" i="10"/>
  <c r="R76" i="20"/>
  <c r="S73" i="20" s="1"/>
  <c r="S76" i="20" s="1"/>
  <c r="T73" i="20" s="1"/>
  <c r="T76" i="20" s="1"/>
  <c r="U73" i="20" s="1"/>
  <c r="U76" i="20" s="1"/>
  <c r="V73" i="20" s="1"/>
  <c r="V76" i="20" s="1"/>
  <c r="B44" i="12"/>
  <c r="L28" i="10"/>
  <c r="M22" i="10"/>
  <c r="L23" i="4"/>
  <c r="R16" i="11"/>
  <c r="S5" i="11"/>
  <c r="R23" i="11"/>
  <c r="AP8" i="11" s="1"/>
  <c r="B42" i="11"/>
  <c r="M25" i="10"/>
  <c r="L26" i="4"/>
  <c r="F33" i="22"/>
  <c r="F34" i="22"/>
  <c r="F37" i="22" s="1"/>
  <c r="D78" i="10"/>
  <c r="D79" i="12"/>
  <c r="D79" i="9"/>
  <c r="D78" i="11"/>
  <c r="R22" i="12"/>
  <c r="B12" i="8"/>
  <c r="C100" i="10"/>
  <c r="C95" i="10"/>
  <c r="C97" i="10"/>
  <c r="R22" i="14"/>
  <c r="M31" i="9"/>
  <c r="D39" i="14"/>
  <c r="M17" i="4"/>
  <c r="AK7" i="10"/>
  <c r="N54" i="12"/>
  <c r="N35" i="12"/>
  <c r="N23" i="10"/>
  <c r="N16" i="10"/>
  <c r="L31" i="10"/>
  <c r="AM7" i="12"/>
  <c r="AM9" i="12" s="1"/>
  <c r="O18" i="12"/>
  <c r="O19" i="12"/>
  <c r="O31" i="12" s="1"/>
  <c r="L19" i="4"/>
  <c r="L20" i="4" s="1"/>
  <c r="Q91" i="9"/>
  <c r="R110" i="20" s="1"/>
  <c r="R104" i="20"/>
  <c r="D39" i="12"/>
  <c r="M28" i="11"/>
  <c r="N22" i="11"/>
  <c r="M18" i="11"/>
  <c r="M19" i="11" s="1"/>
  <c r="AL7" i="9"/>
  <c r="N18" i="9"/>
  <c r="N19" i="9"/>
  <c r="AJ6" i="4"/>
  <c r="M24" i="10"/>
  <c r="L25" i="4"/>
  <c r="E76" i="9"/>
  <c r="G12" i="20"/>
  <c r="G14" i="20" s="1"/>
  <c r="F13" i="22"/>
  <c r="F14" i="22"/>
  <c r="F17" i="22" s="1"/>
  <c r="Q22" i="9"/>
  <c r="J31" i="10"/>
  <c r="D39" i="10"/>
  <c r="W91" i="9"/>
  <c r="X14" i="8" s="1"/>
  <c r="AK9" i="9"/>
  <c r="D39" i="11"/>
  <c r="M35" i="12"/>
  <c r="M54" i="12"/>
  <c r="K8" i="22" l="1"/>
  <c r="K36" i="4"/>
  <c r="L10" i="5"/>
  <c r="L32" i="4"/>
  <c r="S23" i="11"/>
  <c r="AQ8" i="11" s="1"/>
  <c r="T5" i="11"/>
  <c r="S16" i="11"/>
  <c r="S22" i="14"/>
  <c r="R28" i="14"/>
  <c r="N31" i="9"/>
  <c r="D41" i="9"/>
  <c r="D89" i="9"/>
  <c r="D42" i="9"/>
  <c r="D44" i="9"/>
  <c r="D63" i="2"/>
  <c r="AL7" i="10"/>
  <c r="N17" i="4"/>
  <c r="AK5" i="4"/>
  <c r="B44" i="11"/>
  <c r="N22" i="10"/>
  <c r="M23" i="4"/>
  <c r="M28" i="10"/>
  <c r="O16" i="10"/>
  <c r="O23" i="10"/>
  <c r="B89" i="10"/>
  <c r="D59" i="10"/>
  <c r="N24" i="10"/>
  <c r="M25" i="4"/>
  <c r="M81" i="13"/>
  <c r="M83" i="13" s="1"/>
  <c r="M31" i="13"/>
  <c r="AP7" i="11"/>
  <c r="AP9" i="11" s="1"/>
  <c r="AN7" i="12"/>
  <c r="P18" i="12"/>
  <c r="P19" i="12" s="1"/>
  <c r="P31" i="12" s="1"/>
  <c r="D59" i="11"/>
  <c r="Q28" i="14"/>
  <c r="AO7" i="14"/>
  <c r="AO9" i="14" s="1"/>
  <c r="Q19" i="14"/>
  <c r="Q31" i="14" s="1"/>
  <c r="Q18" i="14"/>
  <c r="R109" i="20"/>
  <c r="R111" i="20" s="1"/>
  <c r="Q14" i="8"/>
  <c r="W14" i="8" s="1"/>
  <c r="Y14" i="8" s="1"/>
  <c r="D41" i="13"/>
  <c r="D76" i="13"/>
  <c r="D78" i="13" s="1"/>
  <c r="D85" i="13" s="1"/>
  <c r="D42" i="13"/>
  <c r="D44" i="13" s="1"/>
  <c r="D90" i="13"/>
  <c r="AL8" i="10"/>
  <c r="N24" i="4"/>
  <c r="D41" i="14"/>
  <c r="D83" i="14"/>
  <c r="D42" i="14"/>
  <c r="C61" i="10"/>
  <c r="C8" i="8"/>
  <c r="AM7" i="9"/>
  <c r="AM9" i="9" s="1"/>
  <c r="O18" i="9"/>
  <c r="O19" i="9"/>
  <c r="O31" i="9" s="1"/>
  <c r="E76" i="12"/>
  <c r="G36" i="20"/>
  <c r="G38" i="20" s="1"/>
  <c r="B42" i="10"/>
  <c r="D59" i="9"/>
  <c r="O35" i="12"/>
  <c r="O54" i="12"/>
  <c r="AK6" i="4"/>
  <c r="AN8" i="12"/>
  <c r="P28" i="12"/>
  <c r="B95" i="9"/>
  <c r="D59" i="13"/>
  <c r="D41" i="12"/>
  <c r="D44" i="12" s="1"/>
  <c r="D89" i="12"/>
  <c r="D42" i="12"/>
  <c r="AK8" i="10"/>
  <c r="AK9" i="10" s="1"/>
  <c r="S5" i="14"/>
  <c r="R23" i="14"/>
  <c r="AP8" i="14" s="1"/>
  <c r="R16" i="14"/>
  <c r="M18" i="10"/>
  <c r="B89" i="14"/>
  <c r="O22" i="13"/>
  <c r="N28" i="13"/>
  <c r="N18" i="13"/>
  <c r="N19" i="13" s="1"/>
  <c r="D59" i="12"/>
  <c r="F21" i="22"/>
  <c r="F24" i="22" s="1"/>
  <c r="F20" i="22"/>
  <c r="L35" i="10"/>
  <c r="L54" i="10"/>
  <c r="N25" i="10"/>
  <c r="M26" i="4"/>
  <c r="L54" i="13"/>
  <c r="L35" i="13"/>
  <c r="F76" i="9"/>
  <c r="H12" i="20"/>
  <c r="H14" i="20" s="1"/>
  <c r="AL9" i="9"/>
  <c r="D41" i="11"/>
  <c r="D86" i="11"/>
  <c r="J35" i="10"/>
  <c r="J54" i="10"/>
  <c r="M31" i="11"/>
  <c r="AM8" i="9"/>
  <c r="O28" i="9"/>
  <c r="S23" i="13"/>
  <c r="AQ8" i="13" s="1"/>
  <c r="S16" i="13"/>
  <c r="T5" i="13"/>
  <c r="R22" i="9"/>
  <c r="M54" i="9"/>
  <c r="M35" i="9"/>
  <c r="F40" i="22"/>
  <c r="F41" i="22"/>
  <c r="F44" i="22" s="1"/>
  <c r="P35" i="14"/>
  <c r="P54" i="14"/>
  <c r="S22" i="12"/>
  <c r="B92" i="11"/>
  <c r="Q16" i="12"/>
  <c r="Q23" i="12"/>
  <c r="R5" i="12"/>
  <c r="L29" i="4"/>
  <c r="D84" i="22"/>
  <c r="D48" i="2" s="1"/>
  <c r="D85" i="22"/>
  <c r="E48" i="2" s="1"/>
  <c r="D41" i="10"/>
  <c r="D42" i="10" s="1"/>
  <c r="D44" i="10" s="1"/>
  <c r="D86" i="10"/>
  <c r="D89" i="10" s="1"/>
  <c r="D92" i="10" s="1"/>
  <c r="N28" i="11"/>
  <c r="O22" i="11"/>
  <c r="N18" i="11"/>
  <c r="N19" i="11" s="1"/>
  <c r="N31" i="11" s="1"/>
  <c r="P23" i="9"/>
  <c r="P16" i="9"/>
  <c r="Q5" i="9"/>
  <c r="P5" i="10"/>
  <c r="E61" i="22"/>
  <c r="E64" i="22" s="1"/>
  <c r="E60" i="22"/>
  <c r="AP7" i="13"/>
  <c r="AP9" i="13" s="1"/>
  <c r="B95" i="12"/>
  <c r="B96" i="13"/>
  <c r="D59" i="14"/>
  <c r="P35" i="12" l="1"/>
  <c r="P54" i="12"/>
  <c r="D100" i="10"/>
  <c r="D97" i="10"/>
  <c r="D95" i="10"/>
  <c r="O25" i="10"/>
  <c r="N26" i="4"/>
  <c r="Q54" i="14"/>
  <c r="Q35" i="14"/>
  <c r="AO8" i="12"/>
  <c r="Q28" i="12"/>
  <c r="D86" i="14"/>
  <c r="AQ7" i="13"/>
  <c r="AQ9" i="13" s="1"/>
  <c r="B97" i="14"/>
  <c r="B94" i="14"/>
  <c r="B92" i="14"/>
  <c r="B95" i="14" s="1"/>
  <c r="C91" i="14" s="1"/>
  <c r="C95" i="14" s="1"/>
  <c r="D91" i="14" s="1"/>
  <c r="B98" i="12"/>
  <c r="B101" i="12" s="1"/>
  <c r="C97" i="12" s="1"/>
  <c r="C101" i="12" s="1"/>
  <c r="D97" i="12" s="1"/>
  <c r="B100" i="12"/>
  <c r="B103" i="12"/>
  <c r="D42" i="4"/>
  <c r="Q23" i="9"/>
  <c r="R5" i="9"/>
  <c r="Q16" i="9"/>
  <c r="Q5" i="10"/>
  <c r="N35" i="11"/>
  <c r="N54" i="11"/>
  <c r="B97" i="11"/>
  <c r="B100" i="11"/>
  <c r="B95" i="11"/>
  <c r="B98" i="11" s="1"/>
  <c r="C94" i="11" s="1"/>
  <c r="C98" i="11" s="1"/>
  <c r="D94" i="11" s="1"/>
  <c r="F28" i="22"/>
  <c r="G12" i="22" s="1"/>
  <c r="F27" i="22"/>
  <c r="M19" i="4"/>
  <c r="M20" i="4" s="1"/>
  <c r="M32" i="4" s="1"/>
  <c r="M19" i="10"/>
  <c r="D92" i="12"/>
  <c r="B43" i="4"/>
  <c r="B44" i="10"/>
  <c r="D19" i="5"/>
  <c r="C15" i="8"/>
  <c r="C16" i="8" s="1"/>
  <c r="C19" i="8" s="1"/>
  <c r="M54" i="13"/>
  <c r="M35" i="13"/>
  <c r="M29" i="4"/>
  <c r="AL5" i="4"/>
  <c r="E68" i="22"/>
  <c r="E67" i="22"/>
  <c r="E91" i="22" s="1"/>
  <c r="E38" i="4" s="1"/>
  <c r="M54" i="11"/>
  <c r="M35" i="11"/>
  <c r="G76" i="9"/>
  <c r="I12" i="20"/>
  <c r="I14" i="20" s="1"/>
  <c r="P22" i="11"/>
  <c r="O28" i="11"/>
  <c r="O18" i="11"/>
  <c r="O19" i="11" s="1"/>
  <c r="T22" i="12"/>
  <c r="D89" i="11"/>
  <c r="AP7" i="14"/>
  <c r="AP9" i="14" s="1"/>
  <c r="R18" i="14"/>
  <c r="R19" i="14" s="1"/>
  <c r="R31" i="14" s="1"/>
  <c r="H36" i="20"/>
  <c r="H38" i="20" s="1"/>
  <c r="F76" i="12"/>
  <c r="O22" i="10"/>
  <c r="N28" i="10"/>
  <c r="N23" i="4"/>
  <c r="N29" i="4" s="1"/>
  <c r="AL9" i="10"/>
  <c r="D92" i="9"/>
  <c r="AQ7" i="11"/>
  <c r="AQ9" i="11" s="1"/>
  <c r="B101" i="13"/>
  <c r="B104" i="13"/>
  <c r="B99" i="13"/>
  <c r="B102" i="13" s="1"/>
  <c r="C98" i="13" s="1"/>
  <c r="C102" i="13" s="1"/>
  <c r="D98" i="13" s="1"/>
  <c r="R16" i="12"/>
  <c r="S5" i="12"/>
  <c r="R23" i="12"/>
  <c r="O35" i="9"/>
  <c r="O54" i="9"/>
  <c r="U5" i="13"/>
  <c r="T23" i="13"/>
  <c r="AR8" i="13" s="1"/>
  <c r="T16" i="13"/>
  <c r="P22" i="13"/>
  <c r="O28" i="13"/>
  <c r="O18" i="13"/>
  <c r="O19" i="13" s="1"/>
  <c r="O24" i="4"/>
  <c r="L8" i="22"/>
  <c r="L36" i="4"/>
  <c r="M10" i="5"/>
  <c r="AM7" i="10"/>
  <c r="O17" i="4"/>
  <c r="O18" i="10"/>
  <c r="O19" i="4" s="1"/>
  <c r="T22" i="14"/>
  <c r="AN8" i="9"/>
  <c r="P28" i="9"/>
  <c r="S22" i="9"/>
  <c r="D44" i="11"/>
  <c r="T23" i="11"/>
  <c r="AR8" i="11" s="1"/>
  <c r="U5" i="11"/>
  <c r="T16" i="11"/>
  <c r="B92" i="10"/>
  <c r="F47" i="22"/>
  <c r="F48" i="22"/>
  <c r="G32" i="22" s="1"/>
  <c r="AO7" i="12"/>
  <c r="AO9" i="12" s="1"/>
  <c r="Q18" i="12"/>
  <c r="Q19" i="12"/>
  <c r="B98" i="9"/>
  <c r="B101" i="9" s="1"/>
  <c r="C97" i="9" s="1"/>
  <c r="C101" i="9" s="1"/>
  <c r="D97" i="9" s="1"/>
  <c r="B103" i="9"/>
  <c r="B100" i="9"/>
  <c r="N18" i="10"/>
  <c r="P16" i="10"/>
  <c r="P23" i="10"/>
  <c r="AL6" i="4"/>
  <c r="AN7" i="9"/>
  <c r="AN9" i="9" s="1"/>
  <c r="P18" i="9"/>
  <c r="P19" i="9" s="1"/>
  <c r="P31" i="9" s="1"/>
  <c r="D42" i="11"/>
  <c r="D43" i="4" s="1"/>
  <c r="N81" i="13"/>
  <c r="N83" i="13" s="1"/>
  <c r="N31" i="13"/>
  <c r="S16" i="14"/>
  <c r="T5" i="14"/>
  <c r="S23" i="14"/>
  <c r="AQ8" i="14" s="1"/>
  <c r="E76" i="22"/>
  <c r="D44" i="14"/>
  <c r="D93" i="13"/>
  <c r="AN9" i="12"/>
  <c r="O24" i="10"/>
  <c r="AM8" i="10" s="1"/>
  <c r="N25" i="4"/>
  <c r="N35" i="9"/>
  <c r="N54" i="9"/>
  <c r="E37" i="10" l="1"/>
  <c r="E39" i="10" s="1"/>
  <c r="E37" i="9"/>
  <c r="E39" i="9" s="1"/>
  <c r="E37" i="12"/>
  <c r="E39" i="12" s="1"/>
  <c r="E37" i="14"/>
  <c r="E39" i="14" s="1"/>
  <c r="E37" i="13"/>
  <c r="E39" i="13" s="1"/>
  <c r="E37" i="11"/>
  <c r="E39" i="11" s="1"/>
  <c r="E40" i="4"/>
  <c r="R35" i="14"/>
  <c r="R54" i="14"/>
  <c r="P54" i="9"/>
  <c r="P35" i="9"/>
  <c r="AO8" i="9"/>
  <c r="Q28" i="9"/>
  <c r="P25" i="10"/>
  <c r="O26" i="4"/>
  <c r="T16" i="14"/>
  <c r="T23" i="14"/>
  <c r="AR8" i="14" s="1"/>
  <c r="U5" i="14"/>
  <c r="O19" i="10"/>
  <c r="P22" i="10"/>
  <c r="O28" i="10"/>
  <c r="O23" i="4"/>
  <c r="H76" i="9"/>
  <c r="J12" i="20"/>
  <c r="J14" i="20" s="1"/>
  <c r="Q31" i="12"/>
  <c r="AM5" i="4"/>
  <c r="O20" i="4"/>
  <c r="O81" i="13"/>
  <c r="O83" i="13" s="1"/>
  <c r="O31" i="13"/>
  <c r="D92" i="11"/>
  <c r="F15" i="5"/>
  <c r="E77" i="22"/>
  <c r="B61" i="9"/>
  <c r="T28" i="14"/>
  <c r="U22" i="14"/>
  <c r="B61" i="11"/>
  <c r="D45" i="4"/>
  <c r="D62" i="2" s="1"/>
  <c r="C22" i="8"/>
  <c r="C24" i="8"/>
  <c r="AN7" i="10"/>
  <c r="P17" i="4"/>
  <c r="P18" i="10"/>
  <c r="N35" i="13"/>
  <c r="N54" i="13"/>
  <c r="N19" i="4"/>
  <c r="N20" i="4" s="1"/>
  <c r="N32" i="4" s="1"/>
  <c r="N19" i="10"/>
  <c r="N31" i="10" s="1"/>
  <c r="AR7" i="11"/>
  <c r="AR9" i="11" s="1"/>
  <c r="AM9" i="10"/>
  <c r="AP8" i="12"/>
  <c r="R28" i="12"/>
  <c r="G13" i="22"/>
  <c r="G14" i="22"/>
  <c r="G17" i="22" s="1"/>
  <c r="Q16" i="10"/>
  <c r="Q23" i="10"/>
  <c r="B61" i="12"/>
  <c r="B106" i="13"/>
  <c r="B61" i="14"/>
  <c r="P24" i="4"/>
  <c r="M8" i="22"/>
  <c r="N10" i="5"/>
  <c r="M36" i="4"/>
  <c r="AQ7" i="14"/>
  <c r="AQ9" i="14" s="1"/>
  <c r="S18" i="14"/>
  <c r="S19" i="14" s="1"/>
  <c r="S31" i="14" s="1"/>
  <c r="D96" i="13"/>
  <c r="U16" i="11"/>
  <c r="U23" i="11"/>
  <c r="P28" i="13"/>
  <c r="Q22" i="13"/>
  <c r="P18" i="13"/>
  <c r="P19" i="13" s="1"/>
  <c r="S23" i="12"/>
  <c r="T5" i="12"/>
  <c r="S16" i="12"/>
  <c r="I36" i="20"/>
  <c r="I38" i="20" s="1"/>
  <c r="G76" i="12"/>
  <c r="U22" i="12"/>
  <c r="B45" i="4"/>
  <c r="AO7" i="9"/>
  <c r="AO9" i="9" s="1"/>
  <c r="Q18" i="9"/>
  <c r="Q19" i="9"/>
  <c r="Q31" i="9" s="1"/>
  <c r="B97" i="10"/>
  <c r="B100" i="10"/>
  <c r="B95" i="10"/>
  <c r="B98" i="10" s="1"/>
  <c r="C94" i="10" s="1"/>
  <c r="C98" i="10" s="1"/>
  <c r="D94" i="10" s="1"/>
  <c r="D98" i="10" s="1"/>
  <c r="E94" i="10" s="1"/>
  <c r="U16" i="13"/>
  <c r="U23" i="13"/>
  <c r="Q22" i="11"/>
  <c r="P28" i="11"/>
  <c r="P18" i="11"/>
  <c r="P19" i="11" s="1"/>
  <c r="D95" i="12"/>
  <c r="T22" i="9"/>
  <c r="F52" i="22"/>
  <c r="E73" i="22"/>
  <c r="M31" i="10"/>
  <c r="P24" i="10"/>
  <c r="O25" i="4"/>
  <c r="AM6" i="4" s="1"/>
  <c r="G34" i="22"/>
  <c r="G37" i="22" s="1"/>
  <c r="G33" i="22"/>
  <c r="S28" i="14"/>
  <c r="AR7" i="13"/>
  <c r="AR9" i="13" s="1"/>
  <c r="AP7" i="12"/>
  <c r="R18" i="12"/>
  <c r="R19" i="12" s="1"/>
  <c r="R31" i="12" s="1"/>
  <c r="D95" i="9"/>
  <c r="O31" i="11"/>
  <c r="R23" i="9"/>
  <c r="S5" i="9"/>
  <c r="R16" i="9"/>
  <c r="R5" i="10"/>
  <c r="D89" i="14"/>
  <c r="D61" i="10"/>
  <c r="R35" i="12" l="1"/>
  <c r="R54" i="12"/>
  <c r="S54" i="14"/>
  <c r="S35" i="14"/>
  <c r="D95" i="11"/>
  <c r="D97" i="11"/>
  <c r="D100" i="11"/>
  <c r="I76" i="9"/>
  <c r="K12" i="20"/>
  <c r="K14" i="20" s="1"/>
  <c r="Q24" i="4"/>
  <c r="AP7" i="9"/>
  <c r="R18" i="9"/>
  <c r="R19" i="9" s="1"/>
  <c r="R31" i="9" s="1"/>
  <c r="Q54" i="9"/>
  <c r="Q35" i="9"/>
  <c r="AS7" i="13"/>
  <c r="W16" i="13"/>
  <c r="AN5" i="4"/>
  <c r="P20" i="4"/>
  <c r="P32" i="4" s="1"/>
  <c r="J36" i="20"/>
  <c r="J38" i="20" s="1"/>
  <c r="H76" i="12"/>
  <c r="AS7" i="11"/>
  <c r="W16" i="11"/>
  <c r="E57" i="9"/>
  <c r="E57" i="10"/>
  <c r="E79" i="22"/>
  <c r="E57" i="12"/>
  <c r="E57" i="14"/>
  <c r="E57" i="11"/>
  <c r="E57" i="13"/>
  <c r="Q22" i="10"/>
  <c r="P28" i="10"/>
  <c r="P23" i="4"/>
  <c r="P29" i="4" s="1"/>
  <c r="E41" i="14"/>
  <c r="E83" i="14"/>
  <c r="R16" i="10"/>
  <c r="R23" i="10"/>
  <c r="W22" i="12"/>
  <c r="O54" i="13"/>
  <c r="O35" i="13"/>
  <c r="D98" i="9"/>
  <c r="D100" i="9"/>
  <c r="D103" i="9"/>
  <c r="U22" i="9"/>
  <c r="O29" i="4"/>
  <c r="O32" i="4" s="1"/>
  <c r="E41" i="11"/>
  <c r="E86" i="11"/>
  <c r="E42" i="11"/>
  <c r="S23" i="9"/>
  <c r="T5" i="9"/>
  <c r="S16" i="9"/>
  <c r="S5" i="10"/>
  <c r="AS8" i="11"/>
  <c r="W23" i="11"/>
  <c r="B61" i="13"/>
  <c r="AP8" i="9"/>
  <c r="R28" i="9"/>
  <c r="AP9" i="12"/>
  <c r="G40" i="22"/>
  <c r="G41" i="22"/>
  <c r="G44" i="22" s="1"/>
  <c r="M35" i="10"/>
  <c r="M54" i="10"/>
  <c r="B61" i="10"/>
  <c r="B8" i="8"/>
  <c r="B62" i="2"/>
  <c r="AQ7" i="12"/>
  <c r="S18" i="12"/>
  <c r="S19" i="12"/>
  <c r="N54" i="10"/>
  <c r="N35" i="10"/>
  <c r="C62" i="9"/>
  <c r="C64" i="9" s="1"/>
  <c r="C62" i="10"/>
  <c r="C64" i="10" s="1"/>
  <c r="D20" i="5"/>
  <c r="D22" i="5" s="1"/>
  <c r="C62" i="12"/>
  <c r="C64" i="12" s="1"/>
  <c r="C62" i="11"/>
  <c r="C64" i="11" s="1"/>
  <c r="C62" i="13"/>
  <c r="C64" i="13" s="1"/>
  <c r="C62" i="14"/>
  <c r="C64" i="14" s="1"/>
  <c r="F17" i="5"/>
  <c r="Q54" i="12"/>
  <c r="Q35" i="12"/>
  <c r="O31" i="10"/>
  <c r="E41" i="12"/>
  <c r="E89" i="12"/>
  <c r="P81" i="13"/>
  <c r="P83" i="13" s="1"/>
  <c r="P31" i="13"/>
  <c r="AR7" i="14"/>
  <c r="AR9" i="14" s="1"/>
  <c r="T18" i="14"/>
  <c r="T19" i="14"/>
  <c r="T31" i="14" s="1"/>
  <c r="Q28" i="11"/>
  <c r="R22" i="11"/>
  <c r="Q18" i="11"/>
  <c r="Q19" i="11" s="1"/>
  <c r="P19" i="4"/>
  <c r="AS8" i="13"/>
  <c r="W23" i="13"/>
  <c r="E79" i="9"/>
  <c r="E78" i="10"/>
  <c r="E78" i="11"/>
  <c r="E79" i="12"/>
  <c r="D100" i="12"/>
  <c r="D103" i="12"/>
  <c r="D98" i="12"/>
  <c r="D101" i="12" s="1"/>
  <c r="E97" i="12" s="1"/>
  <c r="T16" i="12"/>
  <c r="T23" i="12"/>
  <c r="U5" i="12"/>
  <c r="O10" i="5"/>
  <c r="N8" i="22"/>
  <c r="N36" i="4"/>
  <c r="U23" i="14"/>
  <c r="U16" i="14"/>
  <c r="E41" i="9"/>
  <c r="E42" i="9" s="1"/>
  <c r="E89" i="9"/>
  <c r="O35" i="11"/>
  <c r="O54" i="11"/>
  <c r="E12" i="8"/>
  <c r="Q28" i="13"/>
  <c r="R22" i="13"/>
  <c r="Q18" i="13"/>
  <c r="Q19" i="13" s="1"/>
  <c r="AO7" i="10"/>
  <c r="Q17" i="4"/>
  <c r="Q18" i="10"/>
  <c r="Q19" i="4" s="1"/>
  <c r="P19" i="10"/>
  <c r="P26" i="4"/>
  <c r="Q25" i="10"/>
  <c r="Q24" i="10"/>
  <c r="P25" i="4"/>
  <c r="AN6" i="4" s="1"/>
  <c r="G21" i="22"/>
  <c r="G24" i="22" s="1"/>
  <c r="G20" i="22"/>
  <c r="E90" i="13"/>
  <c r="E41" i="13"/>
  <c r="E76" i="13"/>
  <c r="E78" i="13" s="1"/>
  <c r="E85" i="13" s="1"/>
  <c r="D94" i="14"/>
  <c r="D97" i="14"/>
  <c r="D92" i="14"/>
  <c r="F54" i="22"/>
  <c r="F57" i="22" s="1"/>
  <c r="F72" i="22"/>
  <c r="F53" i="22"/>
  <c r="P31" i="11"/>
  <c r="AQ8" i="12"/>
  <c r="S28" i="12"/>
  <c r="D99" i="13"/>
  <c r="D104" i="13"/>
  <c r="D101" i="13"/>
  <c r="AN8" i="10"/>
  <c r="AN9" i="10" s="1"/>
  <c r="U28" i="14"/>
  <c r="W28" i="14" s="1"/>
  <c r="W22" i="14"/>
  <c r="E41" i="10"/>
  <c r="E86" i="10"/>
  <c r="E42" i="10"/>
  <c r="E44" i="10" s="1"/>
  <c r="P10" i="5" l="1"/>
  <c r="O8" i="22"/>
  <c r="O36" i="4"/>
  <c r="R54" i="9"/>
  <c r="R35" i="9"/>
  <c r="E63" i="2"/>
  <c r="Q19" i="10"/>
  <c r="P35" i="11"/>
  <c r="P54" i="11"/>
  <c r="AO5" i="4"/>
  <c r="Q20" i="4"/>
  <c r="S31" i="12"/>
  <c r="AS8" i="14"/>
  <c r="W23" i="14"/>
  <c r="E59" i="9"/>
  <c r="AS9" i="11"/>
  <c r="Y7" i="11"/>
  <c r="E42" i="4"/>
  <c r="R24" i="10"/>
  <c r="Q25" i="4"/>
  <c r="AO6" i="4" s="1"/>
  <c r="Q31" i="13"/>
  <c r="Q81" i="13"/>
  <c r="Q83" i="13" s="1"/>
  <c r="D61" i="12"/>
  <c r="P54" i="13"/>
  <c r="P35" i="13"/>
  <c r="O35" i="10"/>
  <c r="O54" i="10"/>
  <c r="AQ9" i="12"/>
  <c r="G48" i="22"/>
  <c r="H32" i="22" s="1"/>
  <c r="G47" i="22"/>
  <c r="R22" i="10"/>
  <c r="Q28" i="10"/>
  <c r="Q23" i="4"/>
  <c r="U23" i="12"/>
  <c r="U16" i="12"/>
  <c r="W22" i="9"/>
  <c r="Q10" i="5"/>
  <c r="P8" i="22"/>
  <c r="P36" i="4"/>
  <c r="T35" i="14"/>
  <c r="T54" i="14"/>
  <c r="D61" i="9"/>
  <c r="AP7" i="10"/>
  <c r="R17" i="4"/>
  <c r="D101" i="9"/>
  <c r="E97" i="9" s="1"/>
  <c r="E89" i="10"/>
  <c r="F60" i="22"/>
  <c r="F61" i="22"/>
  <c r="F64" i="22" s="1"/>
  <c r="E93" i="13"/>
  <c r="R25" i="10"/>
  <c r="Q26" i="4"/>
  <c r="R28" i="13"/>
  <c r="S22" i="13"/>
  <c r="R18" i="13"/>
  <c r="R19" i="13" s="1"/>
  <c r="D30" i="5"/>
  <c r="D32" i="5" s="1"/>
  <c r="C64" i="2"/>
  <c r="S16" i="10"/>
  <c r="S23" i="10"/>
  <c r="E44" i="11"/>
  <c r="E59" i="13"/>
  <c r="K36" i="20"/>
  <c r="K38" i="20" s="1"/>
  <c r="I76" i="12"/>
  <c r="AS9" i="13"/>
  <c r="Y7" i="13"/>
  <c r="AO8" i="10"/>
  <c r="AO9" i="10" s="1"/>
  <c r="AR8" i="12"/>
  <c r="T28" i="12"/>
  <c r="E92" i="12"/>
  <c r="AP8" i="10"/>
  <c r="R24" i="4"/>
  <c r="AR7" i="12"/>
  <c r="AR9" i="12" s="1"/>
  <c r="T18" i="12"/>
  <c r="T19" i="12" s="1"/>
  <c r="T31" i="12" s="1"/>
  <c r="E89" i="11"/>
  <c r="D106" i="13"/>
  <c r="E92" i="9"/>
  <c r="Q31" i="11"/>
  <c r="AQ7" i="9"/>
  <c r="S18" i="9"/>
  <c r="S19" i="9" s="1"/>
  <c r="S31" i="9" s="1"/>
  <c r="E42" i="14"/>
  <c r="E44" i="14" s="1"/>
  <c r="E59" i="11"/>
  <c r="J76" i="9"/>
  <c r="L12" i="20"/>
  <c r="L14" i="20" s="1"/>
  <c r="AQ8" i="9"/>
  <c r="S28" i="9"/>
  <c r="E59" i="12"/>
  <c r="D61" i="11"/>
  <c r="G28" i="22"/>
  <c r="H12" i="22" s="1"/>
  <c r="G27" i="22"/>
  <c r="AS7" i="14"/>
  <c r="U18" i="14"/>
  <c r="W18" i="14" s="1"/>
  <c r="W16" i="14"/>
  <c r="E59" i="10"/>
  <c r="D98" i="11"/>
  <c r="E94" i="11" s="1"/>
  <c r="AP9" i="9"/>
  <c r="D95" i="14"/>
  <c r="E91" i="14" s="1"/>
  <c r="E42" i="13"/>
  <c r="D102" i="13"/>
  <c r="E98" i="13" s="1"/>
  <c r="D61" i="14"/>
  <c r="P31" i="10"/>
  <c r="E44" i="9"/>
  <c r="R28" i="11"/>
  <c r="S22" i="11"/>
  <c r="R18" i="11"/>
  <c r="R19" i="11" s="1"/>
  <c r="R31" i="11" s="1"/>
  <c r="E42" i="12"/>
  <c r="C19" i="5"/>
  <c r="B15" i="8"/>
  <c r="U5" i="9"/>
  <c r="T23" i="9"/>
  <c r="T16" i="9"/>
  <c r="T5" i="10"/>
  <c r="E86" i="14"/>
  <c r="E59" i="14"/>
  <c r="T54" i="12" l="1"/>
  <c r="T35" i="12"/>
  <c r="S35" i="9"/>
  <c r="S54" i="9"/>
  <c r="AR7" i="9"/>
  <c r="AR9" i="9" s="1"/>
  <c r="T19" i="9"/>
  <c r="T31" i="9" s="1"/>
  <c r="T18" i="9"/>
  <c r="AR8" i="9"/>
  <c r="T28" i="9"/>
  <c r="R28" i="10"/>
  <c r="S22" i="10"/>
  <c r="R23" i="4"/>
  <c r="Q35" i="13"/>
  <c r="Q54" i="13"/>
  <c r="E96" i="13"/>
  <c r="AQ9" i="9"/>
  <c r="AP5" i="4"/>
  <c r="Q31" i="10"/>
  <c r="P54" i="10"/>
  <c r="P35" i="10"/>
  <c r="K76" i="9"/>
  <c r="M12" i="20"/>
  <c r="M14" i="20" s="1"/>
  <c r="R31" i="13"/>
  <c r="R81" i="13"/>
  <c r="R83" i="13" s="1"/>
  <c r="AP9" i="10"/>
  <c r="S25" i="10"/>
  <c r="R26" i="4"/>
  <c r="S28" i="11"/>
  <c r="T22" i="11"/>
  <c r="S18" i="11"/>
  <c r="S19" i="11" s="1"/>
  <c r="S31" i="11" s="1"/>
  <c r="E95" i="9"/>
  <c r="AS8" i="12"/>
  <c r="W23" i="12"/>
  <c r="U28" i="12"/>
  <c r="W28" i="12" s="1"/>
  <c r="D61" i="13"/>
  <c r="U19" i="14"/>
  <c r="D8" i="8"/>
  <c r="E92" i="11"/>
  <c r="S24" i="4"/>
  <c r="T22" i="13"/>
  <c r="S28" i="13"/>
  <c r="S18" i="13"/>
  <c r="S19" i="13" s="1"/>
  <c r="H33" i="22"/>
  <c r="H34" i="22"/>
  <c r="H37" i="22" s="1"/>
  <c r="E45" i="4"/>
  <c r="S35" i="12"/>
  <c r="S54" i="12"/>
  <c r="R35" i="11"/>
  <c r="R54" i="11"/>
  <c r="AS7" i="12"/>
  <c r="U18" i="12"/>
  <c r="W18" i="12" s="1"/>
  <c r="W16" i="12"/>
  <c r="R18" i="10"/>
  <c r="H14" i="22"/>
  <c r="H17" i="22" s="1"/>
  <c r="H13" i="22"/>
  <c r="F67" i="22"/>
  <c r="F68" i="22"/>
  <c r="S24" i="10"/>
  <c r="R25" i="4"/>
  <c r="AP6" i="4" s="1"/>
  <c r="E89" i="14"/>
  <c r="Q35" i="11"/>
  <c r="Q54" i="11"/>
  <c r="AQ7" i="10"/>
  <c r="S17" i="4"/>
  <c r="E92" i="10"/>
  <c r="Q32" i="4"/>
  <c r="E43" i="4"/>
  <c r="E44" i="13"/>
  <c r="U16" i="9"/>
  <c r="U23" i="9"/>
  <c r="U5" i="10"/>
  <c r="B16" i="8"/>
  <c r="B19" i="8" s="1"/>
  <c r="E95" i="12"/>
  <c r="T16" i="10"/>
  <c r="T23" i="10"/>
  <c r="E44" i="12"/>
  <c r="AS9" i="14"/>
  <c r="Y7" i="14"/>
  <c r="L36" i="20"/>
  <c r="L38" i="20" s="1"/>
  <c r="J76" i="12"/>
  <c r="Q29" i="4"/>
  <c r="AQ5" i="4" l="1"/>
  <c r="E62" i="2"/>
  <c r="T25" i="10"/>
  <c r="S26" i="4"/>
  <c r="E103" i="12"/>
  <c r="E98" i="12"/>
  <c r="E100" i="12"/>
  <c r="R29" i="4"/>
  <c r="L76" i="9"/>
  <c r="N12" i="20"/>
  <c r="N14" i="20" s="1"/>
  <c r="R19" i="4"/>
  <c r="R20" i="4" s="1"/>
  <c r="R32" i="4" s="1"/>
  <c r="R19" i="10"/>
  <c r="R31" i="10" s="1"/>
  <c r="H41" i="22"/>
  <c r="H44" i="22" s="1"/>
  <c r="H40" i="22"/>
  <c r="E97" i="11"/>
  <c r="E100" i="11" s="1"/>
  <c r="E95" i="11"/>
  <c r="E100" i="9"/>
  <c r="E103" i="9"/>
  <c r="E98" i="9"/>
  <c r="F73" i="22"/>
  <c r="G52" i="22"/>
  <c r="E19" i="5"/>
  <c r="D15" i="8"/>
  <c r="S35" i="11"/>
  <c r="S54" i="11"/>
  <c r="E101" i="13"/>
  <c r="E104" i="13"/>
  <c r="E99" i="13"/>
  <c r="E102" i="13" s="1"/>
  <c r="F98" i="13" s="1"/>
  <c r="T35" i="9"/>
  <c r="T54" i="9"/>
  <c r="T24" i="10"/>
  <c r="S25" i="4"/>
  <c r="AQ6" i="4" s="1"/>
  <c r="B22" i="8"/>
  <c r="B24" i="8"/>
  <c r="B21" i="8"/>
  <c r="S28" i="10"/>
  <c r="T22" i="10"/>
  <c r="S23" i="4"/>
  <c r="E97" i="10"/>
  <c r="E100" i="10" s="1"/>
  <c r="E95" i="10"/>
  <c r="E98" i="10" s="1"/>
  <c r="F94" i="10" s="1"/>
  <c r="F91" i="22"/>
  <c r="F38" i="4" s="1"/>
  <c r="F76" i="22"/>
  <c r="S31" i="13"/>
  <c r="S81" i="13"/>
  <c r="S83" i="13" s="1"/>
  <c r="U31" i="14"/>
  <c r="W19" i="14"/>
  <c r="U22" i="11"/>
  <c r="T28" i="11"/>
  <c r="T18" i="11"/>
  <c r="T19" i="11" s="1"/>
  <c r="M36" i="20"/>
  <c r="M38" i="20" s="1"/>
  <c r="K76" i="12"/>
  <c r="AR8" i="10"/>
  <c r="T24" i="4"/>
  <c r="S18" i="10"/>
  <c r="U19" i="12"/>
  <c r="Q54" i="10"/>
  <c r="Q35" i="10"/>
  <c r="AS8" i="9"/>
  <c r="W23" i="9"/>
  <c r="U28" i="9"/>
  <c r="W28" i="9" s="1"/>
  <c r="AS7" i="9"/>
  <c r="U18" i="9"/>
  <c r="W18" i="9" s="1"/>
  <c r="W16" i="9"/>
  <c r="AQ9" i="10"/>
  <c r="AQ8" i="10"/>
  <c r="R10" i="5"/>
  <c r="Q8" i="22"/>
  <c r="Q36" i="4"/>
  <c r="AR7" i="10"/>
  <c r="AR9" i="10" s="1"/>
  <c r="T17" i="4"/>
  <c r="T18" i="10"/>
  <c r="T19" i="4" s="1"/>
  <c r="U16" i="10"/>
  <c r="U23" i="10"/>
  <c r="E92" i="14"/>
  <c r="E94" i="14"/>
  <c r="E97" i="14"/>
  <c r="H21" i="22"/>
  <c r="H24" i="22" s="1"/>
  <c r="H20" i="22"/>
  <c r="AS9" i="12"/>
  <c r="Y7" i="12"/>
  <c r="U22" i="13"/>
  <c r="T28" i="13"/>
  <c r="T18" i="13"/>
  <c r="T19" i="13" s="1"/>
  <c r="R35" i="13"/>
  <c r="R54" i="13"/>
  <c r="E61" i="11" l="1"/>
  <c r="E61" i="10"/>
  <c r="S19" i="4"/>
  <c r="S20" i="4" s="1"/>
  <c r="S32" i="4" s="1"/>
  <c r="S19" i="10"/>
  <c r="S31" i="10" s="1"/>
  <c r="B62" i="9"/>
  <c r="C20" i="5"/>
  <c r="B62" i="10"/>
  <c r="B62" i="12"/>
  <c r="B62" i="11"/>
  <c r="B62" i="14"/>
  <c r="B62" i="13"/>
  <c r="D16" i="8"/>
  <c r="D19" i="8" s="1"/>
  <c r="E61" i="12"/>
  <c r="H28" i="22"/>
  <c r="I12" i="22" s="1"/>
  <c r="H27" i="22"/>
  <c r="T31" i="13"/>
  <c r="T81" i="13"/>
  <c r="T83" i="13" s="1"/>
  <c r="S29" i="4"/>
  <c r="U24" i="10"/>
  <c r="AS8" i="10" s="1"/>
  <c r="T25" i="4"/>
  <c r="G72" i="22"/>
  <c r="G54" i="22"/>
  <c r="G57" i="22" s="1"/>
  <c r="G53" i="22"/>
  <c r="E98" i="11"/>
  <c r="F94" i="11" s="1"/>
  <c r="M76" i="9"/>
  <c r="O12" i="20"/>
  <c r="O14" i="20" s="1"/>
  <c r="U25" i="10"/>
  <c r="T26" i="4"/>
  <c r="U28" i="13"/>
  <c r="W28" i="13" s="1"/>
  <c r="W22" i="13"/>
  <c r="U18" i="13"/>
  <c r="E95" i="14"/>
  <c r="F91" i="14" s="1"/>
  <c r="AS9" i="9"/>
  <c r="Y7" i="9"/>
  <c r="N36" i="20"/>
  <c r="N38" i="20" s="1"/>
  <c r="L76" i="12"/>
  <c r="T28" i="10"/>
  <c r="U22" i="10"/>
  <c r="T23" i="4"/>
  <c r="T29" i="4" s="1"/>
  <c r="F79" i="9"/>
  <c r="F78" i="10"/>
  <c r="F79" i="12"/>
  <c r="F78" i="11"/>
  <c r="AR5" i="4"/>
  <c r="T20" i="4"/>
  <c r="T32" i="4" s="1"/>
  <c r="U28" i="11"/>
  <c r="W28" i="11" s="1"/>
  <c r="W22" i="11"/>
  <c r="U18" i="11"/>
  <c r="E61" i="14"/>
  <c r="S10" i="5"/>
  <c r="R8" i="22"/>
  <c r="R36" i="4"/>
  <c r="U19" i="9"/>
  <c r="U24" i="4"/>
  <c r="W23" i="10"/>
  <c r="X24" i="4" s="1"/>
  <c r="U31" i="12"/>
  <c r="W19" i="12"/>
  <c r="S35" i="13"/>
  <c r="S54" i="13"/>
  <c r="G15" i="5"/>
  <c r="G17" i="5" s="1"/>
  <c r="F77" i="22"/>
  <c r="E61" i="9"/>
  <c r="AR6" i="4"/>
  <c r="R35" i="10"/>
  <c r="R54" i="10"/>
  <c r="E106" i="13"/>
  <c r="E8" i="8" s="1"/>
  <c r="U35" i="14"/>
  <c r="U54" i="14"/>
  <c r="W31" i="14"/>
  <c r="AS7" i="10"/>
  <c r="U17" i="4"/>
  <c r="W16" i="10"/>
  <c r="X17" i="4" s="1"/>
  <c r="T19" i="10"/>
  <c r="T31" i="11"/>
  <c r="F37" i="9"/>
  <c r="F39" i="9" s="1"/>
  <c r="F37" i="10"/>
  <c r="F39" i="10" s="1"/>
  <c r="F37" i="12"/>
  <c r="F39" i="12" s="1"/>
  <c r="F37" i="11"/>
  <c r="F39" i="11" s="1"/>
  <c r="F37" i="13"/>
  <c r="F39" i="13" s="1"/>
  <c r="F37" i="14"/>
  <c r="F39" i="14" s="1"/>
  <c r="F40" i="4"/>
  <c r="C21" i="8"/>
  <c r="E101" i="9"/>
  <c r="F97" i="9" s="1"/>
  <c r="H48" i="22"/>
  <c r="I32" i="22" s="1"/>
  <c r="H47" i="22"/>
  <c r="E101" i="12"/>
  <c r="F97" i="12" s="1"/>
  <c r="F19" i="5" l="1"/>
  <c r="E15" i="8"/>
  <c r="F89" i="9"/>
  <c r="F41" i="9"/>
  <c r="F44" i="9" s="1"/>
  <c r="F42" i="9"/>
  <c r="U28" i="10"/>
  <c r="W28" i="10" s="1"/>
  <c r="X29" i="4" s="1"/>
  <c r="U23" i="4"/>
  <c r="W22" i="10"/>
  <c r="X23" i="4" s="1"/>
  <c r="T8" i="22"/>
  <c r="U10" i="5"/>
  <c r="T36" i="4"/>
  <c r="F12" i="8"/>
  <c r="W54" i="14"/>
  <c r="G60" i="22"/>
  <c r="G61" i="22"/>
  <c r="G64" i="22" s="1"/>
  <c r="B64" i="11"/>
  <c r="F83" i="14"/>
  <c r="F41" i="14"/>
  <c r="F42" i="14" s="1"/>
  <c r="W35" i="14"/>
  <c r="B64" i="12"/>
  <c r="F42" i="13"/>
  <c r="F90" i="13"/>
  <c r="F41" i="13"/>
  <c r="F76" i="13"/>
  <c r="F78" i="13" s="1"/>
  <c r="F85" i="13" s="1"/>
  <c r="M76" i="12"/>
  <c r="O36" i="20"/>
  <c r="O38" i="20" s="1"/>
  <c r="B64" i="10"/>
  <c r="T54" i="13"/>
  <c r="T35" i="13"/>
  <c r="T54" i="11"/>
  <c r="T35" i="11"/>
  <c r="F57" i="9"/>
  <c r="F59" i="9" s="1"/>
  <c r="F57" i="10"/>
  <c r="F59" i="10" s="1"/>
  <c r="F57" i="12"/>
  <c r="F59" i="12" s="1"/>
  <c r="F57" i="11"/>
  <c r="F59" i="11" s="1"/>
  <c r="F57" i="13"/>
  <c r="F59" i="13" s="1"/>
  <c r="F79" i="22"/>
  <c r="F57" i="14"/>
  <c r="F59" i="14" s="1"/>
  <c r="U35" i="12"/>
  <c r="U54" i="12"/>
  <c r="W31" i="12"/>
  <c r="W24" i="4"/>
  <c r="Y24" i="4" s="1"/>
  <c r="U18" i="10"/>
  <c r="W18" i="11"/>
  <c r="U19" i="11"/>
  <c r="U26" i="4"/>
  <c r="W26" i="4" s="1"/>
  <c r="W25" i="10"/>
  <c r="X26" i="4" s="1"/>
  <c r="C22" i="5"/>
  <c r="F42" i="12"/>
  <c r="F41" i="12"/>
  <c r="F89" i="12"/>
  <c r="F44" i="12"/>
  <c r="AS5" i="4"/>
  <c r="W17" i="4"/>
  <c r="Y17" i="4" s="1"/>
  <c r="N76" i="9"/>
  <c r="P12" i="20"/>
  <c r="P14" i="20" s="1"/>
  <c r="D21" i="8"/>
  <c r="D22" i="8"/>
  <c r="D24" i="8"/>
  <c r="B64" i="9"/>
  <c r="T10" i="5"/>
  <c r="S36" i="4"/>
  <c r="S8" i="22"/>
  <c r="W18" i="13"/>
  <c r="U19" i="13"/>
  <c r="B64" i="14"/>
  <c r="T31" i="10"/>
  <c r="F63" i="2"/>
  <c r="I14" i="22"/>
  <c r="I17" i="22" s="1"/>
  <c r="I13" i="22"/>
  <c r="F41" i="11"/>
  <c r="F42" i="11" s="1"/>
  <c r="F44" i="11" s="1"/>
  <c r="F86" i="11"/>
  <c r="E61" i="13"/>
  <c r="U31" i="9"/>
  <c r="W19" i="9"/>
  <c r="U25" i="4"/>
  <c r="W25" i="4" s="1"/>
  <c r="Y25" i="4" s="1"/>
  <c r="W24" i="10"/>
  <c r="X25" i="4" s="1"/>
  <c r="I33" i="22"/>
  <c r="I34" i="22"/>
  <c r="I37" i="22" s="1"/>
  <c r="F41" i="10"/>
  <c r="F86" i="10"/>
  <c r="AS9" i="10"/>
  <c r="Y7" i="10"/>
  <c r="B64" i="13"/>
  <c r="S54" i="10"/>
  <c r="S35" i="10"/>
  <c r="I21" i="22" l="1"/>
  <c r="I24" i="22" s="1"/>
  <c r="I20" i="22"/>
  <c r="F93" i="13"/>
  <c r="U31" i="11"/>
  <c r="W19" i="11"/>
  <c r="F89" i="11"/>
  <c r="F92" i="12"/>
  <c r="B78" i="12"/>
  <c r="F44" i="14"/>
  <c r="B78" i="9"/>
  <c r="U19" i="4"/>
  <c r="W18" i="10"/>
  <c r="X19" i="4" s="1"/>
  <c r="U19" i="10"/>
  <c r="Y26" i="4"/>
  <c r="B77" i="11"/>
  <c r="E16" i="8"/>
  <c r="E19" i="8" s="1"/>
  <c r="F42" i="10"/>
  <c r="F44" i="10" s="1"/>
  <c r="U81" i="13"/>
  <c r="U83" i="13" s="1"/>
  <c r="U31" i="13"/>
  <c r="W19" i="13"/>
  <c r="D62" i="9"/>
  <c r="E20" i="5"/>
  <c r="D62" i="12"/>
  <c r="D62" i="10"/>
  <c r="D62" i="11"/>
  <c r="D62" i="13"/>
  <c r="D62" i="14"/>
  <c r="C30" i="5"/>
  <c r="C32" i="5" s="1"/>
  <c r="B64" i="2"/>
  <c r="AS6" i="4"/>
  <c r="Y5" i="4" s="1"/>
  <c r="B77" i="10"/>
  <c r="F44" i="13"/>
  <c r="W54" i="12"/>
  <c r="I41" i="22"/>
  <c r="I44" i="22" s="1"/>
  <c r="I40" i="22"/>
  <c r="O76" i="9"/>
  <c r="Q12" i="20"/>
  <c r="Q14" i="20" s="1"/>
  <c r="W35" i="12"/>
  <c r="N76" i="12"/>
  <c r="P36" i="20"/>
  <c r="P38" i="20" s="1"/>
  <c r="F86" i="14"/>
  <c r="F92" i="9"/>
  <c r="T35" i="10"/>
  <c r="T54" i="10"/>
  <c r="U29" i="4"/>
  <c r="W29" i="4" s="1"/>
  <c r="Y29" i="4" s="1"/>
  <c r="W23" i="4"/>
  <c r="Y23" i="4" s="1"/>
  <c r="F89" i="10"/>
  <c r="U54" i="9"/>
  <c r="U35" i="9"/>
  <c r="W31" i="9"/>
  <c r="F42" i="4"/>
  <c r="G67" i="22"/>
  <c r="G76" i="22" s="1"/>
  <c r="G68" i="22"/>
  <c r="H15" i="5" l="1"/>
  <c r="H17" i="5" s="1"/>
  <c r="G77" i="22"/>
  <c r="G73" i="22"/>
  <c r="H52" i="22"/>
  <c r="I47" i="22"/>
  <c r="I48" i="22"/>
  <c r="J32" i="22" s="1"/>
  <c r="D64" i="12"/>
  <c r="F43" i="4"/>
  <c r="F95" i="9"/>
  <c r="D64" i="9"/>
  <c r="D64" i="11"/>
  <c r="I28" i="22"/>
  <c r="J12" i="22" s="1"/>
  <c r="I27" i="22"/>
  <c r="W54" i="9"/>
  <c r="Q36" i="20"/>
  <c r="Q38" i="20" s="1"/>
  <c r="O76" i="12"/>
  <c r="B79" i="11"/>
  <c r="C77" i="11"/>
  <c r="C79" i="11" s="1"/>
  <c r="U31" i="10"/>
  <c r="W19" i="10"/>
  <c r="X20" i="4" s="1"/>
  <c r="F92" i="11"/>
  <c r="G91" i="22"/>
  <c r="G38" i="4" s="1"/>
  <c r="W19" i="4"/>
  <c r="Y19" i="4" s="1"/>
  <c r="U20" i="4"/>
  <c r="F96" i="13"/>
  <c r="F89" i="14"/>
  <c r="P76" i="9"/>
  <c r="R12" i="20"/>
  <c r="R14" i="20" s="1"/>
  <c r="D64" i="14"/>
  <c r="U35" i="13"/>
  <c r="U54" i="13"/>
  <c r="W31" i="13"/>
  <c r="B80" i="9"/>
  <c r="C78" i="9"/>
  <c r="C80" i="9" s="1"/>
  <c r="C82" i="9" s="1"/>
  <c r="U54" i="11"/>
  <c r="U35" i="11"/>
  <c r="W31" i="11"/>
  <c r="W35" i="9"/>
  <c r="D64" i="10"/>
  <c r="F95" i="12"/>
  <c r="E21" i="8"/>
  <c r="E22" i="8" s="1"/>
  <c r="E24" i="8" s="1"/>
  <c r="E22" i="5"/>
  <c r="B80" i="12"/>
  <c r="C78" i="12"/>
  <c r="C80" i="12" s="1"/>
  <c r="C82" i="12" s="1"/>
  <c r="F92" i="10"/>
  <c r="B79" i="10"/>
  <c r="C77" i="10"/>
  <c r="C79" i="10" s="1"/>
  <c r="D64" i="13"/>
  <c r="E62" i="9" l="1"/>
  <c r="E62" i="10"/>
  <c r="E62" i="12"/>
  <c r="F20" i="5"/>
  <c r="E62" i="11"/>
  <c r="E62" i="13"/>
  <c r="E62" i="14"/>
  <c r="W35" i="13"/>
  <c r="U35" i="10"/>
  <c r="U54" i="10"/>
  <c r="W31" i="10"/>
  <c r="X32" i="4" s="1"/>
  <c r="W35" i="11"/>
  <c r="F101" i="13"/>
  <c r="F104" i="13" s="1"/>
  <c r="F99" i="13"/>
  <c r="F102" i="13" s="1"/>
  <c r="G98" i="13" s="1"/>
  <c r="B82" i="12"/>
  <c r="D77" i="10"/>
  <c r="D79" i="10" s="1"/>
  <c r="B82" i="9"/>
  <c r="G37" i="9"/>
  <c r="G39" i="9" s="1"/>
  <c r="G37" i="10"/>
  <c r="G39" i="10" s="1"/>
  <c r="G37" i="12"/>
  <c r="G39" i="12" s="1"/>
  <c r="G37" i="11"/>
  <c r="G39" i="11" s="1"/>
  <c r="G37" i="13"/>
  <c r="G39" i="13" s="1"/>
  <c r="G37" i="14"/>
  <c r="G39" i="14" s="1"/>
  <c r="G40" i="4"/>
  <c r="G57" i="9"/>
  <c r="G59" i="9" s="1"/>
  <c r="G57" i="10"/>
  <c r="G59" i="10" s="1"/>
  <c r="G79" i="22"/>
  <c r="G57" i="11"/>
  <c r="G59" i="11" s="1"/>
  <c r="G57" i="12"/>
  <c r="G59" i="12" s="1"/>
  <c r="G57" i="13"/>
  <c r="G59" i="13" s="1"/>
  <c r="G57" i="14"/>
  <c r="G59" i="14" s="1"/>
  <c r="U32" i="4"/>
  <c r="W20" i="4"/>
  <c r="Y20" i="4" s="1"/>
  <c r="J14" i="22"/>
  <c r="J17" i="22" s="1"/>
  <c r="J13" i="22"/>
  <c r="F98" i="9"/>
  <c r="F100" i="9"/>
  <c r="F103" i="9"/>
  <c r="F45" i="4"/>
  <c r="E30" i="5"/>
  <c r="E32" i="5" s="1"/>
  <c r="D64" i="2"/>
  <c r="D77" i="11"/>
  <c r="D79" i="11" s="1"/>
  <c r="D78" i="12"/>
  <c r="D80" i="12" s="1"/>
  <c r="D82" i="12" s="1"/>
  <c r="F92" i="14"/>
  <c r="F95" i="14" s="1"/>
  <c r="G91" i="14" s="1"/>
  <c r="F94" i="14"/>
  <c r="F97" i="14"/>
  <c r="F97" i="11"/>
  <c r="F100" i="11"/>
  <c r="F95" i="11"/>
  <c r="P76" i="12"/>
  <c r="R36" i="20"/>
  <c r="R38" i="20" s="1"/>
  <c r="F95" i="10"/>
  <c r="F98" i="10" s="1"/>
  <c r="G94" i="10" s="1"/>
  <c r="F97" i="10"/>
  <c r="F100" i="10" s="1"/>
  <c r="H54" i="22"/>
  <c r="H57" i="22" s="1"/>
  <c r="H72" i="22"/>
  <c r="H53" i="22"/>
  <c r="F100" i="12"/>
  <c r="F103" i="12"/>
  <c r="F98" i="12"/>
  <c r="F101" i="12" s="1"/>
  <c r="G97" i="12" s="1"/>
  <c r="W54" i="11"/>
  <c r="G79" i="9"/>
  <c r="G78" i="10"/>
  <c r="G78" i="11"/>
  <c r="G79" i="12"/>
  <c r="Q76" i="9"/>
  <c r="S12" i="20"/>
  <c r="S14" i="20" s="1"/>
  <c r="W54" i="13"/>
  <c r="D78" i="9"/>
  <c r="D80" i="9" s="1"/>
  <c r="D82" i="9" s="1"/>
  <c r="J34" i="22"/>
  <c r="J37" i="22" s="1"/>
  <c r="J33" i="22"/>
  <c r="F61" i="10" l="1"/>
  <c r="F8" i="8"/>
  <c r="F106" i="13"/>
  <c r="H61" i="22"/>
  <c r="H64" i="22" s="1"/>
  <c r="H60" i="22"/>
  <c r="G42" i="13"/>
  <c r="G44" i="13" s="1"/>
  <c r="G76" i="13"/>
  <c r="G78" i="13" s="1"/>
  <c r="G85" i="13" s="1"/>
  <c r="G41" i="13"/>
  <c r="G90" i="13"/>
  <c r="E64" i="13"/>
  <c r="F61" i="14"/>
  <c r="G41" i="11"/>
  <c r="G42" i="11" s="1"/>
  <c r="G44" i="11" s="1"/>
  <c r="G86" i="11"/>
  <c r="E64" i="11"/>
  <c r="G89" i="12"/>
  <c r="G41" i="12"/>
  <c r="G42" i="12" s="1"/>
  <c r="G44" i="12" s="1"/>
  <c r="W54" i="10"/>
  <c r="X10" i="5" s="1"/>
  <c r="F22" i="5"/>
  <c r="F61" i="11"/>
  <c r="F61" i="9"/>
  <c r="G41" i="14"/>
  <c r="G42" i="14" s="1"/>
  <c r="G44" i="14" s="1"/>
  <c r="G83" i="14"/>
  <c r="E64" i="14"/>
  <c r="R76" i="9"/>
  <c r="T12" i="20"/>
  <c r="T14" i="20" s="1"/>
  <c r="J20" i="22"/>
  <c r="J21" i="22"/>
  <c r="J24" i="22" s="1"/>
  <c r="E64" i="12"/>
  <c r="F61" i="12"/>
  <c r="S36" i="20"/>
  <c r="S38" i="20" s="1"/>
  <c r="Q76" i="12"/>
  <c r="G41" i="9"/>
  <c r="G42" i="9" s="1"/>
  <c r="G44" i="9" s="1"/>
  <c r="G89" i="9"/>
  <c r="E64" i="10"/>
  <c r="F62" i="2"/>
  <c r="U8" i="22"/>
  <c r="V10" i="5"/>
  <c r="U36" i="4"/>
  <c r="W32" i="4"/>
  <c r="Y32" i="4" s="1"/>
  <c r="E64" i="9"/>
  <c r="G41" i="10"/>
  <c r="G42" i="10" s="1"/>
  <c r="G44" i="10" s="1"/>
  <c r="G86" i="10"/>
  <c r="W35" i="10"/>
  <c r="X36" i="4" s="1"/>
  <c r="J41" i="22"/>
  <c r="J44" i="22" s="1"/>
  <c r="J40" i="22"/>
  <c r="F98" i="11"/>
  <c r="G94" i="11" s="1"/>
  <c r="G12" i="8"/>
  <c r="H76" i="22" l="1"/>
  <c r="G89" i="10"/>
  <c r="V31" i="5"/>
  <c r="D56" i="2" s="1"/>
  <c r="W10" i="5"/>
  <c r="Y10" i="5" s="1"/>
  <c r="G86" i="14"/>
  <c r="H68" i="22"/>
  <c r="H67" i="22"/>
  <c r="H91" i="22" s="1"/>
  <c r="H38" i="4" s="1"/>
  <c r="E78" i="12"/>
  <c r="S76" i="9"/>
  <c r="U12" i="20"/>
  <c r="U14" i="20" s="1"/>
  <c r="E78" i="9"/>
  <c r="G93" i="13"/>
  <c r="F61" i="13"/>
  <c r="G92" i="9"/>
  <c r="F30" i="5"/>
  <c r="F32" i="5" s="1"/>
  <c r="E64" i="2"/>
  <c r="G92" i="12"/>
  <c r="J48" i="22"/>
  <c r="K32" i="22" s="1"/>
  <c r="J47" i="22"/>
  <c r="G89" i="11"/>
  <c r="G42" i="4"/>
  <c r="E77" i="10"/>
  <c r="E79" i="10" s="1"/>
  <c r="E77" i="11"/>
  <c r="E79" i="11" s="1"/>
  <c r="J27" i="22"/>
  <c r="J28" i="22"/>
  <c r="K12" i="22" s="1"/>
  <c r="R76" i="12"/>
  <c r="T36" i="20"/>
  <c r="T38" i="20" s="1"/>
  <c r="G43" i="4"/>
  <c r="G19" i="5"/>
  <c r="F15" i="8"/>
  <c r="W36" i="4"/>
  <c r="Y36" i="4" s="1"/>
  <c r="K33" i="22" l="1"/>
  <c r="K34" i="22"/>
  <c r="K37" i="22" s="1"/>
  <c r="U36" i="20"/>
  <c r="U38" i="20" s="1"/>
  <c r="S76" i="12"/>
  <c r="G89" i="14"/>
  <c r="K13" i="22"/>
  <c r="K14" i="22"/>
  <c r="K17" i="22" s="1"/>
  <c r="G95" i="12"/>
  <c r="E80" i="12"/>
  <c r="T76" i="9"/>
  <c r="V12" i="20"/>
  <c r="V14" i="20" s="1"/>
  <c r="U76" i="9" s="1"/>
  <c r="W76" i="9" s="1"/>
  <c r="G45" i="4"/>
  <c r="G96" i="13"/>
  <c r="I15" i="5"/>
  <c r="I17" i="5" s="1"/>
  <c r="H77" i="22"/>
  <c r="F16" i="8"/>
  <c r="F19" i="8" s="1"/>
  <c r="G92" i="11"/>
  <c r="E80" i="9"/>
  <c r="H37" i="10"/>
  <c r="H39" i="10" s="1"/>
  <c r="H37" i="9"/>
  <c r="H39" i="9" s="1"/>
  <c r="H37" i="12"/>
  <c r="H39" i="12" s="1"/>
  <c r="H37" i="11"/>
  <c r="H39" i="11" s="1"/>
  <c r="H37" i="13"/>
  <c r="H39" i="13" s="1"/>
  <c r="H37" i="14"/>
  <c r="H39" i="14" s="1"/>
  <c r="H40" i="4"/>
  <c r="G92" i="10"/>
  <c r="G95" i="9"/>
  <c r="H73" i="22"/>
  <c r="I52" i="22"/>
  <c r="I53" i="22" l="1"/>
  <c r="I54" i="22"/>
  <c r="I57" i="22" s="1"/>
  <c r="I72" i="22"/>
  <c r="G97" i="11"/>
  <c r="G100" i="11" s="1"/>
  <c r="G95" i="11"/>
  <c r="H86" i="11"/>
  <c r="H89" i="11" s="1"/>
  <c r="H92" i="11" s="1"/>
  <c r="H41" i="11"/>
  <c r="H42" i="11"/>
  <c r="H44" i="11" s="1"/>
  <c r="F21" i="8"/>
  <c r="F22" i="8"/>
  <c r="F24" i="8" s="1"/>
  <c r="G94" i="14"/>
  <c r="G97" i="14" s="1"/>
  <c r="G92" i="14"/>
  <c r="G98" i="9"/>
  <c r="G100" i="9"/>
  <c r="G103" i="9" s="1"/>
  <c r="H57" i="9"/>
  <c r="H59" i="9" s="1"/>
  <c r="H57" i="10"/>
  <c r="H59" i="10" s="1"/>
  <c r="H79" i="22"/>
  <c r="H57" i="11"/>
  <c r="H59" i="11" s="1"/>
  <c r="H57" i="14"/>
  <c r="H59" i="14" s="1"/>
  <c r="H57" i="12"/>
  <c r="H59" i="12" s="1"/>
  <c r="H57" i="13"/>
  <c r="H59" i="13" s="1"/>
  <c r="H86" i="10"/>
  <c r="H89" i="10" s="1"/>
  <c r="H41" i="10"/>
  <c r="E82" i="12"/>
  <c r="V36" i="20"/>
  <c r="V38" i="20" s="1"/>
  <c r="U76" i="12" s="1"/>
  <c r="W76" i="12" s="1"/>
  <c r="T76" i="12"/>
  <c r="H42" i="13"/>
  <c r="H44" i="13" s="1"/>
  <c r="H76" i="13"/>
  <c r="H78" i="13" s="1"/>
  <c r="H85" i="13" s="1"/>
  <c r="H90" i="13"/>
  <c r="H93" i="13" s="1"/>
  <c r="H96" i="13" s="1"/>
  <c r="H41" i="13"/>
  <c r="H79" i="9"/>
  <c r="H78" i="10"/>
  <c r="H79" i="12"/>
  <c r="H78" i="11"/>
  <c r="H89" i="12"/>
  <c r="H92" i="12" s="1"/>
  <c r="H95" i="12" s="1"/>
  <c r="H42" i="12"/>
  <c r="H41" i="12"/>
  <c r="H44" i="12" s="1"/>
  <c r="H42" i="9"/>
  <c r="H44" i="9"/>
  <c r="H41" i="9"/>
  <c r="H89" i="9"/>
  <c r="H92" i="9" s="1"/>
  <c r="H95" i="9" s="1"/>
  <c r="G95" i="10"/>
  <c r="G98" i="10" s="1"/>
  <c r="H94" i="10" s="1"/>
  <c r="G100" i="10"/>
  <c r="G97" i="10"/>
  <c r="K40" i="22"/>
  <c r="K41" i="22"/>
  <c r="K44" i="22" s="1"/>
  <c r="H12" i="8"/>
  <c r="E82" i="9"/>
  <c r="G101" i="13"/>
  <c r="G104" i="13" s="1"/>
  <c r="G99" i="13"/>
  <c r="G100" i="12"/>
  <c r="G103" i="12" s="1"/>
  <c r="G98" i="12"/>
  <c r="G101" i="12" s="1"/>
  <c r="H97" i="12" s="1"/>
  <c r="H41" i="14"/>
  <c r="H42" i="14" s="1"/>
  <c r="H44" i="14" s="1"/>
  <c r="H83" i="14"/>
  <c r="H86" i="14" s="1"/>
  <c r="H89" i="14" s="1"/>
  <c r="K20" i="22"/>
  <c r="K21" i="22"/>
  <c r="K24" i="22" s="1"/>
  <c r="G61" i="9" l="1"/>
  <c r="G61" i="11"/>
  <c r="G61" i="12"/>
  <c r="G61" i="14"/>
  <c r="F62" i="9"/>
  <c r="F62" i="10"/>
  <c r="G20" i="5"/>
  <c r="F62" i="12"/>
  <c r="F62" i="11"/>
  <c r="F62" i="13"/>
  <c r="F62" i="14"/>
  <c r="G106" i="13"/>
  <c r="G61" i="10"/>
  <c r="G8" i="8"/>
  <c r="H101" i="12"/>
  <c r="I97" i="12" s="1"/>
  <c r="H98" i="9"/>
  <c r="H92" i="10"/>
  <c r="G98" i="11"/>
  <c r="H94" i="11" s="1"/>
  <c r="K27" i="22"/>
  <c r="K28" i="22"/>
  <c r="L12" i="22" s="1"/>
  <c r="H42" i="10"/>
  <c r="H44" i="10" s="1"/>
  <c r="H100" i="12"/>
  <c r="H103" i="12"/>
  <c r="H61" i="12" s="1"/>
  <c r="H98" i="12"/>
  <c r="K48" i="22"/>
  <c r="L32" i="22" s="1"/>
  <c r="K47" i="22"/>
  <c r="G101" i="9"/>
  <c r="H97" i="9" s="1"/>
  <c r="H100" i="9" s="1"/>
  <c r="H103" i="9" s="1"/>
  <c r="H61" i="9" s="1"/>
  <c r="G102" i="13"/>
  <c r="H98" i="13" s="1"/>
  <c r="H42" i="4"/>
  <c r="G95" i="14"/>
  <c r="H91" i="14" s="1"/>
  <c r="H95" i="11"/>
  <c r="H100" i="11"/>
  <c r="H61" i="11" s="1"/>
  <c r="H97" i="11"/>
  <c r="I60" i="22"/>
  <c r="I61" i="22"/>
  <c r="I64" i="22" s="1"/>
  <c r="H43" i="4"/>
  <c r="H94" i="14"/>
  <c r="H97" i="14" s="1"/>
  <c r="H61" i="14" s="1"/>
  <c r="H92" i="14"/>
  <c r="H99" i="13"/>
  <c r="H101" i="13"/>
  <c r="H104" i="13" s="1"/>
  <c r="H106" i="13" s="1"/>
  <c r="H61" i="13" s="1"/>
  <c r="F64" i="13" l="1"/>
  <c r="L34" i="22"/>
  <c r="L37" i="22" s="1"/>
  <c r="L33" i="22"/>
  <c r="H97" i="10"/>
  <c r="H100" i="10"/>
  <c r="H95" i="10"/>
  <c r="G61" i="13"/>
  <c r="G22" i="5"/>
  <c r="I67" i="22"/>
  <c r="I68" i="22"/>
  <c r="H45" i="4"/>
  <c r="L13" i="22"/>
  <c r="L14" i="22"/>
  <c r="L17" i="22" s="1"/>
  <c r="F64" i="10"/>
  <c r="H19" i="5"/>
  <c r="G15" i="8"/>
  <c r="H102" i="13"/>
  <c r="I98" i="13" s="1"/>
  <c r="F64" i="9"/>
  <c r="H101" i="9"/>
  <c r="I97" i="9" s="1"/>
  <c r="H98" i="11"/>
  <c r="I94" i="11" s="1"/>
  <c r="H95" i="14"/>
  <c r="I91" i="14" s="1"/>
  <c r="F64" i="11"/>
  <c r="F64" i="12"/>
  <c r="F64" i="14"/>
  <c r="F77" i="11" l="1"/>
  <c r="F79" i="11" s="1"/>
  <c r="I73" i="22"/>
  <c r="J52" i="22"/>
  <c r="G16" i="8"/>
  <c r="G19" i="8" s="1"/>
  <c r="I76" i="22"/>
  <c r="I91" i="22"/>
  <c r="I38" i="4" s="1"/>
  <c r="L40" i="22"/>
  <c r="L41" i="22"/>
  <c r="L44" i="22" s="1"/>
  <c r="G30" i="5"/>
  <c r="G32" i="5" s="1"/>
  <c r="F64" i="2"/>
  <c r="H61" i="10"/>
  <c r="H8" i="8"/>
  <c r="F77" i="10"/>
  <c r="F79" i="10" s="1"/>
  <c r="F78" i="9"/>
  <c r="L20" i="22"/>
  <c r="L21" i="22"/>
  <c r="L24" i="22" s="1"/>
  <c r="F78" i="12"/>
  <c r="H98" i="10"/>
  <c r="I94" i="10" s="1"/>
  <c r="G21" i="8" l="1"/>
  <c r="G22" i="8"/>
  <c r="G24" i="8" s="1"/>
  <c r="L47" i="22"/>
  <c r="L48" i="22"/>
  <c r="M32" i="22" s="1"/>
  <c r="I79" i="9"/>
  <c r="I79" i="12"/>
  <c r="I78" i="11"/>
  <c r="I78" i="10"/>
  <c r="L27" i="22"/>
  <c r="L28" i="22"/>
  <c r="M12" i="22" s="1"/>
  <c r="J15" i="5"/>
  <c r="J17" i="5" s="1"/>
  <c r="I77" i="22"/>
  <c r="F80" i="9"/>
  <c r="J54" i="22"/>
  <c r="J57" i="22" s="1"/>
  <c r="J53" i="22"/>
  <c r="J72" i="22"/>
  <c r="F80" i="12"/>
  <c r="I19" i="5"/>
  <c r="H15" i="8"/>
  <c r="H16" i="8" s="1"/>
  <c r="H19" i="8" s="1"/>
  <c r="I37" i="9"/>
  <c r="I39" i="9" s="1"/>
  <c r="I37" i="10"/>
  <c r="I39" i="10" s="1"/>
  <c r="I37" i="11"/>
  <c r="I39" i="11" s="1"/>
  <c r="I37" i="12"/>
  <c r="I39" i="12" s="1"/>
  <c r="I37" i="14"/>
  <c r="I39" i="14" s="1"/>
  <c r="I37" i="13"/>
  <c r="I39" i="13" s="1"/>
  <c r="I40" i="4"/>
  <c r="H20" i="5" l="1"/>
  <c r="G62" i="10"/>
  <c r="G62" i="9"/>
  <c r="G62" i="12"/>
  <c r="G62" i="11"/>
  <c r="G62" i="13"/>
  <c r="G62" i="14"/>
  <c r="H21" i="8"/>
  <c r="H22" i="8" s="1"/>
  <c r="H24" i="8" s="1"/>
  <c r="I12" i="8"/>
  <c r="F82" i="9"/>
  <c r="I76" i="13"/>
  <c r="I78" i="13" s="1"/>
  <c r="I85" i="13" s="1"/>
  <c r="I90" i="13"/>
  <c r="I93" i="13" s="1"/>
  <c r="I96" i="13" s="1"/>
  <c r="I41" i="13"/>
  <c r="I57" i="9"/>
  <c r="I59" i="9" s="1"/>
  <c r="I57" i="10"/>
  <c r="I59" i="10" s="1"/>
  <c r="I79" i="22"/>
  <c r="I57" i="13"/>
  <c r="I59" i="13" s="1"/>
  <c r="I57" i="11"/>
  <c r="I59" i="11" s="1"/>
  <c r="I57" i="14"/>
  <c r="I59" i="14" s="1"/>
  <c r="I57" i="12"/>
  <c r="I59" i="12" s="1"/>
  <c r="M33" i="22"/>
  <c r="M34" i="22"/>
  <c r="M37" i="22" s="1"/>
  <c r="I41" i="14"/>
  <c r="I42" i="14" s="1"/>
  <c r="I83" i="14"/>
  <c r="I86" i="14" s="1"/>
  <c r="I89" i="14" s="1"/>
  <c r="F82" i="12"/>
  <c r="I89" i="12"/>
  <c r="I92" i="12" s="1"/>
  <c r="I95" i="12" s="1"/>
  <c r="I41" i="12"/>
  <c r="M13" i="22"/>
  <c r="M14" i="22"/>
  <c r="M17" i="22" s="1"/>
  <c r="I86" i="11"/>
  <c r="I89" i="11" s="1"/>
  <c r="I92" i="11" s="1"/>
  <c r="I41" i="11"/>
  <c r="I42" i="10"/>
  <c r="I44" i="10" s="1"/>
  <c r="I41" i="10"/>
  <c r="I86" i="10"/>
  <c r="I89" i="10" s="1"/>
  <c r="I92" i="10" s="1"/>
  <c r="J60" i="22"/>
  <c r="J61" i="22"/>
  <c r="J64" i="22" s="1"/>
  <c r="I41" i="9"/>
  <c r="I42" i="9"/>
  <c r="I44" i="9"/>
  <c r="I89" i="9"/>
  <c r="I92" i="9" s="1"/>
  <c r="I95" i="9" s="1"/>
  <c r="H62" i="9" l="1"/>
  <c r="H64" i="9" s="1"/>
  <c r="I20" i="5"/>
  <c r="I22" i="5" s="1"/>
  <c r="I30" i="5" s="1"/>
  <c r="I32" i="5" s="1"/>
  <c r="H62" i="11"/>
  <c r="H64" i="11" s="1"/>
  <c r="H62" i="10"/>
  <c r="H64" i="10" s="1"/>
  <c r="H62" i="12"/>
  <c r="H64" i="12" s="1"/>
  <c r="H62" i="13"/>
  <c r="H64" i="13" s="1"/>
  <c r="H62" i="14"/>
  <c r="H64" i="14" s="1"/>
  <c r="I42" i="12"/>
  <c r="I44" i="12" s="1"/>
  <c r="G64" i="12"/>
  <c r="G64" i="9"/>
  <c r="G64" i="13"/>
  <c r="G64" i="11"/>
  <c r="I42" i="11"/>
  <c r="I44" i="11" s="1"/>
  <c r="I97" i="10"/>
  <c r="I100" i="10"/>
  <c r="I95" i="10"/>
  <c r="I98" i="10" s="1"/>
  <c r="J94" i="10" s="1"/>
  <c r="I42" i="13"/>
  <c r="I95" i="11"/>
  <c r="I97" i="11"/>
  <c r="I100" i="11" s="1"/>
  <c r="I61" i="11" s="1"/>
  <c r="G64" i="10"/>
  <c r="I92" i="14"/>
  <c r="I94" i="14"/>
  <c r="I97" i="14" s="1"/>
  <c r="I61" i="14" s="1"/>
  <c r="G64" i="14"/>
  <c r="I98" i="12"/>
  <c r="I101" i="12" s="1"/>
  <c r="J97" i="12" s="1"/>
  <c r="I100" i="12"/>
  <c r="I103" i="12"/>
  <c r="I61" i="12" s="1"/>
  <c r="I44" i="14"/>
  <c r="J67" i="22"/>
  <c r="J68" i="22"/>
  <c r="M41" i="22"/>
  <c r="M44" i="22" s="1"/>
  <c r="M40" i="22"/>
  <c r="I42" i="4"/>
  <c r="I100" i="9"/>
  <c r="I103" i="9" s="1"/>
  <c r="I61" i="9" s="1"/>
  <c r="I98" i="9"/>
  <c r="I101" i="9" s="1"/>
  <c r="J97" i="9" s="1"/>
  <c r="M20" i="22"/>
  <c r="M21" i="22"/>
  <c r="M24" i="22" s="1"/>
  <c r="I101" i="13"/>
  <c r="I104" i="13" s="1"/>
  <c r="I106" i="13" s="1"/>
  <c r="I61" i="13" s="1"/>
  <c r="I99" i="13"/>
  <c r="H22" i="5"/>
  <c r="H30" i="5" s="1"/>
  <c r="H32" i="5" s="1"/>
  <c r="I61" i="10" l="1"/>
  <c r="I8" i="8"/>
  <c r="M48" i="22"/>
  <c r="N32" i="22" s="1"/>
  <c r="M47" i="22"/>
  <c r="G78" i="9"/>
  <c r="G80" i="9" s="1"/>
  <c r="I95" i="14"/>
  <c r="J91" i="14" s="1"/>
  <c r="I98" i="11"/>
  <c r="J94" i="11" s="1"/>
  <c r="G77" i="11"/>
  <c r="G79" i="11" s="1"/>
  <c r="I43" i="4"/>
  <c r="G78" i="12"/>
  <c r="G80" i="12" s="1"/>
  <c r="I44" i="13"/>
  <c r="H78" i="9"/>
  <c r="H80" i="9" s="1"/>
  <c r="H82" i="9" s="1"/>
  <c r="M27" i="22"/>
  <c r="M28" i="22"/>
  <c r="N12" i="22" s="1"/>
  <c r="K52" i="22"/>
  <c r="J73" i="22"/>
  <c r="J76" i="22"/>
  <c r="J91" i="22"/>
  <c r="J38" i="4" s="1"/>
  <c r="I102" i="13"/>
  <c r="J98" i="13" s="1"/>
  <c r="I45" i="4"/>
  <c r="G77" i="10"/>
  <c r="G79" i="10" s="1"/>
  <c r="J37" i="9" l="1"/>
  <c r="J39" i="9" s="1"/>
  <c r="J37" i="10"/>
  <c r="J39" i="10" s="1"/>
  <c r="J37" i="11"/>
  <c r="J39" i="11" s="1"/>
  <c r="J37" i="12"/>
  <c r="J39" i="12" s="1"/>
  <c r="J37" i="13"/>
  <c r="J39" i="13" s="1"/>
  <c r="J37" i="14"/>
  <c r="J39" i="14" s="1"/>
  <c r="J40" i="4"/>
  <c r="K15" i="5"/>
  <c r="K17" i="5" s="1"/>
  <c r="J77" i="22"/>
  <c r="J19" i="5"/>
  <c r="I15" i="8"/>
  <c r="I16" i="8" s="1"/>
  <c r="I19" i="8" s="1"/>
  <c r="K53" i="22"/>
  <c r="K72" i="22"/>
  <c r="K54" i="22"/>
  <c r="K57" i="22" s="1"/>
  <c r="G82" i="12"/>
  <c r="H78" i="12"/>
  <c r="H80" i="12" s="1"/>
  <c r="H82" i="12" s="1"/>
  <c r="G82" i="9"/>
  <c r="N33" i="22"/>
  <c r="N34" i="22"/>
  <c r="N37" i="22" s="1"/>
  <c r="J79" i="9"/>
  <c r="J79" i="12"/>
  <c r="J78" i="10"/>
  <c r="J78" i="11"/>
  <c r="N13" i="22"/>
  <c r="N14" i="22"/>
  <c r="N17" i="22" s="1"/>
  <c r="H77" i="11"/>
  <c r="H79" i="11" s="1"/>
  <c r="H77" i="10"/>
  <c r="H79" i="10" s="1"/>
  <c r="J41" i="14" l="1"/>
  <c r="J42" i="14" s="1"/>
  <c r="J83" i="14"/>
  <c r="J86" i="14" s="1"/>
  <c r="J89" i="14" s="1"/>
  <c r="I22" i="8"/>
  <c r="I24" i="8" s="1"/>
  <c r="I21" i="8"/>
  <c r="J86" i="10"/>
  <c r="J89" i="10" s="1"/>
  <c r="J92" i="10" s="1"/>
  <c r="J41" i="10"/>
  <c r="J57" i="9"/>
  <c r="J59" i="9" s="1"/>
  <c r="J57" i="10"/>
  <c r="J59" i="10" s="1"/>
  <c r="J79" i="22"/>
  <c r="J57" i="13"/>
  <c r="J59" i="13" s="1"/>
  <c r="J57" i="12"/>
  <c r="J59" i="12" s="1"/>
  <c r="J57" i="14"/>
  <c r="J59" i="14" s="1"/>
  <c r="J57" i="11"/>
  <c r="J59" i="11" s="1"/>
  <c r="J41" i="9"/>
  <c r="J89" i="9"/>
  <c r="J92" i="9" s="1"/>
  <c r="J95" i="9" s="1"/>
  <c r="K61" i="22"/>
  <c r="K64" i="22" s="1"/>
  <c r="K60" i="22"/>
  <c r="J12" i="8"/>
  <c r="N40" i="22"/>
  <c r="N41" i="22"/>
  <c r="N44" i="22" s="1"/>
  <c r="N20" i="22"/>
  <c r="N21" i="22"/>
  <c r="N24" i="22" s="1"/>
  <c r="J41" i="13"/>
  <c r="J76" i="13"/>
  <c r="J78" i="13" s="1"/>
  <c r="J85" i="13" s="1"/>
  <c r="J90" i="13"/>
  <c r="J93" i="13" s="1"/>
  <c r="J96" i="13" s="1"/>
  <c r="J42" i="13"/>
  <c r="J89" i="12"/>
  <c r="J92" i="12" s="1"/>
  <c r="J95" i="12" s="1"/>
  <c r="J41" i="12"/>
  <c r="J86" i="11"/>
  <c r="J89" i="11" s="1"/>
  <c r="J92" i="11" s="1"/>
  <c r="J41" i="11"/>
  <c r="I62" i="9" l="1"/>
  <c r="I64" i="9" s="1"/>
  <c r="I78" i="9" s="1"/>
  <c r="I80" i="9" s="1"/>
  <c r="I82" i="9" s="1"/>
  <c r="I62" i="10"/>
  <c r="I64" i="10" s="1"/>
  <c r="I77" i="10" s="1"/>
  <c r="I79" i="10" s="1"/>
  <c r="J20" i="5"/>
  <c r="J22" i="5" s="1"/>
  <c r="J30" i="5" s="1"/>
  <c r="J32" i="5" s="1"/>
  <c r="I62" i="11"/>
  <c r="I64" i="11" s="1"/>
  <c r="I77" i="11" s="1"/>
  <c r="I79" i="11" s="1"/>
  <c r="I62" i="12"/>
  <c r="I64" i="12" s="1"/>
  <c r="I78" i="12" s="1"/>
  <c r="I80" i="12" s="1"/>
  <c r="I82" i="12" s="1"/>
  <c r="I62" i="14"/>
  <c r="I64" i="14" s="1"/>
  <c r="I62" i="13"/>
  <c r="I64" i="13" s="1"/>
  <c r="N47" i="22"/>
  <c r="N48" i="22"/>
  <c r="O32" i="22" s="1"/>
  <c r="J42" i="9"/>
  <c r="J44" i="9" s="1"/>
  <c r="J95" i="11"/>
  <c r="J97" i="11"/>
  <c r="J100" i="11" s="1"/>
  <c r="J61" i="11" s="1"/>
  <c r="J42" i="11"/>
  <c r="J44" i="11" s="1"/>
  <c r="J101" i="13"/>
  <c r="J99" i="13"/>
  <c r="J102" i="13" s="1"/>
  <c r="K98" i="13" s="1"/>
  <c r="J104" i="13"/>
  <c r="J94" i="14"/>
  <c r="J97" i="14" s="1"/>
  <c r="J61" i="14" s="1"/>
  <c r="J92" i="14"/>
  <c r="J95" i="14" s="1"/>
  <c r="K91" i="14" s="1"/>
  <c r="J42" i="12"/>
  <c r="J44" i="12" s="1"/>
  <c r="J98" i="12"/>
  <c r="J100" i="12"/>
  <c r="J103" i="12"/>
  <c r="J61" i="12" s="1"/>
  <c r="J42" i="4"/>
  <c r="K68" i="22"/>
  <c r="K67" i="22"/>
  <c r="J42" i="10"/>
  <c r="J44" i="10" s="1"/>
  <c r="J44" i="14"/>
  <c r="J43" i="4"/>
  <c r="J44" i="13"/>
  <c r="J95" i="10"/>
  <c r="J97" i="10"/>
  <c r="J100" i="10"/>
  <c r="J106" i="13"/>
  <c r="J61" i="13" s="1"/>
  <c r="N27" i="22"/>
  <c r="N28" i="22"/>
  <c r="O12" i="22" s="1"/>
  <c r="J100" i="9"/>
  <c r="J103" i="9" s="1"/>
  <c r="J61" i="9" s="1"/>
  <c r="J98" i="9"/>
  <c r="J101" i="9" s="1"/>
  <c r="K97" i="9" s="1"/>
  <c r="J101" i="12" l="1"/>
  <c r="K97" i="12" s="1"/>
  <c r="J98" i="10"/>
  <c r="K94" i="10" s="1"/>
  <c r="K91" i="22"/>
  <c r="K38" i="4" s="1"/>
  <c r="K76" i="22"/>
  <c r="L52" i="22"/>
  <c r="K73" i="22"/>
  <c r="J98" i="11"/>
  <c r="K94" i="11" s="1"/>
  <c r="O33" i="22"/>
  <c r="O34" i="22"/>
  <c r="O37" i="22" s="1"/>
  <c r="J61" i="10"/>
  <c r="J8" i="8"/>
  <c r="O13" i="22"/>
  <c r="O14" i="22"/>
  <c r="O17" i="22" s="1"/>
  <c r="J45" i="4"/>
  <c r="K37" i="9" l="1"/>
  <c r="K39" i="9" s="1"/>
  <c r="K37" i="10"/>
  <c r="K39" i="10" s="1"/>
  <c r="K37" i="12"/>
  <c r="K39" i="12" s="1"/>
  <c r="K37" i="14"/>
  <c r="K39" i="14" s="1"/>
  <c r="K37" i="11"/>
  <c r="K39" i="11" s="1"/>
  <c r="K37" i="13"/>
  <c r="K39" i="13" s="1"/>
  <c r="K40" i="4"/>
  <c r="K19" i="5"/>
  <c r="J15" i="8"/>
  <c r="J16" i="8" s="1"/>
  <c r="J19" i="8" s="1"/>
  <c r="O41" i="22"/>
  <c r="O44" i="22" s="1"/>
  <c r="O40" i="22"/>
  <c r="O21" i="22"/>
  <c r="O24" i="22" s="1"/>
  <c r="O20" i="22"/>
  <c r="K79" i="9"/>
  <c r="K78" i="10"/>
  <c r="K79" i="12"/>
  <c r="K78" i="11"/>
  <c r="L72" i="22"/>
  <c r="L54" i="22"/>
  <c r="L57" i="22" s="1"/>
  <c r="L53" i="22"/>
  <c r="L15" i="5"/>
  <c r="L17" i="5" s="1"/>
  <c r="K77" i="22"/>
  <c r="K12" i="8" l="1"/>
  <c r="K41" i="9"/>
  <c r="K44" i="9" s="1"/>
  <c r="K42" i="9"/>
  <c r="K89" i="9"/>
  <c r="K92" i="9" s="1"/>
  <c r="K95" i="9" s="1"/>
  <c r="L60" i="22"/>
  <c r="L61" i="22"/>
  <c r="L64" i="22" s="1"/>
  <c r="O28" i="22"/>
  <c r="P12" i="22" s="1"/>
  <c r="O27" i="22"/>
  <c r="K41" i="13"/>
  <c r="K76" i="13"/>
  <c r="K78" i="13" s="1"/>
  <c r="K85" i="13" s="1"/>
  <c r="K90" i="13"/>
  <c r="K93" i="13" s="1"/>
  <c r="K96" i="13" s="1"/>
  <c r="K42" i="13"/>
  <c r="O47" i="22"/>
  <c r="O48" i="22"/>
  <c r="P32" i="22" s="1"/>
  <c r="K86" i="11"/>
  <c r="K89" i="11" s="1"/>
  <c r="K92" i="11" s="1"/>
  <c r="K41" i="11"/>
  <c r="K42" i="11" s="1"/>
  <c r="K41" i="14"/>
  <c r="K42" i="14" s="1"/>
  <c r="K83" i="14"/>
  <c r="K86" i="14" s="1"/>
  <c r="K89" i="14" s="1"/>
  <c r="K57" i="9"/>
  <c r="K59" i="9" s="1"/>
  <c r="K57" i="10"/>
  <c r="K59" i="10" s="1"/>
  <c r="K79" i="22"/>
  <c r="K57" i="12"/>
  <c r="K59" i="12" s="1"/>
  <c r="K57" i="13"/>
  <c r="K59" i="13" s="1"/>
  <c r="K57" i="14"/>
  <c r="K59" i="14" s="1"/>
  <c r="K57" i="11"/>
  <c r="K59" i="11" s="1"/>
  <c r="J21" i="8"/>
  <c r="J22" i="8" s="1"/>
  <c r="J24" i="8" s="1"/>
  <c r="K41" i="12"/>
  <c r="K44" i="12" s="1"/>
  <c r="K42" i="12"/>
  <c r="K89" i="12"/>
  <c r="K92" i="12" s="1"/>
  <c r="K95" i="12" s="1"/>
  <c r="K41" i="10"/>
  <c r="K86" i="10"/>
  <c r="K89" i="10" s="1"/>
  <c r="K92" i="10" s="1"/>
  <c r="K44" i="10" l="1"/>
  <c r="J62" i="10"/>
  <c r="J64" i="10" s="1"/>
  <c r="J77" i="10" s="1"/>
  <c r="J79" i="10" s="1"/>
  <c r="J62" i="9"/>
  <c r="J64" i="9" s="1"/>
  <c r="J78" i="9" s="1"/>
  <c r="J80" i="9" s="1"/>
  <c r="J82" i="9" s="1"/>
  <c r="K20" i="5"/>
  <c r="K22" i="5" s="1"/>
  <c r="K30" i="5" s="1"/>
  <c r="K32" i="5" s="1"/>
  <c r="J62" i="12"/>
  <c r="J64" i="12" s="1"/>
  <c r="J78" i="12" s="1"/>
  <c r="J80" i="12" s="1"/>
  <c r="J82" i="12" s="1"/>
  <c r="J62" i="13"/>
  <c r="J64" i="13" s="1"/>
  <c r="J62" i="14"/>
  <c r="J64" i="14" s="1"/>
  <c r="J62" i="11"/>
  <c r="J64" i="11" s="1"/>
  <c r="J77" i="11" s="1"/>
  <c r="J79" i="11" s="1"/>
  <c r="K100" i="12"/>
  <c r="K103" i="12"/>
  <c r="K61" i="12" s="1"/>
  <c r="K98" i="12"/>
  <c r="K101" i="12" s="1"/>
  <c r="L97" i="12" s="1"/>
  <c r="K44" i="11"/>
  <c r="K95" i="10"/>
  <c r="K97" i="10"/>
  <c r="K100" i="10"/>
  <c r="K42" i="4"/>
  <c r="K42" i="10"/>
  <c r="K43" i="4" s="1"/>
  <c r="K44" i="14"/>
  <c r="P33" i="22"/>
  <c r="P34" i="22"/>
  <c r="P37" i="22" s="1"/>
  <c r="P14" i="22"/>
  <c r="P17" i="22" s="1"/>
  <c r="P13" i="22"/>
  <c r="K98" i="9"/>
  <c r="K100" i="9"/>
  <c r="K103" i="9"/>
  <c r="K61" i="9" s="1"/>
  <c r="K99" i="13"/>
  <c r="K101" i="13"/>
  <c r="K104" i="13"/>
  <c r="K106" i="13"/>
  <c r="K61" i="13" s="1"/>
  <c r="K95" i="11"/>
  <c r="K97" i="11"/>
  <c r="K100" i="11"/>
  <c r="K61" i="11" s="1"/>
  <c r="L67" i="22"/>
  <c r="L91" i="22" s="1"/>
  <c r="L38" i="4" s="1"/>
  <c r="L68" i="22"/>
  <c r="K94" i="14"/>
  <c r="K97" i="14" s="1"/>
  <c r="K61" i="14" s="1"/>
  <c r="K92" i="14"/>
  <c r="K95" i="14" s="1"/>
  <c r="L91" i="14" s="1"/>
  <c r="K44" i="13"/>
  <c r="K101" i="9" l="1"/>
  <c r="L97" i="9" s="1"/>
  <c r="K45" i="4"/>
  <c r="L37" i="9"/>
  <c r="L39" i="9" s="1"/>
  <c r="L37" i="10"/>
  <c r="L39" i="10" s="1"/>
  <c r="L37" i="12"/>
  <c r="L39" i="12" s="1"/>
  <c r="L37" i="13"/>
  <c r="L39" i="13" s="1"/>
  <c r="L37" i="14"/>
  <c r="L39" i="14" s="1"/>
  <c r="L37" i="11"/>
  <c r="L39" i="11" s="1"/>
  <c r="L40" i="4"/>
  <c r="P21" i="22"/>
  <c r="P24" i="22" s="1"/>
  <c r="P20" i="22"/>
  <c r="K61" i="10"/>
  <c r="K8" i="8"/>
  <c r="L76" i="22"/>
  <c r="K98" i="11"/>
  <c r="L94" i="11" s="1"/>
  <c r="M52" i="22"/>
  <c r="L73" i="22"/>
  <c r="P41" i="22"/>
  <c r="P44" i="22" s="1"/>
  <c r="P40" i="22"/>
  <c r="K102" i="13"/>
  <c r="L98" i="13" s="1"/>
  <c r="K98" i="10"/>
  <c r="L94" i="10" s="1"/>
  <c r="L41" i="13" l="1"/>
  <c r="L42" i="13"/>
  <c r="L90" i="13"/>
  <c r="L93" i="13" s="1"/>
  <c r="L96" i="13" s="1"/>
  <c r="L76" i="13"/>
  <c r="L78" i="13" s="1"/>
  <c r="L85" i="13" s="1"/>
  <c r="P48" i="22"/>
  <c r="Q32" i="22" s="1"/>
  <c r="P47" i="22"/>
  <c r="L41" i="12"/>
  <c r="L89" i="12"/>
  <c r="L92" i="12" s="1"/>
  <c r="L95" i="12" s="1"/>
  <c r="L41" i="10"/>
  <c r="L42" i="10"/>
  <c r="L44" i="10" s="1"/>
  <c r="L86" i="10"/>
  <c r="L89" i="10" s="1"/>
  <c r="L92" i="10" s="1"/>
  <c r="L78" i="10"/>
  <c r="L79" i="12"/>
  <c r="L79" i="9"/>
  <c r="L78" i="11"/>
  <c r="L12" i="8"/>
  <c r="L42" i="11"/>
  <c r="L86" i="11"/>
  <c r="L89" i="11" s="1"/>
  <c r="L92" i="11" s="1"/>
  <c r="L41" i="11"/>
  <c r="L44" i="11" s="1"/>
  <c r="M15" i="5"/>
  <c r="M17" i="5" s="1"/>
  <c r="L77" i="22"/>
  <c r="L19" i="5"/>
  <c r="K15" i="8"/>
  <c r="K16" i="8" s="1"/>
  <c r="K19" i="8" s="1"/>
  <c r="L41" i="9"/>
  <c r="L89" i="9"/>
  <c r="L92" i="9" s="1"/>
  <c r="L95" i="9" s="1"/>
  <c r="P28" i="22"/>
  <c r="Q12" i="22" s="1"/>
  <c r="P27" i="22"/>
  <c r="M54" i="22"/>
  <c r="M57" i="22" s="1"/>
  <c r="M72" i="22"/>
  <c r="M53" i="22"/>
  <c r="L83" i="14"/>
  <c r="L86" i="14" s="1"/>
  <c r="L89" i="14" s="1"/>
  <c r="L41" i="14"/>
  <c r="L42" i="14" s="1"/>
  <c r="L44" i="14" s="1"/>
  <c r="L44" i="9" l="1"/>
  <c r="K21" i="8"/>
  <c r="K22" i="8" s="1"/>
  <c r="K24" i="8" s="1"/>
  <c r="L95" i="10"/>
  <c r="L97" i="10"/>
  <c r="L100" i="10"/>
  <c r="Q33" i="22"/>
  <c r="Q34" i="22"/>
  <c r="Q37" i="22" s="1"/>
  <c r="L106" i="13"/>
  <c r="L61" i="13" s="1"/>
  <c r="Q14" i="22"/>
  <c r="Q17" i="22" s="1"/>
  <c r="Q13" i="22"/>
  <c r="L99" i="13"/>
  <c r="L101" i="13"/>
  <c r="L104" i="13"/>
  <c r="L42" i="9"/>
  <c r="L100" i="12"/>
  <c r="L103" i="12"/>
  <c r="L61" i="12" s="1"/>
  <c r="L98" i="12"/>
  <c r="L43" i="4"/>
  <c r="L42" i="12"/>
  <c r="L44" i="12" s="1"/>
  <c r="L44" i="13"/>
  <c r="L95" i="11"/>
  <c r="L97" i="11"/>
  <c r="L100" i="11"/>
  <c r="L61" i="11" s="1"/>
  <c r="M61" i="22"/>
  <c r="M64" i="22" s="1"/>
  <c r="M60" i="22"/>
  <c r="L57" i="9"/>
  <c r="L59" i="9" s="1"/>
  <c r="L79" i="22"/>
  <c r="L57" i="12"/>
  <c r="L59" i="12" s="1"/>
  <c r="L57" i="11"/>
  <c r="L59" i="11" s="1"/>
  <c r="L57" i="13"/>
  <c r="L59" i="13" s="1"/>
  <c r="L57" i="10"/>
  <c r="L59" i="10" s="1"/>
  <c r="L57" i="14"/>
  <c r="L59" i="14" s="1"/>
  <c r="L94" i="14"/>
  <c r="L97" i="14" s="1"/>
  <c r="L61" i="14" s="1"/>
  <c r="L92" i="14"/>
  <c r="L100" i="9"/>
  <c r="L103" i="9" s="1"/>
  <c r="L61" i="9" s="1"/>
  <c r="L98" i="9"/>
  <c r="L42" i="4"/>
  <c r="K62" i="9" l="1"/>
  <c r="K64" i="9" s="1"/>
  <c r="K78" i="9" s="1"/>
  <c r="K80" i="9" s="1"/>
  <c r="K82" i="9" s="1"/>
  <c r="L20" i="5"/>
  <c r="L22" i="5" s="1"/>
  <c r="L30" i="5" s="1"/>
  <c r="L32" i="5" s="1"/>
  <c r="K62" i="10"/>
  <c r="K64" i="10" s="1"/>
  <c r="K77" i="10" s="1"/>
  <c r="K79" i="10" s="1"/>
  <c r="K62" i="13"/>
  <c r="K64" i="13" s="1"/>
  <c r="K62" i="12"/>
  <c r="K64" i="12" s="1"/>
  <c r="K78" i="12" s="1"/>
  <c r="K80" i="12" s="1"/>
  <c r="K82" i="12" s="1"/>
  <c r="K62" i="11"/>
  <c r="K64" i="11" s="1"/>
  <c r="K77" i="11" s="1"/>
  <c r="K79" i="11" s="1"/>
  <c r="K62" i="14"/>
  <c r="K64" i="14" s="1"/>
  <c r="L101" i="12"/>
  <c r="M97" i="12" s="1"/>
  <c r="L101" i="9"/>
  <c r="M97" i="9" s="1"/>
  <c r="M67" i="22"/>
  <c r="M76" i="22" s="1"/>
  <c r="M68" i="22"/>
  <c r="Q40" i="22"/>
  <c r="Q41" i="22"/>
  <c r="Q44" i="22" s="1"/>
  <c r="M91" i="22"/>
  <c r="M38" i="4" s="1"/>
  <c r="L95" i="14"/>
  <c r="M91" i="14" s="1"/>
  <c r="L98" i="11"/>
  <c r="M94" i="11" s="1"/>
  <c r="L61" i="10"/>
  <c r="L8" i="8"/>
  <c r="L45" i="4"/>
  <c r="Q21" i="22"/>
  <c r="Q24" i="22" s="1"/>
  <c r="Q20" i="22"/>
  <c r="L102" i="13"/>
  <c r="M98" i="13" s="1"/>
  <c r="L98" i="10"/>
  <c r="M94" i="10" s="1"/>
  <c r="N15" i="5" l="1"/>
  <c r="N17" i="5" s="1"/>
  <c r="M77" i="22"/>
  <c r="Q27" i="22"/>
  <c r="Q28" i="22"/>
  <c r="R12" i="22" s="1"/>
  <c r="M37" i="9"/>
  <c r="M39" i="9" s="1"/>
  <c r="M37" i="10"/>
  <c r="M39" i="10" s="1"/>
  <c r="M37" i="12"/>
  <c r="M39" i="12" s="1"/>
  <c r="M37" i="11"/>
  <c r="M39" i="11" s="1"/>
  <c r="M37" i="14"/>
  <c r="M39" i="14" s="1"/>
  <c r="M37" i="13"/>
  <c r="M39" i="13" s="1"/>
  <c r="M40" i="4"/>
  <c r="M19" i="5"/>
  <c r="L15" i="8"/>
  <c r="L16" i="8" s="1"/>
  <c r="L19" i="8" s="1"/>
  <c r="N52" i="22"/>
  <c r="M73" i="22"/>
  <c r="Q47" i="22"/>
  <c r="Q48" i="22"/>
  <c r="R32" i="22" s="1"/>
  <c r="R34" i="22" l="1"/>
  <c r="R37" i="22" s="1"/>
  <c r="R33" i="22"/>
  <c r="L21" i="8"/>
  <c r="L22" i="8"/>
  <c r="L24" i="8"/>
  <c r="M41" i="9"/>
  <c r="M42" i="9" s="1"/>
  <c r="M44" i="9" s="1"/>
  <c r="M89" i="9"/>
  <c r="M92" i="9" s="1"/>
  <c r="M95" i="9" s="1"/>
  <c r="M12" i="8"/>
  <c r="M42" i="13"/>
  <c r="M44" i="13"/>
  <c r="M76" i="13"/>
  <c r="M78" i="13" s="1"/>
  <c r="M85" i="13" s="1"/>
  <c r="M90" i="13"/>
  <c r="M93" i="13" s="1"/>
  <c r="M96" i="13" s="1"/>
  <c r="M41" i="13"/>
  <c r="M57" i="9"/>
  <c r="M59" i="9" s="1"/>
  <c r="M57" i="10"/>
  <c r="M59" i="10" s="1"/>
  <c r="M79" i="22"/>
  <c r="M57" i="12"/>
  <c r="M59" i="12" s="1"/>
  <c r="M57" i="11"/>
  <c r="M59" i="11" s="1"/>
  <c r="M57" i="13"/>
  <c r="M59" i="13" s="1"/>
  <c r="M57" i="14"/>
  <c r="M59" i="14" s="1"/>
  <c r="M79" i="9"/>
  <c r="M78" i="10"/>
  <c r="M79" i="12"/>
  <c r="M78" i="11"/>
  <c r="M41" i="14"/>
  <c r="M42" i="14"/>
  <c r="M83" i="14"/>
  <c r="M86" i="14" s="1"/>
  <c r="M89" i="14" s="1"/>
  <c r="M44" i="14"/>
  <c r="M44" i="12"/>
  <c r="M41" i="12"/>
  <c r="M42" i="12"/>
  <c r="M89" i="12"/>
  <c r="M92" i="12" s="1"/>
  <c r="M95" i="12" s="1"/>
  <c r="M41" i="10"/>
  <c r="M86" i="10"/>
  <c r="M89" i="10" s="1"/>
  <c r="M92" i="10" s="1"/>
  <c r="M42" i="10"/>
  <c r="M44" i="10" s="1"/>
  <c r="R14" i="22"/>
  <c r="R17" i="22" s="1"/>
  <c r="R13" i="22"/>
  <c r="N53" i="22"/>
  <c r="N72" i="22"/>
  <c r="N54" i="22"/>
  <c r="N57" i="22" s="1"/>
  <c r="M41" i="11"/>
  <c r="M44" i="11" s="1"/>
  <c r="M42" i="11"/>
  <c r="M86" i="11"/>
  <c r="M89" i="11" s="1"/>
  <c r="M92" i="11" s="1"/>
  <c r="M101" i="13" l="1"/>
  <c r="M104" i="13" s="1"/>
  <c r="M106" i="13" s="1"/>
  <c r="M61" i="13" s="1"/>
  <c r="M99" i="13"/>
  <c r="M92" i="14"/>
  <c r="M97" i="14"/>
  <c r="M61" i="14" s="1"/>
  <c r="M94" i="14"/>
  <c r="L62" i="9"/>
  <c r="L64" i="9" s="1"/>
  <c r="L78" i="9" s="1"/>
  <c r="L80" i="9" s="1"/>
  <c r="L82" i="9" s="1"/>
  <c r="M20" i="5"/>
  <c r="M22" i="5" s="1"/>
  <c r="M30" i="5" s="1"/>
  <c r="M32" i="5" s="1"/>
  <c r="L62" i="10"/>
  <c r="L64" i="10" s="1"/>
  <c r="L77" i="10" s="1"/>
  <c r="L79" i="10" s="1"/>
  <c r="L62" i="12"/>
  <c r="L64" i="12" s="1"/>
  <c r="L78" i="12" s="1"/>
  <c r="L80" i="12" s="1"/>
  <c r="L82" i="12" s="1"/>
  <c r="L62" i="13"/>
  <c r="L64" i="13" s="1"/>
  <c r="L62" i="11"/>
  <c r="L64" i="11" s="1"/>
  <c r="L77" i="11" s="1"/>
  <c r="L79" i="11" s="1"/>
  <c r="L62" i="14"/>
  <c r="L64" i="14" s="1"/>
  <c r="N60" i="22"/>
  <c r="N61" i="22"/>
  <c r="N64" i="22" s="1"/>
  <c r="M43" i="4"/>
  <c r="M100" i="12"/>
  <c r="M103" i="12"/>
  <c r="M61" i="12" s="1"/>
  <c r="M98" i="12"/>
  <c r="M98" i="9"/>
  <c r="M100" i="9"/>
  <c r="M103" i="9" s="1"/>
  <c r="M61" i="9" s="1"/>
  <c r="R41" i="22"/>
  <c r="R44" i="22" s="1"/>
  <c r="R40" i="22"/>
  <c r="M95" i="10"/>
  <c r="M97" i="10"/>
  <c r="M97" i="11"/>
  <c r="M100" i="11"/>
  <c r="M61" i="11" s="1"/>
  <c r="M95" i="11"/>
  <c r="R21" i="22"/>
  <c r="R24" i="22" s="1"/>
  <c r="R20" i="22"/>
  <c r="M42" i="4"/>
  <c r="M45" i="4" s="1"/>
  <c r="N76" i="22" l="1"/>
  <c r="M100" i="10"/>
  <c r="M102" i="13"/>
  <c r="N98" i="13" s="1"/>
  <c r="M98" i="11"/>
  <c r="N94" i="11" s="1"/>
  <c r="M98" i="10"/>
  <c r="N94" i="10" s="1"/>
  <c r="M95" i="14"/>
  <c r="N91" i="14" s="1"/>
  <c r="M101" i="12"/>
  <c r="N97" i="12" s="1"/>
  <c r="M101" i="9"/>
  <c r="N97" i="9" s="1"/>
  <c r="N68" i="22"/>
  <c r="N67" i="22"/>
  <c r="N91" i="22" s="1"/>
  <c r="N38" i="4" s="1"/>
  <c r="R28" i="22"/>
  <c r="S12" i="22" s="1"/>
  <c r="R27" i="22"/>
  <c r="R48" i="22"/>
  <c r="S32" i="22" s="1"/>
  <c r="R47" i="22"/>
  <c r="N37" i="9" l="1"/>
  <c r="N39" i="9" s="1"/>
  <c r="N37" i="10"/>
  <c r="N39" i="10" s="1"/>
  <c r="N37" i="12"/>
  <c r="N39" i="12" s="1"/>
  <c r="N37" i="11"/>
  <c r="N39" i="11" s="1"/>
  <c r="N37" i="13"/>
  <c r="N39" i="13" s="1"/>
  <c r="N37" i="14"/>
  <c r="N39" i="14" s="1"/>
  <c r="N40" i="4"/>
  <c r="S13" i="22"/>
  <c r="S14" i="22"/>
  <c r="S17" i="22" s="1"/>
  <c r="N73" i="22"/>
  <c r="O52" i="22"/>
  <c r="M61" i="10"/>
  <c r="M8" i="8"/>
  <c r="S34" i="22"/>
  <c r="S37" i="22" s="1"/>
  <c r="S33" i="22"/>
  <c r="O15" i="5"/>
  <c r="O17" i="5" s="1"/>
  <c r="N77" i="22"/>
  <c r="S40" i="22" l="1"/>
  <c r="S41" i="22"/>
  <c r="S44" i="22" s="1"/>
  <c r="N76" i="13"/>
  <c r="N78" i="13" s="1"/>
  <c r="N85" i="13" s="1"/>
  <c r="N90" i="13"/>
  <c r="N93" i="13" s="1"/>
  <c r="N96" i="13" s="1"/>
  <c r="N41" i="13"/>
  <c r="O72" i="22"/>
  <c r="O54" i="22"/>
  <c r="O57" i="22" s="1"/>
  <c r="O53" i="22"/>
  <c r="N41" i="11"/>
  <c r="N42" i="11" s="1"/>
  <c r="N44" i="11" s="1"/>
  <c r="N86" i="11"/>
  <c r="N89" i="11" s="1"/>
  <c r="N92" i="11" s="1"/>
  <c r="N57" i="10"/>
  <c r="N59" i="10" s="1"/>
  <c r="N57" i="9"/>
  <c r="N59" i="9" s="1"/>
  <c r="N79" i="22"/>
  <c r="N57" i="12"/>
  <c r="N59" i="12" s="1"/>
  <c r="N57" i="11"/>
  <c r="N59" i="11" s="1"/>
  <c r="N57" i="13"/>
  <c r="N59" i="13" s="1"/>
  <c r="N57" i="14"/>
  <c r="N59" i="14" s="1"/>
  <c r="N12" i="8"/>
  <c r="N79" i="9"/>
  <c r="N78" i="10"/>
  <c r="N79" i="12"/>
  <c r="N78" i="11"/>
  <c r="N41" i="12"/>
  <c r="N42" i="12" s="1"/>
  <c r="N44" i="12" s="1"/>
  <c r="N89" i="12"/>
  <c r="N92" i="12" s="1"/>
  <c r="N95" i="12" s="1"/>
  <c r="N19" i="5"/>
  <c r="M15" i="8"/>
  <c r="M16" i="8" s="1"/>
  <c r="M19" i="8" s="1"/>
  <c r="N41" i="14"/>
  <c r="N42" i="14" s="1"/>
  <c r="N44" i="14" s="1"/>
  <c r="N83" i="14"/>
  <c r="N86" i="14" s="1"/>
  <c r="N89" i="14" s="1"/>
  <c r="S20" i="22"/>
  <c r="S21" i="22"/>
  <c r="S24" i="22" s="1"/>
  <c r="N41" i="10"/>
  <c r="N42" i="10" s="1"/>
  <c r="N86" i="10"/>
  <c r="N89" i="10" s="1"/>
  <c r="N92" i="10" s="1"/>
  <c r="N89" i="9"/>
  <c r="N92" i="9" s="1"/>
  <c r="N95" i="9" s="1"/>
  <c r="N41" i="9"/>
  <c r="N44" i="9" l="1"/>
  <c r="S27" i="22"/>
  <c r="S28" i="22"/>
  <c r="T12" i="22" s="1"/>
  <c r="N92" i="14"/>
  <c r="N94" i="14"/>
  <c r="N97" i="14" s="1"/>
  <c r="N61" i="14" s="1"/>
  <c r="N100" i="12"/>
  <c r="N103" i="12"/>
  <c r="N61" i="12" s="1"/>
  <c r="N98" i="12"/>
  <c r="N42" i="9"/>
  <c r="N101" i="13"/>
  <c r="N104" i="13" s="1"/>
  <c r="N106" i="13" s="1"/>
  <c r="N61" i="13" s="1"/>
  <c r="N99" i="13"/>
  <c r="N102" i="13" s="1"/>
  <c r="O98" i="13" s="1"/>
  <c r="N98" i="9"/>
  <c r="N101" i="9" s="1"/>
  <c r="O97" i="9" s="1"/>
  <c r="N100" i="9"/>
  <c r="N103" i="9" s="1"/>
  <c r="N61" i="9" s="1"/>
  <c r="N42" i="4"/>
  <c r="N97" i="11"/>
  <c r="N100" i="11"/>
  <c r="N61" i="11" s="1"/>
  <c r="N95" i="11"/>
  <c r="N98" i="11" s="1"/>
  <c r="O94" i="11" s="1"/>
  <c r="N44" i="10"/>
  <c r="N42" i="13"/>
  <c r="N43" i="4" s="1"/>
  <c r="S47" i="22"/>
  <c r="S48" i="22"/>
  <c r="T32" i="22" s="1"/>
  <c r="N95" i="10"/>
  <c r="N98" i="10" s="1"/>
  <c r="O94" i="10" s="1"/>
  <c r="N100" i="10"/>
  <c r="N97" i="10"/>
  <c r="M21" i="8"/>
  <c r="M22" i="8"/>
  <c r="M24" i="8"/>
  <c r="O60" i="22"/>
  <c r="O61" i="22"/>
  <c r="O64" i="22" s="1"/>
  <c r="O91" i="22" l="1"/>
  <c r="O38" i="4" s="1"/>
  <c r="T14" i="22"/>
  <c r="T17" i="22" s="1"/>
  <c r="T13" i="22"/>
  <c r="O67" i="22"/>
  <c r="O76" i="22" s="1"/>
  <c r="O68" i="22"/>
  <c r="T34" i="22"/>
  <c r="T37" i="22" s="1"/>
  <c r="T33" i="22"/>
  <c r="M62" i="9"/>
  <c r="M64" i="9" s="1"/>
  <c r="M78" i="9" s="1"/>
  <c r="M80" i="9" s="1"/>
  <c r="M82" i="9" s="1"/>
  <c r="M62" i="10"/>
  <c r="M64" i="10" s="1"/>
  <c r="M77" i="10" s="1"/>
  <c r="M79" i="10" s="1"/>
  <c r="N20" i="5"/>
  <c r="N22" i="5" s="1"/>
  <c r="N30" i="5" s="1"/>
  <c r="N32" i="5" s="1"/>
  <c r="M62" i="12"/>
  <c r="M64" i="12" s="1"/>
  <c r="M78" i="12" s="1"/>
  <c r="M80" i="12" s="1"/>
  <c r="M82" i="12" s="1"/>
  <c r="M62" i="11"/>
  <c r="M64" i="11" s="1"/>
  <c r="M77" i="11" s="1"/>
  <c r="M79" i="11" s="1"/>
  <c r="M62" i="13"/>
  <c r="M64" i="13" s="1"/>
  <c r="M62" i="14"/>
  <c r="M64" i="14" s="1"/>
  <c r="N45" i="4"/>
  <c r="N95" i="14"/>
  <c r="O91" i="14" s="1"/>
  <c r="N44" i="13"/>
  <c r="N61" i="10"/>
  <c r="N8" i="8"/>
  <c r="N101" i="12"/>
  <c r="O97" i="12" s="1"/>
  <c r="P15" i="5" l="1"/>
  <c r="P17" i="5" s="1"/>
  <c r="O77" i="22"/>
  <c r="O37" i="9"/>
  <c r="O39" i="9" s="1"/>
  <c r="O37" i="10"/>
  <c r="O39" i="10" s="1"/>
  <c r="O37" i="12"/>
  <c r="O39" i="12" s="1"/>
  <c r="O37" i="11"/>
  <c r="O39" i="11" s="1"/>
  <c r="O37" i="13"/>
  <c r="O39" i="13" s="1"/>
  <c r="O37" i="14"/>
  <c r="O39" i="14" s="1"/>
  <c r="O40" i="4"/>
  <c r="O19" i="5"/>
  <c r="N15" i="8"/>
  <c r="N16" i="8" s="1"/>
  <c r="N19" i="8" s="1"/>
  <c r="T40" i="22"/>
  <c r="T41" i="22"/>
  <c r="T44" i="22" s="1"/>
  <c r="T20" i="22"/>
  <c r="T21" i="22"/>
  <c r="T24" i="22" s="1"/>
  <c r="O73" i="22"/>
  <c r="P52" i="22"/>
  <c r="O41" i="11" l="1"/>
  <c r="O42" i="11"/>
  <c r="O44" i="11" s="1"/>
  <c r="O86" i="11"/>
  <c r="O89" i="11" s="1"/>
  <c r="O92" i="11" s="1"/>
  <c r="T47" i="22"/>
  <c r="T48" i="22"/>
  <c r="U32" i="22" s="1"/>
  <c r="N21" i="8"/>
  <c r="N22" i="8" s="1"/>
  <c r="N24" i="8" s="1"/>
  <c r="P54" i="22"/>
  <c r="P57" i="22" s="1"/>
  <c r="P72" i="22"/>
  <c r="P53" i="22"/>
  <c r="O79" i="9"/>
  <c r="O78" i="10"/>
  <c r="O79" i="12"/>
  <c r="O78" i="11"/>
  <c r="O12" i="8"/>
  <c r="O89" i="12"/>
  <c r="O92" i="12" s="1"/>
  <c r="O95" i="12" s="1"/>
  <c r="O41" i="12"/>
  <c r="O42" i="9"/>
  <c r="O44" i="9" s="1"/>
  <c r="O41" i="9"/>
  <c r="O89" i="9"/>
  <c r="O92" i="9" s="1"/>
  <c r="O95" i="9" s="1"/>
  <c r="O86" i="10"/>
  <c r="O89" i="10" s="1"/>
  <c r="O92" i="10" s="1"/>
  <c r="O41" i="10"/>
  <c r="O42" i="10" s="1"/>
  <c r="O44" i="14"/>
  <c r="O41" i="14"/>
  <c r="O42" i="14"/>
  <c r="O83" i="14"/>
  <c r="O86" i="14" s="1"/>
  <c r="O89" i="14" s="1"/>
  <c r="T27" i="22"/>
  <c r="T28" i="22"/>
  <c r="U12" i="22" s="1"/>
  <c r="O41" i="13"/>
  <c r="O42" i="4" s="1"/>
  <c r="O76" i="13"/>
  <c r="O78" i="13" s="1"/>
  <c r="O85" i="13" s="1"/>
  <c r="O90" i="13"/>
  <c r="O93" i="13" s="1"/>
  <c r="O96" i="13" s="1"/>
  <c r="O57" i="9"/>
  <c r="O59" i="9" s="1"/>
  <c r="O57" i="10"/>
  <c r="O59" i="10" s="1"/>
  <c r="O79" i="22"/>
  <c r="O57" i="12"/>
  <c r="O59" i="12" s="1"/>
  <c r="O57" i="11"/>
  <c r="O59" i="11" s="1"/>
  <c r="O57" i="13"/>
  <c r="O59" i="13" s="1"/>
  <c r="O57" i="14"/>
  <c r="O59" i="14" s="1"/>
  <c r="N62" i="9" l="1"/>
  <c r="N64" i="9" s="1"/>
  <c r="N78" i="9" s="1"/>
  <c r="N80" i="9" s="1"/>
  <c r="N82" i="9" s="1"/>
  <c r="N62" i="10"/>
  <c r="N64" i="10" s="1"/>
  <c r="N77" i="10" s="1"/>
  <c r="N79" i="10" s="1"/>
  <c r="O20" i="5"/>
  <c r="O22" i="5" s="1"/>
  <c r="O30" i="5" s="1"/>
  <c r="O32" i="5" s="1"/>
  <c r="N62" i="12"/>
  <c r="N64" i="12" s="1"/>
  <c r="N78" i="12" s="1"/>
  <c r="N80" i="12" s="1"/>
  <c r="N82" i="12" s="1"/>
  <c r="N62" i="11"/>
  <c r="N64" i="11" s="1"/>
  <c r="N77" i="11" s="1"/>
  <c r="N79" i="11" s="1"/>
  <c r="N62" i="13"/>
  <c r="N64" i="13" s="1"/>
  <c r="N62" i="14"/>
  <c r="N64" i="14" s="1"/>
  <c r="O44" i="10"/>
  <c r="O95" i="10"/>
  <c r="O98" i="10" s="1"/>
  <c r="P94" i="10" s="1"/>
  <c r="O100" i="10"/>
  <c r="O97" i="10"/>
  <c r="O98" i="12"/>
  <c r="O100" i="12"/>
  <c r="O97" i="11"/>
  <c r="O100" i="11"/>
  <c r="O61" i="11" s="1"/>
  <c r="O95" i="11"/>
  <c r="O42" i="13"/>
  <c r="U33" i="22"/>
  <c r="U34" i="22"/>
  <c r="U37" i="22" s="1"/>
  <c r="U13" i="22"/>
  <c r="U14" i="22"/>
  <c r="U17" i="22" s="1"/>
  <c r="O42" i="12"/>
  <c r="O44" i="12" s="1"/>
  <c r="O94" i="14"/>
  <c r="O97" i="14" s="1"/>
  <c r="O61" i="14" s="1"/>
  <c r="O92" i="14"/>
  <c r="O101" i="13"/>
  <c r="O104" i="13"/>
  <c r="O99" i="13"/>
  <c r="O102" i="13" s="1"/>
  <c r="P98" i="13" s="1"/>
  <c r="O98" i="9"/>
  <c r="O101" i="9" s="1"/>
  <c r="P97" i="9" s="1"/>
  <c r="O100" i="9"/>
  <c r="O103" i="9"/>
  <c r="O61" i="9" s="1"/>
  <c r="P61" i="22"/>
  <c r="P64" i="22" s="1"/>
  <c r="P60" i="22"/>
  <c r="O106" i="13"/>
  <c r="O61" i="13" s="1"/>
  <c r="O44" i="13"/>
  <c r="U21" i="22" l="1"/>
  <c r="U24" i="22" s="1"/>
  <c r="U20" i="22"/>
  <c r="U40" i="22"/>
  <c r="U41" i="22"/>
  <c r="U44" i="22" s="1"/>
  <c r="O61" i="10"/>
  <c r="O8" i="8"/>
  <c r="O95" i="14"/>
  <c r="P91" i="14" s="1"/>
  <c r="O103" i="12"/>
  <c r="O61" i="12" s="1"/>
  <c r="P68" i="22"/>
  <c r="P67" i="22"/>
  <c r="P91" i="22" s="1"/>
  <c r="P38" i="4" s="1"/>
  <c r="O43" i="4"/>
  <c r="O45" i="4" s="1"/>
  <c r="O101" i="12"/>
  <c r="P97" i="12" s="1"/>
  <c r="O98" i="11"/>
  <c r="P94" i="11" s="1"/>
  <c r="P37" i="9" l="1"/>
  <c r="P39" i="9" s="1"/>
  <c r="P37" i="12"/>
  <c r="P39" i="12" s="1"/>
  <c r="P37" i="11"/>
  <c r="P39" i="11" s="1"/>
  <c r="P37" i="10"/>
  <c r="P39" i="10" s="1"/>
  <c r="P37" i="13"/>
  <c r="P39" i="13" s="1"/>
  <c r="P37" i="14"/>
  <c r="P39" i="14" s="1"/>
  <c r="P40" i="4"/>
  <c r="Q52" i="22"/>
  <c r="P73" i="22"/>
  <c r="P76" i="22"/>
  <c r="U48" i="22"/>
  <c r="U47" i="22"/>
  <c r="P19" i="5"/>
  <c r="O15" i="8"/>
  <c r="O16" i="8" s="1"/>
  <c r="O19" i="8" s="1"/>
  <c r="U27" i="22"/>
  <c r="U28" i="22"/>
  <c r="P79" i="9" l="1"/>
  <c r="P78" i="10"/>
  <c r="P79" i="12"/>
  <c r="P78" i="11"/>
  <c r="O21" i="8"/>
  <c r="O22" i="8"/>
  <c r="O24" i="8" s="1"/>
  <c r="Q53" i="22"/>
  <c r="Q54" i="22"/>
  <c r="Q57" i="22" s="1"/>
  <c r="Q72" i="22"/>
  <c r="P12" i="8"/>
  <c r="P41" i="14"/>
  <c r="P83" i="14"/>
  <c r="P86" i="14" s="1"/>
  <c r="P89" i="14" s="1"/>
  <c r="P42" i="14"/>
  <c r="P44" i="14" s="1"/>
  <c r="P90" i="13"/>
  <c r="P93" i="13" s="1"/>
  <c r="P96" i="13" s="1"/>
  <c r="P41" i="13"/>
  <c r="P42" i="13"/>
  <c r="P76" i="13"/>
  <c r="P78" i="13" s="1"/>
  <c r="P85" i="13" s="1"/>
  <c r="Q15" i="5"/>
  <c r="Q17" i="5" s="1"/>
  <c r="P77" i="22"/>
  <c r="P89" i="12"/>
  <c r="P92" i="12" s="1"/>
  <c r="P95" i="12" s="1"/>
  <c r="P41" i="12"/>
  <c r="P44" i="12"/>
  <c r="P42" i="12"/>
  <c r="P86" i="10"/>
  <c r="P89" i="10" s="1"/>
  <c r="P92" i="10" s="1"/>
  <c r="P41" i="10"/>
  <c r="P41" i="11"/>
  <c r="P42" i="11" s="1"/>
  <c r="P86" i="11"/>
  <c r="P89" i="11" s="1"/>
  <c r="P92" i="11" s="1"/>
  <c r="P41" i="9"/>
  <c r="P42" i="9" s="1"/>
  <c r="P44" i="9" s="1"/>
  <c r="P89" i="9"/>
  <c r="P92" i="9" s="1"/>
  <c r="P95" i="9" s="1"/>
  <c r="O62" i="9" l="1"/>
  <c r="O64" i="9" s="1"/>
  <c r="O78" i="9" s="1"/>
  <c r="O80" i="9" s="1"/>
  <c r="O82" i="9" s="1"/>
  <c r="O62" i="10"/>
  <c r="O64" i="10" s="1"/>
  <c r="O77" i="10" s="1"/>
  <c r="O79" i="10" s="1"/>
  <c r="P20" i="5"/>
  <c r="P22" i="5" s="1"/>
  <c r="P30" i="5" s="1"/>
  <c r="P32" i="5" s="1"/>
  <c r="O62" i="12"/>
  <c r="O64" i="12" s="1"/>
  <c r="O78" i="12" s="1"/>
  <c r="O80" i="12" s="1"/>
  <c r="O82" i="12" s="1"/>
  <c r="O62" i="11"/>
  <c r="O64" i="11" s="1"/>
  <c r="O77" i="11" s="1"/>
  <c r="O79" i="11" s="1"/>
  <c r="O62" i="13"/>
  <c r="O64" i="13" s="1"/>
  <c r="O62" i="14"/>
  <c r="O64" i="14" s="1"/>
  <c r="P57" i="9"/>
  <c r="P59" i="9" s="1"/>
  <c r="P57" i="10"/>
  <c r="P59" i="10" s="1"/>
  <c r="P57" i="12"/>
  <c r="P59" i="12" s="1"/>
  <c r="P57" i="11"/>
  <c r="P59" i="11" s="1"/>
  <c r="P79" i="22"/>
  <c r="P57" i="14"/>
  <c r="P59" i="14" s="1"/>
  <c r="P57" i="13"/>
  <c r="P59" i="13" s="1"/>
  <c r="P97" i="10"/>
  <c r="P100" i="10" s="1"/>
  <c r="P95" i="10"/>
  <c r="P42" i="10"/>
  <c r="P44" i="10" s="1"/>
  <c r="P100" i="9"/>
  <c r="P103" i="9"/>
  <c r="P61" i="9" s="1"/>
  <c r="P98" i="9"/>
  <c r="P44" i="11"/>
  <c r="P42" i="4"/>
  <c r="P98" i="12"/>
  <c r="P100" i="12"/>
  <c r="P92" i="14"/>
  <c r="P95" i="14" s="1"/>
  <c r="Q91" i="14" s="1"/>
  <c r="P94" i="14"/>
  <c r="P97" i="14" s="1"/>
  <c r="P61" i="14" s="1"/>
  <c r="P97" i="11"/>
  <c r="P100" i="11"/>
  <c r="P61" i="11" s="1"/>
  <c r="P95" i="11"/>
  <c r="P98" i="11" s="1"/>
  <c r="Q94" i="11" s="1"/>
  <c r="P101" i="13"/>
  <c r="P99" i="13"/>
  <c r="P44" i="13"/>
  <c r="Q60" i="22"/>
  <c r="Q61" i="22"/>
  <c r="Q64" i="22" s="1"/>
  <c r="P61" i="10" l="1"/>
  <c r="P101" i="12"/>
  <c r="Q97" i="12" s="1"/>
  <c r="P43" i="4"/>
  <c r="P45" i="4" s="1"/>
  <c r="P103" i="12"/>
  <c r="P61" i="12" s="1"/>
  <c r="Q68" i="22"/>
  <c r="Q67" i="22"/>
  <c r="P98" i="10"/>
  <c r="Q94" i="10" s="1"/>
  <c r="P104" i="13"/>
  <c r="P106" i="13" s="1"/>
  <c r="P61" i="13" s="1"/>
  <c r="P102" i="13"/>
  <c r="Q98" i="13" s="1"/>
  <c r="P101" i="9"/>
  <c r="Q97" i="9" s="1"/>
  <c r="Q76" i="22" l="1"/>
  <c r="Q91" i="22"/>
  <c r="Q38" i="4" s="1"/>
  <c r="Q73" i="22"/>
  <c r="R52" i="22"/>
  <c r="P8" i="8"/>
  <c r="Q79" i="9" l="1"/>
  <c r="Q78" i="10"/>
  <c r="Q78" i="11"/>
  <c r="Q79" i="12"/>
  <c r="Q19" i="5"/>
  <c r="P15" i="8"/>
  <c r="P16" i="8" s="1"/>
  <c r="P19" i="8" s="1"/>
  <c r="R54" i="22"/>
  <c r="R57" i="22" s="1"/>
  <c r="R72" i="22"/>
  <c r="R53" i="22"/>
  <c r="Q37" i="9"/>
  <c r="Q39" i="9" s="1"/>
  <c r="Q37" i="10"/>
  <c r="Q39" i="10" s="1"/>
  <c r="Q37" i="11"/>
  <c r="Q39" i="11" s="1"/>
  <c r="Q37" i="12"/>
  <c r="Q39" i="12" s="1"/>
  <c r="Q37" i="13"/>
  <c r="Q39" i="13" s="1"/>
  <c r="Q37" i="14"/>
  <c r="Q39" i="14" s="1"/>
  <c r="Q40" i="4"/>
  <c r="R15" i="5"/>
  <c r="R17" i="5" s="1"/>
  <c r="Q77" i="22"/>
  <c r="Q41" i="14" l="1"/>
  <c r="Q42" i="14"/>
  <c r="Q44" i="14" s="1"/>
  <c r="Q83" i="14"/>
  <c r="Q86" i="14" s="1"/>
  <c r="Q89" i="14" s="1"/>
  <c r="P21" i="8"/>
  <c r="P22" i="8"/>
  <c r="P24" i="8" s="1"/>
  <c r="Q89" i="12"/>
  <c r="Q92" i="12" s="1"/>
  <c r="Q95" i="12" s="1"/>
  <c r="Q41" i="12"/>
  <c r="Q42" i="12" s="1"/>
  <c r="Q44" i="12" s="1"/>
  <c r="Q86" i="11"/>
  <c r="Q89" i="11" s="1"/>
  <c r="Q92" i="11" s="1"/>
  <c r="Q41" i="11"/>
  <c r="Q44" i="11" s="1"/>
  <c r="Q42" i="11"/>
  <c r="Q12" i="8"/>
  <c r="R60" i="22"/>
  <c r="R61" i="22"/>
  <c r="R64" i="22" s="1"/>
  <c r="Q76" i="13"/>
  <c r="Q78" i="13" s="1"/>
  <c r="Q85" i="13" s="1"/>
  <c r="Q90" i="13"/>
  <c r="Q93" i="13" s="1"/>
  <c r="Q96" i="13" s="1"/>
  <c r="Q44" i="13"/>
  <c r="Q42" i="13"/>
  <c r="Q41" i="13"/>
  <c r="Q41" i="10"/>
  <c r="Q44" i="10" s="1"/>
  <c r="Q86" i="10"/>
  <c r="Q89" i="10" s="1"/>
  <c r="Q92" i="10" s="1"/>
  <c r="Q42" i="10"/>
  <c r="Q57" i="9"/>
  <c r="Q59" i="9" s="1"/>
  <c r="Q57" i="10"/>
  <c r="Q59" i="10" s="1"/>
  <c r="Q79" i="22"/>
  <c r="Q57" i="12"/>
  <c r="Q59" i="12" s="1"/>
  <c r="Q57" i="11"/>
  <c r="Q59" i="11" s="1"/>
  <c r="Q57" i="14"/>
  <c r="Q59" i="14" s="1"/>
  <c r="Q57" i="13"/>
  <c r="Q59" i="13" s="1"/>
  <c r="Q41" i="9"/>
  <c r="Q42" i="9" s="1"/>
  <c r="Q89" i="9"/>
  <c r="Q92" i="9" s="1"/>
  <c r="Q95" i="9" s="1"/>
  <c r="P62" i="9" l="1"/>
  <c r="P64" i="9" s="1"/>
  <c r="P78" i="9" s="1"/>
  <c r="P80" i="9" s="1"/>
  <c r="P82" i="9" s="1"/>
  <c r="Q20" i="5"/>
  <c r="Q22" i="5" s="1"/>
  <c r="Q30" i="5" s="1"/>
  <c r="Q32" i="5" s="1"/>
  <c r="P62" i="10"/>
  <c r="P64" i="10" s="1"/>
  <c r="P77" i="10" s="1"/>
  <c r="P79" i="10" s="1"/>
  <c r="P62" i="12"/>
  <c r="P64" i="12" s="1"/>
  <c r="P78" i="12" s="1"/>
  <c r="P80" i="12" s="1"/>
  <c r="P82" i="12" s="1"/>
  <c r="P62" i="11"/>
  <c r="P64" i="11" s="1"/>
  <c r="P77" i="11" s="1"/>
  <c r="P79" i="11" s="1"/>
  <c r="P62" i="13"/>
  <c r="P64" i="13" s="1"/>
  <c r="P62" i="14"/>
  <c r="P64" i="14" s="1"/>
  <c r="Q97" i="10"/>
  <c r="Q100" i="10"/>
  <c r="Q95" i="10"/>
  <c r="Q98" i="10" s="1"/>
  <c r="R67" i="22"/>
  <c r="R76" i="22" s="1"/>
  <c r="R68" i="22"/>
  <c r="Q97" i="11"/>
  <c r="Q95" i="11"/>
  <c r="Q98" i="11" s="1"/>
  <c r="Q100" i="11"/>
  <c r="Q61" i="11" s="1"/>
  <c r="Q99" i="13"/>
  <c r="Q102" i="13" s="1"/>
  <c r="Q104" i="13"/>
  <c r="Q106" i="13" s="1"/>
  <c r="Q61" i="13" s="1"/>
  <c r="Q101" i="13"/>
  <c r="Q44" i="9"/>
  <c r="Q94" i="14"/>
  <c r="Q97" i="14"/>
  <c r="Q61" i="14" s="1"/>
  <c r="Q92" i="14"/>
  <c r="Q95" i="14" s="1"/>
  <c r="Q42" i="4"/>
  <c r="Q45" i="4" s="1"/>
  <c r="Q98" i="12"/>
  <c r="Q100" i="12"/>
  <c r="Q103" i="12" s="1"/>
  <c r="Q61" i="12" s="1"/>
  <c r="Q100" i="9"/>
  <c r="Q103" i="9" s="1"/>
  <c r="Q61" i="9" s="1"/>
  <c r="Q98" i="9"/>
  <c r="Q43" i="4"/>
  <c r="Q61" i="10" l="1"/>
  <c r="Q8" i="8"/>
  <c r="Q101" i="12"/>
  <c r="S52" i="22"/>
  <c r="R73" i="22"/>
  <c r="R91" i="22"/>
  <c r="R38" i="4" s="1"/>
  <c r="Q101" i="9"/>
  <c r="S15" i="5"/>
  <c r="S17" i="5" s="1"/>
  <c r="R77" i="22"/>
  <c r="R37" i="9" l="1"/>
  <c r="R39" i="9" s="1"/>
  <c r="R37" i="10"/>
  <c r="R39" i="10" s="1"/>
  <c r="R37" i="11"/>
  <c r="R39" i="11" s="1"/>
  <c r="R37" i="13"/>
  <c r="R39" i="13" s="1"/>
  <c r="R37" i="14"/>
  <c r="R39" i="14" s="1"/>
  <c r="R37" i="12"/>
  <c r="R39" i="12" s="1"/>
  <c r="R40" i="4"/>
  <c r="R79" i="9"/>
  <c r="R78" i="10"/>
  <c r="R78" i="11"/>
  <c r="R79" i="12"/>
  <c r="S53" i="22"/>
  <c r="S54" i="22"/>
  <c r="S57" i="22" s="1"/>
  <c r="S72" i="22"/>
  <c r="R57" i="9"/>
  <c r="R59" i="9" s="1"/>
  <c r="R57" i="10"/>
  <c r="R59" i="10" s="1"/>
  <c r="R79" i="22"/>
  <c r="R57" i="12"/>
  <c r="R59" i="12" s="1"/>
  <c r="R57" i="13"/>
  <c r="R59" i="13" s="1"/>
  <c r="R57" i="11"/>
  <c r="R59" i="11" s="1"/>
  <c r="R57" i="14"/>
  <c r="R59" i="14" s="1"/>
  <c r="R19" i="5"/>
  <c r="Q15" i="8"/>
  <c r="Q16" i="8" s="1"/>
  <c r="Q19" i="8" s="1"/>
  <c r="R12" i="8" l="1"/>
  <c r="R89" i="12"/>
  <c r="R92" i="12" s="1"/>
  <c r="R95" i="12" s="1"/>
  <c r="R41" i="12"/>
  <c r="R44" i="12" s="1"/>
  <c r="R42" i="12"/>
  <c r="S61" i="22"/>
  <c r="S64" i="22" s="1"/>
  <c r="S60" i="22"/>
  <c r="R41" i="14"/>
  <c r="R83" i="14"/>
  <c r="R86" i="14" s="1"/>
  <c r="R89" i="14" s="1"/>
  <c r="Q21" i="8"/>
  <c r="Q22" i="8" s="1"/>
  <c r="Q24" i="8" s="1"/>
  <c r="R41" i="13"/>
  <c r="R76" i="13"/>
  <c r="R78" i="13" s="1"/>
  <c r="R85" i="13" s="1"/>
  <c r="R90" i="13"/>
  <c r="R93" i="13" s="1"/>
  <c r="R96" i="13" s="1"/>
  <c r="R42" i="13"/>
  <c r="R86" i="11"/>
  <c r="R89" i="11" s="1"/>
  <c r="R92" i="11" s="1"/>
  <c r="R41" i="11"/>
  <c r="R42" i="11" s="1"/>
  <c r="R41" i="10"/>
  <c r="R86" i="10"/>
  <c r="R89" i="10" s="1"/>
  <c r="R92" i="10" s="1"/>
  <c r="R41" i="9"/>
  <c r="R89" i="9"/>
  <c r="R92" i="9" s="1"/>
  <c r="R95" i="9" s="1"/>
  <c r="R44" i="10" l="1"/>
  <c r="Q62" i="9"/>
  <c r="Q64" i="9" s="1"/>
  <c r="Q78" i="9" s="1"/>
  <c r="Q80" i="9" s="1"/>
  <c r="Q82" i="9" s="1"/>
  <c r="Q62" i="10"/>
  <c r="Q64" i="10" s="1"/>
  <c r="Q77" i="10" s="1"/>
  <c r="Q79" i="10" s="1"/>
  <c r="R20" i="5"/>
  <c r="R22" i="5" s="1"/>
  <c r="R30" i="5" s="1"/>
  <c r="R32" i="5" s="1"/>
  <c r="Q62" i="12"/>
  <c r="Q64" i="12" s="1"/>
  <c r="Q78" i="12" s="1"/>
  <c r="Q80" i="12" s="1"/>
  <c r="Q82" i="12" s="1"/>
  <c r="Q62" i="11"/>
  <c r="Q64" i="11" s="1"/>
  <c r="Q77" i="11" s="1"/>
  <c r="Q79" i="11" s="1"/>
  <c r="Q62" i="14"/>
  <c r="Q64" i="14" s="1"/>
  <c r="Q62" i="13"/>
  <c r="Q64" i="13" s="1"/>
  <c r="R100" i="9"/>
  <c r="R103" i="9" s="1"/>
  <c r="R61" i="9" s="1"/>
  <c r="R98" i="9"/>
  <c r="R101" i="9" s="1"/>
  <c r="S97" i="9" s="1"/>
  <c r="R97" i="11"/>
  <c r="R100" i="11" s="1"/>
  <c r="R61" i="11" s="1"/>
  <c r="R95" i="11"/>
  <c r="R98" i="11" s="1"/>
  <c r="S94" i="11" s="1"/>
  <c r="R44" i="11"/>
  <c r="R98" i="12"/>
  <c r="R100" i="12"/>
  <c r="R103" i="12"/>
  <c r="R61" i="12" s="1"/>
  <c r="R42" i="10"/>
  <c r="R42" i="4"/>
  <c r="R42" i="14"/>
  <c r="R43" i="4" s="1"/>
  <c r="R42" i="9"/>
  <c r="R44" i="9" s="1"/>
  <c r="S68" i="22"/>
  <c r="S67" i="22"/>
  <c r="S91" i="22" s="1"/>
  <c r="S38" i="4" s="1"/>
  <c r="R44" i="13"/>
  <c r="R104" i="13"/>
  <c r="R106" i="13" s="1"/>
  <c r="R61" i="13" s="1"/>
  <c r="R99" i="13"/>
  <c r="R101" i="13"/>
  <c r="R94" i="14"/>
  <c r="R97" i="14"/>
  <c r="R61" i="14" s="1"/>
  <c r="R92" i="14"/>
  <c r="R95" i="14" s="1"/>
  <c r="S91" i="14" s="1"/>
  <c r="R97" i="10"/>
  <c r="R100" i="10"/>
  <c r="R95" i="10"/>
  <c r="R98" i="10" s="1"/>
  <c r="S94" i="10" s="1"/>
  <c r="S37" i="9" l="1"/>
  <c r="S39" i="9" s="1"/>
  <c r="S37" i="10"/>
  <c r="S39" i="10" s="1"/>
  <c r="S37" i="12"/>
  <c r="S39" i="12" s="1"/>
  <c r="S37" i="11"/>
  <c r="S39" i="11" s="1"/>
  <c r="S37" i="13"/>
  <c r="S39" i="13" s="1"/>
  <c r="S37" i="14"/>
  <c r="S39" i="14" s="1"/>
  <c r="S40" i="4"/>
  <c r="R44" i="14"/>
  <c r="R61" i="10"/>
  <c r="R8" i="8"/>
  <c r="R101" i="12"/>
  <c r="S97" i="12" s="1"/>
  <c r="R45" i="4"/>
  <c r="S76" i="22"/>
  <c r="T52" i="22"/>
  <c r="S73" i="22"/>
  <c r="R102" i="13"/>
  <c r="S98" i="13" s="1"/>
  <c r="S41" i="13" l="1"/>
  <c r="S76" i="13"/>
  <c r="S78" i="13" s="1"/>
  <c r="S85" i="13" s="1"/>
  <c r="S90" i="13"/>
  <c r="S93" i="13" s="1"/>
  <c r="S96" i="13" s="1"/>
  <c r="T53" i="22"/>
  <c r="T54" i="22"/>
  <c r="T57" i="22" s="1"/>
  <c r="T72" i="22"/>
  <c r="S12" i="8"/>
  <c r="S19" i="5"/>
  <c r="R15" i="8"/>
  <c r="R16" i="8" s="1"/>
  <c r="R19" i="8" s="1"/>
  <c r="S86" i="10"/>
  <c r="S89" i="10" s="1"/>
  <c r="S92" i="10" s="1"/>
  <c r="S41" i="10"/>
  <c r="S42" i="10" s="1"/>
  <c r="S41" i="14"/>
  <c r="S42" i="14" s="1"/>
  <c r="S44" i="14" s="1"/>
  <c r="S83" i="14"/>
  <c r="S86" i="14" s="1"/>
  <c r="S89" i="14" s="1"/>
  <c r="S79" i="9"/>
  <c r="S78" i="10"/>
  <c r="S79" i="12"/>
  <c r="S78" i="11"/>
  <c r="S86" i="11"/>
  <c r="S89" i="11" s="1"/>
  <c r="S92" i="11" s="1"/>
  <c r="S41" i="11"/>
  <c r="S44" i="11" s="1"/>
  <c r="S42" i="11"/>
  <c r="S41" i="12"/>
  <c r="S44" i="12" s="1"/>
  <c r="S89" i="12"/>
  <c r="S92" i="12" s="1"/>
  <c r="S95" i="12" s="1"/>
  <c r="S42" i="12"/>
  <c r="T15" i="5"/>
  <c r="T17" i="5" s="1"/>
  <c r="S77" i="22"/>
  <c r="S41" i="9"/>
  <c r="S89" i="9"/>
  <c r="S92" i="9" s="1"/>
  <c r="S95" i="9" s="1"/>
  <c r="S44" i="9" l="1"/>
  <c r="S100" i="12"/>
  <c r="T99" i="12" s="1"/>
  <c r="S103" i="12"/>
  <c r="S61" i="12" s="1"/>
  <c r="S98" i="12"/>
  <c r="S101" i="12" s="1"/>
  <c r="T97" i="12" s="1"/>
  <c r="T61" i="22"/>
  <c r="T64" i="22" s="1"/>
  <c r="T60" i="22"/>
  <c r="S44" i="10"/>
  <c r="S94" i="14"/>
  <c r="T93" i="14" s="1"/>
  <c r="S92" i="14"/>
  <c r="S57" i="9"/>
  <c r="S59" i="9" s="1"/>
  <c r="S57" i="10"/>
  <c r="S59" i="10" s="1"/>
  <c r="S79" i="22"/>
  <c r="S57" i="12"/>
  <c r="S59" i="12" s="1"/>
  <c r="S57" i="13"/>
  <c r="S59" i="13" s="1"/>
  <c r="S57" i="14"/>
  <c r="S59" i="14" s="1"/>
  <c r="S57" i="11"/>
  <c r="S59" i="11" s="1"/>
  <c r="S95" i="11"/>
  <c r="S97" i="11"/>
  <c r="T96" i="11" s="1"/>
  <c r="S100" i="11"/>
  <c r="S61" i="11" s="1"/>
  <c r="S42" i="13"/>
  <c r="S43" i="4" s="1"/>
  <c r="S100" i="10"/>
  <c r="S97" i="10"/>
  <c r="T96" i="10" s="1"/>
  <c r="S95" i="10"/>
  <c r="S98" i="10" s="1"/>
  <c r="T94" i="10" s="1"/>
  <c r="S42" i="9"/>
  <c r="S99" i="13"/>
  <c r="S102" i="13" s="1"/>
  <c r="T98" i="13" s="1"/>
  <c r="S104" i="13"/>
  <c r="S101" i="13"/>
  <c r="T100" i="13" s="1"/>
  <c r="S98" i="9"/>
  <c r="S100" i="9"/>
  <c r="T99" i="9" s="1"/>
  <c r="R21" i="8"/>
  <c r="R22" i="8"/>
  <c r="R24" i="8" s="1"/>
  <c r="S106" i="13"/>
  <c r="S61" i="13" s="1"/>
  <c r="S42" i="4"/>
  <c r="R62" i="9" l="1"/>
  <c r="R64" i="9" s="1"/>
  <c r="R78" i="9" s="1"/>
  <c r="R80" i="9" s="1"/>
  <c r="R82" i="9" s="1"/>
  <c r="R62" i="10"/>
  <c r="R64" i="10" s="1"/>
  <c r="R77" i="10" s="1"/>
  <c r="R79" i="10" s="1"/>
  <c r="S20" i="5"/>
  <c r="S22" i="5" s="1"/>
  <c r="S30" i="5" s="1"/>
  <c r="S32" i="5" s="1"/>
  <c r="R62" i="12"/>
  <c r="R64" i="12" s="1"/>
  <c r="R78" i="12" s="1"/>
  <c r="R80" i="12" s="1"/>
  <c r="R82" i="12" s="1"/>
  <c r="R62" i="11"/>
  <c r="R64" i="11" s="1"/>
  <c r="R77" i="11" s="1"/>
  <c r="R79" i="11" s="1"/>
  <c r="R62" i="14"/>
  <c r="R64" i="14" s="1"/>
  <c r="R62" i="13"/>
  <c r="R64" i="13" s="1"/>
  <c r="T67" i="22"/>
  <c r="T68" i="22"/>
  <c r="S95" i="14"/>
  <c r="T91" i="14" s="1"/>
  <c r="S98" i="11"/>
  <c r="T94" i="11" s="1"/>
  <c r="S103" i="9"/>
  <c r="S61" i="9" s="1"/>
  <c r="S97" i="14"/>
  <c r="S61" i="14" s="1"/>
  <c r="S44" i="13"/>
  <c r="S45" i="4"/>
  <c r="S101" i="9"/>
  <c r="T97" i="9" s="1"/>
  <c r="S61" i="10"/>
  <c r="S8" i="8" l="1"/>
  <c r="T73" i="22"/>
  <c r="U52" i="22"/>
  <c r="T91" i="22"/>
  <c r="T38" i="4" s="1"/>
  <c r="T76" i="22"/>
  <c r="U15" i="5" l="1"/>
  <c r="U17" i="5" s="1"/>
  <c r="T77" i="22"/>
  <c r="T37" i="9"/>
  <c r="T39" i="9" s="1"/>
  <c r="T37" i="10"/>
  <c r="T39" i="10" s="1"/>
  <c r="T37" i="12"/>
  <c r="T39" i="12" s="1"/>
  <c r="T37" i="11"/>
  <c r="T39" i="11" s="1"/>
  <c r="T37" i="13"/>
  <c r="T39" i="13" s="1"/>
  <c r="T37" i="14"/>
  <c r="T39" i="14" s="1"/>
  <c r="T40" i="4"/>
  <c r="U54" i="22"/>
  <c r="U57" i="22" s="1"/>
  <c r="U53" i="22"/>
  <c r="U72" i="22"/>
  <c r="T78" i="10"/>
  <c r="T79" i="9"/>
  <c r="T79" i="12"/>
  <c r="T78" i="11"/>
  <c r="T19" i="5"/>
  <c r="S15" i="8"/>
  <c r="S16" i="8" s="1"/>
  <c r="S19" i="8" s="1"/>
  <c r="T42" i="14" l="1"/>
  <c r="T83" i="14"/>
  <c r="T86" i="14" s="1"/>
  <c r="T89" i="14" s="1"/>
  <c r="T41" i="14"/>
  <c r="T44" i="14" s="1"/>
  <c r="T41" i="11"/>
  <c r="T42" i="11" s="1"/>
  <c r="T86" i="11"/>
  <c r="T89" i="11" s="1"/>
  <c r="T92" i="11" s="1"/>
  <c r="T42" i="10"/>
  <c r="T86" i="10"/>
  <c r="T89" i="10" s="1"/>
  <c r="T92" i="10" s="1"/>
  <c r="T41" i="10"/>
  <c r="T44" i="10" s="1"/>
  <c r="T41" i="13"/>
  <c r="T42" i="13"/>
  <c r="T90" i="13"/>
  <c r="T93" i="13" s="1"/>
  <c r="T96" i="13" s="1"/>
  <c r="T44" i="13"/>
  <c r="T76" i="13"/>
  <c r="T78" i="13" s="1"/>
  <c r="T85" i="13" s="1"/>
  <c r="T41" i="9"/>
  <c r="T89" i="9"/>
  <c r="T92" i="9" s="1"/>
  <c r="T95" i="9" s="1"/>
  <c r="T42" i="9"/>
  <c r="T44" i="9" s="1"/>
  <c r="T12" i="8"/>
  <c r="T41" i="12"/>
  <c r="T42" i="12" s="1"/>
  <c r="T44" i="12" s="1"/>
  <c r="T89" i="12"/>
  <c r="T92" i="12" s="1"/>
  <c r="T95" i="12" s="1"/>
  <c r="S21" i="8"/>
  <c r="S22" i="8" s="1"/>
  <c r="S24" i="8" s="1"/>
  <c r="U61" i="22"/>
  <c r="U64" i="22" s="1"/>
  <c r="U60" i="22"/>
  <c r="T57" i="9"/>
  <c r="T59" i="9" s="1"/>
  <c r="T57" i="10"/>
  <c r="T59" i="10" s="1"/>
  <c r="T79" i="22"/>
  <c r="T57" i="12"/>
  <c r="T59" i="12" s="1"/>
  <c r="T57" i="13"/>
  <c r="T59" i="13" s="1"/>
  <c r="T57" i="14"/>
  <c r="T59" i="14" s="1"/>
  <c r="T57" i="11"/>
  <c r="T59" i="11" s="1"/>
  <c r="S62" i="9" l="1"/>
  <c r="S64" i="9" s="1"/>
  <c r="S78" i="9" s="1"/>
  <c r="S80" i="9" s="1"/>
  <c r="S82" i="9" s="1"/>
  <c r="S62" i="10"/>
  <c r="S64" i="10" s="1"/>
  <c r="S77" i="10" s="1"/>
  <c r="S79" i="10" s="1"/>
  <c r="T20" i="5"/>
  <c r="T22" i="5" s="1"/>
  <c r="T30" i="5" s="1"/>
  <c r="T32" i="5" s="1"/>
  <c r="S62" i="13"/>
  <c r="S64" i="13" s="1"/>
  <c r="S62" i="11"/>
  <c r="S64" i="11" s="1"/>
  <c r="S77" i="11" s="1"/>
  <c r="S79" i="11" s="1"/>
  <c r="S62" i="12"/>
  <c r="S64" i="12" s="1"/>
  <c r="S78" i="12" s="1"/>
  <c r="S80" i="12" s="1"/>
  <c r="S82" i="12" s="1"/>
  <c r="S62" i="14"/>
  <c r="S64" i="14" s="1"/>
  <c r="T99" i="13"/>
  <c r="T101" i="13"/>
  <c r="U100" i="13" s="1"/>
  <c r="T104" i="13"/>
  <c r="U68" i="22"/>
  <c r="U73" i="22" s="1"/>
  <c r="U67" i="22"/>
  <c r="T95" i="11"/>
  <c r="T97" i="11"/>
  <c r="U96" i="11" s="1"/>
  <c r="T43" i="4"/>
  <c r="T42" i="4"/>
  <c r="T45" i="4" s="1"/>
  <c r="T100" i="9"/>
  <c r="U99" i="9" s="1"/>
  <c r="T103" i="9"/>
  <c r="T61" i="9" s="1"/>
  <c r="T98" i="9"/>
  <c r="T101" i="9" s="1"/>
  <c r="U97" i="9" s="1"/>
  <c r="T97" i="10"/>
  <c r="U96" i="10" s="1"/>
  <c r="T95" i="10"/>
  <c r="T98" i="10" s="1"/>
  <c r="U94" i="10" s="1"/>
  <c r="T106" i="13"/>
  <c r="T61" i="13" s="1"/>
  <c r="T44" i="11"/>
  <c r="T100" i="12"/>
  <c r="U99" i="12" s="1"/>
  <c r="T103" i="12"/>
  <c r="T61" i="12" s="1"/>
  <c r="T98" i="12"/>
  <c r="T101" i="12" s="1"/>
  <c r="U97" i="12" s="1"/>
  <c r="T94" i="14"/>
  <c r="U93" i="14" s="1"/>
  <c r="T97" i="14"/>
  <c r="T61" i="14" s="1"/>
  <c r="T92" i="14"/>
  <c r="T95" i="14" s="1"/>
  <c r="U91" i="14" s="1"/>
  <c r="U79" i="9" l="1"/>
  <c r="W79" i="9" s="1"/>
  <c r="U78" i="10"/>
  <c r="U78" i="11"/>
  <c r="U79" i="12"/>
  <c r="W79" i="12" s="1"/>
  <c r="T100" i="11"/>
  <c r="T61" i="11" s="1"/>
  <c r="T102" i="13"/>
  <c r="U98" i="13" s="1"/>
  <c r="T100" i="10"/>
  <c r="T98" i="11"/>
  <c r="U94" i="11" s="1"/>
  <c r="U76" i="22"/>
  <c r="U91" i="22"/>
  <c r="U38" i="4" s="1"/>
  <c r="U37" i="9" l="1"/>
  <c r="U37" i="10"/>
  <c r="U37" i="12"/>
  <c r="U37" i="14"/>
  <c r="U37" i="13"/>
  <c r="U37" i="11"/>
  <c r="W38" i="4"/>
  <c r="U40" i="4"/>
  <c r="V15" i="5"/>
  <c r="U77" i="22"/>
  <c r="X15" i="5"/>
  <c r="T61" i="10"/>
  <c r="T8" i="8"/>
  <c r="W37" i="9" l="1"/>
  <c r="U39" i="9"/>
  <c r="U12" i="8"/>
  <c r="W40" i="4"/>
  <c r="W37" i="14"/>
  <c r="U39" i="14"/>
  <c r="U19" i="5"/>
  <c r="T15" i="8"/>
  <c r="T16" i="8" s="1"/>
  <c r="T19" i="8" s="1"/>
  <c r="W37" i="13"/>
  <c r="U39" i="13"/>
  <c r="W37" i="11"/>
  <c r="U39" i="11"/>
  <c r="U57" i="9"/>
  <c r="U57" i="10"/>
  <c r="U79" i="22"/>
  <c r="U57" i="12"/>
  <c r="U57" i="11"/>
  <c r="U57" i="14"/>
  <c r="U57" i="13"/>
  <c r="W37" i="12"/>
  <c r="U39" i="12"/>
  <c r="W15" i="5"/>
  <c r="Y15" i="5" s="1"/>
  <c r="V17" i="5"/>
  <c r="W17" i="5" s="1"/>
  <c r="W37" i="10"/>
  <c r="U39" i="10"/>
  <c r="T22" i="8" l="1"/>
  <c r="T24" i="8" s="1"/>
  <c r="T21" i="8"/>
  <c r="W57" i="10"/>
  <c r="U59" i="10"/>
  <c r="W57" i="9"/>
  <c r="U59" i="9"/>
  <c r="W57" i="13"/>
  <c r="U59" i="13"/>
  <c r="W57" i="14"/>
  <c r="U59" i="14"/>
  <c r="W12" i="8"/>
  <c r="U41" i="10"/>
  <c r="W41" i="10" s="1"/>
  <c r="U42" i="10"/>
  <c r="W42" i="10" s="1"/>
  <c r="U86" i="10"/>
  <c r="W39" i="10"/>
  <c r="W57" i="11"/>
  <c r="U59" i="11"/>
  <c r="U76" i="13"/>
  <c r="U78" i="13" s="1"/>
  <c r="U85" i="13" s="1"/>
  <c r="U90" i="13"/>
  <c r="U41" i="13"/>
  <c r="U42" i="13" s="1"/>
  <c r="W39" i="13"/>
  <c r="G85" i="22"/>
  <c r="E49" i="2" s="1"/>
  <c r="G84" i="22"/>
  <c r="D49" i="2" s="1"/>
  <c r="U41" i="12"/>
  <c r="W41" i="12" s="1"/>
  <c r="U89" i="12"/>
  <c r="W39" i="12"/>
  <c r="U83" i="14"/>
  <c r="U41" i="14"/>
  <c r="W41" i="14" s="1"/>
  <c r="W39" i="14"/>
  <c r="U42" i="11"/>
  <c r="W42" i="11" s="1"/>
  <c r="U86" i="11"/>
  <c r="U41" i="11"/>
  <c r="W41" i="11" s="1"/>
  <c r="W39" i="11"/>
  <c r="X38" i="4"/>
  <c r="Y38" i="4" s="1"/>
  <c r="W57" i="12"/>
  <c r="U59" i="12"/>
  <c r="U41" i="9"/>
  <c r="W41" i="9" s="1"/>
  <c r="U89" i="9"/>
  <c r="W39" i="9"/>
  <c r="W42" i="13" l="1"/>
  <c r="T62" i="9"/>
  <c r="T64" i="9" s="1"/>
  <c r="T78" i="9" s="1"/>
  <c r="T80" i="9" s="1"/>
  <c r="T82" i="9" s="1"/>
  <c r="T62" i="10"/>
  <c r="T64" i="10" s="1"/>
  <c r="T77" i="10" s="1"/>
  <c r="T79" i="10" s="1"/>
  <c r="T62" i="12"/>
  <c r="T64" i="12" s="1"/>
  <c r="T78" i="12" s="1"/>
  <c r="T80" i="12" s="1"/>
  <c r="T82" i="12" s="1"/>
  <c r="U20" i="5"/>
  <c r="U22" i="5" s="1"/>
  <c r="U30" i="5" s="1"/>
  <c r="U32" i="5" s="1"/>
  <c r="T62" i="13"/>
  <c r="T64" i="13" s="1"/>
  <c r="T62" i="14"/>
  <c r="T64" i="14" s="1"/>
  <c r="T62" i="11"/>
  <c r="T64" i="11" s="1"/>
  <c r="T77" i="11" s="1"/>
  <c r="T79" i="11" s="1"/>
  <c r="U44" i="11"/>
  <c r="U42" i="14"/>
  <c r="W42" i="14" s="1"/>
  <c r="W59" i="14"/>
  <c r="W59" i="13"/>
  <c r="U92" i="12"/>
  <c r="W89" i="12"/>
  <c r="U93" i="13"/>
  <c r="W90" i="13"/>
  <c r="W59" i="9"/>
  <c r="U42" i="12"/>
  <c r="X40" i="4"/>
  <c r="Y40" i="4" s="1"/>
  <c r="U42" i="4"/>
  <c r="W41" i="13"/>
  <c r="X42" i="4" s="1"/>
  <c r="U89" i="10"/>
  <c r="W86" i="10"/>
  <c r="X12" i="8" s="1"/>
  <c r="Y12" i="8" s="1"/>
  <c r="W59" i="12"/>
  <c r="W59" i="11"/>
  <c r="W59" i="10"/>
  <c r="U42" i="9"/>
  <c r="U86" i="14"/>
  <c r="W83" i="14"/>
  <c r="U92" i="9"/>
  <c r="W89" i="9"/>
  <c r="U89" i="11"/>
  <c r="W86" i="11"/>
  <c r="U44" i="13"/>
  <c r="W44" i="13" s="1"/>
  <c r="U44" i="10"/>
  <c r="U92" i="10" l="1"/>
  <c r="W89" i="10"/>
  <c r="U96" i="13"/>
  <c r="W93" i="13"/>
  <c r="U95" i="9"/>
  <c r="W92" i="9"/>
  <c r="U95" i="12"/>
  <c r="W92" i="12"/>
  <c r="W44" i="11"/>
  <c r="U89" i="14"/>
  <c r="W86" i="14"/>
  <c r="W42" i="12"/>
  <c r="U44" i="12"/>
  <c r="W44" i="10"/>
  <c r="W42" i="9"/>
  <c r="U44" i="9"/>
  <c r="X17" i="5"/>
  <c r="U92" i="11"/>
  <c r="W89" i="11"/>
  <c r="W42" i="4"/>
  <c r="Y42" i="4" s="1"/>
  <c r="U45" i="4"/>
  <c r="W45" i="4" s="1"/>
  <c r="U44" i="14"/>
  <c r="W44" i="14" s="1"/>
  <c r="U43" i="4"/>
  <c r="W43" i="4" s="1"/>
  <c r="U97" i="11" l="1"/>
  <c r="U100" i="11"/>
  <c r="U95" i="11"/>
  <c r="U98" i="11" s="1"/>
  <c r="U92" i="14"/>
  <c r="U94" i="14"/>
  <c r="U97" i="14"/>
  <c r="U101" i="13"/>
  <c r="U104" i="13" s="1"/>
  <c r="U99" i="13"/>
  <c r="W44" i="9"/>
  <c r="X45" i="4" s="1"/>
  <c r="Y45" i="4" s="1"/>
  <c r="U100" i="12"/>
  <c r="U103" i="12"/>
  <c r="U98" i="12"/>
  <c r="U101" i="12" s="1"/>
  <c r="W44" i="12"/>
  <c r="U98" i="9"/>
  <c r="U100" i="9"/>
  <c r="U103" i="9"/>
  <c r="X43" i="4"/>
  <c r="Y43" i="4" s="1"/>
  <c r="U95" i="10"/>
  <c r="U98" i="10" s="1"/>
  <c r="U97" i="10"/>
  <c r="U100" i="10" s="1"/>
  <c r="W104" i="13" l="1"/>
  <c r="U106" i="13"/>
  <c r="U61" i="10"/>
  <c r="W61" i="10" s="1"/>
  <c r="U8" i="8"/>
  <c r="W100" i="10"/>
  <c r="U61" i="14"/>
  <c r="W61" i="14" s="1"/>
  <c r="W97" i="14"/>
  <c r="U95" i="14"/>
  <c r="U101" i="9"/>
  <c r="U61" i="11"/>
  <c r="W61" i="11" s="1"/>
  <c r="W100" i="11"/>
  <c r="U102" i="13"/>
  <c r="U61" i="12"/>
  <c r="W61" i="12" s="1"/>
  <c r="W103" i="12"/>
  <c r="U61" i="9"/>
  <c r="W61" i="9" s="1"/>
  <c r="W103" i="9"/>
  <c r="V19" i="5" l="1"/>
  <c r="W19" i="5" s="1"/>
  <c r="U15" i="8"/>
  <c r="W8" i="8"/>
  <c r="U61" i="13"/>
  <c r="W61" i="13" s="1"/>
  <c r="X19" i="5" s="1"/>
  <c r="W106" i="13"/>
  <c r="X15" i="8" s="1"/>
  <c r="Y15" i="8" l="1"/>
  <c r="Y19" i="5"/>
  <c r="X8" i="8"/>
  <c r="Y8" i="8"/>
  <c r="W15" i="8"/>
  <c r="U16" i="8"/>
  <c r="U19" i="8" s="1"/>
  <c r="U21" i="8" l="1"/>
  <c r="U22" i="8" s="1"/>
  <c r="U24" i="8" s="1"/>
  <c r="U62" i="10" l="1"/>
  <c r="U62" i="9"/>
  <c r="U62" i="12"/>
  <c r="V20" i="5"/>
  <c r="U62" i="13"/>
  <c r="U62" i="11"/>
  <c r="U62" i="14"/>
  <c r="W24" i="8"/>
  <c r="W62" i="10" l="1"/>
  <c r="X20" i="5" s="1"/>
  <c r="U64" i="10"/>
  <c r="W62" i="14"/>
  <c r="U64" i="14"/>
  <c r="W64" i="14" s="1"/>
  <c r="W62" i="11"/>
  <c r="U64" i="11"/>
  <c r="W62" i="13"/>
  <c r="U64" i="13"/>
  <c r="W64" i="13" s="1"/>
  <c r="V22" i="5"/>
  <c r="V30" i="5" s="1"/>
  <c r="V32" i="5" s="1"/>
  <c r="B33" i="5" s="1"/>
  <c r="D58" i="2" s="1"/>
  <c r="W20" i="5"/>
  <c r="W62" i="12"/>
  <c r="U64" i="12"/>
  <c r="W62" i="9"/>
  <c r="U64" i="9"/>
  <c r="W64" i="9" l="1"/>
  <c r="U78" i="9"/>
  <c r="W64" i="11"/>
  <c r="U77" i="11"/>
  <c r="U79" i="11" s="1"/>
  <c r="W64" i="12"/>
  <c r="U78" i="12"/>
  <c r="X24" i="8"/>
  <c r="Y24" i="8" s="1"/>
  <c r="W22" i="5"/>
  <c r="Y20" i="5"/>
  <c r="W64" i="10"/>
  <c r="U77" i="10"/>
  <c r="U79" i="10" s="1"/>
  <c r="U80" i="12" l="1"/>
  <c r="W78" i="12"/>
  <c r="X22" i="5"/>
  <c r="Y22" i="5" s="1"/>
  <c r="U80" i="9"/>
  <c r="W78" i="9"/>
  <c r="U82" i="9" l="1"/>
  <c r="W82" i="9" s="1"/>
  <c r="W80" i="9"/>
  <c r="U82" i="12"/>
  <c r="W82" i="12" s="1"/>
  <c r="W80" i="12"/>
</calcChain>
</file>

<file path=xl/sharedStrings.xml><?xml version="1.0" encoding="utf-8"?>
<sst xmlns="http://schemas.openxmlformats.org/spreadsheetml/2006/main" count="814" uniqueCount="281">
  <si>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</si>
  <si>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</si>
  <si>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</si>
  <si>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</si>
  <si>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</si>
  <si>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</si>
  <si>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</si>
  <si>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</si>
  <si>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</si>
  <si>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</si>
  <si>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</si>
  <si>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</si>
  <si>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</si>
  <si>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</si>
  <si>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</si>
  <si>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</si>
  <si>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</si>
  <si>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</si>
  <si>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</si>
  <si>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</si>
  <si>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</si>
  <si>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</si>
  <si>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</si>
  <si>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</si>
  <si>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</si>
  <si>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</si>
  <si>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</si>
  <si>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</si>
  <si>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</si>
  <si>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</si>
  <si>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</si>
  <si>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</si>
  <si>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</si>
  <si>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</si>
  <si>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</si>
  <si>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</si>
  <si>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</si>
  <si>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</si>
  <si>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</si>
  <si>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</si>
  <si>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</si>
  <si>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</si>
  <si>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</si>
  <si>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</si>
  <si>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</si>
  <si>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</si>
  <si>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</si>
  <si>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</si>
  <si>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</si>
  <si>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</si>
  <si>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</si>
  <si>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</si>
  <si>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</si>
  <si>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</si>
  <si>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</si>
  <si>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</si>
  <si>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</si>
  <si>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</si>
  <si>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</si>
  <si>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</si>
  <si>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</si>
  <si>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</si>
  <si>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</si>
  <si>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</si>
  <si>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</si>
  <si>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</si>
  <si>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</si>
  <si>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</si>
  <si>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</si>
  <si>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</si>
  <si>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</si>
  <si>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</si>
  <si>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</si>
  <si>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</si>
  <si>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</si>
  <si>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</si>
  <si>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</si>
  <si>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</si>
  <si>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</si>
  <si>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</si>
  <si>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</si>
  <si>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</si>
  <si>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</si>
  <si>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</si>
  <si>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</si>
  <si>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</si>
  <si>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</si>
  <si>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</si>
  <si>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</si>
  <si>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</si>
  <si>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</si>
  <si>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</si>
  <si>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</si>
  <si>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</si>
  <si>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</si>
  <si>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</si>
  <si>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</si>
  <si>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</si>
  <si>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</si>
  <si>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</si>
  <si>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</si>
  <si>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</si>
  <si>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</si>
  <si>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</si>
  <si>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</si>
  <si>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</si>
  <si>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</si>
  <si>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</si>
  <si>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</si>
  <si>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</si>
  <si>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</si>
  <si>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</si>
  <si>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</si>
  <si>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</si>
  <si>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</si>
  <si>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</si>
  <si>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</si>
  <si>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</si>
  <si>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</si>
  <si>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</si>
  <si>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</si>
  <si>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</si>
  <si>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</si>
  <si>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</si>
  <si>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</si>
  <si>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</si>
  <si>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</si>
  <si>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</si>
  <si>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</si>
  <si>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</si>
  <si>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</si>
  <si>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</si>
  <si>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</si>
  <si>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</si>
  <si>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</si>
  <si>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</si>
  <si>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</si>
  <si>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</si>
  <si>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</si>
  <si>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</si>
  <si>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</si>
  <si>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</si>
  <si>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</si>
  <si>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Fixed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</si>
  <si>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</si>
  <si>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</si>
  <si>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</si>
  <si>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</si>
  <si>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</si>
  <si>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</si>
  <si>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</si>
  <si>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</si>
  <si>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</si>
  <si>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</si>
  <si>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</si>
  <si>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</si>
  <si>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</si>
  <si>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</si>
  <si>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</si>
  <si>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</si>
  <si>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</si>
  <si>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</si>
  <si>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</si>
  <si>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</si>
  <si>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</si>
  <si>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</si>
  <si>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Sub Total</t>
  </si>
  <si>
    <t>Interest Income</t>
  </si>
  <si>
    <t>Plus Property Tax Liability</t>
  </si>
  <si>
    <t>Less Property Tax Expense</t>
  </si>
  <si>
    <t>GENCO FEDERAL TAXES</t>
  </si>
  <si>
    <t>CASH FLOW - CALEDONIA</t>
  </si>
  <si>
    <t>CASH FLOW - NEW ALBANY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</si>
  <si>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</si>
  <si>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</si>
  <si>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</si>
  <si>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</si>
  <si>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</si>
  <si>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</si>
  <si>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</si>
  <si>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</si>
  <si>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</si>
  <si>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</si>
  <si>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</si>
  <si>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</si>
  <si>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</si>
  <si>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</si>
  <si>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</si>
  <si>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</si>
  <si>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</si>
  <si>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</si>
  <si>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</si>
  <si>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</si>
  <si>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</si>
  <si>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</si>
  <si>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</si>
  <si>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</si>
  <si>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</si>
  <si>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</si>
  <si>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</si>
  <si>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</si>
  <si>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</si>
  <si>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</si>
  <si>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</si>
  <si>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Payment</t>
  </si>
  <si>
    <t>Energy Charge ($/MWh)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</si>
  <si>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</si>
  <si>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</si>
  <si>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</si>
  <si>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</si>
  <si>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</si>
  <si>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</si>
  <si>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</si>
  <si>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</si>
  <si>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</si>
  <si>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</si>
  <si>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</si>
  <si>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</si>
  <si>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</si>
  <si>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</si>
  <si>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</si>
  <si>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</si>
  <si>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</si>
  <si>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</si>
  <si>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ICF Base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</si>
  <si>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</si>
  <si>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</si>
  <si>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</si>
  <si>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</si>
  <si>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</si>
  <si>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 xml:space="preserve">Treasury Rate (%) </t>
  </si>
  <si>
    <t>Amortization %</t>
  </si>
  <si>
    <t>1999 Peakers</t>
  </si>
  <si>
    <t>2000 Peakers</t>
  </si>
  <si>
    <t>Uses of Funds</t>
  </si>
  <si>
    <t>1999 Plants</t>
  </si>
  <si>
    <t>2000 Plants</t>
  </si>
  <si>
    <t>POWER PRICE ASSUMPTION</t>
  </si>
  <si>
    <t>Difference in Revenue</t>
  </si>
  <si>
    <t xml:space="preserve">NPV </t>
  </si>
  <si>
    <t>EBITDA less Contract Amortization</t>
  </si>
  <si>
    <t>Pretax Book Income less Contract Amortization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</si>
  <si>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</si>
  <si>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</si>
  <si>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</si>
  <si>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</si>
  <si>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Summer Heat Rate (HHV, Btu/kWh)</t>
  </si>
  <si>
    <t>Pre-Tax Cash Flow</t>
  </si>
  <si>
    <t>After-Tax Cash Flow</t>
  </si>
  <si>
    <t>Start Charge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</si>
  <si>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</si>
  <si>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</si>
  <si>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</si>
  <si>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</si>
  <si>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</si>
  <si>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</si>
  <si>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</si>
  <si>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</si>
  <si>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</si>
  <si>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</si>
  <si>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TVA Plants' Capacity Price Curve</t>
  </si>
  <si>
    <t>FIXED PRICE PERIOD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</si>
  <si>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</si>
  <si>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</si>
  <si>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</si>
  <si>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</si>
  <si>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</si>
  <si>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</si>
  <si>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Power Contract Liability</t>
  </si>
  <si>
    <t>Amortization of Power Contract</t>
  </si>
  <si>
    <t>EBITDA less Amortization of Power Contract</t>
  </si>
  <si>
    <t>Pretax Book Income less Amortization of Power Contract</t>
  </si>
  <si>
    <t>AMORTIZATION OF POWER CONTRACT</t>
  </si>
  <si>
    <t>Retained Earnings (less Amortization of Power Contract)</t>
  </si>
  <si>
    <t>Merchant Period:</t>
  </si>
  <si>
    <t>Total Project Cost less Power Contract Liability</t>
  </si>
  <si>
    <t>Gross Receipts less Amortization of Power Contract</t>
  </si>
  <si>
    <t>Summer Capacity (MW)</t>
  </si>
  <si>
    <t>Variable O&amp;M ($/MWh)</t>
  </si>
  <si>
    <t>Property Tax Liability</t>
  </si>
  <si>
    <t>EBITDA less Power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</si>
</sst>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1" formatCode="0.0000%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10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8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1" fillId="4" borderId="0" applyNumberFormat="0" applyBorder="0" applyAlignment="0" applyProtection="0"/>
    <xf numFmtId="0" fontId="5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7" fillId="0" borderId="2" applyNumberFormat="0" applyFill="0" applyAlignment="0" applyProtection="0"/>
    <xf numFmtId="10" fontId="41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1" fillId="8" borderId="0" applyNumberFormat="0" applyBorder="0" applyAlignment="0" applyProtection="0"/>
    <xf numFmtId="37" fontId="41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9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1" fillId="0" borderId="0" xfId="0" applyFont="1" applyFill="1" applyBorder="1"/>
    <xf numFmtId="43" fontId="32" fillId="0" borderId="0" xfId="3" applyFont="1" applyFill="1" applyBorder="1"/>
    <xf numFmtId="9" fontId="32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3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5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6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4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8" fillId="0" borderId="10" xfId="0" applyFont="1" applyBorder="1" applyAlignment="1" applyProtection="1">
      <alignment horizontal="left"/>
    </xf>
    <xf numFmtId="0" fontId="38" fillId="0" borderId="0" xfId="0" applyFont="1" applyBorder="1" applyAlignment="1">
      <alignment horizontal="center"/>
    </xf>
    <xf numFmtId="0" fontId="22" fillId="0" borderId="0" xfId="0" applyFont="1" applyBorder="1"/>
    <xf numFmtId="0" fontId="38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8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8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8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0" fillId="4" borderId="0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8" fillId="0" borderId="0" xfId="0" quotePrefix="1" applyNumberFormat="1" applyFont="1" applyBorder="1" applyAlignment="1">
      <alignment horizontal="center"/>
    </xf>
    <xf numFmtId="0" fontId="38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39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39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8" fillId="0" borderId="0" xfId="3" applyNumberFormat="1" applyFont="1" applyBorder="1" applyAlignment="1">
      <alignment horizontal="right"/>
    </xf>
    <xf numFmtId="0" fontId="9" fillId="0" borderId="0" xfId="0" applyFont="1" applyBorder="1"/>
    <xf numFmtId="1" fontId="39" fillId="0" borderId="0" xfId="3" applyNumberFormat="1" applyFont="1" applyFill="1" applyBorder="1" applyAlignment="1">
      <alignment horizontal="right"/>
    </xf>
    <xf numFmtId="43" fontId="38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8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0" fontId="40" fillId="0" borderId="0" xfId="0" applyFont="1" applyBorder="1"/>
    <xf numFmtId="43" fontId="38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29" fillId="0" borderId="0" xfId="18" applyFont="1" applyBorder="1" applyAlignment="1"/>
    <xf numFmtId="37" fontId="29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38" fillId="0" borderId="0" xfId="3" applyNumberFormat="1" applyFont="1" applyBorder="1" applyAlignment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Continuous"/>
    </xf>
    <xf numFmtId="0" fontId="38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4" fillId="0" borderId="0" xfId="0" applyFont="1"/>
    <xf numFmtId="10" fontId="38" fillId="0" borderId="0" xfId="0" applyNumberFormat="1" applyFont="1" applyBorder="1" applyAlignment="1" applyProtection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8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3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5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0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8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6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0" fontId="97" fillId="0" borderId="0" xfId="0" applyFont="1" applyAlignment="1">
      <alignment horizontal="center"/>
    </xf>
    <xf numFmtId="0" fontId="98" fillId="0" borderId="0" xfId="0" applyFont="1"/>
    <xf numFmtId="166" fontId="97" fillId="0" borderId="0" xfId="0" applyNumberFormat="1" applyFont="1"/>
    <xf numFmtId="166" fontId="98" fillId="0" borderId="0" xfId="0" applyNumberFormat="1" applyFont="1"/>
    <xf numFmtId="0" fontId="98" fillId="0" borderId="0" xfId="0" applyFont="1" applyFill="1"/>
    <xf numFmtId="38" fontId="15" fillId="0" borderId="4" xfId="3" applyNumberFormat="1" applyFont="1" applyFill="1" applyBorder="1"/>
    <xf numFmtId="0" fontId="99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99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99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" fillId="0" borderId="0" xfId="0" applyFont="1" applyBorder="1"/>
    <xf numFmtId="0" fontId="41" fillId="0" borderId="0" xfId="0" applyFont="1"/>
    <xf numFmtId="1" fontId="10" fillId="0" borderId="0" xfId="0" applyNumberFormat="1" applyFont="1" applyBorder="1"/>
    <xf numFmtId="1" fontId="41" fillId="0" borderId="0" xfId="0" applyNumberFormat="1" applyFont="1" applyBorder="1"/>
    <xf numFmtId="166" fontId="41" fillId="0" borderId="0" xfId="3" applyNumberFormat="1" applyFont="1" applyBorder="1"/>
    <xf numFmtId="0" fontId="41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2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2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99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166" fontId="2" fillId="10" borderId="0" xfId="0" applyNumberFormat="1" applyFont="1" applyFill="1"/>
    <xf numFmtId="166" fontId="3" fillId="10" borderId="0" xfId="0" applyNumberFormat="1" applyFont="1" applyFill="1"/>
    <xf numFmtId="38" fontId="3" fillId="10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164" fontId="0" fillId="0" borderId="0" xfId="22" applyNumberFormat="1" applyFont="1"/>
    <xf numFmtId="164" fontId="0" fillId="0" borderId="3" xfId="0" applyNumberFormat="1" applyBorder="1"/>
    <xf numFmtId="166" fontId="104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0" borderId="0" xfId="0" applyNumberFormat="1" applyFont="1" applyFill="1"/>
    <xf numFmtId="166" fontId="11" fillId="10" borderId="0" xfId="0" applyNumberFormat="1" applyFont="1" applyFill="1"/>
    <xf numFmtId="166" fontId="3" fillId="10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166" fontId="3" fillId="0" borderId="0" xfId="3" applyNumberFormat="1" applyFont="1" applyBorder="1" applyAlignment="1">
      <alignment horizontal="center"/>
    </xf>
    <xf numFmtId="38" fontId="22" fillId="8" borderId="6" xfId="0" applyNumberFormat="1" applyFont="1" applyFill="1" applyBorder="1" applyAlignment="1">
      <alignment horizontal="center"/>
    </xf>
    <xf numFmtId="0" fontId="0" fillId="0" borderId="6" xfId="0" applyBorder="1"/>
    <xf numFmtId="3" fontId="22" fillId="0" borderId="6" xfId="0" applyNumberFormat="1" applyFont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9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Border="1"/>
    <xf numFmtId="9" fontId="38" fillId="0" borderId="0" xfId="0" applyNumberFormat="1" applyFont="1" applyBorder="1" applyAlignment="1">
      <alignment horizontal="center"/>
    </xf>
    <xf numFmtId="38" fontId="38" fillId="0" borderId="9" xfId="3" applyNumberFormat="1" applyFont="1" applyBorder="1" applyAlignment="1">
      <alignment horizontal="center"/>
    </xf>
    <xf numFmtId="10" fontId="38" fillId="0" borderId="0" xfId="0" applyNumberFormat="1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9" fontId="19" fillId="0" borderId="6" xfId="0" applyNumberFormat="1" applyFont="1" applyBorder="1" applyAlignment="1" applyProtection="1">
      <alignment horizontal="center"/>
    </xf>
    <xf numFmtId="38" fontId="19" fillId="0" borderId="6" xfId="3" applyNumberFormat="1" applyFont="1" applyBorder="1" applyAlignment="1" applyProtection="1">
      <alignment horizontal="center"/>
    </xf>
    <xf numFmtId="0" fontId="9" fillId="0" borderId="22" xfId="0" applyFont="1" applyBorder="1"/>
    <xf numFmtId="0" fontId="0" fillId="0" borderId="23" xfId="0" applyBorder="1"/>
    <xf numFmtId="40" fontId="22" fillId="11" borderId="23" xfId="3" applyNumberFormat="1" applyFont="1" applyFill="1" applyBorder="1" applyAlignment="1">
      <alignment horizontal="right"/>
    </xf>
    <xf numFmtId="40" fontId="22" fillId="11" borderId="24" xfId="3" applyNumberFormat="1" applyFont="1" applyFill="1" applyBorder="1" applyAlignment="1">
      <alignment horizontal="right"/>
    </xf>
    <xf numFmtId="10" fontId="43" fillId="0" borderId="0" xfId="22" applyNumberFormat="1" applyFont="1" applyFill="1" applyBorder="1" applyAlignment="1">
      <alignment horizontal="right"/>
    </xf>
    <xf numFmtId="166" fontId="22" fillId="0" borderId="0" xfId="3" applyNumberFormat="1" applyFont="1" applyBorder="1" applyAlignment="1">
      <alignment horizontal="right"/>
    </xf>
    <xf numFmtId="0" fontId="20" fillId="0" borderId="0" xfId="0" applyFont="1" applyBorder="1" applyAlignment="1" applyProtection="1">
      <alignment horizontal="left"/>
    </xf>
    <xf numFmtId="0" fontId="100" fillId="0" borderId="0" xfId="0" applyFont="1" applyBorder="1" applyAlignment="1" applyProtection="1">
      <alignment horizontal="left"/>
    </xf>
    <xf numFmtId="0" fontId="101" fillId="0" borderId="0" xfId="0" applyFont="1" applyBorder="1" applyAlignment="1" applyProtection="1">
      <alignment horizontal="left"/>
    </xf>
    <xf numFmtId="358" fontId="15" fillId="0" borderId="0" xfId="0" applyNumberFormat="1" applyFont="1" applyFill="1" applyBorder="1"/>
    <xf numFmtId="3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9" fontId="3" fillId="0" borderId="0" xfId="3" applyNumberFormat="1" applyFont="1" applyFill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3" fontId="15" fillId="0" borderId="0" xfId="3" applyFont="1" applyFill="1" applyBorder="1" applyAlignment="1">
      <alignment horizontal="left"/>
    </xf>
    <xf numFmtId="164" fontId="3" fillId="0" borderId="0" xfId="22" applyNumberFormat="1" applyFont="1" applyFill="1" applyBorder="1"/>
    <xf numFmtId="10" fontId="3" fillId="0" borderId="0" xfId="22" applyNumberFormat="1" applyFont="1"/>
    <xf numFmtId="191" fontId="3" fillId="0" borderId="0" xfId="0" applyNumberFormat="1" applyFont="1"/>
    <xf numFmtId="164" fontId="9" fillId="8" borderId="6" xfId="22" applyNumberFormat="1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2" fillId="12" borderId="3" xfId="22" applyNumberFormat="1" applyFont="1" applyFill="1" applyBorder="1" applyAlignment="1">
      <alignment horizontal="center"/>
    </xf>
    <xf numFmtId="190" fontId="3" fillId="0" borderId="0" xfId="0" applyNumberFormat="1" applyFont="1"/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31</xdr:row>
          <xdr:rowOff>28575</xdr:rowOff>
        </xdr:from>
        <xdr:to>
          <xdr:col>3</xdr:col>
          <xdr:colOff>619125</xdr:colOff>
          <xdr:row>32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83" t="s">
        <v>101</v>
      </c>
      <c r="T1" s="141"/>
      <c r="AH1" s="141"/>
    </row>
    <row r="2" spans="1:34" ht="12.75" customHeight="1">
      <c r="A2" s="283"/>
      <c r="T2" s="141"/>
      <c r="AH2" s="141"/>
    </row>
    <row r="3" spans="1:34" ht="18.75">
      <c r="A3" s="412" t="s">
        <v>164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62"/>
    </row>
    <row r="7" spans="1:34" ht="15.75">
      <c r="A7" s="167" t="s">
        <v>5</v>
      </c>
      <c r="B7" s="168" t="s">
        <v>6</v>
      </c>
      <c r="C7" s="199" t="s">
        <v>7</v>
      </c>
      <c r="D7" s="169"/>
      <c r="E7" s="170" t="s">
        <v>234</v>
      </c>
      <c r="F7" s="168" t="s">
        <v>6</v>
      </c>
      <c r="G7" s="200" t="s">
        <v>7</v>
      </c>
      <c r="X7" s="36"/>
      <c r="Y7" s="36"/>
      <c r="Z7" s="36"/>
    </row>
    <row r="8" spans="1:34" ht="15.75">
      <c r="A8" s="171" t="s">
        <v>8</v>
      </c>
      <c r="B8" s="337">
        <f>C8/$C$14</f>
        <v>0.39140700670938566</v>
      </c>
      <c r="C8" s="248">
        <f>B33</f>
        <v>577000</v>
      </c>
      <c r="D8" s="264"/>
      <c r="E8" s="172" t="s">
        <v>235</v>
      </c>
      <c r="F8" s="383">
        <f>G8/G14</f>
        <v>0.37523454272798834</v>
      </c>
      <c r="G8" s="250">
        <f>(C14-G12)*Allocation!C10</f>
        <v>553159.05807175592</v>
      </c>
      <c r="H8" s="56"/>
      <c r="X8" s="36"/>
      <c r="Y8" s="36"/>
      <c r="Z8" s="36"/>
    </row>
    <row r="9" spans="1:34" ht="15.75">
      <c r="A9" s="167" t="s">
        <v>14</v>
      </c>
      <c r="B9" s="502">
        <f>C9/$C$14</f>
        <v>0.49858604840796966</v>
      </c>
      <c r="C9" s="249">
        <f>E20</f>
        <v>735000</v>
      </c>
      <c r="D9" s="503"/>
      <c r="E9" s="170" t="s">
        <v>236</v>
      </c>
      <c r="F9" s="504">
        <f>G9/G14</f>
        <v>0.51475851238936698</v>
      </c>
      <c r="G9" s="505">
        <f>(C14-G12)*Allocation!C15</f>
        <v>758840.94192824385</v>
      </c>
      <c r="H9" s="6"/>
      <c r="T9" s="263"/>
      <c r="X9" s="36"/>
      <c r="Y9" s="36"/>
      <c r="Z9" s="36"/>
    </row>
    <row r="10" spans="1:34" ht="15.75">
      <c r="A10" s="171" t="s">
        <v>166</v>
      </c>
      <c r="B10" s="337">
        <f>SUM(B8:B9)</f>
        <v>0.88999305511735538</v>
      </c>
      <c r="C10" s="248">
        <f>SUM(C8:C9)</f>
        <v>1312000</v>
      </c>
      <c r="D10" s="17"/>
      <c r="E10" s="172" t="s">
        <v>166</v>
      </c>
      <c r="F10" s="383">
        <f>SUM(F8:F9)</f>
        <v>0.88999305511735538</v>
      </c>
      <c r="G10" s="250">
        <f>SUM(G8:G9)</f>
        <v>1311999.9999999998</v>
      </c>
      <c r="H10" s="127"/>
      <c r="T10" s="263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63"/>
      <c r="X11" s="36"/>
      <c r="Y11" s="36"/>
      <c r="Z11" s="36"/>
    </row>
    <row r="12" spans="1:34" ht="15.75">
      <c r="A12" s="173" t="s">
        <v>268</v>
      </c>
      <c r="B12" s="337">
        <f>C12/$C$14</f>
        <v>0.11000694488264463</v>
      </c>
      <c r="C12" s="248">
        <f>'Amortization of Power Contract'!C54</f>
        <v>162168.80666220299</v>
      </c>
      <c r="D12" s="169"/>
      <c r="E12" s="169" t="s">
        <v>268</v>
      </c>
      <c r="F12" s="383">
        <f>G12/G14</f>
        <v>0.11000694488264465</v>
      </c>
      <c r="G12" s="250">
        <f>'Amortization of Power Contract'!C54</f>
        <v>162168.80666220299</v>
      </c>
      <c r="H12" s="140"/>
      <c r="T12" s="263"/>
      <c r="W12" s="36"/>
      <c r="X12" s="36"/>
      <c r="Y12" s="36"/>
      <c r="Z12" s="36"/>
    </row>
    <row r="13" spans="1:34" ht="15.75">
      <c r="A13" s="30"/>
      <c r="B13" s="17"/>
      <c r="C13" s="145"/>
      <c r="D13" s="17"/>
      <c r="E13" s="17"/>
      <c r="F13" s="17"/>
      <c r="G13" s="29"/>
      <c r="H13" s="6"/>
      <c r="T13" s="263"/>
      <c r="W13" s="36"/>
      <c r="X13" s="36"/>
      <c r="Y13" s="36"/>
      <c r="Z13" s="36"/>
    </row>
    <row r="14" spans="1:34" ht="16.5" thickBot="1">
      <c r="A14" s="507" t="s">
        <v>15</v>
      </c>
      <c r="B14" s="508">
        <f>C14/$C$14</f>
        <v>1</v>
      </c>
      <c r="C14" s="509">
        <f>C12+C10</f>
        <v>1474168.806662203</v>
      </c>
      <c r="D14" s="176"/>
      <c r="E14" s="273" t="s">
        <v>165</v>
      </c>
      <c r="F14" s="276">
        <f>SUM(F12,F10)</f>
        <v>1</v>
      </c>
      <c r="G14" s="274">
        <f>G12+G10</f>
        <v>1474168.8066622028</v>
      </c>
      <c r="H14" s="6"/>
      <c r="T14" s="263"/>
    </row>
    <row r="15" spans="1:34" ht="16.5" thickBot="1">
      <c r="A15" s="506"/>
      <c r="B15" s="284"/>
      <c r="C15" s="249"/>
      <c r="D15" s="169"/>
      <c r="E15" s="169"/>
      <c r="F15" s="275"/>
      <c r="G15" s="183"/>
      <c r="H15" s="6"/>
      <c r="T15" s="263"/>
    </row>
    <row r="16" spans="1:34" ht="15.75">
      <c r="A16" s="165" t="s">
        <v>155</v>
      </c>
      <c r="B16" s="27"/>
      <c r="C16" s="27"/>
      <c r="D16" s="147"/>
      <c r="E16" s="27"/>
      <c r="F16" s="27"/>
      <c r="G16" s="28"/>
      <c r="H16" s="6"/>
      <c r="T16" s="263"/>
    </row>
    <row r="17" spans="1:20" ht="15.75">
      <c r="A17" s="30"/>
      <c r="B17" s="192" t="s">
        <v>17</v>
      </c>
      <c r="C17" s="192" t="s">
        <v>18</v>
      </c>
      <c r="D17" s="192" t="s">
        <v>19</v>
      </c>
      <c r="E17" s="192" t="s">
        <v>20</v>
      </c>
      <c r="F17" s="32"/>
      <c r="G17" s="237"/>
      <c r="H17" s="6"/>
      <c r="T17" s="263"/>
    </row>
    <row r="18" spans="1:20" ht="15.75">
      <c r="A18" s="298" t="s">
        <v>156</v>
      </c>
      <c r="B18" s="163"/>
      <c r="C18" s="163"/>
      <c r="D18" s="163"/>
      <c r="E18" s="17"/>
      <c r="F18" s="17"/>
      <c r="G18" s="29"/>
      <c r="H18" s="6"/>
      <c r="T18" s="263"/>
    </row>
    <row r="19" spans="1:20" ht="15.75">
      <c r="A19" s="178" t="s">
        <v>142</v>
      </c>
      <c r="B19" s="332">
        <v>36892</v>
      </c>
      <c r="C19" s="17"/>
      <c r="D19" s="17"/>
      <c r="E19" s="17"/>
      <c r="F19" s="17"/>
      <c r="G19" s="29"/>
      <c r="H19" s="6"/>
      <c r="T19" s="263"/>
    </row>
    <row r="20" spans="1:20" ht="15.75">
      <c r="A20" s="178" t="s">
        <v>21</v>
      </c>
      <c r="B20" s="494">
        <v>50000</v>
      </c>
      <c r="C20" s="494">
        <v>210000</v>
      </c>
      <c r="D20" s="494">
        <v>475000</v>
      </c>
      <c r="E20" s="385">
        <f>SUM(B20:D20)</f>
        <v>735000</v>
      </c>
      <c r="F20" s="148"/>
      <c r="G20" s="238"/>
      <c r="H20" s="6"/>
      <c r="T20" s="263"/>
    </row>
    <row r="21" spans="1:20" ht="15.75">
      <c r="A21" s="178" t="s">
        <v>22</v>
      </c>
      <c r="B21" s="352">
        <f>Debt!E98</f>
        <v>2.9952087611225187</v>
      </c>
      <c r="C21" s="352">
        <f>Debt!J98</f>
        <v>9.9958932238193015</v>
      </c>
      <c r="D21" s="352">
        <f>Debt!O98</f>
        <v>19.997262149212869</v>
      </c>
      <c r="E21" s="386"/>
      <c r="F21" s="148"/>
      <c r="G21" s="238"/>
      <c r="H21" s="127"/>
      <c r="T21" s="263"/>
    </row>
    <row r="22" spans="1:20" ht="15.75">
      <c r="A22" s="178" t="s">
        <v>23</v>
      </c>
      <c r="B22" s="332">
        <v>37986</v>
      </c>
      <c r="C22" s="332">
        <v>40543</v>
      </c>
      <c r="D22" s="332">
        <v>44196</v>
      </c>
      <c r="E22" s="385"/>
      <c r="F22" s="17"/>
      <c r="G22" s="29"/>
      <c r="H22" s="127"/>
      <c r="T22" s="263"/>
    </row>
    <row r="23" spans="1:20" ht="15.75">
      <c r="A23" s="178" t="s">
        <v>24</v>
      </c>
      <c r="B23" s="457">
        <f>Debt!E99</f>
        <v>1.7562149212867901</v>
      </c>
      <c r="C23" s="457">
        <f>Debt!J99</f>
        <v>7.1548336755646815</v>
      </c>
      <c r="D23" s="457">
        <f>Debt!O99</f>
        <v>15.030609171800139</v>
      </c>
      <c r="E23" s="387"/>
      <c r="F23" s="17"/>
      <c r="G23" s="29"/>
      <c r="H23" s="6"/>
      <c r="T23" s="263"/>
    </row>
    <row r="24" spans="1:20" ht="15.75">
      <c r="A24" s="178"/>
      <c r="B24" s="17"/>
      <c r="C24" s="17"/>
      <c r="D24" s="17"/>
      <c r="E24" s="385"/>
      <c r="F24" s="17"/>
      <c r="G24" s="29"/>
      <c r="T24" s="263"/>
    </row>
    <row r="25" spans="1:20" ht="15.75">
      <c r="A25" s="173" t="s">
        <v>230</v>
      </c>
      <c r="B25" s="288">
        <v>6.8000000000000005E-2</v>
      </c>
      <c r="C25" s="288">
        <v>6.5000000000000002E-2</v>
      </c>
      <c r="D25" s="288">
        <v>6.2E-2</v>
      </c>
      <c r="E25" s="388">
        <f>SUMPRODUCT(B25:D25,$B$20:$D$20)/E20</f>
        <v>6.3265306122448975E-2</v>
      </c>
      <c r="F25" s="17"/>
      <c r="G25" s="29"/>
      <c r="T25" s="263"/>
    </row>
    <row r="26" spans="1:20" ht="15.75">
      <c r="A26" s="177" t="s">
        <v>25</v>
      </c>
      <c r="B26" s="289">
        <v>2.2499999999999999E-2</v>
      </c>
      <c r="C26" s="289">
        <v>4.4999999999999998E-2</v>
      </c>
      <c r="D26" s="289">
        <v>0.05</v>
      </c>
      <c r="E26" s="389">
        <f>SUMPRODUCT(B26:D26,$B$20:$D$20)/E20</f>
        <v>4.6700680272108844E-2</v>
      </c>
      <c r="F26" s="17"/>
      <c r="G26" s="29"/>
      <c r="T26" s="263"/>
    </row>
    <row r="27" spans="1:20" ht="15.75">
      <c r="A27" s="178" t="s">
        <v>242</v>
      </c>
      <c r="B27" s="179">
        <f>SUM(B25:B26)</f>
        <v>9.0499999999999997E-2</v>
      </c>
      <c r="C27" s="179">
        <f>SUM(C25:C26)</f>
        <v>0.11</v>
      </c>
      <c r="D27" s="179">
        <f>SUM(D25:D26)</f>
        <v>0.112</v>
      </c>
      <c r="E27" s="388">
        <f>SUMPRODUCT(B27:D27,$B$20:$D$20)/E20</f>
        <v>0.10996598639455782</v>
      </c>
      <c r="F27" s="17"/>
      <c r="G27" s="29"/>
      <c r="T27" s="263"/>
    </row>
    <row r="28" spans="1:20" ht="15.75">
      <c r="A28" s="173"/>
      <c r="B28" s="169"/>
      <c r="C28" s="169"/>
      <c r="D28" s="169"/>
      <c r="E28" s="246"/>
      <c r="F28" s="17"/>
      <c r="G28" s="29"/>
      <c r="T28" s="263"/>
    </row>
    <row r="29" spans="1:20" ht="15.75">
      <c r="A29" s="173" t="s">
        <v>27</v>
      </c>
      <c r="B29" s="287">
        <v>0.05</v>
      </c>
      <c r="C29" s="17"/>
      <c r="D29" s="17"/>
      <c r="E29" s="384"/>
      <c r="F29" s="483"/>
      <c r="G29" s="485"/>
      <c r="T29" s="263"/>
    </row>
    <row r="30" spans="1:20" ht="15.75">
      <c r="A30" s="30"/>
      <c r="B30" s="17"/>
      <c r="C30" s="17"/>
      <c r="D30" s="17"/>
      <c r="E30" s="17"/>
      <c r="F30" s="484"/>
      <c r="G30" s="29"/>
      <c r="T30" s="263"/>
    </row>
    <row r="31" spans="1:20" ht="15.75">
      <c r="A31" s="298" t="s">
        <v>157</v>
      </c>
      <c r="B31" s="17"/>
      <c r="C31" s="17"/>
      <c r="D31" s="17"/>
      <c r="E31" s="17"/>
      <c r="F31" s="17"/>
      <c r="G31" s="29"/>
      <c r="T31" s="263"/>
    </row>
    <row r="32" spans="1:20" ht="15.75">
      <c r="A32" s="178" t="s">
        <v>158</v>
      </c>
      <c r="B32" s="332">
        <v>36892</v>
      </c>
      <c r="C32" s="17"/>
      <c r="D32" s="17"/>
      <c r="E32" s="17"/>
      <c r="F32" s="17"/>
      <c r="G32" s="29"/>
      <c r="T32" s="263"/>
    </row>
    <row r="33" spans="1:20" ht="15.75">
      <c r="A33" s="178" t="s">
        <v>21</v>
      </c>
      <c r="B33" s="390">
        <v>577000</v>
      </c>
      <c r="C33" s="17"/>
      <c r="D33" s="17"/>
      <c r="E33" s="17"/>
      <c r="F33" s="17"/>
      <c r="G33" s="29"/>
      <c r="T33" s="263"/>
    </row>
    <row r="34" spans="1:20" ht="16.5" thickBot="1">
      <c r="A34" s="480" t="s">
        <v>225</v>
      </c>
      <c r="B34" s="528">
        <v>0.14000000000000001</v>
      </c>
      <c r="C34" s="31"/>
      <c r="D34" s="31"/>
      <c r="E34" s="31"/>
      <c r="F34" s="31"/>
      <c r="G34" s="142"/>
      <c r="T34" s="263"/>
    </row>
    <row r="35" spans="1:20" ht="16.5" thickBot="1">
      <c r="A35" s="17"/>
      <c r="B35" s="17"/>
      <c r="C35" s="17"/>
      <c r="D35" s="17"/>
      <c r="E35" s="17"/>
      <c r="F35" s="17"/>
      <c r="G35" s="17"/>
      <c r="T35" s="263"/>
    </row>
    <row r="36" spans="1:20" ht="15.75">
      <c r="A36" s="164" t="s">
        <v>28</v>
      </c>
      <c r="B36" s="185"/>
      <c r="C36" s="186"/>
      <c r="D36" s="186"/>
      <c r="E36" s="190"/>
      <c r="F36" s="190"/>
      <c r="G36" s="28"/>
      <c r="T36" s="263"/>
    </row>
    <row r="37" spans="1:20" ht="15.75">
      <c r="A37" s="30"/>
      <c r="B37" s="259" t="s">
        <v>29</v>
      </c>
      <c r="C37" s="260"/>
      <c r="D37" s="17"/>
      <c r="E37" s="17"/>
      <c r="F37" s="169"/>
      <c r="G37" s="29"/>
      <c r="T37" s="263"/>
    </row>
    <row r="38" spans="1:20" ht="15.75">
      <c r="A38" s="173"/>
      <c r="B38" s="252">
        <v>1999</v>
      </c>
      <c r="C38" s="252">
        <v>2000</v>
      </c>
      <c r="D38" s="252" t="s">
        <v>30</v>
      </c>
      <c r="E38" s="252" t="s">
        <v>31</v>
      </c>
      <c r="F38" s="168" t="s">
        <v>32</v>
      </c>
      <c r="G38" s="29"/>
      <c r="T38" s="263"/>
    </row>
    <row r="39" spans="1:20" ht="15.75">
      <c r="A39" s="187" t="s">
        <v>33</v>
      </c>
      <c r="B39" s="285"/>
      <c r="C39" s="17"/>
      <c r="D39" s="285"/>
      <c r="E39" s="285"/>
      <c r="F39" s="169"/>
      <c r="G39" s="29"/>
      <c r="T39" s="263"/>
    </row>
    <row r="40" spans="1:20" ht="15.75">
      <c r="A40" s="188" t="s">
        <v>275</v>
      </c>
      <c r="B40" s="254">
        <f>G8</f>
        <v>553159.05807175592</v>
      </c>
      <c r="C40" s="183">
        <f>G9</f>
        <v>758840.94192824385</v>
      </c>
      <c r="D40" s="254">
        <v>15</v>
      </c>
      <c r="E40" s="291" t="s">
        <v>34</v>
      </c>
      <c r="F40" s="253">
        <v>0</v>
      </c>
      <c r="G40" s="29"/>
      <c r="T40" s="263"/>
    </row>
    <row r="41" spans="1:20" ht="15.75">
      <c r="A41" s="188"/>
      <c r="B41" s="254"/>
      <c r="C41" s="183"/>
      <c r="D41" s="254"/>
      <c r="E41" s="291"/>
      <c r="F41" s="253"/>
      <c r="G41" s="29"/>
      <c r="T41" s="263"/>
    </row>
    <row r="42" spans="1:20" ht="15.75">
      <c r="A42" s="187" t="s">
        <v>37</v>
      </c>
      <c r="B42" s="255"/>
      <c r="C42" s="245"/>
      <c r="D42" s="255"/>
      <c r="E42" s="255"/>
      <c r="F42" s="253"/>
      <c r="G42" s="29"/>
      <c r="T42" s="263"/>
    </row>
    <row r="43" spans="1:20" ht="16.5" thickBot="1">
      <c r="A43" s="189" t="s">
        <v>194</v>
      </c>
      <c r="B43" s="256">
        <f>G8+'Amortization of Power Contract'!C46</f>
        <v>622011.41976317111</v>
      </c>
      <c r="C43" s="184">
        <f>G9+'Amortization of Power Contract'!C50</f>
        <v>852157.38689903158</v>
      </c>
      <c r="D43" s="256">
        <v>30</v>
      </c>
      <c r="E43" s="292" t="s">
        <v>35</v>
      </c>
      <c r="F43" s="342">
        <v>0.1</v>
      </c>
      <c r="G43" s="142"/>
      <c r="T43" s="263"/>
    </row>
    <row r="44" spans="1:20" ht="16.5" thickBot="1">
      <c r="T44" s="263"/>
    </row>
    <row r="45" spans="1:20" ht="15.75">
      <c r="A45" s="165" t="s">
        <v>41</v>
      </c>
      <c r="B45" s="190"/>
      <c r="C45" s="190"/>
      <c r="D45" s="190"/>
      <c r="E45" s="190"/>
      <c r="F45" s="190"/>
      <c r="G45" s="191"/>
      <c r="T45" s="263"/>
    </row>
    <row r="46" spans="1:20" ht="15.75">
      <c r="A46" s="173"/>
      <c r="B46" s="169"/>
      <c r="C46" s="169"/>
      <c r="D46" s="169"/>
      <c r="E46" s="169"/>
      <c r="F46" s="169"/>
      <c r="G46" s="174"/>
      <c r="T46" s="263"/>
    </row>
    <row r="47" spans="1:20" ht="15.75">
      <c r="A47" s="177" t="s">
        <v>0</v>
      </c>
      <c r="B47" s="180"/>
      <c r="C47" s="17"/>
      <c r="D47" s="168" t="s">
        <v>43</v>
      </c>
      <c r="E47" s="168" t="s">
        <v>44</v>
      </c>
      <c r="F47" s="169"/>
      <c r="G47" s="174"/>
      <c r="T47" s="263"/>
    </row>
    <row r="48" spans="1:20" ht="15.75">
      <c r="A48" s="173" t="s">
        <v>111</v>
      </c>
      <c r="B48" s="169"/>
      <c r="C48" s="17"/>
      <c r="D48" s="181">
        <f>Debt!D84</f>
        <v>1.2868053405518787</v>
      </c>
      <c r="E48" s="181">
        <f>Debt!D85</f>
        <v>1.2887131558040941</v>
      </c>
      <c r="F48" s="169"/>
      <c r="G48" s="174"/>
      <c r="T48" s="263"/>
    </row>
    <row r="49" spans="1:24" ht="15.75">
      <c r="A49" s="173" t="s">
        <v>251</v>
      </c>
      <c r="B49" s="169"/>
      <c r="C49" s="17"/>
      <c r="D49" s="181">
        <f>Debt!G84</f>
        <v>2.2267734556179191</v>
      </c>
      <c r="E49" s="181">
        <f>Debt!G85</f>
        <v>3.2060863386116569</v>
      </c>
      <c r="F49" s="169"/>
      <c r="G49" s="174"/>
      <c r="T49" s="263"/>
    </row>
    <row r="50" spans="1:24" ht="15.75">
      <c r="A50" s="173"/>
      <c r="B50" s="169"/>
      <c r="C50" s="169"/>
      <c r="D50" s="169"/>
      <c r="E50" s="169"/>
      <c r="F50" s="169"/>
      <c r="G50" s="174"/>
      <c r="T50" s="263"/>
    </row>
    <row r="51" spans="1:24" ht="15.75">
      <c r="A51" s="173"/>
      <c r="B51" s="169"/>
      <c r="C51" s="169"/>
      <c r="D51" s="168" t="s">
        <v>45</v>
      </c>
      <c r="E51" s="168" t="s">
        <v>46</v>
      </c>
      <c r="F51" s="168" t="s">
        <v>47</v>
      </c>
      <c r="G51" s="174"/>
      <c r="T51" s="263"/>
    </row>
    <row r="52" spans="1:24" ht="15.75">
      <c r="A52" s="173" t="s">
        <v>245</v>
      </c>
      <c r="B52" s="169"/>
      <c r="C52" s="169"/>
      <c r="D52" s="183">
        <f>SUMPRODUCT(Assumptions!C9:E9,Assumptions!C10:E10)/SUM(Assumptions!C9:E9)</f>
        <v>11956.194594594595</v>
      </c>
      <c r="E52" s="183">
        <f>SUMPRODUCT(Assumptions!G9:I9,Assumptions!G10:I10)/SUM(Assumptions!G9:I9)</f>
        <v>11458.743073047859</v>
      </c>
      <c r="F52" s="183">
        <f>SUMPRODUCT(Assumptions!C9:I9,Assumptions!C10:I10)/Assumptions!K9</f>
        <v>11682.190773499826</v>
      </c>
      <c r="G52" s="174"/>
      <c r="T52" s="263"/>
    </row>
    <row r="53" spans="1:24" ht="15.75">
      <c r="A53" s="30"/>
      <c r="B53" s="17"/>
      <c r="C53" s="17"/>
      <c r="D53" s="17"/>
      <c r="E53" s="17"/>
      <c r="F53" s="17"/>
      <c r="G53" s="29"/>
      <c r="T53" s="263"/>
    </row>
    <row r="54" spans="1:24" ht="15.75">
      <c r="A54" s="173" t="s">
        <v>277</v>
      </c>
      <c r="B54" s="169"/>
      <c r="C54" s="169"/>
      <c r="D54" s="183">
        <f>SUM(Assumptions!C9:E9)</f>
        <v>1295</v>
      </c>
      <c r="E54" s="183">
        <f>SUM(Assumptions!G9:I9)</f>
        <v>1588</v>
      </c>
      <c r="F54" s="183">
        <f>SUM(D54:E54)</f>
        <v>2883</v>
      </c>
      <c r="G54" s="174"/>
      <c r="T54" s="263"/>
    </row>
    <row r="55" spans="1:24" ht="15.75">
      <c r="A55" s="173"/>
      <c r="B55" s="17"/>
      <c r="C55" s="17"/>
      <c r="D55" s="183"/>
      <c r="E55" s="183"/>
      <c r="F55" s="183"/>
      <c r="G55" s="29"/>
      <c r="T55" s="263"/>
    </row>
    <row r="56" spans="1:24" ht="15.75">
      <c r="A56" s="173" t="s">
        <v>267</v>
      </c>
      <c r="B56" s="17"/>
      <c r="C56" s="17"/>
      <c r="D56" s="183">
        <f>CF!V31/F54</f>
        <v>191.87914163090016</v>
      </c>
      <c r="E56" s="17"/>
      <c r="F56" s="17"/>
      <c r="G56" s="29"/>
      <c r="T56" s="263"/>
    </row>
    <row r="57" spans="1:24">
      <c r="A57" s="30"/>
      <c r="B57" s="17"/>
      <c r="C57" s="17"/>
      <c r="D57" s="17"/>
      <c r="E57" s="17"/>
      <c r="F57" s="17"/>
      <c r="G57" s="29"/>
      <c r="T57" s="40"/>
      <c r="U57" s="40"/>
      <c r="V57" s="40"/>
      <c r="W57" s="40"/>
      <c r="X57" s="40"/>
    </row>
    <row r="58" spans="1:24" ht="15.75">
      <c r="A58" s="173" t="s">
        <v>253</v>
      </c>
      <c r="B58" s="169"/>
      <c r="C58" s="169"/>
      <c r="D58" s="529">
        <f>CF!B33</f>
        <v>0.13966240286827084</v>
      </c>
      <c r="E58" s="169"/>
      <c r="F58" s="169"/>
      <c r="G58" s="174"/>
      <c r="T58" s="40"/>
      <c r="U58" s="40"/>
      <c r="V58" s="40"/>
      <c r="W58" s="40"/>
      <c r="X58" s="40"/>
    </row>
    <row r="59" spans="1:24" ht="15.75">
      <c r="A59" s="173"/>
      <c r="B59" s="285"/>
      <c r="C59" s="182"/>
      <c r="D59" s="251"/>
      <c r="E59" s="169"/>
      <c r="F59" s="169"/>
      <c r="G59" s="174"/>
      <c r="T59" s="380"/>
      <c r="U59" s="40"/>
      <c r="V59" s="40"/>
      <c r="W59" s="40"/>
      <c r="X59" s="40"/>
    </row>
    <row r="60" spans="1:24" ht="15.75">
      <c r="A60" s="173"/>
      <c r="B60" s="168">
        <v>2001</v>
      </c>
      <c r="C60" s="168">
        <v>2002</v>
      </c>
      <c r="D60" s="168">
        <v>2003</v>
      </c>
      <c r="E60" s="168">
        <v>2004</v>
      </c>
      <c r="F60" s="168">
        <v>2005</v>
      </c>
      <c r="G60" s="29"/>
      <c r="T60" s="380"/>
      <c r="U60" s="40"/>
      <c r="V60" s="40"/>
      <c r="W60" s="40"/>
      <c r="X60" s="40"/>
    </row>
    <row r="61" spans="1:24" ht="15.75">
      <c r="A61" s="173" t="s">
        <v>148</v>
      </c>
      <c r="B61" s="183">
        <f>IS!B32</f>
        <v>177680.30256335181</v>
      </c>
      <c r="C61" s="183">
        <f>IS!C32</f>
        <v>177096.43303075299</v>
      </c>
      <c r="D61" s="183">
        <f>IS!D32</f>
        <v>176585.08990364039</v>
      </c>
      <c r="E61" s="183">
        <f>IS!E32</f>
        <v>208898.30003993292</v>
      </c>
      <c r="F61" s="183">
        <f>IS!F32</f>
        <v>219835.48571459821</v>
      </c>
      <c r="G61" s="29"/>
      <c r="T61" s="380"/>
      <c r="U61" s="40"/>
      <c r="V61" s="40"/>
      <c r="W61" s="40"/>
      <c r="X61" s="40"/>
    </row>
    <row r="62" spans="1:24" ht="15.75">
      <c r="A62" s="173" t="s">
        <v>149</v>
      </c>
      <c r="B62" s="183">
        <f>IS!B45</f>
        <v>32647.552142934997</v>
      </c>
      <c r="C62" s="183">
        <f>IS!C45</f>
        <v>33025.692048995639</v>
      </c>
      <c r="D62" s="183">
        <f>IS!D45</f>
        <v>33751.572936501405</v>
      </c>
      <c r="E62" s="183">
        <f>IS!E45</f>
        <v>54372.655927693078</v>
      </c>
      <c r="F62" s="183">
        <f>IS!F45</f>
        <v>62521.778918915821</v>
      </c>
      <c r="G62" s="29"/>
      <c r="T62" s="380"/>
      <c r="U62" s="40"/>
      <c r="V62" s="40"/>
      <c r="W62" s="40"/>
      <c r="X62" s="40"/>
    </row>
    <row r="63" spans="1:24" ht="15.75">
      <c r="A63" s="173" t="s">
        <v>146</v>
      </c>
      <c r="B63" s="183">
        <f>CF!C17</f>
        <v>28108.531919520014</v>
      </c>
      <c r="C63" s="183">
        <f>CF!D17</f>
        <v>27770.045914057002</v>
      </c>
      <c r="D63" s="183">
        <f>CF!E17</f>
        <v>27549.434908094292</v>
      </c>
      <c r="E63" s="183">
        <f>CF!F17</f>
        <v>115163.4393705284</v>
      </c>
      <c r="F63" s="183">
        <f>CF!G17</f>
        <v>121708.29449351679</v>
      </c>
      <c r="G63" s="29"/>
      <c r="T63" s="380"/>
      <c r="U63" s="40"/>
      <c r="V63" s="40"/>
      <c r="W63" s="40"/>
      <c r="X63" s="40"/>
    </row>
    <row r="64" spans="1:24" ht="16.5" thickBot="1">
      <c r="A64" s="175" t="s">
        <v>147</v>
      </c>
      <c r="B64" s="184">
        <f>CF!C22</f>
        <v>27812.041951754585</v>
      </c>
      <c r="C64" s="184">
        <f>CF!D22</f>
        <v>27472.902065308612</v>
      </c>
      <c r="D64" s="184">
        <f>CF!E22</f>
        <v>27251.61416134195</v>
      </c>
      <c r="E64" s="184">
        <f>CF!F22</f>
        <v>114623.24919670008</v>
      </c>
      <c r="F64" s="184">
        <f>CF!G22</f>
        <v>120920.16934931693</v>
      </c>
      <c r="G64" s="142"/>
      <c r="I64" s="3"/>
      <c r="J64" s="381"/>
      <c r="K64" s="381"/>
      <c r="L64" s="381"/>
      <c r="M64" s="381"/>
      <c r="N64" s="381"/>
      <c r="O64" s="381"/>
      <c r="P64" s="381"/>
      <c r="Q64" s="381"/>
      <c r="R64" s="381"/>
      <c r="S64" s="40"/>
      <c r="T64" s="380"/>
      <c r="U64" s="40"/>
      <c r="V64" s="40"/>
      <c r="W64" s="40"/>
      <c r="X64" s="40"/>
    </row>
    <row r="65" spans="10:24" ht="15.75">
      <c r="J65" s="381"/>
      <c r="K65" s="381"/>
      <c r="L65" s="381"/>
      <c r="M65" s="381"/>
      <c r="N65" s="381"/>
      <c r="O65" s="381"/>
      <c r="P65" s="381"/>
      <c r="Q65" s="381"/>
      <c r="R65" s="381"/>
      <c r="S65" s="40"/>
      <c r="T65" s="380"/>
      <c r="U65" s="40"/>
      <c r="V65" s="40"/>
      <c r="W65" s="40"/>
      <c r="X65" s="40"/>
    </row>
    <row r="66" spans="10:24" ht="15.75">
      <c r="J66" s="381"/>
      <c r="K66" s="381"/>
      <c r="L66" s="381"/>
      <c r="M66" s="381"/>
      <c r="N66" s="381"/>
      <c r="O66" s="381"/>
      <c r="P66" s="381"/>
      <c r="Q66" s="381"/>
      <c r="R66" s="381"/>
      <c r="S66" s="40"/>
      <c r="T66" s="380"/>
      <c r="U66" s="40"/>
      <c r="V66" s="40"/>
      <c r="W66" s="40"/>
      <c r="X66" s="40"/>
    </row>
    <row r="67" spans="10:24" ht="15.75"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380"/>
      <c r="U67" s="40"/>
      <c r="V67" s="40"/>
      <c r="W67" s="40"/>
      <c r="X67" s="40"/>
    </row>
    <row r="68" spans="10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0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0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0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0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0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0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0:24">
      <c r="S75" s="40"/>
      <c r="T75" s="40"/>
      <c r="U75" s="40"/>
      <c r="V75" s="40"/>
      <c r="W75" s="40"/>
      <c r="X75" s="40"/>
    </row>
    <row r="76" spans="10:24">
      <c r="S76" s="40"/>
      <c r="T76" s="40"/>
      <c r="U76" s="40"/>
      <c r="V76" s="40"/>
      <c r="W76" s="40"/>
      <c r="X76" s="40"/>
    </row>
    <row r="77" spans="10:24">
      <c r="S77" s="40"/>
      <c r="T77" s="40"/>
      <c r="U77" s="40"/>
      <c r="V77" s="40"/>
      <c r="W77" s="40"/>
      <c r="X77" s="40"/>
    </row>
    <row r="78" spans="10:24">
      <c r="S78" s="40"/>
      <c r="T78" s="40"/>
      <c r="U78" s="40"/>
      <c r="V78" s="40"/>
      <c r="W78" s="40"/>
      <c r="X78" s="40"/>
    </row>
    <row r="79" spans="10:24">
      <c r="S79" s="40"/>
      <c r="T79" s="40"/>
      <c r="U79" s="40"/>
      <c r="V79" s="40"/>
      <c r="W79" s="40"/>
      <c r="X79" s="40"/>
    </row>
    <row r="80" spans="10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8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31</xdr:row>
                    <xdr:rowOff>28575</xdr:rowOff>
                  </from>
                  <to>
                    <xdr:col>3</xdr:col>
                    <xdr:colOff>619125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93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1023.9638619031831</v>
      </c>
      <c r="AA7" s="470">
        <f>C10+C11</f>
        <v>1054.6827777602787</v>
      </c>
      <c r="AB7" s="470">
        <f>D10+D11</f>
        <v>1086.323261093087</v>
      </c>
      <c r="AC7" s="470">
        <f t="shared" ref="AC7:AS7" si="0">E16</f>
        <v>781.26031592587947</v>
      </c>
      <c r="AD7" s="470">
        <f t="shared" si="0"/>
        <v>804.69812540365581</v>
      </c>
      <c r="AE7" s="470">
        <f t="shared" si="0"/>
        <v>828.83906916576552</v>
      </c>
      <c r="AF7" s="470">
        <f t="shared" si="0"/>
        <v>853.70424124073861</v>
      </c>
      <c r="AG7" s="470">
        <f t="shared" si="0"/>
        <v>879.31536847796065</v>
      </c>
      <c r="AH7" s="470">
        <f t="shared" si="0"/>
        <v>905.69482953229942</v>
      </c>
      <c r="AI7" s="470">
        <f t="shared" si="0"/>
        <v>932.86567441826844</v>
      </c>
      <c r="AJ7" s="470">
        <f t="shared" si="0"/>
        <v>960.85164465081652</v>
      </c>
      <c r="AK7" s="470">
        <f t="shared" si="0"/>
        <v>989.67719399034092</v>
      </c>
      <c r="AL7" s="470">
        <f t="shared" si="0"/>
        <v>1019.3675098100509</v>
      </c>
      <c r="AM7" s="470">
        <f t="shared" si="0"/>
        <v>1049.9485351043527</v>
      </c>
      <c r="AN7" s="470">
        <f t="shared" si="0"/>
        <v>1081.4469911574834</v>
      </c>
      <c r="AO7" s="470">
        <f t="shared" si="0"/>
        <v>1113.8904008922077</v>
      </c>
      <c r="AP7" s="470">
        <f t="shared" si="0"/>
        <v>1147.3071129189739</v>
      </c>
      <c r="AQ7" s="470">
        <f t="shared" si="0"/>
        <v>1181.7263263065431</v>
      </c>
      <c r="AR7" s="470">
        <f t="shared" si="0"/>
        <v>1217.1781160957394</v>
      </c>
      <c r="AS7" s="470">
        <f t="shared" si="0"/>
        <v>1253.6934595786115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1023.9638619031831</v>
      </c>
      <c r="AA8" s="491">
        <f>C23+C24</f>
        <v>1054.6827777602787</v>
      </c>
      <c r="AB8" s="491">
        <f>D23+D24</f>
        <v>1086.323261093087</v>
      </c>
      <c r="AC8" s="491">
        <f t="shared" ref="AC8:AS8" si="1">E23+1/3*E24</f>
        <v>781.26031592587947</v>
      </c>
      <c r="AD8" s="491">
        <f t="shared" si="1"/>
        <v>804.69812540365592</v>
      </c>
      <c r="AE8" s="491">
        <f t="shared" si="1"/>
        <v>828.83906916576552</v>
      </c>
      <c r="AF8" s="491">
        <f t="shared" si="1"/>
        <v>853.70424124073861</v>
      </c>
      <c r="AG8" s="491">
        <f t="shared" si="1"/>
        <v>879.31536847796076</v>
      </c>
      <c r="AH8" s="491">
        <f t="shared" si="1"/>
        <v>905.69482953229954</v>
      </c>
      <c r="AI8" s="491">
        <f t="shared" si="1"/>
        <v>932.86567441826855</v>
      </c>
      <c r="AJ8" s="491">
        <f t="shared" si="1"/>
        <v>960.85164465081652</v>
      </c>
      <c r="AK8" s="491">
        <f t="shared" si="1"/>
        <v>989.67719399034104</v>
      </c>
      <c r="AL8" s="491">
        <f t="shared" si="1"/>
        <v>1019.3675098100512</v>
      </c>
      <c r="AM8" s="491">
        <f t="shared" si="1"/>
        <v>1049.9485351043529</v>
      </c>
      <c r="AN8" s="491">
        <f t="shared" si="1"/>
        <v>1081.4469911574836</v>
      </c>
      <c r="AO8" s="491">
        <f t="shared" si="1"/>
        <v>1113.8904008922077</v>
      </c>
      <c r="AP8" s="491">
        <f t="shared" si="1"/>
        <v>1147.3071129189741</v>
      </c>
      <c r="AQ8" s="491">
        <f t="shared" si="1"/>
        <v>1181.7263263065433</v>
      </c>
      <c r="AR8" s="491">
        <f t="shared" si="1"/>
        <v>1217.1781160957396</v>
      </c>
      <c r="AS8" s="491">
        <f t="shared" si="1"/>
        <v>1253.6934595786117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Assumption'!C27*12*Assumptions!$D$9</f>
        <v>22368</v>
      </c>
      <c r="C9" s="56">
        <f>'Power Price Assumption'!D27*12*Assumptions!$D$9</f>
        <v>22368</v>
      </c>
      <c r="D9" s="56">
        <f>'Power Price Assumption'!E27*12*Assumptions!$D$9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469"/>
      <c r="Z9" s="471">
        <f>Z7-Z8</f>
        <v>0</v>
      </c>
      <c r="AA9" s="471">
        <f t="shared" ref="AA9:AS9" si="2">AA7-AA8</f>
        <v>0</v>
      </c>
      <c r="AB9" s="471">
        <f t="shared" si="2"/>
        <v>0</v>
      </c>
      <c r="AC9" s="471">
        <f t="shared" si="2"/>
        <v>0</v>
      </c>
      <c r="AD9" s="471">
        <f t="shared" si="2"/>
        <v>0</v>
      </c>
      <c r="AE9" s="471">
        <f t="shared" si="2"/>
        <v>0</v>
      </c>
      <c r="AF9" s="471">
        <f t="shared" si="2"/>
        <v>0</v>
      </c>
      <c r="AG9" s="471">
        <f t="shared" si="2"/>
        <v>0</v>
      </c>
      <c r="AH9" s="471">
        <f t="shared" si="2"/>
        <v>0</v>
      </c>
      <c r="AI9" s="471">
        <f t="shared" si="2"/>
        <v>0</v>
      </c>
      <c r="AJ9" s="471">
        <f t="shared" si="2"/>
        <v>0</v>
      </c>
      <c r="AK9" s="471">
        <f t="shared" si="2"/>
        <v>0</v>
      </c>
      <c r="AL9" s="471">
        <f t="shared" si="2"/>
        <v>0</v>
      </c>
      <c r="AM9" s="471">
        <f t="shared" si="2"/>
        <v>0</v>
      </c>
      <c r="AN9" s="471">
        <f t="shared" si="2"/>
        <v>0</v>
      </c>
      <c r="AO9" s="471">
        <f t="shared" si="2"/>
        <v>0</v>
      </c>
      <c r="AP9" s="471">
        <f t="shared" si="2"/>
        <v>0</v>
      </c>
      <c r="AQ9" s="471">
        <f t="shared" si="2"/>
        <v>0</v>
      </c>
      <c r="AR9" s="471">
        <f t="shared" si="2"/>
        <v>0</v>
      </c>
      <c r="AS9" s="471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Assumptions!D19*Assumptions!D17/1000*(1+Assumptions!$D$25)</f>
        <v>560.4638619031831</v>
      </c>
      <c r="C10" s="56">
        <f>B10*(1+Assumptions!$D$25)</f>
        <v>577.27777776027858</v>
      </c>
      <c r="D10" s="56">
        <f>C10*(1+Assumptions!$D$25)</f>
        <v>594.59611109308696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1732.3377507565488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Assumptions!$D$18*Assumptions!$D$11*Assumptions!$D$8/1000*(1+Assumptions!$D$25)</f>
        <v>463.5</v>
      </c>
      <c r="C11" s="91">
        <f>B11*(1+Assumptions!$D$25)</f>
        <v>477.40500000000003</v>
      </c>
      <c r="D11" s="91">
        <f>C11*(1+Assumptions!$D$25)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Contract'!$C$17/3</f>
        <v>8258.7388798454285</v>
      </c>
      <c r="C12" s="127">
        <f>'Amortization of Power Contract'!$C$17/3</f>
        <v>8258.7388798454285</v>
      </c>
      <c r="D12" s="127">
        <f>'Amortization of Power Contract'!$C$17/3</f>
        <v>8258.7388798454285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24776.216639536287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Assumption'!F27*Assumptions!$D$9*12</f>
        <v>35899.195851846322</v>
      </c>
      <c r="F15" s="19">
        <f>'Power Price Assumption'!G27*Assumptions!$D$9*12</f>
        <v>37679.306973852152</v>
      </c>
      <c r="G15" s="19">
        <f>'Power Price Assumption'!H27*Assumptions!$D$9*12</f>
        <v>38162.495338976369</v>
      </c>
      <c r="H15" s="19">
        <f>'Power Price Assumption'!I27*Assumptions!$D$9*12</f>
        <v>38651.879969768488</v>
      </c>
      <c r="I15" s="19">
        <f>'Power Price Assumption'!J27*Assumptions!$D$9*12</f>
        <v>39147.540325319365</v>
      </c>
      <c r="J15" s="19">
        <f>'Power Price Assumption'!K27*Assumptions!$D$9*12</f>
        <v>39649.556883679979</v>
      </c>
      <c r="K15" s="19">
        <f>'Power Price Assumption'!L27*Assumptions!$D$9*12</f>
        <v>40158.011154928136</v>
      </c>
      <c r="L15" s="19">
        <f>'Power Price Assumption'!M27*Assumptions!$D$9*12</f>
        <v>40917.887274189954</v>
      </c>
      <c r="M15" s="19">
        <f>'Power Price Assumption'!N27*Assumptions!$D$9*12</f>
        <v>41692.141887306876</v>
      </c>
      <c r="N15" s="19">
        <f>'Power Price Assumption'!O27*Assumptions!$D$9*12</f>
        <v>42481.047066371051</v>
      </c>
      <c r="O15" s="19">
        <f>'Power Price Assumption'!P27*Assumptions!$D$9*12</f>
        <v>43284.880031664965</v>
      </c>
      <c r="P15" s="19">
        <f>'Power Price Assumption'!Q27*Assumptions!$D$9*12</f>
        <v>44103.923249076368</v>
      </c>
      <c r="Q15" s="19">
        <f>'Power Price Assumption'!R27*Assumptions!$D$9*12</f>
        <v>44733.17225805152</v>
      </c>
      <c r="R15" s="19">
        <f>'Power Price Assumption'!S27*Assumptions!$D$9*12</f>
        <v>45371.399024244776</v>
      </c>
      <c r="S15" s="19">
        <f>'Power Price Assumption'!T27*Assumptions!$D$9*12</f>
        <v>46018.731637050834</v>
      </c>
      <c r="T15" s="19">
        <f>'Power Price Assumption'!U27*Assumptions!$D$9*12</f>
        <v>46675.300013369</v>
      </c>
      <c r="U15" s="19">
        <f>'Power Price Assumption'!V27*Assumptions!$D$9*12</f>
        <v>47341.235923677086</v>
      </c>
      <c r="W15" s="91">
        <f>SUM(B15:U15)</f>
        <v>711967.70486337319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1/3*Assumptions!$D$18*Assumptions!$D$11*Assumptions!$D$8/1000*(1+Assumptions!$D$25)^(E5-2000)+Assumptions!$D$19*Assumptions!$D$17*(1+Assumptions!$D$25)^(E5-2000)/1000</f>
        <v>781.26031592587947</v>
      </c>
      <c r="F16" s="127">
        <f>1/3*Assumptions!$D$18*Assumptions!$D$11*Assumptions!$D$8/1000*(1+Assumptions!$D$25)^(F5-2000)+Assumptions!$D$19*Assumptions!$D$17*(1+Assumptions!$D$25)^(F5-2000)/1000</f>
        <v>804.69812540365581</v>
      </c>
      <c r="G16" s="127">
        <f>1/3*Assumptions!$D$18*Assumptions!$D$11*Assumptions!$D$8/1000*(1+Assumptions!$D$25)^(G5-2000)+Assumptions!$D$19*Assumptions!$D$17*(1+Assumptions!$D$25)^(G5-2000)/1000</f>
        <v>828.83906916576552</v>
      </c>
      <c r="H16" s="127">
        <f>1/3*Assumptions!$D$18*Assumptions!$D$11*Assumptions!$D$8/1000*(1+Assumptions!$D$25)^(H5-2000)+Assumptions!$D$19*Assumptions!$D$17*(1+Assumptions!$D$25)^(H5-2000)/1000</f>
        <v>853.70424124073861</v>
      </c>
      <c r="I16" s="127">
        <f>1/3*Assumptions!$D$18*Assumptions!$D$11*Assumptions!$D$8/1000*(1+Assumptions!$D$25)^(I5-2000)+Assumptions!$D$19*Assumptions!$D$17*(1+Assumptions!$D$25)^(I5-2000)/1000</f>
        <v>879.31536847796065</v>
      </c>
      <c r="J16" s="127">
        <f>1/3*Assumptions!$D$18*Assumptions!$D$11*Assumptions!$D$8/1000*(1+Assumptions!$D$25)^(J5-2000)+Assumptions!$D$19*Assumptions!$D$17*(1+Assumptions!$D$25)^(J5-2000)/1000</f>
        <v>905.69482953229942</v>
      </c>
      <c r="K16" s="127">
        <f>1/3*Assumptions!$D$18*Assumptions!$D$11*Assumptions!$D$8/1000*(1+Assumptions!$D$25)^(K5-2000)+Assumptions!$D$19*Assumptions!$D$17*(1+Assumptions!$D$25)^(K5-2000)/1000</f>
        <v>932.86567441826844</v>
      </c>
      <c r="L16" s="127">
        <f>1/3*Assumptions!$D$18*Assumptions!$D$11*Assumptions!$D$8/1000*(1+Assumptions!$D$25)^(L5-2000)+Assumptions!$D$19*Assumptions!$D$17*(1+Assumptions!$D$25)^(L5-2000)/1000</f>
        <v>960.85164465081652</v>
      </c>
      <c r="M16" s="127">
        <f>1/3*Assumptions!$D$18*Assumptions!$D$11*Assumptions!$D$8/1000*(1+Assumptions!$D$25)^(M5-2000)+Assumptions!$D$19*Assumptions!$D$17*(1+Assumptions!$D$25)^(M5-2000)/1000</f>
        <v>989.67719399034092</v>
      </c>
      <c r="N16" s="127">
        <f>1/3*Assumptions!$D$18*Assumptions!$D$11*Assumptions!$D$8/1000*(1+Assumptions!$D$25)^(N5-2000)+Assumptions!$D$19*Assumptions!$D$17*(1+Assumptions!$D$25)^(N5-2000)/1000</f>
        <v>1019.3675098100509</v>
      </c>
      <c r="O16" s="127">
        <f>1/3*Assumptions!$D$18*Assumptions!$D$11*Assumptions!$D$8/1000*(1+Assumptions!$D$25)^(O5-2000)+Assumptions!$D$19*Assumptions!$D$17*(1+Assumptions!$D$25)^(O5-2000)/1000</f>
        <v>1049.9485351043527</v>
      </c>
      <c r="P16" s="127">
        <f>1/3*Assumptions!$D$18*Assumptions!$D$11*Assumptions!$D$8/1000*(1+Assumptions!$D$25)^(P5-2000)+Assumptions!$D$19*Assumptions!$D$17*(1+Assumptions!$D$25)^(P5-2000)/1000</f>
        <v>1081.4469911574834</v>
      </c>
      <c r="Q16" s="127">
        <f>1/3*Assumptions!$D$18*Assumptions!$D$11*Assumptions!$D$8/1000*(1+Assumptions!$D$25)^(Q5-2000)+Assumptions!$D$19*Assumptions!$D$17*(1+Assumptions!$D$25)^(Q5-2000)/1000</f>
        <v>1113.8904008922077</v>
      </c>
      <c r="R16" s="127">
        <f>1/3*Assumptions!$D$18*Assumptions!$D$11*Assumptions!$D$8/1000*(1+Assumptions!$D$25)^(R5-2000)+Assumptions!$D$19*Assumptions!$D$17*(1+Assumptions!$D$25)^(R5-2000)/1000</f>
        <v>1147.3071129189739</v>
      </c>
      <c r="S16" s="127">
        <f>1/3*Assumptions!$D$18*Assumptions!$D$11*Assumptions!$D$8/1000*(1+Assumptions!$D$25)^(S5-2000)+Assumptions!$D$19*Assumptions!$D$17*(1+Assumptions!$D$25)^(S5-2000)/1000</f>
        <v>1181.7263263065431</v>
      </c>
      <c r="T16" s="127">
        <f>1/3*Assumptions!$D$18*Assumptions!$D$11*Assumptions!$D$8/1000*(1+Assumptions!$D$25)^(T5-2000)+Assumptions!$D$19*Assumptions!$D$17*(1+Assumptions!$D$25)^(T5-2000)/1000</f>
        <v>1217.1781160957394</v>
      </c>
      <c r="U16" s="127">
        <f>1/3*Assumptions!$D$18*Assumptions!$D$11*Assumptions!$D$8/1000*(1+Assumptions!$D$25)^(U5-2000)+Assumptions!$D$19*Assumptions!$D$17*(1+Assumptions!$D$25)^(U5-2000)/1000</f>
        <v>1253.6934595786115</v>
      </c>
      <c r="W16" s="91">
        <f>SUM(B16:U16)</f>
        <v>17001.46491466969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238.74900338291783</v>
      </c>
      <c r="C18" s="198">
        <f>(SUM(C9:C11)-SUM(C22:C27))*'Summary Output'!$B$29/4</f>
        <v>238.14968365299202</v>
      </c>
      <c r="D18" s="198">
        <f>(SUM(D9:D11)-SUM(D22:D27))*'Summary Output'!$B$29/4</f>
        <v>237.52696894300735</v>
      </c>
      <c r="E18" s="198">
        <f>(SUM(E9:E16)-SUM(E22:E27))*'Summary Output'!$B$29/4</f>
        <v>402.02049133924362</v>
      </c>
      <c r="F18" s="198">
        <f>(SUM(F9:F16)-SUM(F22:F27))*'Summary Output'!$B$29/4</f>
        <v>423.71743270860929</v>
      </c>
      <c r="G18" s="198">
        <f>(SUM(G9:G16)-SUM(G22:G27))*'Summary Output'!$B$29/4</f>
        <v>429.18063940357735</v>
      </c>
      <c r="H18" s="198">
        <f>(SUM(H9:H16)-SUM(H22:H27))*'Summary Output'!$B$29/4</f>
        <v>434.71393130681213</v>
      </c>
      <c r="I18" s="198">
        <f>(SUM(I9:I16)-SUM(I22:I27))*'Summary Output'!$B$29/4</f>
        <v>440.25984653613216</v>
      </c>
      <c r="J18" s="198">
        <f>(SUM(J9:J16)-SUM(J22:J27))*'Summary Output'!$B$29/4</f>
        <v>445.97546838392623</v>
      </c>
      <c r="K18" s="198">
        <f>(SUM(K9:K16)-SUM(K22:K27))*'Summary Output'!$B$29/4</f>
        <v>446.60881257484789</v>
      </c>
      <c r="L18" s="198">
        <f>(SUM(L9:L16)-SUM(L22:L27))*'Summary Output'!$B$29/4</f>
        <v>457.43337223631181</v>
      </c>
      <c r="M18" s="198">
        <f>(SUM(M9:M16)-SUM(M22:M27))*'Summary Output'!$B$29/4</f>
        <v>468.63010401441744</v>
      </c>
      <c r="N18" s="198">
        <f>(SUM(N9:N16)-SUM(N22:N27))*'Summary Output'!$B$29/4</f>
        <v>479.06247978608718</v>
      </c>
      <c r="O18" s="198">
        <f>(SUM(O9:O16)-SUM(O22:O27))*'Summary Output'!$B$29/4</f>
        <v>488.0472943321401</v>
      </c>
      <c r="P18" s="198">
        <f>(SUM(P9:P16)-SUM(P22:P27))*'Summary Output'!$B$29/4</f>
        <v>497.18322956778013</v>
      </c>
      <c r="Q18" s="198">
        <f>(SUM(Q9:Q16)-SUM(Q22:Q27))*'Summary Output'!$B$29/4</f>
        <v>503.83311487279008</v>
      </c>
      <c r="R18" s="198">
        <f>(SUM(R9:R16)-SUM(R22:R27))*'Summary Output'!$B$29/4</f>
        <v>510.48125437039403</v>
      </c>
      <c r="S18" s="198">
        <f>(SUM(S9:S16)-SUM(S22:S27))*'Summary Output'!$B$29/4</f>
        <v>517.19927221427429</v>
      </c>
      <c r="T18" s="198">
        <f>(SUM(T9:T16)-SUM(T22:T27))*'Summary Output'!$B$29/4</f>
        <v>523.98744907967409</v>
      </c>
      <c r="U18" s="198">
        <f>(SUM(U9:U16)-SUM(U22:U27))*'Summary Output'!$B$29/4</f>
        <v>530.84605156890939</v>
      </c>
      <c r="W18" s="91">
        <f>SUM(B18:U18)</f>
        <v>8713.6059002748443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31889.451745131526</v>
      </c>
      <c r="C19" s="56">
        <f t="shared" ref="C19:U19" si="3">SUM(C9:C18)</f>
        <v>31919.571341258699</v>
      </c>
      <c r="D19" s="56">
        <f t="shared" si="3"/>
        <v>31950.589109881519</v>
      </c>
      <c r="E19" s="56">
        <f t="shared" si="3"/>
        <v>37082.476659111446</v>
      </c>
      <c r="F19" s="56">
        <f t="shared" si="3"/>
        <v>38907.72253196442</v>
      </c>
      <c r="G19" s="56">
        <f t="shared" si="3"/>
        <v>39420.515047545705</v>
      </c>
      <c r="H19" s="56">
        <f t="shared" si="3"/>
        <v>39940.298142316038</v>
      </c>
      <c r="I19" s="56">
        <f t="shared" si="3"/>
        <v>40467.115540333456</v>
      </c>
      <c r="J19" s="56">
        <f t="shared" si="3"/>
        <v>41001.227181596209</v>
      </c>
      <c r="K19" s="56">
        <f t="shared" si="3"/>
        <v>41537.485641921252</v>
      </c>
      <c r="L19" s="56">
        <f t="shared" si="3"/>
        <v>42336.172291077084</v>
      </c>
      <c r="M19" s="56">
        <f t="shared" si="3"/>
        <v>43150.449185311634</v>
      </c>
      <c r="N19" s="56">
        <f t="shared" si="3"/>
        <v>43979.477055967189</v>
      </c>
      <c r="O19" s="56">
        <f t="shared" si="3"/>
        <v>44822.875861101456</v>
      </c>
      <c r="P19" s="56">
        <f t="shared" si="3"/>
        <v>45682.553469801634</v>
      </c>
      <c r="Q19" s="56">
        <f t="shared" si="3"/>
        <v>46350.895773816519</v>
      </c>
      <c r="R19" s="56">
        <f t="shared" si="3"/>
        <v>47029.187391534149</v>
      </c>
      <c r="S19" s="56">
        <f t="shared" si="3"/>
        <v>47717.657235571649</v>
      </c>
      <c r="T19" s="56">
        <f t="shared" si="3"/>
        <v>48416.465578544412</v>
      </c>
      <c r="U19" s="56">
        <f t="shared" si="3"/>
        <v>49125.775434824609</v>
      </c>
      <c r="W19" s="91">
        <f>SUM(B19:U19)</f>
        <v>832727.96221861057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Assumptions!D28*(1+Assumptions!$D$25)</f>
        <v>1772.9410188000002</v>
      </c>
      <c r="C22" s="127">
        <f>B22*(1+Assumptions!$D$25)</f>
        <v>1826.1292493640003</v>
      </c>
      <c r="D22" s="127">
        <f>C22*(1+Assumptions!$D$25)</f>
        <v>1880.9131268449203</v>
      </c>
      <c r="E22" s="127">
        <f>D22*(1+Assumptions!$D$25)</f>
        <v>1937.340520650268</v>
      </c>
      <c r="F22" s="127">
        <f>E22*(1+Assumptions!$D$25)</f>
        <v>1995.4607362697761</v>
      </c>
      <c r="G22" s="127">
        <f>F22*(1+Assumptions!$D$25)</f>
        <v>2055.3245583578696</v>
      </c>
      <c r="H22" s="127">
        <f>G22*(1+Assumptions!$D$25)</f>
        <v>2116.9842951086057</v>
      </c>
      <c r="I22" s="127">
        <f>H22*(1+Assumptions!$D$25)</f>
        <v>2180.4938239618641</v>
      </c>
      <c r="J22" s="127">
        <f>I22*(1+Assumptions!$D$25)</f>
        <v>2245.9086386807203</v>
      </c>
      <c r="K22" s="127">
        <f>J22*(1+Assumptions!$D$25)</f>
        <v>2313.2858978411418</v>
      </c>
      <c r="L22" s="127">
        <f>K22*(1+Assumptions!$D$25)</f>
        <v>2382.6844747763762</v>
      </c>
      <c r="M22" s="127">
        <f>L22*(1+Assumptions!$D$25)</f>
        <v>2454.1650090196677</v>
      </c>
      <c r="N22" s="127">
        <f>M22*(1+Assumptions!$D$25)</f>
        <v>2527.7899592902577</v>
      </c>
      <c r="O22" s="127">
        <f>N22*(1+Assumptions!$D$25)</f>
        <v>2603.6236580689656</v>
      </c>
      <c r="P22" s="127">
        <f>O22*(1+Assumptions!$D$25)</f>
        <v>2681.7323678110347</v>
      </c>
      <c r="Q22" s="127">
        <f>P22*(1+Assumptions!$D$25)</f>
        <v>2762.1843388453658</v>
      </c>
      <c r="R22" s="127">
        <f>Q22*(1+Assumptions!$D$25)</f>
        <v>2845.049869010727</v>
      </c>
      <c r="S22" s="127">
        <f>R22*(1+Assumptions!$D$25)</f>
        <v>2930.4013650810489</v>
      </c>
      <c r="T22" s="127">
        <f>S22*(1+Assumptions!$D$25)</f>
        <v>3018.3134060334805</v>
      </c>
      <c r="U22" s="127">
        <f>T22*(1+Assumptions!$D$25)</f>
        <v>3108.8628082144851</v>
      </c>
      <c r="W22" s="91">
        <f t="shared" ref="W22:W28" si="4">SUM(B22:U22)</f>
        <v>47639.589122030571</v>
      </c>
    </row>
    <row r="23" spans="1:55">
      <c r="A23" s="3" t="s">
        <v>49</v>
      </c>
      <c r="B23" s="127">
        <f>Assumptions!$D$29*(1+Assumptions!$D$25)</f>
        <v>560.4638619031831</v>
      </c>
      <c r="C23" s="127">
        <f>B23*(1+Assumptions!$D$25)</f>
        <v>577.27777776027858</v>
      </c>
      <c r="D23" s="127">
        <f>C23*(1+Assumptions!$D$25)</f>
        <v>594.59611109308696</v>
      </c>
      <c r="E23" s="127">
        <f>Assumptions!$D$19*Assumptions!$D$23*(1+Assumptions!$D$25)^(E5-2000)/1000</f>
        <v>612.43399442587952</v>
      </c>
      <c r="F23" s="127">
        <f>Assumptions!$D$19*Assumptions!$D$23*(1+Assumptions!$D$25)^(F5-2000)/1000</f>
        <v>630.80701425865584</v>
      </c>
      <c r="G23" s="127">
        <f>Assumptions!$D$19*Assumptions!$D$23*(1+Assumptions!$D$25)^(G5-2000)/1000</f>
        <v>649.73122468641554</v>
      </c>
      <c r="H23" s="127">
        <f>Assumptions!$D$19*Assumptions!$D$23*(1+Assumptions!$D$25)^(H5-2000)/1000</f>
        <v>669.22316142700811</v>
      </c>
      <c r="I23" s="127">
        <f>Assumptions!$D$19*Assumptions!$D$23*(1+Assumptions!$D$25)^(I5-2000)/1000</f>
        <v>689.29985626981829</v>
      </c>
      <c r="J23" s="127">
        <f>Assumptions!$D$19*Assumptions!$D$23*(1+Assumptions!$D$25)^(J5-2000)/1000</f>
        <v>709.97885195791275</v>
      </c>
      <c r="K23" s="127">
        <f>Assumptions!$D$19*Assumptions!$D$23*(1+Assumptions!$D$25)^(K5-2000)/1000</f>
        <v>731.27821751665022</v>
      </c>
      <c r="L23" s="127">
        <f>Assumptions!$D$19*Assumptions!$D$23*(1+Assumptions!$D$25)^(L5-2000)/1000</f>
        <v>753.21656404214968</v>
      </c>
      <c r="M23" s="127">
        <f>Assumptions!$D$19*Assumptions!$D$23*(1+Assumptions!$D$25)^(M5-2000)/1000</f>
        <v>775.81306096341416</v>
      </c>
      <c r="N23" s="127">
        <f>Assumptions!$D$19*Assumptions!$D$23*(1+Assumptions!$D$25)^(N5-2000)/1000</f>
        <v>799.08745279231641</v>
      </c>
      <c r="O23" s="127">
        <f>Assumptions!$D$19*Assumptions!$D$23*(1+Assumptions!$D$25)^(O5-2000)/1000</f>
        <v>823.06007637608604</v>
      </c>
      <c r="P23" s="127">
        <f>Assumptions!$D$19*Assumptions!$D$23*(1+Assumptions!$D$25)^(P5-2000)/1000</f>
        <v>847.75187866736871</v>
      </c>
      <c r="Q23" s="127">
        <f>Assumptions!$D$19*Assumptions!$D$23*(1+Assumptions!$D$25)^(Q5-2000)/1000</f>
        <v>873.18443502738955</v>
      </c>
      <c r="R23" s="127">
        <f>Assumptions!$D$19*Assumptions!$D$23*(1+Assumptions!$D$25)^(R5-2000)/1000</f>
        <v>899.37996807821128</v>
      </c>
      <c r="S23" s="127">
        <f>Assumptions!$D$19*Assumptions!$D$23*(1+Assumptions!$D$25)^(S5-2000)/1000</f>
        <v>926.3613671205577</v>
      </c>
      <c r="T23" s="127">
        <f>Assumptions!$D$19*Assumptions!$D$23*(1+Assumptions!$D$25)^(T5-2000)/1000</f>
        <v>954.15220813417432</v>
      </c>
      <c r="U23" s="127">
        <f>Assumptions!$D$19*Assumptions!$D$23*(1+Assumptions!$D$25)^(U5-2000)/1000</f>
        <v>982.77677437819955</v>
      </c>
      <c r="W23" s="91">
        <f t="shared" si="4"/>
        <v>15059.873856878756</v>
      </c>
    </row>
    <row r="24" spans="1:55">
      <c r="A24" s="3" t="s">
        <v>256</v>
      </c>
      <c r="B24" s="127">
        <f>Assumptions!$D$24*Assumptions!$D$11*Assumptions!$D$8/1000*(1+Assumptions!$D$25)</f>
        <v>463.5</v>
      </c>
      <c r="C24" s="91">
        <f>B24*(1+Assumptions!$D$25)</f>
        <v>477.40500000000003</v>
      </c>
      <c r="D24" s="91">
        <f>C24*(1+Assumptions!$D$25)</f>
        <v>491.72715000000005</v>
      </c>
      <c r="E24" s="91">
        <f>D24*(1+Assumptions!$D$25)</f>
        <v>506.47896450000007</v>
      </c>
      <c r="F24" s="91">
        <f>E24*(1+Assumptions!$D$25)</f>
        <v>521.67333343500013</v>
      </c>
      <c r="G24" s="91">
        <f>F24*(1+Assumptions!$D$25)</f>
        <v>537.32353343805016</v>
      </c>
      <c r="H24" s="91">
        <f>G24*(1+Assumptions!$D$25)</f>
        <v>553.44323944119174</v>
      </c>
      <c r="I24" s="91">
        <f>H24*(1+Assumptions!$D$25)</f>
        <v>570.04653662442752</v>
      </c>
      <c r="J24" s="91">
        <f>I24*(1+Assumptions!$D$25)</f>
        <v>587.14793272316035</v>
      </c>
      <c r="K24" s="91">
        <f>J24*(1+Assumptions!$D$25)</f>
        <v>604.76237070485513</v>
      </c>
      <c r="L24" s="91">
        <f>K24*(1+Assumptions!$D$25)</f>
        <v>622.90524182600075</v>
      </c>
      <c r="M24" s="91">
        <f>L24*(1+Assumptions!$D$25)</f>
        <v>641.59239908078075</v>
      </c>
      <c r="N24" s="91">
        <f>M24*(1+Assumptions!$D$25)</f>
        <v>660.84017105320424</v>
      </c>
      <c r="O24" s="91">
        <f>N24*(1+Assumptions!$D$25)</f>
        <v>680.66537618480038</v>
      </c>
      <c r="P24" s="91">
        <f>O24*(1+Assumptions!$D$25)</f>
        <v>701.08533747034437</v>
      </c>
      <c r="Q24" s="91">
        <f>P24*(1+Assumptions!$D$25)</f>
        <v>722.11789759445469</v>
      </c>
      <c r="R24" s="91">
        <f>Q24*(1+Assumptions!$D$25)</f>
        <v>743.78143452228835</v>
      </c>
      <c r="S24" s="91">
        <f>R24*(1+Assumptions!$D$25)</f>
        <v>766.09487755795703</v>
      </c>
      <c r="T24" s="91">
        <f>S24*(1+Assumptions!$D$25)</f>
        <v>789.07772388469573</v>
      </c>
      <c r="U24" s="91">
        <f>T24*(1+Assumptions!$D$25)</f>
        <v>812.75005560123657</v>
      </c>
      <c r="W24" s="91">
        <f t="shared" si="4"/>
        <v>12454.418575642445</v>
      </c>
    </row>
    <row r="25" spans="1:55">
      <c r="A25" s="3" t="s">
        <v>112</v>
      </c>
      <c r="B25" s="127">
        <f>Assumptions!D31*(1+Assumptions!$D$25)</f>
        <v>423.2585866666667</v>
      </c>
      <c r="C25" s="127">
        <f>B25*(1+Assumptions!$D$25)</f>
        <v>435.95634426666669</v>
      </c>
      <c r="D25" s="127">
        <f>C25*(1+Assumptions!$D$25)</f>
        <v>449.03503459466668</v>
      </c>
      <c r="E25" s="127">
        <f>D25*(1+Assumptions!$D$25)</f>
        <v>462.50608563250671</v>
      </c>
      <c r="F25" s="127">
        <f>E25*(1+Assumptions!$D$25)</f>
        <v>476.38126820148193</v>
      </c>
      <c r="G25" s="127">
        <f>F25*(1+Assumptions!$D$25)</f>
        <v>490.67270624752638</v>
      </c>
      <c r="H25" s="127">
        <f>G25*(1+Assumptions!$D$25)</f>
        <v>505.39288743495217</v>
      </c>
      <c r="I25" s="127">
        <f>H25*(1+Assumptions!$D$25)</f>
        <v>520.55467405800073</v>
      </c>
      <c r="J25" s="127">
        <f>I25*(1+Assumptions!$D$25)</f>
        <v>536.17131427974073</v>
      </c>
      <c r="K25" s="127">
        <f>J25*(1+Assumptions!$D$25)</f>
        <v>552.25645370813299</v>
      </c>
      <c r="L25" s="127">
        <f>K25*(1+Assumptions!$D$25)</f>
        <v>568.82414731937695</v>
      </c>
      <c r="M25" s="127">
        <f>L25*(1+Assumptions!$D$25)</f>
        <v>585.8888717389583</v>
      </c>
      <c r="N25" s="127">
        <f>M25*(1+Assumptions!$D$25)</f>
        <v>603.46553789112704</v>
      </c>
      <c r="O25" s="127">
        <f>N25*(1+Assumptions!$D$25)</f>
        <v>621.56950402786083</v>
      </c>
      <c r="P25" s="127">
        <f>O25*(1+Assumptions!$D$25)</f>
        <v>640.2165891486967</v>
      </c>
      <c r="Q25" s="127">
        <f>P25*(1+Assumptions!$D$25)</f>
        <v>659.42308682315763</v>
      </c>
      <c r="R25" s="127">
        <f>Q25*(1+Assumptions!$D$25)</f>
        <v>679.20577942785235</v>
      </c>
      <c r="S25" s="127">
        <f>R25*(1+Assumptions!$D$25)</f>
        <v>699.58195281068788</v>
      </c>
      <c r="T25" s="127">
        <f>S25*(1+Assumptions!$D$25)</f>
        <v>720.5694113950085</v>
      </c>
      <c r="U25" s="127">
        <f>T25*(1+Assumptions!$D$25)</f>
        <v>742.18649373685878</v>
      </c>
      <c r="W25" s="91">
        <f t="shared" si="4"/>
        <v>11373.116729409925</v>
      </c>
    </row>
    <row r="26" spans="1:55">
      <c r="A26" s="3" t="s">
        <v>189</v>
      </c>
      <c r="B26" s="456">
        <v>579.4</v>
      </c>
      <c r="C26" s="456">
        <v>573.6</v>
      </c>
      <c r="D26" s="456">
        <v>567.9</v>
      </c>
      <c r="E26" s="456">
        <v>562.20000000000005</v>
      </c>
      <c r="F26" s="456">
        <v>556.6</v>
      </c>
      <c r="G26" s="456">
        <v>551</v>
      </c>
      <c r="H26" s="456">
        <v>534.5</v>
      </c>
      <c r="I26" s="456">
        <v>518.5</v>
      </c>
      <c r="J26" s="456">
        <v>492.6</v>
      </c>
      <c r="K26" s="456">
        <v>877.7</v>
      </c>
      <c r="L26" s="456">
        <v>694.8</v>
      </c>
      <c r="M26" s="456">
        <v>493.7</v>
      </c>
      <c r="N26" s="456">
        <v>365.7</v>
      </c>
      <c r="O26" s="456">
        <v>365.7</v>
      </c>
      <c r="P26" s="456">
        <v>365.7</v>
      </c>
      <c r="Q26" s="456">
        <v>365.7</v>
      </c>
      <c r="R26" s="456">
        <v>365.7</v>
      </c>
      <c r="S26" s="456">
        <v>365.7</v>
      </c>
      <c r="T26" s="456">
        <v>365.7</v>
      </c>
      <c r="U26" s="456">
        <f>T26</f>
        <v>365.7</v>
      </c>
      <c r="W26" s="91">
        <f t="shared" si="4"/>
        <v>9928.100000000004</v>
      </c>
    </row>
    <row r="27" spans="1:55" s="16" customFormat="1">
      <c r="A27" s="3" t="s">
        <v>185</v>
      </c>
      <c r="B27" s="146">
        <f>B81</f>
        <v>492.48012389990953</v>
      </c>
      <c r="C27" s="146">
        <f t="shared" ref="C27:U27" si="5">C81</f>
        <v>480.3397141299701</v>
      </c>
      <c r="D27" s="146">
        <f t="shared" si="5"/>
        <v>467.99432311982281</v>
      </c>
      <c r="E27" s="146">
        <f t="shared" si="5"/>
        <v>437.85729542405795</v>
      </c>
      <c r="F27" s="146">
        <f t="shared" si="5"/>
        <v>405.68813040215747</v>
      </c>
      <c r="G27" s="146">
        <f t="shared" si="5"/>
        <v>372.83123312608302</v>
      </c>
      <c r="H27" s="146">
        <f t="shared" si="5"/>
        <v>348.9261230525002</v>
      </c>
      <c r="I27" s="146">
        <f t="shared" si="5"/>
        <v>327.17307999264557</v>
      </c>
      <c r="J27" s="146">
        <f t="shared" si="5"/>
        <v>305.40750485665325</v>
      </c>
      <c r="K27" s="146">
        <f t="shared" si="5"/>
        <v>282.88888358778951</v>
      </c>
      <c r="L27" s="146">
        <f t="shared" si="5"/>
        <v>261.63871197191889</v>
      </c>
      <c r="M27" s="146">
        <f t="shared" si="5"/>
        <v>240.25141934100481</v>
      </c>
      <c r="N27" s="146">
        <f t="shared" si="5"/>
        <v>218.53307226722612</v>
      </c>
      <c r="O27" s="146">
        <f t="shared" si="5"/>
        <v>196.42640554040241</v>
      </c>
      <c r="P27" s="146">
        <f t="shared" si="5"/>
        <v>174.22570171400204</v>
      </c>
      <c r="Q27" s="146">
        <f t="shared" si="5"/>
        <v>157.80371083015464</v>
      </c>
      <c r="R27" s="146">
        <f t="shared" si="5"/>
        <v>147.08873649315333</v>
      </c>
      <c r="S27" s="146">
        <f t="shared" si="5"/>
        <v>136.37662364518297</v>
      </c>
      <c r="T27" s="146">
        <f t="shared" si="5"/>
        <v>125.66945364345278</v>
      </c>
      <c r="U27" s="146">
        <f t="shared" si="5"/>
        <v>114.96912581217008</v>
      </c>
      <c r="V27" s="91"/>
      <c r="W27" s="91">
        <f t="shared" si="4"/>
        <v>5694.5693728502583</v>
      </c>
    </row>
    <row r="28" spans="1:55">
      <c r="A28" s="3" t="s">
        <v>62</v>
      </c>
      <c r="B28" s="127">
        <f t="shared" ref="B28:U28" si="6">SUM(B22:B27)</f>
        <v>4292.0435912697594</v>
      </c>
      <c r="C28" s="127">
        <f t="shared" si="6"/>
        <v>4370.708085520916</v>
      </c>
      <c r="D28" s="127">
        <f t="shared" si="6"/>
        <v>4452.1657456524972</v>
      </c>
      <c r="E28" s="127">
        <f t="shared" si="6"/>
        <v>4518.8168606327126</v>
      </c>
      <c r="F28" s="127">
        <f t="shared" si="6"/>
        <v>4586.6104825670709</v>
      </c>
      <c r="G28" s="127">
        <f t="shared" si="6"/>
        <v>4656.8832558559452</v>
      </c>
      <c r="H28" s="127">
        <f t="shared" si="6"/>
        <v>4728.4697064642578</v>
      </c>
      <c r="I28" s="127">
        <f t="shared" si="6"/>
        <v>4806.0679709067563</v>
      </c>
      <c r="J28" s="127">
        <f t="shared" si="6"/>
        <v>4877.2142424981876</v>
      </c>
      <c r="K28" s="127">
        <f t="shared" si="6"/>
        <v>5362.1718233585698</v>
      </c>
      <c r="L28" s="127">
        <f t="shared" si="6"/>
        <v>5284.0691399358229</v>
      </c>
      <c r="M28" s="127">
        <f t="shared" si="6"/>
        <v>5191.4107601438254</v>
      </c>
      <c r="N28" s="127">
        <f t="shared" si="6"/>
        <v>5175.4161932941315</v>
      </c>
      <c r="O28" s="127">
        <f t="shared" si="6"/>
        <v>5291.0450201981148</v>
      </c>
      <c r="P28" s="127">
        <f t="shared" si="6"/>
        <v>5410.7118748114463</v>
      </c>
      <c r="Q28" s="127">
        <f t="shared" si="6"/>
        <v>5540.4134691205227</v>
      </c>
      <c r="R28" s="127">
        <f t="shared" si="6"/>
        <v>5680.2057875322325</v>
      </c>
      <c r="S28" s="127">
        <f t="shared" si="6"/>
        <v>5824.5161862154337</v>
      </c>
      <c r="T28" s="127">
        <f t="shared" si="6"/>
        <v>5973.4822030908117</v>
      </c>
      <c r="U28" s="127">
        <f t="shared" si="6"/>
        <v>6127.2452577429503</v>
      </c>
      <c r="W28" s="91">
        <f t="shared" si="4"/>
        <v>102149.66765681197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32">
        <f t="shared" ref="B31:U31" si="7">B19-B28</f>
        <v>27597.408153861768</v>
      </c>
      <c r="C31" s="132">
        <f t="shared" si="7"/>
        <v>27548.863255737782</v>
      </c>
      <c r="D31" s="132">
        <f t="shared" si="7"/>
        <v>27498.42336422902</v>
      </c>
      <c r="E31" s="132">
        <f t="shared" si="7"/>
        <v>32563.659798478733</v>
      </c>
      <c r="F31" s="132">
        <f t="shared" si="7"/>
        <v>34321.11204939735</v>
      </c>
      <c r="G31" s="132">
        <f t="shared" si="7"/>
        <v>34763.631791689761</v>
      </c>
      <c r="H31" s="132">
        <f t="shared" si="7"/>
        <v>35211.828435851778</v>
      </c>
      <c r="I31" s="132">
        <f t="shared" si="7"/>
        <v>35661.047569426701</v>
      </c>
      <c r="J31" s="132">
        <f t="shared" si="7"/>
        <v>36124.012939098022</v>
      </c>
      <c r="K31" s="132">
        <f t="shared" si="7"/>
        <v>36175.313818562681</v>
      </c>
      <c r="L31" s="132">
        <f t="shared" si="7"/>
        <v>37052.103151141258</v>
      </c>
      <c r="M31" s="132">
        <f t="shared" si="7"/>
        <v>37959.038425167812</v>
      </c>
      <c r="N31" s="132">
        <f t="shared" si="7"/>
        <v>38804.060862673054</v>
      </c>
      <c r="O31" s="132">
        <f t="shared" si="7"/>
        <v>39531.830840903342</v>
      </c>
      <c r="P31" s="132">
        <f t="shared" si="7"/>
        <v>40271.84159499019</v>
      </c>
      <c r="Q31" s="132">
        <f t="shared" si="7"/>
        <v>40810.482304695994</v>
      </c>
      <c r="R31" s="132">
        <f t="shared" si="7"/>
        <v>41348.981604001914</v>
      </c>
      <c r="S31" s="132">
        <f t="shared" si="7"/>
        <v>41893.141049356214</v>
      </c>
      <c r="T31" s="132">
        <f t="shared" si="7"/>
        <v>42442.983375453601</v>
      </c>
      <c r="U31" s="132">
        <f t="shared" si="7"/>
        <v>42998.530177081659</v>
      </c>
      <c r="W31" s="91">
        <f>SUM(B31:U31)</f>
        <v>730578.29456179868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Depreciation!C21</f>
        <v>6693.8699436026827</v>
      </c>
      <c r="C33" s="127">
        <f>Depreciation!D21</f>
        <v>6693.8699436026827</v>
      </c>
      <c r="D33" s="127">
        <f>Depreciation!E21</f>
        <v>6693.8699436026827</v>
      </c>
      <c r="E33" s="127">
        <f>Depreciation!F21</f>
        <v>6693.8699436026827</v>
      </c>
      <c r="F33" s="127">
        <f>Depreciation!G21</f>
        <v>6693.8699436026827</v>
      </c>
      <c r="G33" s="127">
        <f>Depreciation!H21</f>
        <v>6693.8699436026827</v>
      </c>
      <c r="H33" s="127">
        <f>Depreciation!I21</f>
        <v>6693.8699436026827</v>
      </c>
      <c r="I33" s="127">
        <f>Depreciation!J21</f>
        <v>6693.8699436026827</v>
      </c>
      <c r="J33" s="127">
        <f>Depreciation!K21</f>
        <v>6693.8699436026827</v>
      </c>
      <c r="K33" s="127">
        <f>Depreciation!L21</f>
        <v>6693.8699436026827</v>
      </c>
      <c r="L33" s="127">
        <f>Depreciation!M21</f>
        <v>6693.8699436026827</v>
      </c>
      <c r="M33" s="127">
        <f>Depreciation!N21</f>
        <v>6693.8699436026827</v>
      </c>
      <c r="N33" s="127">
        <f>Depreciation!O21</f>
        <v>6693.8699436026827</v>
      </c>
      <c r="O33" s="127">
        <f>Depreciation!P21</f>
        <v>6693.8699436026827</v>
      </c>
      <c r="P33" s="127">
        <f>Depreciation!Q21</f>
        <v>6693.8699436026827</v>
      </c>
      <c r="Q33" s="127">
        <f>Depreciation!R21</f>
        <v>6693.8699436026827</v>
      </c>
      <c r="R33" s="127">
        <f>Depreciation!S21</f>
        <v>6693.8699436026827</v>
      </c>
      <c r="S33" s="127">
        <f>Depreciation!T21</f>
        <v>6693.8699436026827</v>
      </c>
      <c r="T33" s="127">
        <f>Depreciation!U21</f>
        <v>6693.8699436026827</v>
      </c>
      <c r="U33" s="127">
        <f>Depreciation!V21</f>
        <v>6693.8699436026827</v>
      </c>
      <c r="W33" s="91">
        <f>SUM(B33:U33)</f>
        <v>133877.39887205363</v>
      </c>
    </row>
    <row r="34" spans="1:23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20903.538210259085</v>
      </c>
      <c r="C35" s="132">
        <f t="shared" si="8"/>
        <v>20854.993312135099</v>
      </c>
      <c r="D35" s="132">
        <f t="shared" si="8"/>
        <v>20804.553420626336</v>
      </c>
      <c r="E35" s="132">
        <f t="shared" si="8"/>
        <v>25869.78985487605</v>
      </c>
      <c r="F35" s="132">
        <f t="shared" si="8"/>
        <v>27627.242105794667</v>
      </c>
      <c r="G35" s="132">
        <f t="shared" si="8"/>
        <v>28069.761848087077</v>
      </c>
      <c r="H35" s="132">
        <f t="shared" si="8"/>
        <v>28517.958492249094</v>
      </c>
      <c r="I35" s="132">
        <f t="shared" si="8"/>
        <v>28967.177625824017</v>
      </c>
      <c r="J35" s="132">
        <f t="shared" si="8"/>
        <v>29430.142995495338</v>
      </c>
      <c r="K35" s="132">
        <f t="shared" si="8"/>
        <v>29481.443874959998</v>
      </c>
      <c r="L35" s="132">
        <f t="shared" si="8"/>
        <v>30358.233207538575</v>
      </c>
      <c r="M35" s="132">
        <f t="shared" si="8"/>
        <v>31265.168481565128</v>
      </c>
      <c r="N35" s="132">
        <f t="shared" si="8"/>
        <v>32110.19091907037</v>
      </c>
      <c r="O35" s="132">
        <f t="shared" si="8"/>
        <v>32837.960897300662</v>
      </c>
      <c r="P35" s="132">
        <f t="shared" si="8"/>
        <v>33577.97165138751</v>
      </c>
      <c r="Q35" s="132">
        <f t="shared" si="8"/>
        <v>34116.612361093314</v>
      </c>
      <c r="R35" s="132">
        <f t="shared" si="8"/>
        <v>34655.111660399234</v>
      </c>
      <c r="S35" s="132">
        <f t="shared" si="8"/>
        <v>35199.271105753534</v>
      </c>
      <c r="T35" s="132">
        <f t="shared" si="8"/>
        <v>35749.113431850921</v>
      </c>
      <c r="U35" s="132">
        <f t="shared" si="8"/>
        <v>36304.660233478979</v>
      </c>
      <c r="W35" s="91">
        <f>SUM(B35:U35)</f>
        <v>596700.89568974508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IS!B38*Allocation!$E$8</f>
        <v>12499.099364782833</v>
      </c>
      <c r="C37" s="127">
        <f>IS!C38*Allocation!$E$8</f>
        <v>12311.554821474587</v>
      </c>
      <c r="D37" s="127">
        <f>IS!D38*Allocation!$E$8</f>
        <v>12047.016900990198</v>
      </c>
      <c r="E37" s="127">
        <f>IS!E38*Allocation!$E$8</f>
        <v>11839.355515782559</v>
      </c>
      <c r="F37" s="127">
        <f>IS!F38*Allocation!$E$8</f>
        <v>11471.958275317575</v>
      </c>
      <c r="G37" s="127">
        <f>IS!G38*Allocation!$E$8</f>
        <v>11036.497481793214</v>
      </c>
      <c r="H37" s="127">
        <f>IS!H38*Allocation!$E$8</f>
        <v>10547.098180399027</v>
      </c>
      <c r="I37" s="127">
        <f>IS!I38*Allocation!$E$8</f>
        <v>10035.096656043352</v>
      </c>
      <c r="J37" s="127">
        <f>IS!J38*Allocation!$E$8</f>
        <v>9399.1108807762794</v>
      </c>
      <c r="K37" s="127">
        <f>IS!K38*Allocation!$E$8</f>
        <v>8694.3912639748396</v>
      </c>
      <c r="L37" s="127">
        <f>IS!L38*Allocation!$E$8</f>
        <v>7952.8652228521869</v>
      </c>
      <c r="M37" s="127">
        <f>IS!M38*Allocation!$E$8</f>
        <v>7144.3551396098246</v>
      </c>
      <c r="N37" s="127">
        <f>IS!N38*Allocation!$E$8</f>
        <v>6295.663592171506</v>
      </c>
      <c r="O37" s="127">
        <f>IS!O38*Allocation!$E$8</f>
        <v>5467.0627768311651</v>
      </c>
      <c r="P37" s="127">
        <f>IS!P38*Allocation!$E$8</f>
        <v>4628.0193210783164</v>
      </c>
      <c r="Q37" s="127">
        <f>IS!Q38*Allocation!$E$8</f>
        <v>3758.4424928149806</v>
      </c>
      <c r="R37" s="127">
        <f>IS!R38*Allocation!$E$8</f>
        <v>2836.0849276840759</v>
      </c>
      <c r="S37" s="127">
        <f>IS!S38*Allocation!$E$8</f>
        <v>1966.3945924597347</v>
      </c>
      <c r="T37" s="127">
        <f>IS!T38*Allocation!$E$8</f>
        <v>1220.653858653428</v>
      </c>
      <c r="U37" s="127">
        <f>IS!U38*Allocation!$E$8</f>
        <v>476.72923622320968</v>
      </c>
      <c r="W37" s="91">
        <f>SUM(B37:U37)</f>
        <v>151627.45050171282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8404.438845476252</v>
      </c>
      <c r="C39" s="132">
        <f t="shared" si="9"/>
        <v>8543.4384906605119</v>
      </c>
      <c r="D39" s="132">
        <f t="shared" si="9"/>
        <v>8757.5365196361381</v>
      </c>
      <c r="E39" s="132">
        <f t="shared" si="9"/>
        <v>14030.43433909349</v>
      </c>
      <c r="F39" s="132">
        <f t="shared" si="9"/>
        <v>16155.283830477092</v>
      </c>
      <c r="G39" s="132">
        <f t="shared" si="9"/>
        <v>17033.264366293864</v>
      </c>
      <c r="H39" s="132">
        <f t="shared" si="9"/>
        <v>17970.860311850069</v>
      </c>
      <c r="I39" s="132">
        <f t="shared" si="9"/>
        <v>18932.080969780665</v>
      </c>
      <c r="J39" s="132">
        <f t="shared" si="9"/>
        <v>20031.032114719059</v>
      </c>
      <c r="K39" s="132">
        <f t="shared" si="9"/>
        <v>20787.052610985156</v>
      </c>
      <c r="L39" s="132">
        <f t="shared" si="9"/>
        <v>22405.367984686389</v>
      </c>
      <c r="M39" s="132">
        <f t="shared" si="9"/>
        <v>24120.813341955305</v>
      </c>
      <c r="N39" s="132">
        <f t="shared" si="9"/>
        <v>25814.527326898864</v>
      </c>
      <c r="O39" s="132">
        <f t="shared" si="9"/>
        <v>27370.898120469497</v>
      </c>
      <c r="P39" s="132">
        <f t="shared" si="9"/>
        <v>28949.952330309192</v>
      </c>
      <c r="Q39" s="132">
        <f t="shared" si="9"/>
        <v>30358.169868278332</v>
      </c>
      <c r="R39" s="132">
        <f t="shared" si="9"/>
        <v>31819.02673271516</v>
      </c>
      <c r="S39" s="132">
        <f t="shared" si="9"/>
        <v>33232.876513293799</v>
      </c>
      <c r="T39" s="132">
        <f t="shared" si="9"/>
        <v>34528.459573197491</v>
      </c>
      <c r="U39" s="132">
        <f t="shared" si="9"/>
        <v>35827.930997255768</v>
      </c>
      <c r="W39" s="91">
        <f>SUM(B39:U39)</f>
        <v>445073.445188032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B39*-Assumptions!$D$38</f>
        <v>-420.2219422738126</v>
      </c>
      <c r="C41" s="127">
        <f>C39*-Assumptions!$D$38</f>
        <v>-427.17192453302562</v>
      </c>
      <c r="D41" s="127">
        <f>D39*-Assumptions!$D$38</f>
        <v>-437.87682598180692</v>
      </c>
      <c r="E41" s="127">
        <f>E39*-Assumptions!$D$38</f>
        <v>-701.5217169546745</v>
      </c>
      <c r="F41" s="127">
        <f>F39*-Assumptions!$D$38</f>
        <v>-807.76419152385461</v>
      </c>
      <c r="G41" s="127">
        <f>G39*-Assumptions!$D$38</f>
        <v>-851.66321831469327</v>
      </c>
      <c r="H41" s="127">
        <f>H39*-Assumptions!$D$38</f>
        <v>-898.54301559250348</v>
      </c>
      <c r="I41" s="127">
        <f>I39*-Assumptions!$D$38</f>
        <v>-946.60404848903329</v>
      </c>
      <c r="J41" s="127">
        <f>J39*-Assumptions!$D$38</f>
        <v>-1001.551605735953</v>
      </c>
      <c r="K41" s="127">
        <f>K39*-Assumptions!$D$38</f>
        <v>-1039.3526305492578</v>
      </c>
      <c r="L41" s="127">
        <f>L39*-Assumptions!$D$38</f>
        <v>-1120.2683992343195</v>
      </c>
      <c r="M41" s="127">
        <f>M39*-Assumptions!$D$38</f>
        <v>-1206.0406670977652</v>
      </c>
      <c r="N41" s="127">
        <f>N39*-Assumptions!$D$38</f>
        <v>-1290.7263663449432</v>
      </c>
      <c r="O41" s="127">
        <f>O39*-Assumptions!$D$38</f>
        <v>-1368.5449060234751</v>
      </c>
      <c r="P41" s="127">
        <f>P39*-Assumptions!$D$38</f>
        <v>-1447.4976165154596</v>
      </c>
      <c r="Q41" s="127">
        <f>Q39*-Assumptions!$D$38</f>
        <v>-1517.9084934139166</v>
      </c>
      <c r="R41" s="127">
        <f>R39*-Assumptions!$D$38</f>
        <v>-1590.951336635758</v>
      </c>
      <c r="S41" s="127">
        <f>S39*-Assumptions!$D$38</f>
        <v>-1661.64382566469</v>
      </c>
      <c r="T41" s="127">
        <f>T39*-Assumptions!$D$38</f>
        <v>-1726.4229786598746</v>
      </c>
      <c r="U41" s="127">
        <f>U39*-Assumptions!$D$38</f>
        <v>-1791.3965498627886</v>
      </c>
      <c r="W41" s="91">
        <f>SUM(B41:U41)</f>
        <v>-22253.672259401603</v>
      </c>
    </row>
    <row r="42" spans="1:23">
      <c r="A42" s="3" t="s">
        <v>69</v>
      </c>
      <c r="B42" s="121">
        <f>(B39+B41)*-Assumptions!$D$37</f>
        <v>-2794.4759161208535</v>
      </c>
      <c r="C42" s="121">
        <f>(C39+C41)*-Assumptions!$D$37</f>
        <v>-2840.6932981446198</v>
      </c>
      <c r="D42" s="121">
        <f>(D39+D41)*-Assumptions!$D$37</f>
        <v>-2911.880892779016</v>
      </c>
      <c r="E42" s="121">
        <f>(E39+E41)*-Assumptions!$D$37</f>
        <v>-4665.119417748585</v>
      </c>
      <c r="F42" s="121">
        <f>(F39+F41)*-Assumptions!$D$37</f>
        <v>-5371.6318736336325</v>
      </c>
      <c r="G42" s="121">
        <f>(G39+G41)*-Assumptions!$D$37</f>
        <v>-5663.5604017927089</v>
      </c>
      <c r="H42" s="121">
        <f>(H39+H41)*-Assumptions!$D$37</f>
        <v>-5975.3110536901477</v>
      </c>
      <c r="I42" s="121">
        <f>(I39+I41)*-Assumptions!$D$37</f>
        <v>-6294.916922452071</v>
      </c>
      <c r="J42" s="121">
        <f>(J39+J41)*-Assumptions!$D$37</f>
        <v>-6660.3181781440871</v>
      </c>
      <c r="K42" s="121">
        <f>(K39+K41)*-Assumptions!$D$37</f>
        <v>-6911.6949931525651</v>
      </c>
      <c r="L42" s="121">
        <f>(L39+L41)*-Assumptions!$D$37</f>
        <v>-7449.7848549082237</v>
      </c>
      <c r="M42" s="121">
        <f>(M39+M41)*-Assumptions!$D$37</f>
        <v>-8020.1704362001383</v>
      </c>
      <c r="N42" s="121">
        <f>(N39+N41)*-Assumptions!$D$37</f>
        <v>-8583.3303361938706</v>
      </c>
      <c r="O42" s="121">
        <f>(O39+O41)*-Assumptions!$D$37</f>
        <v>-9100.8236250561076</v>
      </c>
      <c r="P42" s="121">
        <f>(P39+P41)*-Assumptions!$D$37</f>
        <v>-9625.8591498278056</v>
      </c>
      <c r="Q42" s="121">
        <f>(Q39+Q41)*-Assumptions!$D$37</f>
        <v>-10094.091481202544</v>
      </c>
      <c r="R42" s="121">
        <f>(R39+R41)*-Assumptions!$D$37</f>
        <v>-10579.826388627791</v>
      </c>
      <c r="S42" s="121">
        <f>(S39+S41)*-Assumptions!$D$37</f>
        <v>-11049.931440670187</v>
      </c>
      <c r="T42" s="121">
        <f>(T39+T41)*-Assumptions!$D$37</f>
        <v>-11480.712808088165</v>
      </c>
      <c r="U42" s="121">
        <f>(U39+U41)*-Assumptions!$D$37</f>
        <v>-11912.787056587542</v>
      </c>
      <c r="W42" s="91">
        <f>SUM(B42:U42)</f>
        <v>-147986.92052502066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5189.7409870815864</v>
      </c>
      <c r="C44" s="134">
        <f t="shared" si="10"/>
        <v>5275.5732679828661</v>
      </c>
      <c r="D44" s="134">
        <f t="shared" si="10"/>
        <v>5407.7788008753159</v>
      </c>
      <c r="E44" s="134">
        <f t="shared" si="10"/>
        <v>8663.793204390231</v>
      </c>
      <c r="F44" s="134">
        <f t="shared" si="10"/>
        <v>9975.887765319605</v>
      </c>
      <c r="G44" s="134">
        <f t="shared" si="10"/>
        <v>10518.040746186462</v>
      </c>
      <c r="H44" s="134">
        <f t="shared" si="10"/>
        <v>11097.006242567419</v>
      </c>
      <c r="I44" s="134">
        <f t="shared" si="10"/>
        <v>11690.559998839562</v>
      </c>
      <c r="J44" s="134">
        <f t="shared" si="10"/>
        <v>12369.162330839019</v>
      </c>
      <c r="K44" s="134">
        <f t="shared" si="10"/>
        <v>12836.004987283335</v>
      </c>
      <c r="L44" s="134">
        <f t="shared" si="10"/>
        <v>13835.314730543847</v>
      </c>
      <c r="M44" s="134">
        <f t="shared" si="10"/>
        <v>14894.602238657402</v>
      </c>
      <c r="N44" s="134">
        <f t="shared" si="10"/>
        <v>15940.470624360049</v>
      </c>
      <c r="O44" s="134">
        <f t="shared" si="10"/>
        <v>16901.529589389917</v>
      </c>
      <c r="P44" s="134">
        <f t="shared" si="10"/>
        <v>17876.59556396593</v>
      </c>
      <c r="Q44" s="134">
        <f t="shared" si="10"/>
        <v>18746.16989366187</v>
      </c>
      <c r="R44" s="134">
        <f t="shared" si="10"/>
        <v>19648.24900745161</v>
      </c>
      <c r="S44" s="134">
        <f t="shared" si="10"/>
        <v>20521.301246958923</v>
      </c>
      <c r="T44" s="134">
        <f t="shared" si="10"/>
        <v>21321.323786449451</v>
      </c>
      <c r="U44" s="134">
        <f t="shared" si="10"/>
        <v>22123.747390805438</v>
      </c>
      <c r="W44" s="91">
        <f>SUM(B44:U44)</f>
        <v>274832.85240360984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 t="shared" si="11"/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 t="shared" si="11"/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19338.669274016342</v>
      </c>
      <c r="C54" s="67">
        <f>C31-C12</f>
        <v>19290.124375892352</v>
      </c>
      <c r="D54" s="67">
        <f>D31-D12</f>
        <v>19239.684484383593</v>
      </c>
      <c r="E54" s="67">
        <f t="shared" ref="E54:U54" si="12">E31</f>
        <v>32563.659798478733</v>
      </c>
      <c r="F54" s="67">
        <f t="shared" si="12"/>
        <v>34321.11204939735</v>
      </c>
      <c r="G54" s="67">
        <f t="shared" si="12"/>
        <v>34763.631791689761</v>
      </c>
      <c r="H54" s="67">
        <f t="shared" si="12"/>
        <v>35211.828435851778</v>
      </c>
      <c r="I54" s="67">
        <f t="shared" si="12"/>
        <v>35661.047569426701</v>
      </c>
      <c r="J54" s="67">
        <f t="shared" si="12"/>
        <v>36124.012939098022</v>
      </c>
      <c r="K54" s="67">
        <f t="shared" si="12"/>
        <v>36175.313818562681</v>
      </c>
      <c r="L54" s="67">
        <f t="shared" si="12"/>
        <v>37052.103151141258</v>
      </c>
      <c r="M54" s="67">
        <f t="shared" si="12"/>
        <v>37959.038425167812</v>
      </c>
      <c r="N54" s="67">
        <f t="shared" si="12"/>
        <v>38804.060862673054</v>
      </c>
      <c r="O54" s="67">
        <f t="shared" si="12"/>
        <v>39531.830840903342</v>
      </c>
      <c r="P54" s="67">
        <f t="shared" si="12"/>
        <v>40271.84159499019</v>
      </c>
      <c r="Q54" s="67">
        <f t="shared" si="12"/>
        <v>40810.482304695994</v>
      </c>
      <c r="R54" s="67">
        <f t="shared" si="12"/>
        <v>41348.981604001914</v>
      </c>
      <c r="S54" s="67">
        <f t="shared" si="12"/>
        <v>41893.141049356214</v>
      </c>
      <c r="T54" s="67">
        <f t="shared" si="12"/>
        <v>42442.983375453601</v>
      </c>
      <c r="U54" s="67">
        <f t="shared" si="12"/>
        <v>42998.530177081659</v>
      </c>
      <c r="W54" s="400">
        <f>SUM(B54:U54)</f>
        <v>705802.07792226237</v>
      </c>
    </row>
    <row r="55" spans="1:55">
      <c r="A55" s="13" t="s">
        <v>168</v>
      </c>
      <c r="B55" s="67">
        <f>B26</f>
        <v>579.4</v>
      </c>
      <c r="C55" s="67">
        <f t="shared" ref="C55:T55" si="13">C26</f>
        <v>573.6</v>
      </c>
      <c r="D55" s="67">
        <f t="shared" si="13"/>
        <v>567.9</v>
      </c>
      <c r="E55" s="67">
        <f t="shared" si="13"/>
        <v>562.20000000000005</v>
      </c>
      <c r="F55" s="67">
        <f t="shared" si="13"/>
        <v>556.6</v>
      </c>
      <c r="G55" s="67">
        <f t="shared" si="13"/>
        <v>551</v>
      </c>
      <c r="H55" s="67">
        <f t="shared" si="13"/>
        <v>534.5</v>
      </c>
      <c r="I55" s="67">
        <f t="shared" si="13"/>
        <v>518.5</v>
      </c>
      <c r="J55" s="67">
        <f t="shared" si="13"/>
        <v>492.6</v>
      </c>
      <c r="K55" s="67">
        <f t="shared" si="13"/>
        <v>877.7</v>
      </c>
      <c r="L55" s="67">
        <f t="shared" si="13"/>
        <v>694.8</v>
      </c>
      <c r="M55" s="67">
        <f t="shared" si="13"/>
        <v>493.7</v>
      </c>
      <c r="N55" s="67">
        <f t="shared" si="13"/>
        <v>365.7</v>
      </c>
      <c r="O55" s="67">
        <f t="shared" si="13"/>
        <v>365.7</v>
      </c>
      <c r="P55" s="67">
        <f t="shared" si="13"/>
        <v>365.7</v>
      </c>
      <c r="Q55" s="67">
        <f t="shared" si="13"/>
        <v>365.7</v>
      </c>
      <c r="R55" s="67">
        <f t="shared" si="13"/>
        <v>365.7</v>
      </c>
      <c r="S55" s="67">
        <f t="shared" si="13"/>
        <v>365.7</v>
      </c>
      <c r="T55" s="67">
        <f t="shared" si="13"/>
        <v>365.7</v>
      </c>
      <c r="U55" s="67">
        <f>T55</f>
        <v>365.7</v>
      </c>
      <c r="W55" s="400">
        <f>SUM(B55:U55)</f>
        <v>9928.100000000004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-591.20000000000005</v>
      </c>
      <c r="C56" s="67">
        <f>-B55</f>
        <v>-579.4</v>
      </c>
      <c r="D56" s="67">
        <f t="shared" ref="D56:U56" si="14">-C55</f>
        <v>-573.6</v>
      </c>
      <c r="E56" s="67">
        <f t="shared" si="14"/>
        <v>-567.9</v>
      </c>
      <c r="F56" s="67">
        <f t="shared" si="14"/>
        <v>-562.20000000000005</v>
      </c>
      <c r="G56" s="67">
        <f t="shared" si="14"/>
        <v>-556.6</v>
      </c>
      <c r="H56" s="67">
        <f t="shared" si="14"/>
        <v>-551</v>
      </c>
      <c r="I56" s="67">
        <f t="shared" si="14"/>
        <v>-534.5</v>
      </c>
      <c r="J56" s="67">
        <f t="shared" si="14"/>
        <v>-518.5</v>
      </c>
      <c r="K56" s="67">
        <f t="shared" si="14"/>
        <v>-492.6</v>
      </c>
      <c r="L56" s="67">
        <f t="shared" si="14"/>
        <v>-877.7</v>
      </c>
      <c r="M56" s="67">
        <f t="shared" si="14"/>
        <v>-694.8</v>
      </c>
      <c r="N56" s="67">
        <f t="shared" si="14"/>
        <v>-493.7</v>
      </c>
      <c r="O56" s="67">
        <f t="shared" si="14"/>
        <v>-365.7</v>
      </c>
      <c r="P56" s="67">
        <f t="shared" si="14"/>
        <v>-365.7</v>
      </c>
      <c r="Q56" s="67">
        <f t="shared" si="14"/>
        <v>-365.7</v>
      </c>
      <c r="R56" s="67">
        <f t="shared" si="14"/>
        <v>-365.7</v>
      </c>
      <c r="S56" s="67">
        <f t="shared" si="14"/>
        <v>-365.7</v>
      </c>
      <c r="T56" s="67">
        <f t="shared" si="14"/>
        <v>-365.7</v>
      </c>
      <c r="U56" s="67">
        <f t="shared" si="14"/>
        <v>-365.7</v>
      </c>
      <c r="W56" s="400">
        <f>SUM(B56:U56)</f>
        <v>-10153.600000000004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-Debt!B77*Allocation!$E$8</f>
        <v>-14914.909407499601</v>
      </c>
      <c r="C57" s="398">
        <f>-Debt!C77*Allocation!$E$8</f>
        <v>-14902.705915678864</v>
      </c>
      <c r="D57" s="398">
        <f>-Debt!D77*Allocation!$E$8</f>
        <v>-14832.99138573615</v>
      </c>
      <c r="E57" s="398">
        <f>-Debt!E77*Allocation!$E$8</f>
        <v>-14621.433532717676</v>
      </c>
      <c r="F57" s="398">
        <f>-Debt!F77*Allocation!$E$8</f>
        <v>-15301.406839804737</v>
      </c>
      <c r="G57" s="398">
        <f>-Debt!G77*Allocation!$E$8</f>
        <v>-15389.631320056398</v>
      </c>
      <c r="H57" s="398">
        <f>-Debt!H77*Allocation!$E$8</f>
        <v>-15292.995973994228</v>
      </c>
      <c r="I57" s="398">
        <f>-Debt!I77*Allocation!$E$8</f>
        <v>-15435.601041858577</v>
      </c>
      <c r="J57" s="398">
        <f>-Debt!J77*Allocation!$E$8</f>
        <v>-15323.300540367529</v>
      </c>
      <c r="K57" s="398">
        <f>-Debt!K77*Allocation!$E$8</f>
        <v>-15499.961942376625</v>
      </c>
      <c r="L57" s="398">
        <f>-Debt!L77*Allocation!$E$8</f>
        <v>-15356.154063435832</v>
      </c>
      <c r="M57" s="398">
        <f>-Debt!M77*Allocation!$E$8</f>
        <v>-14547.64398019347</v>
      </c>
      <c r="N57" s="398">
        <f>-Debt!N77*Allocation!$E$8</f>
        <v>-13698.952432755152</v>
      </c>
      <c r="O57" s="398">
        <f>-Debt!O77*Allocation!$E$8</f>
        <v>-12870.35161741481</v>
      </c>
      <c r="P57" s="398">
        <f>-Debt!P77*Allocation!$E$8</f>
        <v>-12401.472603691143</v>
      </c>
      <c r="Q57" s="398">
        <f>-Debt!Q77*Allocation!$E$8</f>
        <v>-11902.06021745699</v>
      </c>
      <c r="R57" s="398">
        <f>-Debt!R77*Allocation!$E$8</f>
        <v>-10979.702652326087</v>
      </c>
      <c r="S57" s="398">
        <f>-Debt!S77*Allocation!$E$8</f>
        <v>-8629.3545489850148</v>
      </c>
      <c r="T57" s="398">
        <f>-Debt!T77*Allocation!$E$8</f>
        <v>-7883.613815178709</v>
      </c>
      <c r="U57" s="398">
        <f>-Debt!U77*Allocation!$E$8</f>
        <v>-6399.360308690133</v>
      </c>
      <c r="W57" s="400">
        <f>SUM(B57:U57)</f>
        <v>-266183.60414021771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5">SUM(B54:B57)</f>
        <v>4411.9598665167414</v>
      </c>
      <c r="C59" s="136">
        <f t="shared" si="15"/>
        <v>4381.6184602134854</v>
      </c>
      <c r="D59" s="136">
        <f t="shared" si="15"/>
        <v>4400.9930986474465</v>
      </c>
      <c r="E59" s="136">
        <f t="shared" si="15"/>
        <v>17936.526265761058</v>
      </c>
      <c r="F59" s="136">
        <f t="shared" si="15"/>
        <v>19014.105209592613</v>
      </c>
      <c r="G59" s="136">
        <f t="shared" si="15"/>
        <v>19368.400471633366</v>
      </c>
      <c r="H59" s="136">
        <f t="shared" si="15"/>
        <v>19902.33246185755</v>
      </c>
      <c r="I59" s="136">
        <f t="shared" si="15"/>
        <v>20209.446527568121</v>
      </c>
      <c r="J59" s="136">
        <f t="shared" si="15"/>
        <v>20774.812398730493</v>
      </c>
      <c r="K59" s="136">
        <f t="shared" si="15"/>
        <v>21060.451876186053</v>
      </c>
      <c r="L59" s="136">
        <f t="shared" si="15"/>
        <v>21513.049087705433</v>
      </c>
      <c r="M59" s="136">
        <f t="shared" si="15"/>
        <v>23210.294444974337</v>
      </c>
      <c r="N59" s="136">
        <f t="shared" si="15"/>
        <v>24977.108429917902</v>
      </c>
      <c r="O59" s="136">
        <f t="shared" si="15"/>
        <v>26661.479223488532</v>
      </c>
      <c r="P59" s="136">
        <f t="shared" si="15"/>
        <v>27870.368991299045</v>
      </c>
      <c r="Q59" s="136">
        <f t="shared" si="15"/>
        <v>28908.422087239003</v>
      </c>
      <c r="R59" s="136">
        <f t="shared" si="15"/>
        <v>30369.278951675828</v>
      </c>
      <c r="S59" s="136">
        <f t="shared" si="15"/>
        <v>33263.7865003712</v>
      </c>
      <c r="T59" s="136">
        <f t="shared" si="15"/>
        <v>34559.369560274892</v>
      </c>
      <c r="U59" s="136">
        <f t="shared" si="15"/>
        <v>36599.169868391524</v>
      </c>
      <c r="W59" s="400">
        <f>SUM(B59:U59)</f>
        <v>439392.9737820446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outlineLevel="1">
      <c r="A61" s="13" t="s">
        <v>99</v>
      </c>
      <c r="B61" s="121">
        <f>-B100</f>
        <v>0</v>
      </c>
      <c r="C61" s="121">
        <f t="shared" ref="C61:U61" si="16">-C100</f>
        <v>0</v>
      </c>
      <c r="D61" s="121">
        <f t="shared" si="16"/>
        <v>0</v>
      </c>
      <c r="E61" s="121">
        <f t="shared" si="16"/>
        <v>0</v>
      </c>
      <c r="F61" s="121">
        <f t="shared" si="16"/>
        <v>0</v>
      </c>
      <c r="G61" s="121">
        <f t="shared" si="16"/>
        <v>-60.734653280313978</v>
      </c>
      <c r="H61" s="121">
        <f t="shared" si="16"/>
        <v>-648.09580740500598</v>
      </c>
      <c r="I61" s="121">
        <f t="shared" si="16"/>
        <v>-695.16507639413294</v>
      </c>
      <c r="J61" s="121">
        <f t="shared" si="16"/>
        <v>-751.10439754845549</v>
      </c>
      <c r="K61" s="121">
        <f t="shared" si="16"/>
        <v>-787.91365845435757</v>
      </c>
      <c r="L61" s="121">
        <f t="shared" si="16"/>
        <v>-869.82119104682215</v>
      </c>
      <c r="M61" s="121">
        <f t="shared" si="16"/>
        <v>-954.60169500286509</v>
      </c>
      <c r="N61" s="121">
        <f t="shared" si="16"/>
        <v>-1040.2791581574456</v>
      </c>
      <c r="O61" s="121">
        <f t="shared" si="16"/>
        <v>-1117.1059339285746</v>
      </c>
      <c r="P61" s="121">
        <f t="shared" si="16"/>
        <v>-1197.0504083279618</v>
      </c>
      <c r="Q61" s="121">
        <f t="shared" si="16"/>
        <v>-1560.0316379102348</v>
      </c>
      <c r="R61" s="121">
        <f t="shared" si="16"/>
        <v>-1925.6448338158921</v>
      </c>
      <c r="S61" s="121">
        <f t="shared" si="16"/>
        <v>-1996.337322844824</v>
      </c>
      <c r="T61" s="121">
        <f t="shared" si="16"/>
        <v>-2061.1164758400087</v>
      </c>
      <c r="U61" s="121">
        <f t="shared" si="16"/>
        <v>-2126.0900470429224</v>
      </c>
      <c r="W61" s="400">
        <f>SUM(B61:U61)</f>
        <v>-17791.092296999814</v>
      </c>
    </row>
    <row r="62" spans="1:55" outlineLevel="1">
      <c r="A62" s="13" t="s">
        <v>100</v>
      </c>
      <c r="B62" s="128">
        <f>-Allocation!$E$8*Tax!B24</f>
        <v>0</v>
      </c>
      <c r="C62" s="128">
        <f>-Allocation!$E$8*Tax!C24</f>
        <v>0</v>
      </c>
      <c r="D62" s="128">
        <f>-Allocation!$E$8*Tax!D24</f>
        <v>0</v>
      </c>
      <c r="E62" s="128">
        <f>-Allocation!$E$8*Tax!E24</f>
        <v>0</v>
      </c>
      <c r="F62" s="128">
        <f>-Allocation!$E$8*Tax!F24</f>
        <v>0</v>
      </c>
      <c r="G62" s="128">
        <f>-Allocation!$E$8*Tax!G24</f>
        <v>0</v>
      </c>
      <c r="H62" s="128">
        <f>-Allocation!$E$8*Tax!H24</f>
        <v>-3341.3489023226471</v>
      </c>
      <c r="I62" s="128">
        <f>-Allocation!$E$8*Tax!I24</f>
        <v>-4523.0323834785868</v>
      </c>
      <c r="J62" s="128">
        <f>-Allocation!$E$8*Tax!J24</f>
        <v>-4872.5341282611244</v>
      </c>
      <c r="K62" s="128">
        <f>-Allocation!$E$8*Tax!K24</f>
        <v>-5234.6829240654233</v>
      </c>
      <c r="L62" s="128">
        <f>-Allocation!$E$8*Tax!L24</f>
        <v>-5711.1595514765249</v>
      </c>
      <c r="M62" s="128">
        <f>-Allocation!$E$8*Tax!M24</f>
        <v>-6209.4871561240816</v>
      </c>
      <c r="N62" s="128">
        <f>-Allocation!$E$8*Tax!N24</f>
        <v>-6712.3321788565663</v>
      </c>
      <c r="O62" s="128">
        <f>-Allocation!$E$8*Tax!O24</f>
        <v>-7203.4880312980176</v>
      </c>
      <c r="P62" s="128">
        <f>-Allocation!$E$8*Tax!P24</f>
        <v>-7689.9156115455817</v>
      </c>
      <c r="Q62" s="128">
        <f>-Allocation!$E$8*Tax!Q24</f>
        <v>-10177.061605268102</v>
      </c>
      <c r="R62" s="128">
        <f>-Allocation!$E$8*Tax!R24</f>
        <v>-12653.031795664736</v>
      </c>
      <c r="S62" s="128">
        <f>-Allocation!$E$8*Tax!S24</f>
        <v>-13124.280458164734</v>
      </c>
      <c r="T62" s="128">
        <f>-Allocation!$E$8*Tax!T24</f>
        <v>-13557.037976852471</v>
      </c>
      <c r="U62" s="128">
        <f>-Allocation!$E$8*Tax!U24</f>
        <v>-13991.848106315878</v>
      </c>
      <c r="W62" s="400">
        <f>SUM(B62:U62)</f>
        <v>-115001.24080969449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4411.9598665167414</v>
      </c>
      <c r="C64" s="137">
        <f t="shared" si="17"/>
        <v>4381.6184602134854</v>
      </c>
      <c r="D64" s="137">
        <f t="shared" si="17"/>
        <v>4400.9930986474465</v>
      </c>
      <c r="E64" s="137">
        <f t="shared" si="17"/>
        <v>17936.526265761058</v>
      </c>
      <c r="F64" s="137">
        <f t="shared" si="17"/>
        <v>19014.105209592613</v>
      </c>
      <c r="G64" s="137">
        <f t="shared" si="17"/>
        <v>19307.665818353053</v>
      </c>
      <c r="H64" s="137">
        <f t="shared" si="17"/>
        <v>15912.887752129896</v>
      </c>
      <c r="I64" s="137">
        <f t="shared" si="17"/>
        <v>14991.249067695402</v>
      </c>
      <c r="J64" s="137">
        <f t="shared" si="17"/>
        <v>15151.173872920914</v>
      </c>
      <c r="K64" s="137">
        <f t="shared" si="17"/>
        <v>15037.855293666273</v>
      </c>
      <c r="L64" s="137">
        <f t="shared" si="17"/>
        <v>14932.068345182086</v>
      </c>
      <c r="M64" s="137">
        <f t="shared" si="17"/>
        <v>16046.205593847393</v>
      </c>
      <c r="N64" s="137">
        <f t="shared" si="17"/>
        <v>17224.49709290389</v>
      </c>
      <c r="O64" s="137">
        <f t="shared" si="17"/>
        <v>18340.88525826194</v>
      </c>
      <c r="P64" s="137">
        <f t="shared" si="17"/>
        <v>18983.402971425501</v>
      </c>
      <c r="Q64" s="137">
        <f t="shared" si="17"/>
        <v>17171.328844060667</v>
      </c>
      <c r="R64" s="137">
        <f t="shared" si="17"/>
        <v>15790.602322195202</v>
      </c>
      <c r="S64" s="137">
        <f t="shared" si="17"/>
        <v>18143.168719361638</v>
      </c>
      <c r="T64" s="137">
        <f t="shared" si="17"/>
        <v>18941.215107582411</v>
      </c>
      <c r="U64" s="137">
        <f t="shared" si="17"/>
        <v>20481.231715032725</v>
      </c>
      <c r="W64" s="400">
        <f>SUM(B64:U64)</f>
        <v>306600.64067535027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186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Allocation!$C$8*'Summary Output'!$C$8</f>
        <v>87232.892465151803</v>
      </c>
      <c r="C76" s="439">
        <f>Allocation!$C$8*'Summary Output'!$C$8</f>
        <v>87232.892465151803</v>
      </c>
      <c r="D76" s="439">
        <f>Allocation!$C$8*'Summary Output'!$C$8</f>
        <v>87232.892465151803</v>
      </c>
      <c r="E76" s="439">
        <f>Allocation!$C$8*'Summary Output'!$C$8</f>
        <v>87232.892465151803</v>
      </c>
      <c r="F76" s="439">
        <f>Allocation!$C$8*'Summary Output'!$C$8</f>
        <v>87232.892465151803</v>
      </c>
      <c r="G76" s="439">
        <f>Allocation!$C$8*'Summary Output'!$C$8</f>
        <v>87232.892465151803</v>
      </c>
      <c r="H76" s="439">
        <f>Allocation!$C$8*'Summary Output'!$C$8</f>
        <v>87232.892465151803</v>
      </c>
      <c r="I76" s="439">
        <f>Allocation!$C$8*'Summary Output'!$C$8</f>
        <v>87232.892465151803</v>
      </c>
      <c r="J76" s="439">
        <f>Allocation!$C$8*'Summary Output'!$C$8</f>
        <v>87232.892465151803</v>
      </c>
      <c r="K76" s="439">
        <f>Allocation!$C$8*'Summary Output'!$C$8</f>
        <v>87232.892465151803</v>
      </c>
      <c r="L76" s="439">
        <f>Allocation!$C$8*'Summary Output'!$C$8</f>
        <v>87232.892465151803</v>
      </c>
      <c r="M76" s="439">
        <f>Allocation!$C$8*'Summary Output'!$C$8</f>
        <v>87232.892465151803</v>
      </c>
      <c r="N76" s="439">
        <f>Allocation!$C$8*'Summary Output'!$C$8</f>
        <v>87232.892465151803</v>
      </c>
      <c r="O76" s="439">
        <f>Allocation!$C$8*'Summary Output'!$C$8</f>
        <v>87232.892465151803</v>
      </c>
      <c r="P76" s="439">
        <f>Allocation!$C$8*'Summary Output'!$C$8</f>
        <v>87232.892465151803</v>
      </c>
      <c r="Q76" s="439">
        <f>Allocation!$C$8*'Summary Output'!$C$8</f>
        <v>87232.892465151803</v>
      </c>
      <c r="R76" s="439">
        <f>Allocation!$C$8*'Summary Output'!$C$8</f>
        <v>87232.892465151803</v>
      </c>
      <c r="S76" s="439">
        <f>Allocation!$C$8*'Summary Output'!$C$8</f>
        <v>87232.892465151803</v>
      </c>
      <c r="T76" s="439">
        <f>Allocation!$C$8*'Summary Output'!$C$8</f>
        <v>87232.892465151803</v>
      </c>
      <c r="U76" s="439">
        <f>Allocation!$C$8*'Summary Output'!$C$8</f>
        <v>87232.892465151803</v>
      </c>
    </row>
    <row r="77" spans="1:44" outlineLevel="1">
      <c r="A77" s="443" t="s">
        <v>273</v>
      </c>
      <c r="B77" s="440">
        <f>B44-B64-B12*(Assumptions!$D$38+(1-Assumptions!$D$38)*Assumptions!$D$37)</f>
        <v>-2381.1865009760309</v>
      </c>
      <c r="C77" s="440">
        <f>C44-C64-C12*(Assumptions!$D$38+(1-Assumptions!$D$38)*Assumptions!$D$37)+B77</f>
        <v>-4646.1993147475259</v>
      </c>
      <c r="D77" s="440">
        <f>D44-D64-D12*(Assumptions!$D$38+(1-Assumptions!$D$38)*Assumptions!$D$37)+C77</f>
        <v>-6798.3812340605327</v>
      </c>
      <c r="E77" s="440">
        <f t="shared" ref="E77:U77" si="18">E44-E64+D77</f>
        <v>-16071.11429543136</v>
      </c>
      <c r="F77" s="440">
        <f t="shared" si="18"/>
        <v>-25109.331739704368</v>
      </c>
      <c r="G77" s="440">
        <f t="shared" si="18"/>
        <v>-33898.956811870958</v>
      </c>
      <c r="H77" s="440">
        <f t="shared" si="18"/>
        <v>-38714.838321433432</v>
      </c>
      <c r="I77" s="440">
        <f t="shared" si="18"/>
        <v>-42015.527390289273</v>
      </c>
      <c r="J77" s="440">
        <f t="shared" si="18"/>
        <v>-44797.538932371172</v>
      </c>
      <c r="K77" s="440">
        <f t="shared" si="18"/>
        <v>-46999.389238754113</v>
      </c>
      <c r="L77" s="440">
        <f t="shared" si="18"/>
        <v>-48096.142853392354</v>
      </c>
      <c r="M77" s="440">
        <f t="shared" si="18"/>
        <v>-49247.746208582343</v>
      </c>
      <c r="N77" s="440">
        <f t="shared" si="18"/>
        <v>-50531.77267712618</v>
      </c>
      <c r="O77" s="440">
        <f t="shared" si="18"/>
        <v>-51971.128345998208</v>
      </c>
      <c r="P77" s="440">
        <f t="shared" si="18"/>
        <v>-53077.935753457779</v>
      </c>
      <c r="Q77" s="440">
        <f t="shared" si="18"/>
        <v>-51503.094703856579</v>
      </c>
      <c r="R77" s="440">
        <f t="shared" si="18"/>
        <v>-47645.448018600175</v>
      </c>
      <c r="S77" s="440">
        <f t="shared" si="18"/>
        <v>-45267.31549100289</v>
      </c>
      <c r="T77" s="440">
        <f t="shared" si="18"/>
        <v>-42887.206812135846</v>
      </c>
      <c r="U77" s="440">
        <f t="shared" si="18"/>
        <v>-41244.691136363137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Debt!B73*Allocation!$E$8</f>
        <v>112140.34359578806</v>
      </c>
      <c r="C78" s="441">
        <f>Debt!C73*Allocation!$E$8</f>
        <v>109549.19250158378</v>
      </c>
      <c r="D78" s="441">
        <f>Debt!D73*Allocation!$E$8</f>
        <v>106763.21801683784</v>
      </c>
      <c r="E78" s="441">
        <f>Debt!E73*Allocation!$E$8</f>
        <v>103981.13999990272</v>
      </c>
      <c r="F78" s="441">
        <f>Debt!F73*Allocation!$E$8</f>
        <v>100151.69143541556</v>
      </c>
      <c r="G78" s="441">
        <f>Debt!G73*Allocation!$E$8</f>
        <v>95798.557597152365</v>
      </c>
      <c r="H78" s="441">
        <f>Debt!H73*Allocation!$E$8</f>
        <v>91052.659803557166</v>
      </c>
      <c r="I78" s="441">
        <f>Debt!I73*Allocation!$E$8</f>
        <v>85652.155417741946</v>
      </c>
      <c r="J78" s="441">
        <f>Debt!J73*Allocation!$E$8</f>
        <v>79727.965758150691</v>
      </c>
      <c r="K78" s="441">
        <f>Debt!K73*Allocation!$E$8</f>
        <v>72922.395079748909</v>
      </c>
      <c r="L78" s="441">
        <f>Debt!L73*Allocation!$E$8</f>
        <v>65519.106239165259</v>
      </c>
      <c r="M78" s="441">
        <f>Debt!M73*Allocation!$E$8</f>
        <v>58115.817398581617</v>
      </c>
      <c r="N78" s="441">
        <f>Debt!N73*Allocation!$E$8</f>
        <v>50712.528557997968</v>
      </c>
      <c r="O78" s="441">
        <f>Debt!O73*Allocation!$E$8</f>
        <v>43309.239717414326</v>
      </c>
      <c r="P78" s="441">
        <f>Debt!P73*Allocation!$E$8</f>
        <v>35535.786434801499</v>
      </c>
      <c r="Q78" s="441">
        <f>Debt!Q73*Allocation!$E$8</f>
        <v>27392.168710159487</v>
      </c>
      <c r="R78" s="441">
        <f>Debt!R73*Allocation!$E$8</f>
        <v>19248.550985517479</v>
      </c>
      <c r="S78" s="441">
        <f>Debt!S73*Allocation!$E$8</f>
        <v>12585.591028992198</v>
      </c>
      <c r="T78" s="441">
        <f>Debt!T73*Allocation!$E$8</f>
        <v>5922.6310724669165</v>
      </c>
      <c r="U78" s="441">
        <f>Debt!U73*Allocation!$E$8</f>
        <v>-6.2371176200640148E-12</v>
      </c>
    </row>
    <row r="79" spans="1:44" outlineLevel="1">
      <c r="A79" s="224" t="s">
        <v>188</v>
      </c>
      <c r="B79" s="442">
        <f>SUM(B76:B78)</f>
        <v>196992.04955996381</v>
      </c>
      <c r="C79" s="442">
        <f t="shared" ref="C79:U79" si="19">SUM(C76:C78)</f>
        <v>192135.88565198804</v>
      </c>
      <c r="D79" s="442">
        <f t="shared" si="19"/>
        <v>187197.72924792912</v>
      </c>
      <c r="E79" s="442">
        <f t="shared" si="19"/>
        <v>175142.91816962318</v>
      </c>
      <c r="F79" s="442">
        <f t="shared" si="19"/>
        <v>162275.25216086299</v>
      </c>
      <c r="G79" s="442">
        <f t="shared" si="19"/>
        <v>149132.49325043321</v>
      </c>
      <c r="H79" s="442">
        <f t="shared" si="19"/>
        <v>139570.71394727554</v>
      </c>
      <c r="I79" s="442">
        <f t="shared" si="19"/>
        <v>130869.52049260447</v>
      </c>
      <c r="J79" s="442">
        <f t="shared" si="19"/>
        <v>122163.31929093132</v>
      </c>
      <c r="K79" s="442">
        <f t="shared" si="19"/>
        <v>113155.8983061466</v>
      </c>
      <c r="L79" s="442">
        <f t="shared" si="19"/>
        <v>104655.85585092471</v>
      </c>
      <c r="M79" s="442">
        <f t="shared" si="19"/>
        <v>96100.963655151078</v>
      </c>
      <c r="N79" s="442">
        <f t="shared" si="19"/>
        <v>87413.64834602359</v>
      </c>
      <c r="O79" s="442">
        <f t="shared" si="19"/>
        <v>78571.003836567921</v>
      </c>
      <c r="P79" s="442">
        <f t="shared" si="19"/>
        <v>69690.743146495515</v>
      </c>
      <c r="Q79" s="442">
        <f t="shared" si="19"/>
        <v>63121.966471454711</v>
      </c>
      <c r="R79" s="442">
        <f t="shared" si="19"/>
        <v>58835.995432069103</v>
      </c>
      <c r="S79" s="442">
        <f t="shared" si="19"/>
        <v>54551.168003141109</v>
      </c>
      <c r="T79" s="442">
        <f t="shared" si="19"/>
        <v>50268.316725482873</v>
      </c>
      <c r="U79" s="442">
        <f t="shared" si="19"/>
        <v>45988.201328788658</v>
      </c>
    </row>
    <row r="80" spans="1:44" outlineLevel="1">
      <c r="A80" s="443" t="s">
        <v>183</v>
      </c>
      <c r="B80" s="445">
        <f>Assumptions!$D$41</f>
        <v>2.5000000000000001E-3</v>
      </c>
      <c r="C80" s="445">
        <f>Assumptions!$D$42</f>
        <v>2.5000000000000001E-3</v>
      </c>
      <c r="D80" s="445">
        <f>Assumptions!$D$42</f>
        <v>2.5000000000000001E-3</v>
      </c>
      <c r="E80" s="445">
        <f>Assumptions!$D$42</f>
        <v>2.5000000000000001E-3</v>
      </c>
      <c r="F80" s="445">
        <f>Assumptions!$D$42</f>
        <v>2.5000000000000001E-3</v>
      </c>
      <c r="G80" s="445">
        <f>Assumptions!$D$42</f>
        <v>2.5000000000000001E-3</v>
      </c>
      <c r="H80" s="445">
        <f>Assumptions!$D$42</f>
        <v>2.5000000000000001E-3</v>
      </c>
      <c r="I80" s="445">
        <f>Assumptions!$D$42</f>
        <v>2.5000000000000001E-3</v>
      </c>
      <c r="J80" s="445">
        <f>Assumptions!$D$42</f>
        <v>2.5000000000000001E-3</v>
      </c>
      <c r="K80" s="445">
        <f>Assumptions!$D$42</f>
        <v>2.5000000000000001E-3</v>
      </c>
      <c r="L80" s="445">
        <f>Assumptions!$D$42</f>
        <v>2.5000000000000001E-3</v>
      </c>
      <c r="M80" s="445">
        <f>Assumptions!$D$42</f>
        <v>2.5000000000000001E-3</v>
      </c>
      <c r="N80" s="445">
        <f>Assumptions!$D$42</f>
        <v>2.5000000000000001E-3</v>
      </c>
      <c r="O80" s="445">
        <f>Assumptions!$D$42</f>
        <v>2.5000000000000001E-3</v>
      </c>
      <c r="P80" s="445">
        <f>Assumptions!$D$42</f>
        <v>2.5000000000000001E-3</v>
      </c>
      <c r="Q80" s="445">
        <f>Assumptions!$D$42</f>
        <v>2.5000000000000001E-3</v>
      </c>
      <c r="R80" s="445">
        <f>Assumptions!$D$42</f>
        <v>2.5000000000000001E-3</v>
      </c>
      <c r="S80" s="445">
        <f>Assumptions!$D$42</f>
        <v>2.5000000000000001E-3</v>
      </c>
      <c r="T80" s="445">
        <f>Assumptions!$D$42</f>
        <v>2.5000000000000001E-3</v>
      </c>
      <c r="U80" s="445">
        <f>Assumptions!$D$42</f>
        <v>2.5000000000000001E-3</v>
      </c>
    </row>
    <row r="81" spans="1:44" outlineLevel="1">
      <c r="A81" s="224" t="s">
        <v>184</v>
      </c>
      <c r="B81" s="461">
        <v>492.48012389990953</v>
      </c>
      <c r="C81" s="461">
        <v>480.3397141299701</v>
      </c>
      <c r="D81" s="461">
        <v>467.99432311982281</v>
      </c>
      <c r="E81" s="461">
        <v>437.85729542405795</v>
      </c>
      <c r="F81" s="461">
        <v>405.68813040215747</v>
      </c>
      <c r="G81" s="461">
        <v>372.83123312608302</v>
      </c>
      <c r="H81" s="461">
        <v>348.9261230525002</v>
      </c>
      <c r="I81" s="461">
        <v>327.17307999264557</v>
      </c>
      <c r="J81" s="461">
        <v>305.40750485665325</v>
      </c>
      <c r="K81" s="461">
        <v>282.88888358778951</v>
      </c>
      <c r="L81" s="461">
        <v>261.63871197191889</v>
      </c>
      <c r="M81" s="461">
        <v>240.25141934100481</v>
      </c>
      <c r="N81" s="461">
        <v>218.53307226722612</v>
      </c>
      <c r="O81" s="461">
        <v>196.42640554040241</v>
      </c>
      <c r="P81" s="461">
        <v>174.22570171400204</v>
      </c>
      <c r="Q81" s="461">
        <v>157.80371083015464</v>
      </c>
      <c r="R81" s="461">
        <v>147.08873649315333</v>
      </c>
      <c r="S81" s="461">
        <v>136.37662364518297</v>
      </c>
      <c r="T81" s="461">
        <v>125.66945364345278</v>
      </c>
      <c r="U81" s="461">
        <v>114.96912581217008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44">
      <c r="A85" s="225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44" outlineLevel="1">
      <c r="A86" s="21" t="s">
        <v>271</v>
      </c>
      <c r="B86" s="20">
        <f>B39-B12</f>
        <v>145.6999656308235</v>
      </c>
      <c r="C86" s="20">
        <f>C39-C12</f>
        <v>284.69961081508336</v>
      </c>
      <c r="D86" s="20">
        <f>D39-D12</f>
        <v>498.79763979070958</v>
      </c>
      <c r="E86" s="20">
        <f t="shared" ref="E86:U86" si="20">E39</f>
        <v>14030.43433909349</v>
      </c>
      <c r="F86" s="20">
        <f t="shared" si="20"/>
        <v>16155.283830477092</v>
      </c>
      <c r="G86" s="20">
        <f t="shared" si="20"/>
        <v>17033.264366293864</v>
      </c>
      <c r="H86" s="20">
        <f t="shared" si="20"/>
        <v>17970.860311850069</v>
      </c>
      <c r="I86" s="20">
        <f t="shared" si="20"/>
        <v>18932.080969780665</v>
      </c>
      <c r="J86" s="20">
        <f t="shared" si="20"/>
        <v>20031.032114719059</v>
      </c>
      <c r="K86" s="20">
        <f t="shared" si="20"/>
        <v>20787.052610985156</v>
      </c>
      <c r="L86" s="20">
        <f t="shared" si="20"/>
        <v>22405.367984686389</v>
      </c>
      <c r="M86" s="20">
        <f t="shared" si="20"/>
        <v>24120.813341955305</v>
      </c>
      <c r="N86" s="20">
        <f t="shared" si="20"/>
        <v>25814.527326898864</v>
      </c>
      <c r="O86" s="20">
        <f t="shared" si="20"/>
        <v>27370.898120469497</v>
      </c>
      <c r="P86" s="20">
        <f t="shared" si="20"/>
        <v>28949.952330309192</v>
      </c>
      <c r="Q86" s="20">
        <f t="shared" si="20"/>
        <v>30358.169868278332</v>
      </c>
      <c r="R86" s="20">
        <f t="shared" si="20"/>
        <v>31819.02673271516</v>
      </c>
      <c r="S86" s="20">
        <f t="shared" si="20"/>
        <v>33232.876513293799</v>
      </c>
      <c r="T86" s="20">
        <f t="shared" si="20"/>
        <v>34528.459573197491</v>
      </c>
      <c r="U86" s="20">
        <f t="shared" si="20"/>
        <v>35827.930997255768</v>
      </c>
      <c r="W86" s="420">
        <f>SUM(B86:U86)</f>
        <v>420297.2285484958</v>
      </c>
    </row>
    <row r="87" spans="1:44" outlineLevel="1">
      <c r="A87" s="21" t="s">
        <v>132</v>
      </c>
      <c r="B87" s="20">
        <f>B33</f>
        <v>6693.8699436026827</v>
      </c>
      <c r="C87" s="20">
        <f t="shared" ref="C87:U87" si="21">C33</f>
        <v>6693.8699436026827</v>
      </c>
      <c r="D87" s="20">
        <f t="shared" si="21"/>
        <v>6693.8699436026827</v>
      </c>
      <c r="E87" s="20">
        <f t="shared" si="21"/>
        <v>6693.8699436026827</v>
      </c>
      <c r="F87" s="20">
        <f t="shared" si="21"/>
        <v>6693.8699436026827</v>
      </c>
      <c r="G87" s="20">
        <f t="shared" si="21"/>
        <v>6693.8699436026827</v>
      </c>
      <c r="H87" s="20">
        <f t="shared" si="21"/>
        <v>6693.8699436026827</v>
      </c>
      <c r="I87" s="20">
        <f t="shared" si="21"/>
        <v>6693.8699436026827</v>
      </c>
      <c r="J87" s="20">
        <f t="shared" si="21"/>
        <v>6693.8699436026827</v>
      </c>
      <c r="K87" s="20">
        <f t="shared" si="21"/>
        <v>6693.8699436026827</v>
      </c>
      <c r="L87" s="20">
        <f t="shared" si="21"/>
        <v>6693.8699436026827</v>
      </c>
      <c r="M87" s="20">
        <f t="shared" si="21"/>
        <v>6693.8699436026827</v>
      </c>
      <c r="N87" s="20">
        <f t="shared" si="21"/>
        <v>6693.8699436026827</v>
      </c>
      <c r="O87" s="20">
        <f t="shared" si="21"/>
        <v>6693.8699436026827</v>
      </c>
      <c r="P87" s="20">
        <f t="shared" si="21"/>
        <v>6693.8699436026827</v>
      </c>
      <c r="Q87" s="20">
        <f t="shared" si="21"/>
        <v>6693.8699436026827</v>
      </c>
      <c r="R87" s="20">
        <f t="shared" si="21"/>
        <v>6693.8699436026827</v>
      </c>
      <c r="S87" s="20">
        <f t="shared" si="21"/>
        <v>6693.8699436026827</v>
      </c>
      <c r="T87" s="20">
        <f t="shared" si="21"/>
        <v>6693.8699436026827</v>
      </c>
      <c r="U87" s="20">
        <f t="shared" si="21"/>
        <v>6693.8699436026827</v>
      </c>
      <c r="W87" s="420">
        <f>SUM(B87:U87)</f>
        <v>133877.39887205363</v>
      </c>
    </row>
    <row r="88" spans="1:44" ht="15" outlineLevel="1">
      <c r="A88" s="21" t="s">
        <v>200</v>
      </c>
      <c r="B88" s="228">
        <f>-Depreciation!C75</f>
        <v>-9917.6390740276565</v>
      </c>
      <c r="C88" s="228">
        <f>-Depreciation!D75</f>
        <v>-18843.514240652548</v>
      </c>
      <c r="D88" s="228">
        <f>-Depreciation!E75</f>
        <v>-16959.162816587293</v>
      </c>
      <c r="E88" s="228">
        <f>-Depreciation!F75</f>
        <v>-15273.16417400259</v>
      </c>
      <c r="F88" s="228">
        <f>-Depreciation!G75</f>
        <v>-13745.847756602332</v>
      </c>
      <c r="G88" s="228">
        <f>-Depreciation!H75</f>
        <v>-12357.37828623846</v>
      </c>
      <c r="H88" s="228">
        <f>-Depreciation!I75</f>
        <v>-11702.814107352633</v>
      </c>
      <c r="I88" s="228">
        <f>-Depreciation!J75</f>
        <v>-11722.64938550069</v>
      </c>
      <c r="J88" s="228">
        <f>-Depreciation!K75</f>
        <v>-11702.814107352633</v>
      </c>
      <c r="K88" s="228">
        <f>-Depreciation!L75</f>
        <v>-11722.64938550069</v>
      </c>
      <c r="L88" s="228">
        <f>-Depreciation!M75</f>
        <v>-11702.814107352633</v>
      </c>
      <c r="M88" s="228">
        <f>-Depreciation!N75</f>
        <v>-11722.64938550069</v>
      </c>
      <c r="N88" s="228">
        <f>-Depreciation!O75</f>
        <v>-11702.814107352633</v>
      </c>
      <c r="O88" s="228">
        <f>-Depreciation!P75</f>
        <v>-11722.64938550069</v>
      </c>
      <c r="P88" s="228">
        <f>-Depreciation!Q75</f>
        <v>-11702.814107352633</v>
      </c>
      <c r="Q88" s="228">
        <f>-Depreciation!R75</f>
        <v>-5851.4070536763165</v>
      </c>
      <c r="R88" s="228">
        <f>-Depreciation!S75</f>
        <v>0</v>
      </c>
      <c r="S88" s="228">
        <f>-Depreciation!T75</f>
        <v>0</v>
      </c>
      <c r="T88" s="228">
        <f>-Depreciation!U75</f>
        <v>0</v>
      </c>
      <c r="U88" s="228">
        <f>-Depreciation!V75</f>
        <v>0</v>
      </c>
      <c r="W88" s="421">
        <f>SUM(B88:U88)</f>
        <v>-198352.78148055312</v>
      </c>
    </row>
    <row r="89" spans="1:44" outlineLevel="1">
      <c r="A89" s="227" t="s">
        <v>131</v>
      </c>
      <c r="B89" s="22">
        <f t="shared" ref="B89:U89" si="22">SUM(B86:B88)</f>
        <v>-3078.0691647941503</v>
      </c>
      <c r="C89" s="22">
        <f t="shared" si="22"/>
        <v>-11864.944686234783</v>
      </c>
      <c r="D89" s="22">
        <f t="shared" si="22"/>
        <v>-9766.4952331939021</v>
      </c>
      <c r="E89" s="22">
        <f t="shared" si="22"/>
        <v>5451.1401086935821</v>
      </c>
      <c r="F89" s="22">
        <f t="shared" si="22"/>
        <v>9103.3060174774437</v>
      </c>
      <c r="G89" s="22">
        <f t="shared" si="22"/>
        <v>11369.756023658088</v>
      </c>
      <c r="H89" s="22">
        <f t="shared" si="22"/>
        <v>12961.916148100119</v>
      </c>
      <c r="I89" s="22">
        <f t="shared" si="22"/>
        <v>13903.301527882659</v>
      </c>
      <c r="J89" s="22">
        <f t="shared" si="22"/>
        <v>15022.087950969109</v>
      </c>
      <c r="K89" s="22">
        <f t="shared" si="22"/>
        <v>15758.27316908715</v>
      </c>
      <c r="L89" s="22">
        <f t="shared" si="22"/>
        <v>17396.423820936441</v>
      </c>
      <c r="M89" s="22">
        <f t="shared" si="22"/>
        <v>19092.0339000573</v>
      </c>
      <c r="N89" s="22">
        <f t="shared" si="22"/>
        <v>20805.583163148913</v>
      </c>
      <c r="O89" s="22">
        <f t="shared" si="22"/>
        <v>22342.118678571489</v>
      </c>
      <c r="P89" s="22">
        <f t="shared" si="22"/>
        <v>23941.008166559237</v>
      </c>
      <c r="Q89" s="22">
        <f t="shared" si="22"/>
        <v>31200.632758204694</v>
      </c>
      <c r="R89" s="22">
        <f t="shared" si="22"/>
        <v>38512.89667631784</v>
      </c>
      <c r="S89" s="22">
        <f t="shared" si="22"/>
        <v>39926.746456896479</v>
      </c>
      <c r="T89" s="22">
        <f t="shared" si="22"/>
        <v>41222.329516800171</v>
      </c>
      <c r="U89" s="22">
        <f t="shared" si="22"/>
        <v>42521.800940858448</v>
      </c>
      <c r="W89" s="420">
        <f>SUM(B89:U89)</f>
        <v>355821.84593999636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Assumptions!$D$38</f>
        <v>0.05</v>
      </c>
      <c r="C91" s="418">
        <f>Assumptions!$D$38</f>
        <v>0.05</v>
      </c>
      <c r="D91" s="418">
        <f>Assumptions!$D$38</f>
        <v>0.05</v>
      </c>
      <c r="E91" s="418">
        <f>Assumptions!$D$38</f>
        <v>0.05</v>
      </c>
      <c r="F91" s="418">
        <f>Assumptions!$D$38</f>
        <v>0.05</v>
      </c>
      <c r="G91" s="418">
        <f>Assumptions!$D$38</f>
        <v>0.05</v>
      </c>
      <c r="H91" s="418">
        <f>Assumptions!$D$38</f>
        <v>0.05</v>
      </c>
      <c r="I91" s="418">
        <f>Assumptions!$D$38</f>
        <v>0.05</v>
      </c>
      <c r="J91" s="418">
        <f>Assumptions!$D$38</f>
        <v>0.05</v>
      </c>
      <c r="K91" s="418">
        <f>Assumptions!$D$38</f>
        <v>0.05</v>
      </c>
      <c r="L91" s="418">
        <f>Assumptions!$D$38</f>
        <v>0.05</v>
      </c>
      <c r="M91" s="418">
        <f>Assumptions!$D$38</f>
        <v>0.05</v>
      </c>
      <c r="N91" s="418">
        <f>Assumptions!$D$38</f>
        <v>0.05</v>
      </c>
      <c r="O91" s="418">
        <f>Assumptions!$D$38</f>
        <v>0.05</v>
      </c>
      <c r="P91" s="418">
        <f>Assumptions!$D$38</f>
        <v>0.05</v>
      </c>
      <c r="Q91" s="418">
        <f>Assumptions!$D$38</f>
        <v>0.05</v>
      </c>
      <c r="R91" s="418">
        <f>Assumptions!$D$38</f>
        <v>0.05</v>
      </c>
      <c r="S91" s="418">
        <f>Assumptions!$D$38</f>
        <v>0.05</v>
      </c>
      <c r="T91" s="418">
        <f>Assumptions!$D$38</f>
        <v>0.05</v>
      </c>
      <c r="U91" s="418">
        <f>Assumptions!$D$38</f>
        <v>0.05</v>
      </c>
    </row>
    <row r="92" spans="1:44" outlineLevel="1">
      <c r="A92" s="21" t="s">
        <v>133</v>
      </c>
      <c r="B92" s="20">
        <f>B89*B91</f>
        <v>-153.90345823970753</v>
      </c>
      <c r="C92" s="20">
        <f t="shared" ref="C92:U92" si="23">C89*C91</f>
        <v>-593.24723431173913</v>
      </c>
      <c r="D92" s="20">
        <f t="shared" si="23"/>
        <v>-488.32476165969513</v>
      </c>
      <c r="E92" s="20">
        <f t="shared" si="23"/>
        <v>272.55700543467913</v>
      </c>
      <c r="F92" s="20">
        <f t="shared" si="23"/>
        <v>455.16530087387218</v>
      </c>
      <c r="G92" s="20">
        <f t="shared" si="23"/>
        <v>568.48780118290449</v>
      </c>
      <c r="H92" s="20">
        <f t="shared" si="23"/>
        <v>648.09580740500598</v>
      </c>
      <c r="I92" s="20">
        <f t="shared" si="23"/>
        <v>695.16507639413294</v>
      </c>
      <c r="J92" s="20">
        <f t="shared" si="23"/>
        <v>751.10439754845549</v>
      </c>
      <c r="K92" s="20">
        <f t="shared" si="23"/>
        <v>787.91365845435757</v>
      </c>
      <c r="L92" s="20">
        <f t="shared" si="23"/>
        <v>869.82119104682215</v>
      </c>
      <c r="M92" s="20">
        <f t="shared" si="23"/>
        <v>954.60169500286509</v>
      </c>
      <c r="N92" s="20">
        <f t="shared" si="23"/>
        <v>1040.2791581574456</v>
      </c>
      <c r="O92" s="20">
        <f t="shared" si="23"/>
        <v>1117.1059339285746</v>
      </c>
      <c r="P92" s="20">
        <f t="shared" si="23"/>
        <v>1197.0504083279618</v>
      </c>
      <c r="Q92" s="20">
        <f t="shared" si="23"/>
        <v>1560.0316379102348</v>
      </c>
      <c r="R92" s="20">
        <f t="shared" si="23"/>
        <v>1925.6448338158921</v>
      </c>
      <c r="S92" s="20">
        <f t="shared" si="23"/>
        <v>1996.337322844824</v>
      </c>
      <c r="T92" s="20">
        <f t="shared" si="23"/>
        <v>2061.1164758400087</v>
      </c>
      <c r="U92" s="20">
        <f t="shared" si="23"/>
        <v>2126.0900470429224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4">B98</f>
        <v>153.90345823970753</v>
      </c>
      <c r="D94" s="20">
        <f t="shared" si="24"/>
        <v>747.1506925514467</v>
      </c>
      <c r="E94" s="20">
        <f t="shared" si="24"/>
        <v>1235.4754542111418</v>
      </c>
      <c r="F94" s="20">
        <f t="shared" si="24"/>
        <v>962.9184487764627</v>
      </c>
      <c r="G94" s="20">
        <f t="shared" si="24"/>
        <v>507.75314790259051</v>
      </c>
      <c r="H94" s="20">
        <f t="shared" si="24"/>
        <v>0</v>
      </c>
      <c r="I94" s="20">
        <f t="shared" si="24"/>
        <v>0</v>
      </c>
      <c r="J94" s="20">
        <f t="shared" si="24"/>
        <v>0</v>
      </c>
      <c r="K94" s="20">
        <f t="shared" si="24"/>
        <v>0</v>
      </c>
      <c r="L94" s="20">
        <f t="shared" si="24"/>
        <v>0</v>
      </c>
      <c r="M94" s="20">
        <f t="shared" si="24"/>
        <v>0</v>
      </c>
      <c r="N94" s="20">
        <f>M98</f>
        <v>0</v>
      </c>
      <c r="O94" s="20">
        <f t="shared" si="24"/>
        <v>0</v>
      </c>
      <c r="P94" s="20">
        <f t="shared" si="24"/>
        <v>0</v>
      </c>
      <c r="Q94" s="20">
        <f t="shared" si="24"/>
        <v>0</v>
      </c>
      <c r="R94" s="20">
        <v>0</v>
      </c>
      <c r="S94" s="20">
        <f t="shared" si="24"/>
        <v>0</v>
      </c>
      <c r="T94" s="20">
        <f t="shared" si="24"/>
        <v>0</v>
      </c>
      <c r="U94" s="20">
        <f t="shared" si="24"/>
        <v>0</v>
      </c>
    </row>
    <row r="95" spans="1:44" outlineLevel="1">
      <c r="A95" s="21" t="s">
        <v>135</v>
      </c>
      <c r="B95" s="239">
        <f t="shared" ref="B95:U95" si="25">IF(B68&gt;2020,0,IF(B92&lt;0,-B92,0))</f>
        <v>153.90345823970753</v>
      </c>
      <c r="C95" s="239">
        <f t="shared" si="25"/>
        <v>593.24723431173913</v>
      </c>
      <c r="D95" s="239">
        <f t="shared" si="25"/>
        <v>488.32476165969513</v>
      </c>
      <c r="E95" s="239">
        <f t="shared" si="25"/>
        <v>0</v>
      </c>
      <c r="F95" s="239">
        <f t="shared" si="25"/>
        <v>0</v>
      </c>
      <c r="G95" s="239">
        <f t="shared" si="25"/>
        <v>0</v>
      </c>
      <c r="H95" s="239">
        <f t="shared" si="25"/>
        <v>0</v>
      </c>
      <c r="I95" s="239">
        <f t="shared" si="25"/>
        <v>0</v>
      </c>
      <c r="J95" s="239">
        <f t="shared" si="25"/>
        <v>0</v>
      </c>
      <c r="K95" s="239">
        <f t="shared" si="25"/>
        <v>0</v>
      </c>
      <c r="L95" s="239">
        <f t="shared" si="25"/>
        <v>0</v>
      </c>
      <c r="M95" s="239">
        <f t="shared" si="25"/>
        <v>0</v>
      </c>
      <c r="N95" s="239">
        <f t="shared" si="25"/>
        <v>0</v>
      </c>
      <c r="O95" s="239">
        <f t="shared" si="25"/>
        <v>0</v>
      </c>
      <c r="P95" s="239">
        <f t="shared" si="25"/>
        <v>0</v>
      </c>
      <c r="Q95" s="239">
        <f t="shared" si="25"/>
        <v>0</v>
      </c>
      <c r="R95" s="239">
        <f t="shared" si="25"/>
        <v>0</v>
      </c>
      <c r="S95" s="239">
        <f t="shared" si="25"/>
        <v>0</v>
      </c>
      <c r="T95" s="239">
        <f t="shared" si="25"/>
        <v>0</v>
      </c>
      <c r="U95" s="239">
        <f t="shared" si="25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6">IF(B92&lt;0,0,IF(B94&gt;B92,-B92,-B94))</f>
        <v>0</v>
      </c>
      <c r="C97" s="230">
        <f t="shared" si="26"/>
        <v>0</v>
      </c>
      <c r="D97" s="230">
        <f t="shared" si="26"/>
        <v>0</v>
      </c>
      <c r="E97" s="230">
        <f t="shared" si="26"/>
        <v>-272.55700543467913</v>
      </c>
      <c r="F97" s="230">
        <f t="shared" si="26"/>
        <v>-455.16530087387218</v>
      </c>
      <c r="G97" s="230">
        <f t="shared" si="26"/>
        <v>-507.75314790259051</v>
      </c>
      <c r="H97" s="230">
        <f t="shared" si="26"/>
        <v>0</v>
      </c>
      <c r="I97" s="230">
        <f t="shared" si="26"/>
        <v>0</v>
      </c>
      <c r="J97" s="230">
        <f t="shared" si="26"/>
        <v>0</v>
      </c>
      <c r="K97" s="230">
        <f t="shared" si="26"/>
        <v>0</v>
      </c>
      <c r="L97" s="230">
        <f t="shared" si="26"/>
        <v>0</v>
      </c>
      <c r="M97" s="230">
        <f t="shared" si="26"/>
        <v>0</v>
      </c>
      <c r="N97" s="230">
        <f t="shared" si="26"/>
        <v>0</v>
      </c>
      <c r="O97" s="230">
        <f t="shared" si="26"/>
        <v>0</v>
      </c>
      <c r="P97" s="230">
        <f t="shared" si="26"/>
        <v>0</v>
      </c>
      <c r="Q97" s="230">
        <f t="shared" si="26"/>
        <v>0</v>
      </c>
      <c r="R97" s="230">
        <f t="shared" si="26"/>
        <v>0</v>
      </c>
      <c r="S97" s="230">
        <f t="shared" si="26"/>
        <v>0</v>
      </c>
      <c r="T97" s="230">
        <f t="shared" si="26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7">SUM(B94:B97)</f>
        <v>153.90345823970753</v>
      </c>
      <c r="C98" s="230">
        <f t="shared" si="27"/>
        <v>747.1506925514467</v>
      </c>
      <c r="D98" s="230">
        <f t="shared" si="27"/>
        <v>1235.4754542111418</v>
      </c>
      <c r="E98" s="230">
        <f t="shared" si="27"/>
        <v>962.9184487764627</v>
      </c>
      <c r="F98" s="230">
        <f t="shared" si="27"/>
        <v>507.75314790259051</v>
      </c>
      <c r="G98" s="230">
        <f t="shared" si="27"/>
        <v>0</v>
      </c>
      <c r="H98" s="230">
        <f t="shared" si="27"/>
        <v>0</v>
      </c>
      <c r="I98" s="230">
        <f t="shared" si="27"/>
        <v>0</v>
      </c>
      <c r="J98" s="230">
        <f t="shared" si="27"/>
        <v>0</v>
      </c>
      <c r="K98" s="230">
        <f t="shared" si="27"/>
        <v>0</v>
      </c>
      <c r="L98" s="230">
        <f t="shared" si="27"/>
        <v>0</v>
      </c>
      <c r="M98" s="230">
        <f t="shared" si="27"/>
        <v>0</v>
      </c>
      <c r="N98" s="230">
        <f t="shared" si="27"/>
        <v>0</v>
      </c>
      <c r="O98" s="230">
        <f t="shared" si="27"/>
        <v>0</v>
      </c>
      <c r="P98" s="230">
        <f t="shared" si="27"/>
        <v>0</v>
      </c>
      <c r="Q98" s="230">
        <f t="shared" si="27"/>
        <v>0</v>
      </c>
      <c r="R98" s="230">
        <f t="shared" si="27"/>
        <v>0</v>
      </c>
      <c r="S98" s="230">
        <f t="shared" si="27"/>
        <v>0</v>
      </c>
      <c r="T98" s="230">
        <f t="shared" si="27"/>
        <v>0</v>
      </c>
      <c r="U98" s="230">
        <f t="shared" si="27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8">IF(B92&lt;0,0,B92+B97)</f>
        <v>0</v>
      </c>
      <c r="C100" s="327">
        <f t="shared" si="28"/>
        <v>0</v>
      </c>
      <c r="D100" s="327">
        <f t="shared" si="28"/>
        <v>0</v>
      </c>
      <c r="E100" s="327">
        <f t="shared" si="28"/>
        <v>0</v>
      </c>
      <c r="F100" s="327">
        <f t="shared" si="28"/>
        <v>0</v>
      </c>
      <c r="G100" s="327">
        <f t="shared" si="28"/>
        <v>60.734653280313978</v>
      </c>
      <c r="H100" s="327">
        <f t="shared" si="28"/>
        <v>648.09580740500598</v>
      </c>
      <c r="I100" s="327">
        <f t="shared" si="28"/>
        <v>695.16507639413294</v>
      </c>
      <c r="J100" s="327">
        <f t="shared" si="28"/>
        <v>751.10439754845549</v>
      </c>
      <c r="K100" s="327">
        <f t="shared" si="28"/>
        <v>787.91365845435757</v>
      </c>
      <c r="L100" s="327">
        <f t="shared" si="28"/>
        <v>869.82119104682215</v>
      </c>
      <c r="M100" s="327">
        <f t="shared" si="28"/>
        <v>954.60169500286509</v>
      </c>
      <c r="N100" s="327">
        <f t="shared" si="28"/>
        <v>1040.2791581574456</v>
      </c>
      <c r="O100" s="327">
        <f t="shared" si="28"/>
        <v>1117.1059339285746</v>
      </c>
      <c r="P100" s="327">
        <f t="shared" si="28"/>
        <v>1197.0504083279618</v>
      </c>
      <c r="Q100" s="327">
        <f t="shared" si="28"/>
        <v>1560.0316379102348</v>
      </c>
      <c r="R100" s="327">
        <f t="shared" si="28"/>
        <v>1925.6448338158921</v>
      </c>
      <c r="S100" s="327">
        <f t="shared" si="28"/>
        <v>1996.337322844824</v>
      </c>
      <c r="T100" s="327">
        <f t="shared" si="28"/>
        <v>2061.1164758400087</v>
      </c>
      <c r="U100" s="327">
        <f t="shared" si="28"/>
        <v>2126.0900470429224</v>
      </c>
      <c r="W100" s="420">
        <f>SUM(B100:U100)</f>
        <v>17791.092296999814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ht="18.75" hidden="1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hidden="1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idden="1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7" hidden="1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7" hidden="1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  <c r="AA318" s="8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2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2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2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2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2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2" outlineLevel="1" collapsed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2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2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2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2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2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2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2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2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2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</row>
    <row r="336" spans="1:22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2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2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2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 collapsed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7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94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886.07793520000007</v>
      </c>
      <c r="AA7" s="470">
        <f>C10+C11</f>
        <v>912.6602732560001</v>
      </c>
      <c r="AB7" s="470">
        <f>D10+D11</f>
        <v>940.04008145368016</v>
      </c>
      <c r="AC7" s="470">
        <f t="shared" ref="AC7:AS7" si="1">E16</f>
        <v>630.58864089729036</v>
      </c>
      <c r="AD7" s="470">
        <f t="shared" si="1"/>
        <v>649.50630012420902</v>
      </c>
      <c r="AE7" s="470">
        <f t="shared" si="1"/>
        <v>668.99148912793532</v>
      </c>
      <c r="AF7" s="470">
        <f t="shared" si="1"/>
        <v>689.06123380177348</v>
      </c>
      <c r="AG7" s="470">
        <f t="shared" si="1"/>
        <v>709.73307081582652</v>
      </c>
      <c r="AH7" s="470">
        <f t="shared" si="1"/>
        <v>731.02506294030138</v>
      </c>
      <c r="AI7" s="470">
        <f t="shared" si="1"/>
        <v>752.95581482851048</v>
      </c>
      <c r="AJ7" s="470">
        <f t="shared" si="1"/>
        <v>775.5444892733658</v>
      </c>
      <c r="AK7" s="470">
        <f t="shared" si="1"/>
        <v>798.81082395156659</v>
      </c>
      <c r="AL7" s="470">
        <f t="shared" si="1"/>
        <v>822.77514867011359</v>
      </c>
      <c r="AM7" s="470">
        <f t="shared" si="1"/>
        <v>847.45840313021711</v>
      </c>
      <c r="AN7" s="470">
        <f t="shared" si="1"/>
        <v>872.88215522412361</v>
      </c>
      <c r="AO7" s="470">
        <f t="shared" si="1"/>
        <v>899.06861988084722</v>
      </c>
      <c r="AP7" s="470">
        <f t="shared" si="1"/>
        <v>926.04067847727265</v>
      </c>
      <c r="AQ7" s="470">
        <f t="shared" si="1"/>
        <v>953.82189883159094</v>
      </c>
      <c r="AR7" s="470">
        <f t="shared" si="1"/>
        <v>982.43655579653853</v>
      </c>
      <c r="AS7" s="470">
        <f t="shared" si="1"/>
        <v>1011.9096524704347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886.07793520000007</v>
      </c>
      <c r="AA8" s="491">
        <f>C23+C24</f>
        <v>912.6602732560001</v>
      </c>
      <c r="AB8" s="491">
        <f>D23+D24</f>
        <v>940.04008145368016</v>
      </c>
      <c r="AC8" s="491">
        <f t="shared" ref="AC8:AS8" si="2">E23+1/3*E24</f>
        <v>630.58864089729036</v>
      </c>
      <c r="AD8" s="491">
        <f t="shared" si="2"/>
        <v>649.50630012420902</v>
      </c>
      <c r="AE8" s="491">
        <f t="shared" si="2"/>
        <v>668.99148912793544</v>
      </c>
      <c r="AF8" s="491">
        <f t="shared" si="2"/>
        <v>689.0612338017736</v>
      </c>
      <c r="AG8" s="491">
        <f t="shared" si="2"/>
        <v>709.73307081582664</v>
      </c>
      <c r="AH8" s="491">
        <f t="shared" si="2"/>
        <v>731.0250629403015</v>
      </c>
      <c r="AI8" s="491">
        <f t="shared" si="2"/>
        <v>752.9558148285106</v>
      </c>
      <c r="AJ8" s="491">
        <f t="shared" si="2"/>
        <v>775.5444892733658</v>
      </c>
      <c r="AK8" s="491">
        <f t="shared" si="2"/>
        <v>798.8108239515667</v>
      </c>
      <c r="AL8" s="491">
        <f t="shared" si="2"/>
        <v>822.77514867011382</v>
      </c>
      <c r="AM8" s="491">
        <f t="shared" si="2"/>
        <v>847.45840313021722</v>
      </c>
      <c r="AN8" s="491">
        <f t="shared" si="2"/>
        <v>872.88215522412372</v>
      </c>
      <c r="AO8" s="491">
        <f t="shared" si="2"/>
        <v>899.06861988084734</v>
      </c>
      <c r="AP8" s="491">
        <f t="shared" si="2"/>
        <v>926.04067847727288</v>
      </c>
      <c r="AQ8" s="491">
        <f t="shared" si="2"/>
        <v>953.82189883159106</v>
      </c>
      <c r="AR8" s="491">
        <f t="shared" si="2"/>
        <v>982.43655579653864</v>
      </c>
      <c r="AS8" s="491">
        <f t="shared" si="2"/>
        <v>1011.9096524704349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Assumption'!C27*12*Assumptions!$E$9</f>
        <v>17808</v>
      </c>
      <c r="C9" s="56">
        <f>'Power Price Assumption'!D27*12*Assumptions!$E$9</f>
        <v>17808</v>
      </c>
      <c r="D9" s="56">
        <f>'Power Price Assumption'!E27*12*Assumptions!$E$9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Assumptions!E19*Assumptions!E17/1000*(1+Assumptions!$E$25)</f>
        <v>422.57793520000007</v>
      </c>
      <c r="C10" s="56">
        <f>B10*(1+Assumptions!$E$25)</f>
        <v>435.25527325600007</v>
      </c>
      <c r="D10" s="56">
        <f>C10*(1+Assumptions!$E$25)</f>
        <v>448.31293145368011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1306.1461399096802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Assumptions!$E$18*Assumptions!$E$11*Assumptions!$E$8/1000*(1+Assumptions!$E$25)</f>
        <v>463.5</v>
      </c>
      <c r="C11" s="91">
        <f>B11*(1+Assumptions!$E$25)</f>
        <v>477.40500000000003</v>
      </c>
      <c r="D11" s="91">
        <f>C11*(1+Assumptions!$E$25)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Contract'!$C$23/3</f>
        <v>6575.090395756768</v>
      </c>
      <c r="C12" s="127">
        <f>'Amortization of Power Contract'!$C$23/3</f>
        <v>6575.090395756768</v>
      </c>
      <c r="D12" s="127">
        <f>'Amortization of Power Contract'!$C$23/3</f>
        <v>6575.090395756768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19725.271187270304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Assumption'!F27*Assumptions!$E$9*12</f>
        <v>28580.690259731728</v>
      </c>
      <c r="F15" s="19">
        <f>'Power Price Assumption'!G27*Assumptions!$E$9*12</f>
        <v>29997.90319162907</v>
      </c>
      <c r="G15" s="19">
        <f>'Power Price Assumption'!H27*Assumptions!$E$9*12</f>
        <v>30382.587490901788</v>
      </c>
      <c r="H15" s="19">
        <f>'Power Price Assumption'!I27*Assumptions!$E$9*12</f>
        <v>30772.204868635425</v>
      </c>
      <c r="I15" s="19">
        <f>'Power Price Assumption'!J27*Assumptions!$E$9*12</f>
        <v>31166.818585179157</v>
      </c>
      <c r="J15" s="19">
        <f>'Power Price Assumption'!K27*Assumptions!$E$9*12</f>
        <v>31566.492712114316</v>
      </c>
      <c r="K15" s="19">
        <f>'Power Price Assumption'!L27*Assumptions!$E$9*12</f>
        <v>31971.292142657378</v>
      </c>
      <c r="L15" s="19">
        <f>'Power Price Assumption'!M27*Assumptions!$E$9*12</f>
        <v>32576.257894258524</v>
      </c>
      <c r="M15" s="19">
        <f>'Power Price Assumption'!N27*Assumptions!$E$9*12</f>
        <v>33192.670901697107</v>
      </c>
      <c r="N15" s="19">
        <f>'Power Price Assumption'!O27*Assumptions!$E$9*12</f>
        <v>33820.747771724593</v>
      </c>
      <c r="O15" s="19">
        <f>'Power Price Assumption'!P27*Assumptions!$E$9*12</f>
        <v>34460.709209759014</v>
      </c>
      <c r="P15" s="19">
        <f>'Power Price Assumption'!Q27*Assumptions!$E$9*12</f>
        <v>35112.780097440627</v>
      </c>
      <c r="Q15" s="19">
        <f>'Power Price Assumption'!R27*Assumptions!$E$9*12</f>
        <v>35613.748729049599</v>
      </c>
      <c r="R15" s="19">
        <f>'Power Price Assumption'!S27*Assumptions!$E$9*12</f>
        <v>36121.864888400887</v>
      </c>
      <c r="S15" s="19">
        <f>'Power Price Assumption'!T27*Assumptions!$E$9*12</f>
        <v>36637.230552244335</v>
      </c>
      <c r="T15" s="19">
        <f>'Power Price Assumption'!U27*Assumptions!$E$9*12</f>
        <v>37159.949152274457</v>
      </c>
      <c r="U15" s="19">
        <f>'Power Price Assumption'!V27*Assumptions!$E$9*12</f>
        <v>37690.125595888836</v>
      </c>
      <c r="W15" s="91">
        <f>SUM(B15:U15)</f>
        <v>566824.07404358685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1/3*Assumptions!$E$18*Assumptions!$E$11*Assumptions!$E$8/1000*(1+Assumptions!$E$25)^(E5-2000)+Assumptions!$E$19*Assumptions!$E$17*(1+Assumptions!$E$25)^(E5-2000)/1000</f>
        <v>630.58864089729036</v>
      </c>
      <c r="F16" s="127">
        <f>1/3*Assumptions!$E$18*Assumptions!$E$11*Assumptions!$E$8/1000*(1+Assumptions!$E$25)^(F5-2000)+Assumptions!$E$19*Assumptions!$E$17*(1+Assumptions!$E$25)^(F5-2000)/1000</f>
        <v>649.50630012420902</v>
      </c>
      <c r="G16" s="127">
        <f>1/3*Assumptions!$E$18*Assumptions!$E$11*Assumptions!$E$8/1000*(1+Assumptions!$E$25)^(G5-2000)+Assumptions!$E$19*Assumptions!$E$17*(1+Assumptions!$E$25)^(G5-2000)/1000</f>
        <v>668.99148912793532</v>
      </c>
      <c r="H16" s="127">
        <f>1/3*Assumptions!$E$18*Assumptions!$E$11*Assumptions!$E$8/1000*(1+Assumptions!$E$25)^(H5-2000)+Assumptions!$E$19*Assumptions!$E$17*(1+Assumptions!$E$25)^(H5-2000)/1000</f>
        <v>689.06123380177348</v>
      </c>
      <c r="I16" s="127">
        <f>1/3*Assumptions!$E$18*Assumptions!$E$11*Assumptions!$E$8/1000*(1+Assumptions!$E$25)^(I5-2000)+Assumptions!$E$19*Assumptions!$E$17*(1+Assumptions!$E$25)^(I5-2000)/1000</f>
        <v>709.73307081582652</v>
      </c>
      <c r="J16" s="127">
        <f>1/3*Assumptions!$E$18*Assumptions!$E$11*Assumptions!$E$8/1000*(1+Assumptions!$E$25)^(J5-2000)+Assumptions!$E$19*Assumptions!$E$17*(1+Assumptions!$E$25)^(J5-2000)/1000</f>
        <v>731.02506294030138</v>
      </c>
      <c r="K16" s="127">
        <f>1/3*Assumptions!$E$18*Assumptions!$E$11*Assumptions!$E$8/1000*(1+Assumptions!$E$25)^(K5-2000)+Assumptions!$E$19*Assumptions!$E$17*(1+Assumptions!$E$25)^(K5-2000)/1000</f>
        <v>752.95581482851048</v>
      </c>
      <c r="L16" s="127">
        <f>1/3*Assumptions!$E$18*Assumptions!$E$11*Assumptions!$E$8/1000*(1+Assumptions!$E$25)^(L5-2000)+Assumptions!$E$19*Assumptions!$E$17*(1+Assumptions!$E$25)^(L5-2000)/1000</f>
        <v>775.5444892733658</v>
      </c>
      <c r="M16" s="127">
        <f>1/3*Assumptions!$E$18*Assumptions!$E$11*Assumptions!$E$8/1000*(1+Assumptions!$E$25)^(M5-2000)+Assumptions!$E$19*Assumptions!$E$17*(1+Assumptions!$E$25)^(M5-2000)/1000</f>
        <v>798.81082395156659</v>
      </c>
      <c r="N16" s="127">
        <f>1/3*Assumptions!$E$18*Assumptions!$E$11*Assumptions!$E$8/1000*(1+Assumptions!$E$25)^(N5-2000)+Assumptions!$E$19*Assumptions!$E$17*(1+Assumptions!$E$25)^(N5-2000)/1000</f>
        <v>822.77514867011359</v>
      </c>
      <c r="O16" s="127">
        <f>1/3*Assumptions!$E$18*Assumptions!$E$11*Assumptions!$E$8/1000*(1+Assumptions!$E$25)^(O5-2000)+Assumptions!$E$19*Assumptions!$E$17*(1+Assumptions!$E$25)^(O5-2000)/1000</f>
        <v>847.45840313021711</v>
      </c>
      <c r="P16" s="127">
        <f>1/3*Assumptions!$E$18*Assumptions!$E$11*Assumptions!$E$8/1000*(1+Assumptions!$E$25)^(P5-2000)+Assumptions!$E$19*Assumptions!$E$17*(1+Assumptions!$E$25)^(P5-2000)/1000</f>
        <v>872.88215522412361</v>
      </c>
      <c r="Q16" s="127">
        <f>1/3*Assumptions!$E$18*Assumptions!$E$11*Assumptions!$E$8/1000*(1+Assumptions!$E$25)^(Q5-2000)+Assumptions!$E$19*Assumptions!$E$17*(1+Assumptions!$E$25)^(Q5-2000)/1000</f>
        <v>899.06861988084722</v>
      </c>
      <c r="R16" s="127">
        <f>1/3*Assumptions!$E$18*Assumptions!$E$11*Assumptions!$E$8/1000*(1+Assumptions!$E$25)^(R5-2000)+Assumptions!$E$19*Assumptions!$E$17*(1+Assumptions!$E$25)^(R5-2000)/1000</f>
        <v>926.04067847727265</v>
      </c>
      <c r="S16" s="127">
        <f>1/3*Assumptions!$E$18*Assumptions!$E$11*Assumptions!$E$8/1000*(1+Assumptions!$E$25)^(S5-2000)+Assumptions!$E$19*Assumptions!$E$17*(1+Assumptions!$E$25)^(S5-2000)/1000</f>
        <v>953.82189883159094</v>
      </c>
      <c r="T16" s="127">
        <f>1/3*Assumptions!$E$18*Assumptions!$E$11*Assumptions!$E$8/1000*(1+Assumptions!$E$25)^(T5-2000)+Assumptions!$E$19*Assumptions!$E$17*(1+Assumptions!$E$25)^(T5-2000)/1000</f>
        <v>982.43655579653853</v>
      </c>
      <c r="U16" s="127">
        <f>1/3*Assumptions!$E$18*Assumptions!$E$11*Assumptions!$E$8/1000*(1+Assumptions!$E$25)^(U5-2000)+Assumptions!$E$19*Assumptions!$E$17*(1+Assumptions!$E$25)^(U5-2000)/1000</f>
        <v>1011.9096524704347</v>
      </c>
      <c r="W16" s="91">
        <f>SUM(B16:U16)</f>
        <v>13722.610038241919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182.41486702980825</v>
      </c>
      <c r="C18" s="198">
        <f>(SUM(C9:C11)-SUM(C22:C27))*'Summary Output'!$B$29/4</f>
        <v>181.70325336228831</v>
      </c>
      <c r="D18" s="198">
        <f>(SUM(D9:D11)-SUM(D22:D27))*'Summary Output'!$B$29/4</f>
        <v>180.97488075606495</v>
      </c>
      <c r="E18" s="198">
        <f>(SUM(E9:E16)-SUM(E22:E27))*'Summary Output'!$B$29/4</f>
        <v>310.9097906582931</v>
      </c>
      <c r="F18" s="198">
        <f>(SUM(F9:F16)-SUM(F22:F27))*'Summary Output'!$B$29/4</f>
        <v>328.0001163843861</v>
      </c>
      <c r="G18" s="198">
        <f>(SUM(G9:G16)-SUM(G22:G27))*'Summary Output'!$B$29/4</f>
        <v>332.24580788496871</v>
      </c>
      <c r="H18" s="198">
        <f>(SUM(H9:H16)-SUM(H22:H27))*'Summary Output'!$B$29/4</f>
        <v>336.54197064328559</v>
      </c>
      <c r="I18" s="198">
        <f>(SUM(I9:I16)-SUM(I22:I27))*'Summary Output'!$B$29/4</f>
        <v>340.86805289202903</v>
      </c>
      <c r="J18" s="198">
        <f>(SUM(J9:J16)-SUM(J22:J27))*'Summary Output'!$B$29/4</f>
        <v>345.39512439180288</v>
      </c>
      <c r="K18" s="198">
        <f>(SUM(K9:K16)-SUM(K22:K27))*'Summary Output'!$B$29/4</f>
        <v>343.01238375031102</v>
      </c>
      <c r="L18" s="198">
        <f>(SUM(L9:L16)-SUM(L22:L27))*'Summary Output'!$B$29/4</f>
        <v>351.81069133089045</v>
      </c>
      <c r="M18" s="198">
        <f>(SUM(M9:M16)-SUM(M22:M27))*'Summary Output'!$B$29/4</f>
        <v>360.94406045223815</v>
      </c>
      <c r="N18" s="198">
        <f>(SUM(N9:N16)-SUM(N22:N27))*'Summary Output'!$B$29/4</f>
        <v>369.27263103288283</v>
      </c>
      <c r="O18" s="198">
        <f>(SUM(O9:O16)-SUM(O22:O27))*'Summary Output'!$B$29/4</f>
        <v>376.11236735512153</v>
      </c>
      <c r="P18" s="198">
        <f>(SUM(P9:P16)-SUM(P22:P27))*'Summary Output'!$B$29/4</f>
        <v>383.06233479171567</v>
      </c>
      <c r="Q18" s="198">
        <f>(SUM(Q9:Q16)-SUM(Q22:Q27))*'Summary Output'!$B$29/4</f>
        <v>388.02289486212726</v>
      </c>
      <c r="R18" s="198">
        <f>(SUM(R9:R16)-SUM(R22:R27))*'Summary Output'!$B$29/4</f>
        <v>392.97155253108627</v>
      </c>
      <c r="S18" s="198">
        <f>(SUM(S9:S16)-SUM(S22:S27))*'Summary Output'!$B$29/4</f>
        <v>397.96479181455675</v>
      </c>
      <c r="T18" s="198">
        <f>(SUM(T9:T16)-SUM(T22:T27))*'Summary Output'!$B$29/4</f>
        <v>403.00250164157535</v>
      </c>
      <c r="U18" s="198">
        <f>(SUM(U9:U16)-SUM(U22:U27))*'Summary Output'!$B$29/4</f>
        <v>408.08454957082733</v>
      </c>
      <c r="W18" s="91">
        <f>SUM(B18:U18)</f>
        <v>6713.3146231362607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25451.583197986576</v>
      </c>
      <c r="C19" s="56">
        <f t="shared" ref="C19:U19" si="4">SUM(C9:C18)</f>
        <v>25477.453922375054</v>
      </c>
      <c r="D19" s="56">
        <f t="shared" si="4"/>
        <v>25504.105357966513</v>
      </c>
      <c r="E19" s="56">
        <f t="shared" si="4"/>
        <v>29522.188691287312</v>
      </c>
      <c r="F19" s="56">
        <f t="shared" si="4"/>
        <v>30975.409608137663</v>
      </c>
      <c r="G19" s="56">
        <f t="shared" si="4"/>
        <v>31383.824787914695</v>
      </c>
      <c r="H19" s="56">
        <f t="shared" si="4"/>
        <v>31797.808073080483</v>
      </c>
      <c r="I19" s="56">
        <f t="shared" si="4"/>
        <v>32217.419708887013</v>
      </c>
      <c r="J19" s="56">
        <f t="shared" si="4"/>
        <v>32642.912899446419</v>
      </c>
      <c r="K19" s="56">
        <f t="shared" si="4"/>
        <v>33067.2603412362</v>
      </c>
      <c r="L19" s="56">
        <f t="shared" si="4"/>
        <v>33703.613074862777</v>
      </c>
      <c r="M19" s="56">
        <f t="shared" si="4"/>
        <v>34352.42578610091</v>
      </c>
      <c r="N19" s="56">
        <f t="shared" si="4"/>
        <v>35012.795551427589</v>
      </c>
      <c r="O19" s="56">
        <f t="shared" si="4"/>
        <v>35684.279980244348</v>
      </c>
      <c r="P19" s="56">
        <f t="shared" si="4"/>
        <v>36368.724587456461</v>
      </c>
      <c r="Q19" s="56">
        <f t="shared" si="4"/>
        <v>36900.840243792576</v>
      </c>
      <c r="R19" s="56">
        <f t="shared" si="4"/>
        <v>37440.877119409248</v>
      </c>
      <c r="S19" s="56">
        <f t="shared" si="4"/>
        <v>37989.017242890484</v>
      </c>
      <c r="T19" s="56">
        <f t="shared" si="4"/>
        <v>38545.388209712568</v>
      </c>
      <c r="U19" s="56">
        <f t="shared" si="4"/>
        <v>39110.1197979301</v>
      </c>
      <c r="W19" s="91">
        <f>SUM(B19:U19)</f>
        <v>663148.04818214499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Assumptions!E28*(1+Assumptions!$E$25)</f>
        <v>1934.4085877000002</v>
      </c>
      <c r="C22" s="127">
        <f>B22*(1+Assumptions!$E$25)</f>
        <v>1992.4408453310002</v>
      </c>
      <c r="D22" s="127">
        <f>C22*(1+Assumptions!$E$25)</f>
        <v>2052.2140706909304</v>
      </c>
      <c r="E22" s="127">
        <f>D22*(1+Assumptions!$E$25)</f>
        <v>2113.7804928116584</v>
      </c>
      <c r="F22" s="127">
        <f>E22*(1+Assumptions!$E$25)</f>
        <v>2177.1939075960081</v>
      </c>
      <c r="G22" s="127">
        <f>F22*(1+Assumptions!$E$25)</f>
        <v>2242.5097248238885</v>
      </c>
      <c r="H22" s="127">
        <f>G22*(1+Assumptions!$E$25)</f>
        <v>2309.7850165686054</v>
      </c>
      <c r="I22" s="127">
        <f>H22*(1+Assumptions!$E$25)</f>
        <v>2379.0785670656637</v>
      </c>
      <c r="J22" s="127">
        <f>I22*(1+Assumptions!$E$25)</f>
        <v>2450.4509240776338</v>
      </c>
      <c r="K22" s="127">
        <f>J22*(1+Assumptions!$E$25)</f>
        <v>2523.9644517999627</v>
      </c>
      <c r="L22" s="127">
        <f>K22*(1+Assumptions!$E$25)</f>
        <v>2599.6833853539615</v>
      </c>
      <c r="M22" s="127">
        <f>L22*(1+Assumptions!$E$25)</f>
        <v>2677.6738869145806</v>
      </c>
      <c r="N22" s="127">
        <f>M22*(1+Assumptions!$E$25)</f>
        <v>2758.0041035220183</v>
      </c>
      <c r="O22" s="127">
        <f>N22*(1+Assumptions!$E$25)</f>
        <v>2840.7442266276789</v>
      </c>
      <c r="P22" s="127">
        <f>O22*(1+Assumptions!$E$25)</f>
        <v>2925.9665534265096</v>
      </c>
      <c r="Q22" s="127">
        <f>P22*(1+Assumptions!$E$25)</f>
        <v>3013.7455500293049</v>
      </c>
      <c r="R22" s="127">
        <f>Q22*(1+Assumptions!$E$25)</f>
        <v>3104.1579165301841</v>
      </c>
      <c r="S22" s="127">
        <f>R22*(1+Assumptions!$E$25)</f>
        <v>3197.2826540260899</v>
      </c>
      <c r="T22" s="127">
        <f>S22*(1+Assumptions!$E$25)</f>
        <v>3293.2011336468727</v>
      </c>
      <c r="U22" s="127">
        <f>T22*(1+Assumptions!$E$25)</f>
        <v>3391.9971676562791</v>
      </c>
      <c r="W22" s="91">
        <f t="shared" ref="W22:W28" si="5">SUM(B22:U22)</f>
        <v>51978.283166198824</v>
      </c>
    </row>
    <row r="23" spans="1:55">
      <c r="A23" s="3" t="s">
        <v>49</v>
      </c>
      <c r="B23" s="127">
        <f>Assumptions!$E$29*(1+Assumptions!$E$25)</f>
        <v>422.57793520000007</v>
      </c>
      <c r="C23" s="127">
        <f>B23*(1+Assumptions!$E$25)</f>
        <v>435.25527325600007</v>
      </c>
      <c r="D23" s="127">
        <f>C23*(1+Assumptions!$E$25)</f>
        <v>448.31293145368011</v>
      </c>
      <c r="E23" s="127">
        <f>Assumptions!$E$19*Assumptions!$E$23*(1+Assumptions!$E$25)^(E5-2000)/1000</f>
        <v>461.76231939729041</v>
      </c>
      <c r="F23" s="127">
        <f>Assumptions!$E$19*Assumptions!$E$23*(1+Assumptions!$E$25)^(F5-2000)/1000</f>
        <v>475.61518897920905</v>
      </c>
      <c r="G23" s="127">
        <f>Assumptions!$E$19*Assumptions!$E$23*(1+Assumptions!$E$25)^(G5-2000)/1000</f>
        <v>489.88364464858535</v>
      </c>
      <c r="H23" s="127">
        <f>Assumptions!$E$19*Assumptions!$E$23*(1+Assumptions!$E$25)^(H5-2000)/1000</f>
        <v>504.58015398804298</v>
      </c>
      <c r="I23" s="127">
        <f>Assumptions!$E$19*Assumptions!$E$23*(1+Assumptions!$E$25)^(I5-2000)/1000</f>
        <v>519.71755860768417</v>
      </c>
      <c r="J23" s="127">
        <f>Assumptions!$E$19*Assumptions!$E$23*(1+Assumptions!$E$25)^(J5-2000)/1000</f>
        <v>535.30908536591471</v>
      </c>
      <c r="K23" s="127">
        <f>Assumptions!$E$19*Assumptions!$E$23*(1+Assumptions!$E$25)^(K5-2000)/1000</f>
        <v>551.36835792689226</v>
      </c>
      <c r="L23" s="127">
        <f>Assumptions!$E$19*Assumptions!$E$23*(1+Assumptions!$E$25)^(L5-2000)/1000</f>
        <v>567.90940866469896</v>
      </c>
      <c r="M23" s="127">
        <f>Assumptions!$E$19*Assumptions!$E$23*(1+Assumptions!$E$25)^(M5-2000)/1000</f>
        <v>584.94669092463982</v>
      </c>
      <c r="N23" s="127">
        <f>Assumptions!$E$19*Assumptions!$E$23*(1+Assumptions!$E$25)^(N5-2000)/1000</f>
        <v>602.49509165237907</v>
      </c>
      <c r="O23" s="127">
        <f>Assumptions!$E$19*Assumptions!$E$23*(1+Assumptions!$E$25)^(O5-2000)/1000</f>
        <v>620.56994440195047</v>
      </c>
      <c r="P23" s="127">
        <f>Assumptions!$E$19*Assumptions!$E$23*(1+Assumptions!$E$25)^(P5-2000)/1000</f>
        <v>639.18704273400897</v>
      </c>
      <c r="Q23" s="127">
        <f>Assumptions!$E$19*Assumptions!$E$23*(1+Assumptions!$E$25)^(Q5-2000)/1000</f>
        <v>658.36265401602918</v>
      </c>
      <c r="R23" s="127">
        <f>Assumptions!$E$19*Assumptions!$E$23*(1+Assumptions!$E$25)^(R5-2000)/1000</f>
        <v>678.11353363651006</v>
      </c>
      <c r="S23" s="127">
        <f>Assumptions!$E$19*Assumptions!$E$23*(1+Assumptions!$E$25)^(S5-2000)/1000</f>
        <v>698.45693964560542</v>
      </c>
      <c r="T23" s="127">
        <f>Assumptions!$E$19*Assumptions!$E$23*(1+Assumptions!$E$25)^(T5-2000)/1000</f>
        <v>719.41064783497347</v>
      </c>
      <c r="U23" s="127">
        <f>Assumptions!$E$19*Assumptions!$E$23*(1+Assumptions!$E$25)^(U5-2000)/1000</f>
        <v>740.99296727002275</v>
      </c>
      <c r="W23" s="91">
        <f t="shared" si="5"/>
        <v>11354.827369604114</v>
      </c>
    </row>
    <row r="24" spans="1:55">
      <c r="A24" s="3" t="s">
        <v>256</v>
      </c>
      <c r="B24" s="127">
        <f>Assumptions!$E$24*Assumptions!$E$11*Assumptions!$E$8/1000*(1+Assumptions!$E$25)</f>
        <v>463.5</v>
      </c>
      <c r="C24" s="91">
        <f>B24*(1+Assumptions!$E$25)</f>
        <v>477.40500000000003</v>
      </c>
      <c r="D24" s="91">
        <f>C24*(1+Assumptions!$E$25)</f>
        <v>491.72715000000005</v>
      </c>
      <c r="E24" s="91">
        <f>D24*(1+Assumptions!$E$25)</f>
        <v>506.47896450000007</v>
      </c>
      <c r="F24" s="91">
        <f>E24*(1+Assumptions!$E$25)</f>
        <v>521.67333343500013</v>
      </c>
      <c r="G24" s="91">
        <f>F24*(1+Assumptions!$E$25)</f>
        <v>537.32353343805016</v>
      </c>
      <c r="H24" s="91">
        <f>G24*(1+Assumptions!$E$25)</f>
        <v>553.44323944119174</v>
      </c>
      <c r="I24" s="91">
        <f>H24*(1+Assumptions!$E$25)</f>
        <v>570.04653662442752</v>
      </c>
      <c r="J24" s="91">
        <f>I24*(1+Assumptions!$E$25)</f>
        <v>587.14793272316035</v>
      </c>
      <c r="K24" s="91">
        <f>J24*(1+Assumptions!$E$25)</f>
        <v>604.76237070485513</v>
      </c>
      <c r="L24" s="91">
        <f>K24*(1+Assumptions!$E$25)</f>
        <v>622.90524182600075</v>
      </c>
      <c r="M24" s="91">
        <f>L24*(1+Assumptions!$E$25)</f>
        <v>641.59239908078075</v>
      </c>
      <c r="N24" s="91">
        <f>M24*(1+Assumptions!$E$25)</f>
        <v>660.84017105320424</v>
      </c>
      <c r="O24" s="91">
        <f>N24*(1+Assumptions!$E$25)</f>
        <v>680.66537618480038</v>
      </c>
      <c r="P24" s="91">
        <f>O24*(1+Assumptions!$E$25)</f>
        <v>701.08533747034437</v>
      </c>
      <c r="Q24" s="91">
        <f>P24*(1+Assumptions!$E$25)</f>
        <v>722.11789759445469</v>
      </c>
      <c r="R24" s="91">
        <f>Q24*(1+Assumptions!$E$25)</f>
        <v>743.78143452228835</v>
      </c>
      <c r="S24" s="91">
        <f>R24*(1+Assumptions!$E$25)</f>
        <v>766.09487755795703</v>
      </c>
      <c r="T24" s="91">
        <f>S24*(1+Assumptions!$E$25)</f>
        <v>789.07772388469573</v>
      </c>
      <c r="U24" s="91">
        <f>T24*(1+Assumptions!$E$25)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Assumptions!E31*(1+Assumptions!$E$25)</f>
        <v>373.5523316666667</v>
      </c>
      <c r="C25" s="127">
        <f>B25*(1+Assumptions!$E$25)</f>
        <v>384.75890161666672</v>
      </c>
      <c r="D25" s="127">
        <f>C25*(1+Assumptions!$E$25)</f>
        <v>396.30166866516674</v>
      </c>
      <c r="E25" s="127">
        <f>D25*(1+Assumptions!$E$25)</f>
        <v>408.19071872512177</v>
      </c>
      <c r="F25" s="127">
        <f>E25*(1+Assumptions!$E$25)</f>
        <v>420.43644028687544</v>
      </c>
      <c r="G25" s="127">
        <f>F25*(1+Assumptions!$E$25)</f>
        <v>433.04953349548174</v>
      </c>
      <c r="H25" s="127">
        <f>G25*(1+Assumptions!$E$25)</f>
        <v>446.04101950034618</v>
      </c>
      <c r="I25" s="127">
        <f>H25*(1+Assumptions!$E$25)</f>
        <v>459.42225008535655</v>
      </c>
      <c r="J25" s="127">
        <f>I25*(1+Assumptions!$E$25)</f>
        <v>473.20491758791724</v>
      </c>
      <c r="K25" s="127">
        <f>J25*(1+Assumptions!$E$25)</f>
        <v>487.40106511555479</v>
      </c>
      <c r="L25" s="127">
        <f>K25*(1+Assumptions!$E$25)</f>
        <v>502.02309706902145</v>
      </c>
      <c r="M25" s="127">
        <f>L25*(1+Assumptions!$E$25)</f>
        <v>517.08378998109208</v>
      </c>
      <c r="N25" s="127">
        <f>M25*(1+Assumptions!$E$25)</f>
        <v>532.5963036805249</v>
      </c>
      <c r="O25" s="127">
        <f>N25*(1+Assumptions!$E$25)</f>
        <v>548.57419279094063</v>
      </c>
      <c r="P25" s="127">
        <f>O25*(1+Assumptions!$E$25)</f>
        <v>565.03141857466881</v>
      </c>
      <c r="Q25" s="127">
        <f>P25*(1+Assumptions!$E$25)</f>
        <v>581.98236113190887</v>
      </c>
      <c r="R25" s="127">
        <f>Q25*(1+Assumptions!$E$25)</f>
        <v>599.44183196586619</v>
      </c>
      <c r="S25" s="127">
        <f>R25*(1+Assumptions!$E$25)</f>
        <v>617.42508692484216</v>
      </c>
      <c r="T25" s="127">
        <f>S25*(1+Assumptions!$E$25)</f>
        <v>635.94783953258741</v>
      </c>
      <c r="U25" s="127">
        <f>T25*(1+Assumptions!$E$25)</f>
        <v>655.02627471856499</v>
      </c>
      <c r="W25" s="91">
        <f t="shared" si="5"/>
        <v>10037.491043115171</v>
      </c>
    </row>
    <row r="26" spans="1:55">
      <c r="A26" s="3" t="s">
        <v>195</v>
      </c>
      <c r="B26" s="456">
        <v>487.9</v>
      </c>
      <c r="C26" s="456">
        <v>486.5</v>
      </c>
      <c r="D26" s="456">
        <v>484.5</v>
      </c>
      <c r="E26" s="456">
        <v>476.4</v>
      </c>
      <c r="F26" s="456">
        <v>467.3</v>
      </c>
      <c r="G26" s="456">
        <v>451.3</v>
      </c>
      <c r="H26" s="456">
        <v>427.8</v>
      </c>
      <c r="I26" s="456">
        <v>402.5</v>
      </c>
      <c r="J26" s="456">
        <v>362.4</v>
      </c>
      <c r="K26" s="456">
        <v>878.3</v>
      </c>
      <c r="L26" s="456">
        <v>695.3</v>
      </c>
      <c r="M26" s="456">
        <v>494</v>
      </c>
      <c r="N26" s="456">
        <v>365.9</v>
      </c>
      <c r="O26" s="456">
        <v>365.9</v>
      </c>
      <c r="P26" s="456">
        <v>365.9</v>
      </c>
      <c r="Q26" s="456">
        <v>365.9</v>
      </c>
      <c r="R26" s="456">
        <v>365.9</v>
      </c>
      <c r="S26" s="456">
        <v>365.9</v>
      </c>
      <c r="T26" s="456">
        <v>365.9</v>
      </c>
      <c r="U26" s="456">
        <f>T26</f>
        <v>365.9</v>
      </c>
      <c r="W26" s="91">
        <f t="shared" si="5"/>
        <v>9041.3999999999978</v>
      </c>
    </row>
    <row r="27" spans="1:55" s="16" customFormat="1">
      <c r="A27" s="3" t="s">
        <v>185</v>
      </c>
      <c r="B27" s="146">
        <f>B81</f>
        <v>418.94971824867361</v>
      </c>
      <c r="C27" s="146">
        <f t="shared" ref="C27:U27" si="6">C81</f>
        <v>408.03998406926826</v>
      </c>
      <c r="D27" s="146">
        <f t="shared" si="6"/>
        <v>396.99380015870872</v>
      </c>
      <c r="E27" s="146">
        <f t="shared" si="6"/>
        <v>371.88315253150199</v>
      </c>
      <c r="F27" s="146">
        <f t="shared" si="6"/>
        <v>345.18131070529819</v>
      </c>
      <c r="G27" s="146">
        <f t="shared" si="6"/>
        <v>317.84791282622285</v>
      </c>
      <c r="H27" s="146">
        <f t="shared" si="6"/>
        <v>296.25902147616898</v>
      </c>
      <c r="I27" s="146">
        <f t="shared" si="6"/>
        <v>276.34251224953175</v>
      </c>
      <c r="J27" s="146">
        <f t="shared" si="6"/>
        <v>257.39496395576282</v>
      </c>
      <c r="K27" s="146">
        <f t="shared" si="6"/>
        <v>237.46101191374248</v>
      </c>
      <c r="L27" s="146">
        <f t="shared" si="6"/>
        <v>219.12594414697514</v>
      </c>
      <c r="M27" s="146">
        <f t="shared" si="6"/>
        <v>200.66012256852613</v>
      </c>
      <c r="N27" s="146">
        <f t="shared" si="6"/>
        <v>181.87676785595897</v>
      </c>
      <c r="O27" s="146">
        <f t="shared" si="6"/>
        <v>162.7244844741364</v>
      </c>
      <c r="P27" s="146">
        <f t="shared" si="6"/>
        <v>143.50511712196433</v>
      </c>
      <c r="Q27" s="146">
        <f t="shared" si="6"/>
        <v>128.87729718856991</v>
      </c>
      <c r="R27" s="146">
        <f t="shared" si="6"/>
        <v>118.78664773640924</v>
      </c>
      <c r="S27" s="146">
        <f t="shared" si="6"/>
        <v>108.70954775689404</v>
      </c>
      <c r="T27" s="146">
        <f t="shared" si="6"/>
        <v>98.648231845838936</v>
      </c>
      <c r="U27" s="146">
        <f t="shared" si="6"/>
        <v>88.604817446982196</v>
      </c>
      <c r="V27" s="91"/>
      <c r="W27" s="91">
        <f t="shared" si="5"/>
        <v>4777.8723662771363</v>
      </c>
    </row>
    <row r="28" spans="1:55">
      <c r="A28" s="3" t="s">
        <v>62</v>
      </c>
      <c r="B28" s="127">
        <f t="shared" ref="B28:U28" si="7">SUM(B22:B27)</f>
        <v>4100.8885728153409</v>
      </c>
      <c r="C28" s="127">
        <f t="shared" si="7"/>
        <v>4184.4000042729358</v>
      </c>
      <c r="D28" s="127">
        <f t="shared" si="7"/>
        <v>4270.0496209684861</v>
      </c>
      <c r="E28" s="127">
        <f t="shared" si="7"/>
        <v>4338.495647965573</v>
      </c>
      <c r="F28" s="127">
        <f t="shared" si="7"/>
        <v>4407.400181002391</v>
      </c>
      <c r="G28" s="127">
        <f t="shared" si="7"/>
        <v>4471.9143492322282</v>
      </c>
      <c r="H28" s="127">
        <f t="shared" si="7"/>
        <v>4537.9084509743552</v>
      </c>
      <c r="I28" s="127">
        <f t="shared" si="7"/>
        <v>4607.1074246326643</v>
      </c>
      <c r="J28" s="127">
        <f t="shared" si="7"/>
        <v>4665.9078237103895</v>
      </c>
      <c r="K28" s="127">
        <f t="shared" si="7"/>
        <v>5283.2572574610076</v>
      </c>
      <c r="L28" s="127">
        <f t="shared" si="7"/>
        <v>5206.9470770606586</v>
      </c>
      <c r="M28" s="127">
        <f t="shared" si="7"/>
        <v>5115.9568894696195</v>
      </c>
      <c r="N28" s="127">
        <f t="shared" si="7"/>
        <v>5101.7124377640848</v>
      </c>
      <c r="O28" s="127">
        <f t="shared" si="7"/>
        <v>5219.1782244795058</v>
      </c>
      <c r="P28" s="127">
        <f t="shared" si="7"/>
        <v>5340.675469327497</v>
      </c>
      <c r="Q28" s="127">
        <f t="shared" si="7"/>
        <v>5470.9857599602674</v>
      </c>
      <c r="R28" s="127">
        <f t="shared" si="7"/>
        <v>5610.1813643912583</v>
      </c>
      <c r="S28" s="127">
        <f t="shared" si="7"/>
        <v>5753.8691059113871</v>
      </c>
      <c r="T28" s="127">
        <f t="shared" si="7"/>
        <v>5902.1855767449688</v>
      </c>
      <c r="U28" s="127">
        <f t="shared" si="7"/>
        <v>6055.2712826930856</v>
      </c>
      <c r="W28" s="91">
        <f t="shared" si="5"/>
        <v>99644.292520837713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21350.694625171236</v>
      </c>
      <c r="C31" s="120">
        <f t="shared" si="8"/>
        <v>21293.053918102119</v>
      </c>
      <c r="D31" s="120">
        <f t="shared" si="8"/>
        <v>21234.055736998027</v>
      </c>
      <c r="E31" s="120">
        <f t="shared" si="8"/>
        <v>25183.693043321739</v>
      </c>
      <c r="F31" s="120">
        <f t="shared" si="8"/>
        <v>26568.009427135272</v>
      </c>
      <c r="G31" s="120">
        <f t="shared" si="8"/>
        <v>26911.910438682466</v>
      </c>
      <c r="H31" s="120">
        <f t="shared" si="8"/>
        <v>27259.899622106128</v>
      </c>
      <c r="I31" s="120">
        <f t="shared" si="8"/>
        <v>27610.312284254349</v>
      </c>
      <c r="J31" s="120">
        <f t="shared" si="8"/>
        <v>27977.00507573603</v>
      </c>
      <c r="K31" s="120">
        <f t="shared" si="8"/>
        <v>27784.003083775191</v>
      </c>
      <c r="L31" s="120">
        <f t="shared" si="8"/>
        <v>28496.66599780212</v>
      </c>
      <c r="M31" s="120">
        <f t="shared" si="8"/>
        <v>29236.46889663129</v>
      </c>
      <c r="N31" s="120">
        <f t="shared" si="8"/>
        <v>29911.083113663502</v>
      </c>
      <c r="O31" s="120">
        <f t="shared" si="8"/>
        <v>30465.101755764841</v>
      </c>
      <c r="P31" s="120">
        <f t="shared" si="8"/>
        <v>31028.049118128965</v>
      </c>
      <c r="Q31" s="120">
        <f t="shared" si="8"/>
        <v>31429.854483832307</v>
      </c>
      <c r="R31" s="120">
        <f t="shared" si="8"/>
        <v>31830.69575501799</v>
      </c>
      <c r="S31" s="120">
        <f t="shared" si="8"/>
        <v>32235.148136979096</v>
      </c>
      <c r="T31" s="120">
        <f t="shared" si="8"/>
        <v>32643.202632967601</v>
      </c>
      <c r="U31" s="120">
        <f t="shared" si="8"/>
        <v>33054.848515237012</v>
      </c>
      <c r="W31" s="91">
        <f>SUM(B31:U31)</f>
        <v>563503.75566130725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Depreciation!C29</f>
        <v>6314.394134811977</v>
      </c>
      <c r="C33" s="127">
        <f>Depreciation!D29</f>
        <v>6314.394134811977</v>
      </c>
      <c r="D33" s="127">
        <f>Depreciation!E29</f>
        <v>6314.394134811977</v>
      </c>
      <c r="E33" s="127">
        <f>Depreciation!F29</f>
        <v>6314.394134811977</v>
      </c>
      <c r="F33" s="127">
        <f>Depreciation!G29</f>
        <v>6314.394134811977</v>
      </c>
      <c r="G33" s="127">
        <f>Depreciation!H29</f>
        <v>6314.394134811977</v>
      </c>
      <c r="H33" s="127">
        <f>Depreciation!I29</f>
        <v>6314.394134811977</v>
      </c>
      <c r="I33" s="127">
        <f>Depreciation!J29</f>
        <v>6314.394134811977</v>
      </c>
      <c r="J33" s="127">
        <f>Depreciation!K29</f>
        <v>6314.394134811977</v>
      </c>
      <c r="K33" s="127">
        <f>Depreciation!L29</f>
        <v>6314.394134811977</v>
      </c>
      <c r="L33" s="127">
        <f>Depreciation!M29</f>
        <v>6314.394134811977</v>
      </c>
      <c r="M33" s="127">
        <f>Depreciation!N29</f>
        <v>6314.394134811977</v>
      </c>
      <c r="N33" s="127">
        <f>Depreciation!O29</f>
        <v>6314.394134811977</v>
      </c>
      <c r="O33" s="127">
        <f>Depreciation!P29</f>
        <v>6314.394134811977</v>
      </c>
      <c r="P33" s="127">
        <f>Depreciation!Q29</f>
        <v>6314.394134811977</v>
      </c>
      <c r="Q33" s="127">
        <f>Depreciation!R29</f>
        <v>6314.394134811977</v>
      </c>
      <c r="R33" s="127">
        <f>Depreciation!S29</f>
        <v>6314.394134811977</v>
      </c>
      <c r="S33" s="127">
        <f>Depreciation!T29</f>
        <v>6314.394134811977</v>
      </c>
      <c r="T33" s="127">
        <f>Depreciation!U29</f>
        <v>6314.394134811977</v>
      </c>
      <c r="U33" s="127">
        <f>Depreciation!V29</f>
        <v>6314.394134811977</v>
      </c>
      <c r="W33" s="91">
        <f>SUM(B33:U33)</f>
        <v>126287.88269623948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15036.300490359259</v>
      </c>
      <c r="C35" s="132">
        <f t="shared" si="9"/>
        <v>14978.659783290143</v>
      </c>
      <c r="D35" s="132">
        <f t="shared" si="9"/>
        <v>14919.66160218605</v>
      </c>
      <c r="E35" s="132">
        <f t="shared" si="9"/>
        <v>18869.298908509762</v>
      </c>
      <c r="F35" s="132">
        <f t="shared" si="9"/>
        <v>20253.615292323295</v>
      </c>
      <c r="G35" s="132">
        <f t="shared" si="9"/>
        <v>20597.516303870489</v>
      </c>
      <c r="H35" s="132">
        <f t="shared" si="9"/>
        <v>20945.505487294151</v>
      </c>
      <c r="I35" s="132">
        <f t="shared" si="9"/>
        <v>21295.918149442372</v>
      </c>
      <c r="J35" s="132">
        <f t="shared" si="9"/>
        <v>21662.610940924053</v>
      </c>
      <c r="K35" s="132">
        <f t="shared" si="9"/>
        <v>21469.608948963214</v>
      </c>
      <c r="L35" s="132">
        <f t="shared" si="9"/>
        <v>22182.271862990143</v>
      </c>
      <c r="M35" s="132">
        <f t="shared" si="9"/>
        <v>22922.074761819313</v>
      </c>
      <c r="N35" s="132">
        <f t="shared" si="9"/>
        <v>23596.688978851525</v>
      </c>
      <c r="O35" s="132">
        <f t="shared" si="9"/>
        <v>24150.707620952864</v>
      </c>
      <c r="P35" s="132">
        <f t="shared" si="9"/>
        <v>24713.654983316988</v>
      </c>
      <c r="Q35" s="132">
        <f t="shared" si="9"/>
        <v>25115.46034902033</v>
      </c>
      <c r="R35" s="132">
        <f t="shared" si="9"/>
        <v>25516.301620206013</v>
      </c>
      <c r="S35" s="132">
        <f t="shared" si="9"/>
        <v>25920.754002167119</v>
      </c>
      <c r="T35" s="132">
        <f t="shared" si="9"/>
        <v>26328.808498155624</v>
      </c>
      <c r="U35" s="132">
        <f t="shared" si="9"/>
        <v>26740.454380425035</v>
      </c>
      <c r="W35" s="91">
        <f>SUM(B35:U35)</f>
        <v>437215.8729650678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IS!B38*Allocation!$E$9</f>
        <v>9603.7598547842063</v>
      </c>
      <c r="C37" s="127">
        <f>IS!C38*Allocation!$E$9</f>
        <v>9459.6588517085438</v>
      </c>
      <c r="D37" s="127">
        <f>IS!D38*Allocation!$E$9</f>
        <v>9256.3995138418268</v>
      </c>
      <c r="E37" s="127">
        <f>IS!E38*Allocation!$E$9</f>
        <v>9096.8416115928721</v>
      </c>
      <c r="F37" s="127">
        <f>IS!F38*Allocation!$E$9</f>
        <v>8814.5496827297702</v>
      </c>
      <c r="G37" s="127">
        <f>IS!G38*Allocation!$E$9</f>
        <v>8479.9607043458545</v>
      </c>
      <c r="H37" s="127">
        <f>IS!H38*Allocation!$E$9</f>
        <v>8103.927741768427</v>
      </c>
      <c r="I37" s="127">
        <f>IS!I38*Allocation!$E$9</f>
        <v>7710.5282221958596</v>
      </c>
      <c r="J37" s="127">
        <f>IS!J38*Allocation!$E$9</f>
        <v>7221.8646410475194</v>
      </c>
      <c r="K37" s="127">
        <f>IS!K38*Allocation!$E$9</f>
        <v>6680.388990106956</v>
      </c>
      <c r="L37" s="127">
        <f>IS!L38*Allocation!$E$9</f>
        <v>6110.6328967138597</v>
      </c>
      <c r="M37" s="127">
        <f>IS!M38*Allocation!$E$9</f>
        <v>5489.409202668433</v>
      </c>
      <c r="N37" s="127">
        <f>IS!N38*Allocation!$E$9</f>
        <v>4837.3118335293548</v>
      </c>
      <c r="O37" s="127">
        <f>IS!O38*Allocation!$E$9</f>
        <v>4200.6513019371014</v>
      </c>
      <c r="P37" s="127">
        <f>IS!P38*Allocation!$E$9</f>
        <v>3555.9671033713585</v>
      </c>
      <c r="Q37" s="127">
        <f>IS!Q38*Allocation!$E$9</f>
        <v>2887.8224002852967</v>
      </c>
      <c r="R37" s="127">
        <f>IS!R38*Allocation!$E$9</f>
        <v>2179.123293474524</v>
      </c>
      <c r="S37" s="127">
        <f>IS!S38*Allocation!$E$9</f>
        <v>1510.8913766170117</v>
      </c>
      <c r="T37" s="127">
        <f>IS!T38*Allocation!$E$9</f>
        <v>937.89689818398415</v>
      </c>
      <c r="U37" s="127">
        <f>IS!U38*Allocation!$E$9</f>
        <v>366.29784009417267</v>
      </c>
      <c r="W37" s="91">
        <f>SUM(B37:U37)</f>
        <v>116503.88396099694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5432.5406355750529</v>
      </c>
      <c r="C39" s="132">
        <f t="shared" si="10"/>
        <v>5519.0009315815987</v>
      </c>
      <c r="D39" s="132">
        <f t="shared" si="10"/>
        <v>5663.2620883442232</v>
      </c>
      <c r="E39" s="132">
        <f t="shared" si="10"/>
        <v>9772.4572969168894</v>
      </c>
      <c r="F39" s="132">
        <f t="shared" si="10"/>
        <v>11439.065609593525</v>
      </c>
      <c r="G39" s="132">
        <f t="shared" si="10"/>
        <v>12117.555599524634</v>
      </c>
      <c r="H39" s="132">
        <f t="shared" si="10"/>
        <v>12841.577745525723</v>
      </c>
      <c r="I39" s="132">
        <f t="shared" si="10"/>
        <v>13585.389927246513</v>
      </c>
      <c r="J39" s="132">
        <f t="shared" si="10"/>
        <v>14440.746299876533</v>
      </c>
      <c r="K39" s="132">
        <f t="shared" si="10"/>
        <v>14789.219958856258</v>
      </c>
      <c r="L39" s="132">
        <f t="shared" si="10"/>
        <v>16071.638966276283</v>
      </c>
      <c r="M39" s="132">
        <f t="shared" si="10"/>
        <v>17432.665559150879</v>
      </c>
      <c r="N39" s="132">
        <f t="shared" si="10"/>
        <v>18759.377145322171</v>
      </c>
      <c r="O39" s="132">
        <f t="shared" si="10"/>
        <v>19950.056319015763</v>
      </c>
      <c r="P39" s="132">
        <f t="shared" si="10"/>
        <v>21157.687879945632</v>
      </c>
      <c r="Q39" s="132">
        <f t="shared" si="10"/>
        <v>22227.637948735035</v>
      </c>
      <c r="R39" s="132">
        <f t="shared" si="10"/>
        <v>23337.17832673149</v>
      </c>
      <c r="S39" s="132">
        <f t="shared" si="10"/>
        <v>24409.862625550108</v>
      </c>
      <c r="T39" s="132">
        <f t="shared" si="10"/>
        <v>25390.911599971641</v>
      </c>
      <c r="U39" s="132">
        <f t="shared" si="10"/>
        <v>26374.156540330863</v>
      </c>
      <c r="W39" s="91">
        <f>SUM(B39:U39)</f>
        <v>320711.98900407087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B39*-Assumptions!$E$38</f>
        <v>-271.62703177875267</v>
      </c>
      <c r="C41" s="127">
        <f>C39*-Assumptions!$E$38</f>
        <v>-275.95004657907992</v>
      </c>
      <c r="D41" s="127">
        <f>D39*-Assumptions!$E$38</f>
        <v>-283.16310441721117</v>
      </c>
      <c r="E41" s="127">
        <f>E39*-Assumptions!$E$38</f>
        <v>-488.6228648458445</v>
      </c>
      <c r="F41" s="127">
        <f>F39*-Assumptions!$E$38</f>
        <v>-571.95328047967621</v>
      </c>
      <c r="G41" s="127">
        <f>G39*-Assumptions!$E$38</f>
        <v>-605.87777997623175</v>
      </c>
      <c r="H41" s="127">
        <f>H39*-Assumptions!$E$38</f>
        <v>-642.0788872762862</v>
      </c>
      <c r="I41" s="127">
        <f>I39*-Assumptions!$E$38</f>
        <v>-679.26949636232575</v>
      </c>
      <c r="J41" s="127">
        <f>J39*-Assumptions!$E$38</f>
        <v>-722.03731499382673</v>
      </c>
      <c r="K41" s="127">
        <f>K39*-Assumptions!$E$38</f>
        <v>-739.46099794281292</v>
      </c>
      <c r="L41" s="127">
        <f>L39*-Assumptions!$E$38</f>
        <v>-803.58194831381422</v>
      </c>
      <c r="M41" s="127">
        <f>M39*-Assumptions!$E$38</f>
        <v>-871.63327795754401</v>
      </c>
      <c r="N41" s="127">
        <f>N39*-Assumptions!$E$38</f>
        <v>-937.96885726610856</v>
      </c>
      <c r="O41" s="127">
        <f>O39*-Assumptions!$E$38</f>
        <v>-997.5028159507882</v>
      </c>
      <c r="P41" s="127">
        <f>P39*-Assumptions!$E$38</f>
        <v>-1057.8843939972817</v>
      </c>
      <c r="Q41" s="127">
        <f>Q39*-Assumptions!$E$38</f>
        <v>-1111.3818974367518</v>
      </c>
      <c r="R41" s="127">
        <f>R39*-Assumptions!$E$38</f>
        <v>-1166.8589163365746</v>
      </c>
      <c r="S41" s="127">
        <f>S39*-Assumptions!$E$38</f>
        <v>-1220.4931312775054</v>
      </c>
      <c r="T41" s="127">
        <f>T39*-Assumptions!$E$38</f>
        <v>-1269.5455799985821</v>
      </c>
      <c r="U41" s="127">
        <f>U39*-Assumptions!$E$38</f>
        <v>-1318.7078270165432</v>
      </c>
      <c r="W41" s="91">
        <f>SUM(B41:U41)</f>
        <v>-16035.599450203543</v>
      </c>
    </row>
    <row r="42" spans="1:23">
      <c r="A42" s="3" t="s">
        <v>69</v>
      </c>
      <c r="B42" s="121">
        <f>(B39+B41)*-Assumptions!$E$37</f>
        <v>-1806.3197613287048</v>
      </c>
      <c r="C42" s="121">
        <f>(C39+C41)*-Assumptions!$E$37</f>
        <v>-1835.0678097508815</v>
      </c>
      <c r="D42" s="121">
        <f>(D39+D41)*-Assumptions!$E$37</f>
        <v>-1883.0346443744543</v>
      </c>
      <c r="E42" s="121">
        <f>(E39+E41)*-Assumptions!$E$37</f>
        <v>-3249.3420512248658</v>
      </c>
      <c r="F42" s="121">
        <f>(F39+F41)*-Assumptions!$E$37</f>
        <v>-3803.4893151898468</v>
      </c>
      <c r="G42" s="121">
        <f>(G39+G41)*-Assumptions!$E$37</f>
        <v>-4029.0872368419405</v>
      </c>
      <c r="H42" s="121">
        <f>(H39+H41)*-Assumptions!$E$37</f>
        <v>-4269.8246003873028</v>
      </c>
      <c r="I42" s="121">
        <f>(I39+I41)*-Assumptions!$E$37</f>
        <v>-4517.1421508094654</v>
      </c>
      <c r="J42" s="121">
        <f>(J39+J41)*-Assumptions!$E$37</f>
        <v>-4801.5481447089469</v>
      </c>
      <c r="K42" s="121">
        <f>(K39+K41)*-Assumptions!$E$37</f>
        <v>-4917.4156363197053</v>
      </c>
      <c r="L42" s="121">
        <f>(L39+L41)*-Assumptions!$E$37</f>
        <v>-5343.819956286864</v>
      </c>
      <c r="M42" s="121">
        <f>(M39+M41)*-Assumptions!$E$37</f>
        <v>-5796.3612984176671</v>
      </c>
      <c r="N42" s="121">
        <f>(N39+N41)*-Assumptions!$E$37</f>
        <v>-6237.4929008196223</v>
      </c>
      <c r="O42" s="121">
        <f>(O39+O41)*-Assumptions!$E$37</f>
        <v>-6633.3937260727407</v>
      </c>
      <c r="P42" s="121">
        <f>(P39+P41)*-Assumptions!$E$37</f>
        <v>-7034.9312200819213</v>
      </c>
      <c r="Q42" s="121">
        <f>(Q39+Q41)*-Assumptions!$E$37</f>
        <v>-7390.6896179543983</v>
      </c>
      <c r="R42" s="121">
        <f>(R39+R41)*-Assumptions!$E$37</f>
        <v>-7759.6117936382188</v>
      </c>
      <c r="S42" s="121">
        <f>(S39+S41)*-Assumptions!$E$37</f>
        <v>-8116.2793229954104</v>
      </c>
      <c r="T42" s="121">
        <f>(T39+T41)*-Assumptions!$E$37</f>
        <v>-8442.4781069905694</v>
      </c>
      <c r="U42" s="121">
        <f>(U39+U41)*-Assumptions!$E$37</f>
        <v>-8769.4070496600107</v>
      </c>
      <c r="W42" s="91">
        <f>SUM(B42:U42)</f>
        <v>-106636.73634385352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3354.5938424675951</v>
      </c>
      <c r="C44" s="134">
        <f t="shared" si="11"/>
        <v>3407.9830752516373</v>
      </c>
      <c r="D44" s="134">
        <f t="shared" si="11"/>
        <v>3497.0643395525581</v>
      </c>
      <c r="E44" s="134">
        <f t="shared" si="11"/>
        <v>6034.4923808461799</v>
      </c>
      <c r="F44" s="134">
        <f t="shared" si="11"/>
        <v>7063.6230139240015</v>
      </c>
      <c r="G44" s="134">
        <f t="shared" si="11"/>
        <v>7482.5905827064616</v>
      </c>
      <c r="H44" s="134">
        <f t="shared" si="11"/>
        <v>7929.6742578621343</v>
      </c>
      <c r="I44" s="134">
        <f t="shared" si="11"/>
        <v>8388.9782800747234</v>
      </c>
      <c r="J44" s="134">
        <f t="shared" si="11"/>
        <v>8917.1608401737612</v>
      </c>
      <c r="K44" s="134">
        <f t="shared" si="11"/>
        <v>9132.3433245937395</v>
      </c>
      <c r="L44" s="134">
        <f t="shared" si="11"/>
        <v>9924.2370616756052</v>
      </c>
      <c r="M44" s="134">
        <f t="shared" si="11"/>
        <v>10764.670982775669</v>
      </c>
      <c r="N44" s="134">
        <f t="shared" si="11"/>
        <v>11583.91538723644</v>
      </c>
      <c r="O44" s="134">
        <f t="shared" si="11"/>
        <v>12319.159776992234</v>
      </c>
      <c r="P44" s="134">
        <f t="shared" si="11"/>
        <v>13064.872265866426</v>
      </c>
      <c r="Q44" s="134">
        <f t="shared" si="11"/>
        <v>13725.566433343884</v>
      </c>
      <c r="R44" s="134">
        <f t="shared" si="11"/>
        <v>14410.707616756696</v>
      </c>
      <c r="S44" s="134">
        <f t="shared" si="11"/>
        <v>15073.090171277192</v>
      </c>
      <c r="T44" s="134">
        <f t="shared" si="11"/>
        <v>15678.887912982489</v>
      </c>
      <c r="U44" s="134">
        <f t="shared" si="11"/>
        <v>16286.041663654309</v>
      </c>
      <c r="W44" s="91">
        <f>SUM(B44:U44)</f>
        <v>198039.65321001376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14775.604229414468</v>
      </c>
      <c r="C54" s="67">
        <f>C31-C12</f>
        <v>14717.963522345352</v>
      </c>
      <c r="D54" s="67">
        <f>D31-D12</f>
        <v>14658.965341241259</v>
      </c>
      <c r="E54" s="56">
        <f t="shared" ref="E54:U54" si="13">E31</f>
        <v>25183.693043321739</v>
      </c>
      <c r="F54" s="56">
        <f t="shared" si="13"/>
        <v>26568.009427135272</v>
      </c>
      <c r="G54" s="56">
        <f t="shared" si="13"/>
        <v>26911.910438682466</v>
      </c>
      <c r="H54" s="56">
        <f t="shared" si="13"/>
        <v>27259.899622106128</v>
      </c>
      <c r="I54" s="56">
        <f t="shared" si="13"/>
        <v>27610.312284254349</v>
      </c>
      <c r="J54" s="56">
        <f t="shared" si="13"/>
        <v>27977.00507573603</v>
      </c>
      <c r="K54" s="56">
        <f t="shared" si="13"/>
        <v>27784.003083775191</v>
      </c>
      <c r="L54" s="56">
        <f t="shared" si="13"/>
        <v>28496.66599780212</v>
      </c>
      <c r="M54" s="56">
        <f t="shared" si="13"/>
        <v>29236.46889663129</v>
      </c>
      <c r="N54" s="56">
        <f t="shared" si="13"/>
        <v>29911.083113663502</v>
      </c>
      <c r="O54" s="56">
        <f t="shared" si="13"/>
        <v>30465.101755764841</v>
      </c>
      <c r="P54" s="56">
        <f t="shared" si="13"/>
        <v>31028.049118128965</v>
      </c>
      <c r="Q54" s="56">
        <f t="shared" si="13"/>
        <v>31429.854483832307</v>
      </c>
      <c r="R54" s="56">
        <f t="shared" si="13"/>
        <v>31830.69575501799</v>
      </c>
      <c r="S54" s="56">
        <f t="shared" si="13"/>
        <v>32235.148136979096</v>
      </c>
      <c r="T54" s="56">
        <f t="shared" si="13"/>
        <v>32643.202632967601</v>
      </c>
      <c r="U54" s="56">
        <f t="shared" si="13"/>
        <v>33054.848515237012</v>
      </c>
      <c r="W54" s="400">
        <f>SUM(B54:U54)</f>
        <v>543778.48447403696</v>
      </c>
    </row>
    <row r="55" spans="1:55">
      <c r="A55" s="13" t="s">
        <v>168</v>
      </c>
      <c r="B55" s="67">
        <f>B26</f>
        <v>487.9</v>
      </c>
      <c r="C55" s="67">
        <f t="shared" ref="C55:T55" si="14">C26</f>
        <v>486.5</v>
      </c>
      <c r="D55" s="67">
        <f t="shared" si="14"/>
        <v>484.5</v>
      </c>
      <c r="E55" s="67">
        <f t="shared" si="14"/>
        <v>476.4</v>
      </c>
      <c r="F55" s="67">
        <f t="shared" si="14"/>
        <v>467.3</v>
      </c>
      <c r="G55" s="67">
        <f t="shared" si="14"/>
        <v>451.3</v>
      </c>
      <c r="H55" s="67">
        <f t="shared" si="14"/>
        <v>427.8</v>
      </c>
      <c r="I55" s="67">
        <f t="shared" si="14"/>
        <v>402.5</v>
      </c>
      <c r="J55" s="67">
        <f t="shared" si="14"/>
        <v>362.4</v>
      </c>
      <c r="K55" s="67">
        <f t="shared" si="14"/>
        <v>878.3</v>
      </c>
      <c r="L55" s="67">
        <f t="shared" si="14"/>
        <v>695.3</v>
      </c>
      <c r="M55" s="67">
        <f t="shared" si="14"/>
        <v>494</v>
      </c>
      <c r="N55" s="67">
        <f t="shared" si="14"/>
        <v>365.9</v>
      </c>
      <c r="O55" s="67">
        <f t="shared" si="14"/>
        <v>365.9</v>
      </c>
      <c r="P55" s="67">
        <f t="shared" si="14"/>
        <v>365.9</v>
      </c>
      <c r="Q55" s="67">
        <f t="shared" si="14"/>
        <v>365.9</v>
      </c>
      <c r="R55" s="67">
        <f t="shared" si="14"/>
        <v>365.9</v>
      </c>
      <c r="S55" s="67">
        <f t="shared" si="14"/>
        <v>365.9</v>
      </c>
      <c r="T55" s="67">
        <f t="shared" si="14"/>
        <v>365.9</v>
      </c>
      <c r="U55" s="67">
        <f>T55</f>
        <v>365.9</v>
      </c>
      <c r="W55" s="400">
        <f>SUM(B55:U55)</f>
        <v>9041.3999999999978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-488.8</v>
      </c>
      <c r="C56" s="67">
        <f>-B55</f>
        <v>-487.9</v>
      </c>
      <c r="D56" s="67">
        <f t="shared" ref="D56:U56" si="15">-C55</f>
        <v>-486.5</v>
      </c>
      <c r="E56" s="67">
        <f t="shared" si="15"/>
        <v>-484.5</v>
      </c>
      <c r="F56" s="67">
        <f t="shared" si="15"/>
        <v>-476.4</v>
      </c>
      <c r="G56" s="67">
        <f t="shared" si="15"/>
        <v>-467.3</v>
      </c>
      <c r="H56" s="67">
        <f t="shared" si="15"/>
        <v>-451.3</v>
      </c>
      <c r="I56" s="67">
        <f t="shared" si="15"/>
        <v>-427.8</v>
      </c>
      <c r="J56" s="67">
        <f t="shared" si="15"/>
        <v>-402.5</v>
      </c>
      <c r="K56" s="67">
        <f t="shared" si="15"/>
        <v>-362.4</v>
      </c>
      <c r="L56" s="67">
        <f t="shared" si="15"/>
        <v>-878.3</v>
      </c>
      <c r="M56" s="67">
        <f t="shared" si="15"/>
        <v>-695.3</v>
      </c>
      <c r="N56" s="67">
        <f t="shared" si="15"/>
        <v>-494</v>
      </c>
      <c r="O56" s="67">
        <f t="shared" si="15"/>
        <v>-365.9</v>
      </c>
      <c r="P56" s="67">
        <f t="shared" si="15"/>
        <v>-365.9</v>
      </c>
      <c r="Q56" s="67">
        <f t="shared" si="15"/>
        <v>-365.9</v>
      </c>
      <c r="R56" s="67">
        <f t="shared" si="15"/>
        <v>-365.9</v>
      </c>
      <c r="S56" s="67">
        <f t="shared" si="15"/>
        <v>-365.9</v>
      </c>
      <c r="T56" s="67">
        <f t="shared" si="15"/>
        <v>-365.9</v>
      </c>
      <c r="U56" s="67">
        <f t="shared" si="15"/>
        <v>-365.9</v>
      </c>
      <c r="W56" s="400">
        <f>SUM(B56:U56)</f>
        <v>-9164.2999999999975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-Debt!B77*Allocation!$E$9</f>
        <v>-11459.962356093862</v>
      </c>
      <c r="C57" s="398">
        <f>-Debt!C77*Allocation!$E$9</f>
        <v>-11450.585728113258</v>
      </c>
      <c r="D57" s="398">
        <f>-Debt!D77*Allocation!$E$9</f>
        <v>-11397.020140352157</v>
      </c>
      <c r="E57" s="398">
        <f>-Debt!E77*Allocation!$E$9</f>
        <v>-11234.468363101088</v>
      </c>
      <c r="F57" s="398">
        <f>-Debt!F77*Allocation!$E$9</f>
        <v>-11756.930034805784</v>
      </c>
      <c r="G57" s="398">
        <f>-Debt!G77*Allocation!$E$9</f>
        <v>-11824.717856705769</v>
      </c>
      <c r="H57" s="398">
        <f>-Debt!H77*Allocation!$E$9</f>
        <v>-11750.467494341267</v>
      </c>
      <c r="I57" s="398">
        <f>-Debt!I77*Allocation!$E$9</f>
        <v>-11860.038975123571</v>
      </c>
      <c r="J57" s="398">
        <f>-Debt!J77*Allocation!$E$9</f>
        <v>-11773.752194259132</v>
      </c>
      <c r="K57" s="398">
        <f>-Debt!K77*Allocation!$E$9</f>
        <v>-11909.49106879638</v>
      </c>
      <c r="L57" s="398">
        <f>-Debt!L77*Allocation!$E$9</f>
        <v>-11798.995400727319</v>
      </c>
      <c r="M57" s="398">
        <f>-Debt!M77*Allocation!$E$9</f>
        <v>-11177.771706681893</v>
      </c>
      <c r="N57" s="398">
        <f>-Debt!N77*Allocation!$E$9</f>
        <v>-10525.674337542814</v>
      </c>
      <c r="O57" s="398">
        <f>-Debt!O77*Allocation!$E$9</f>
        <v>-9889.0138059505625</v>
      </c>
      <c r="P57" s="398">
        <f>-Debt!P77*Allocation!$E$9</f>
        <v>-9528.7477325854907</v>
      </c>
      <c r="Q57" s="398">
        <f>-Debt!Q77*Allocation!$E$9</f>
        <v>-9145.0211547001036</v>
      </c>
      <c r="R57" s="398">
        <f>-Debt!R77*Allocation!$E$9</f>
        <v>-8436.3220478893309</v>
      </c>
      <c r="S57" s="398">
        <f>-Debt!S77*Allocation!$E$9</f>
        <v>-6630.4176302291262</v>
      </c>
      <c r="T57" s="398">
        <f>-Debt!T77*Allocation!$E$9</f>
        <v>-6057.423151796098</v>
      </c>
      <c r="U57" s="398">
        <f>-Debt!U77*Allocation!$E$9</f>
        <v>-4916.9878433049462</v>
      </c>
      <c r="W57" s="400">
        <f>SUM(B57:U57)</f>
        <v>-204523.80902309998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outlineLevel="1">
      <c r="A59" s="12" t="s">
        <v>72</v>
      </c>
      <c r="B59" s="65">
        <f t="shared" ref="B59:U59" si="16">SUM(B54:B57)</f>
        <v>3314.7418733206068</v>
      </c>
      <c r="C59" s="65">
        <f t="shared" si="16"/>
        <v>3265.9777942320943</v>
      </c>
      <c r="D59" s="65">
        <f t="shared" si="16"/>
        <v>3259.9452008891021</v>
      </c>
      <c r="E59" s="65">
        <f t="shared" si="16"/>
        <v>13941.124680220651</v>
      </c>
      <c r="F59" s="65">
        <f t="shared" si="16"/>
        <v>14801.979392329486</v>
      </c>
      <c r="G59" s="65">
        <f t="shared" si="16"/>
        <v>15071.192581976697</v>
      </c>
      <c r="H59" s="65">
        <f t="shared" si="16"/>
        <v>15485.932127764861</v>
      </c>
      <c r="I59" s="65">
        <f t="shared" si="16"/>
        <v>15724.973309130779</v>
      </c>
      <c r="J59" s="65">
        <f t="shared" si="16"/>
        <v>16163.152881476899</v>
      </c>
      <c r="K59" s="65">
        <f t="shared" si="16"/>
        <v>16390.412014978807</v>
      </c>
      <c r="L59" s="65">
        <f t="shared" si="16"/>
        <v>16514.670597074801</v>
      </c>
      <c r="M59" s="65">
        <f t="shared" si="16"/>
        <v>17857.397189949399</v>
      </c>
      <c r="N59" s="65">
        <f t="shared" si="16"/>
        <v>19257.308776120692</v>
      </c>
      <c r="O59" s="65">
        <f t="shared" si="16"/>
        <v>20576.087949814279</v>
      </c>
      <c r="P59" s="65">
        <f t="shared" si="16"/>
        <v>21499.301385543476</v>
      </c>
      <c r="Q59" s="65">
        <f t="shared" si="16"/>
        <v>22284.833329132205</v>
      </c>
      <c r="R59" s="65">
        <f t="shared" si="16"/>
        <v>23394.37370712866</v>
      </c>
      <c r="S59" s="65">
        <f t="shared" si="16"/>
        <v>25604.730506749969</v>
      </c>
      <c r="T59" s="65">
        <f t="shared" si="16"/>
        <v>26585.779481171503</v>
      </c>
      <c r="U59" s="65">
        <f t="shared" si="16"/>
        <v>28137.860671932067</v>
      </c>
      <c r="W59" s="400">
        <f>SUM(B59:U59)</f>
        <v>339131.77545093704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-B100</f>
        <v>0</v>
      </c>
      <c r="C61" s="223">
        <f t="shared" ref="C61:U61" si="17">-C100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-43.615288358645216</v>
      </c>
      <c r="J61" s="223">
        <f t="shared" si="17"/>
        <v>-475.03114848036188</v>
      </c>
      <c r="K61" s="223">
        <f t="shared" si="17"/>
        <v>-491.50105876281577</v>
      </c>
      <c r="L61" s="223">
        <f t="shared" si="17"/>
        <v>-556.57578180034932</v>
      </c>
      <c r="M61" s="223">
        <f t="shared" si="17"/>
        <v>-623.67333877754686</v>
      </c>
      <c r="N61" s="223">
        <f t="shared" si="17"/>
        <v>-690.96269075264377</v>
      </c>
      <c r="O61" s="223">
        <f t="shared" si="17"/>
        <v>-749.54287677079105</v>
      </c>
      <c r="P61" s="223">
        <f t="shared" si="17"/>
        <v>-810.87822748381677</v>
      </c>
      <c r="Q61" s="223">
        <f t="shared" si="17"/>
        <v>-1145.738667550319</v>
      </c>
      <c r="R61" s="223">
        <f t="shared" si="17"/>
        <v>-1482.5786230771735</v>
      </c>
      <c r="S61" s="223">
        <f t="shared" si="17"/>
        <v>-1536.2128380181043</v>
      </c>
      <c r="T61" s="223">
        <f t="shared" si="17"/>
        <v>-1585.265286739181</v>
      </c>
      <c r="U61" s="223">
        <f t="shared" si="17"/>
        <v>-1634.4275337571421</v>
      </c>
      <c r="W61" s="400">
        <f>SUM(B61:U61)</f>
        <v>-11826.003360328888</v>
      </c>
    </row>
    <row r="62" spans="1:55" outlineLevel="1">
      <c r="A62" s="13" t="s">
        <v>100</v>
      </c>
      <c r="B62" s="128">
        <f>-Allocation!$E$9*Tax!B24</f>
        <v>0</v>
      </c>
      <c r="C62" s="128">
        <f>-Allocation!$E$9*Tax!C24</f>
        <v>0</v>
      </c>
      <c r="D62" s="128">
        <f>-Allocation!$E$9*Tax!D24</f>
        <v>0</v>
      </c>
      <c r="E62" s="128">
        <f>-Allocation!$E$9*Tax!E24</f>
        <v>0</v>
      </c>
      <c r="F62" s="128">
        <f>-Allocation!$E$9*Tax!F24</f>
        <v>0</v>
      </c>
      <c r="G62" s="128">
        <f>-Allocation!$E$9*Tax!G24</f>
        <v>0</v>
      </c>
      <c r="H62" s="128">
        <f>-Allocation!$E$9*Tax!H24</f>
        <v>-2567.3459752922809</v>
      </c>
      <c r="I62" s="128">
        <f>-Allocation!$E$9*Tax!I24</f>
        <v>-3475.2997442944397</v>
      </c>
      <c r="J62" s="128">
        <f>-Allocation!$E$9*Tax!J24</f>
        <v>-3743.8415590092545</v>
      </c>
      <c r="K62" s="128">
        <f>-Allocation!$E$9*Tax!K24</f>
        <v>-4022.1008131442582</v>
      </c>
      <c r="L62" s="128">
        <f>-Allocation!$E$9*Tax!L24</f>
        <v>-4388.204559704338</v>
      </c>
      <c r="M62" s="128">
        <f>-Allocation!$E$9*Tax!M24</f>
        <v>-4771.0976389872658</v>
      </c>
      <c r="N62" s="128">
        <f>-Allocation!$E$9*Tax!N24</f>
        <v>-5157.4617042336731</v>
      </c>
      <c r="O62" s="128">
        <f>-Allocation!$E$9*Tax!O24</f>
        <v>-5534.8443236094236</v>
      </c>
      <c r="P62" s="128">
        <f>-Allocation!$E$9*Tax!P24</f>
        <v>-5908.5939459705178</v>
      </c>
      <c r="Q62" s="128">
        <f>-Allocation!$E$9*Tax!Q24</f>
        <v>-7819.6078638852923</v>
      </c>
      <c r="R62" s="128">
        <f>-Allocation!$E$9*Tax!R24</f>
        <v>-9722.0347845938122</v>
      </c>
      <c r="S62" s="128">
        <f>-Allocation!$E$9*Tax!S24</f>
        <v>-10084.121592167316</v>
      </c>
      <c r="T62" s="128">
        <f>-Allocation!$E$9*Tax!T24</f>
        <v>-10416.633492707881</v>
      </c>
      <c r="U62" s="128">
        <f>-Allocation!$E$9*Tax!U24</f>
        <v>-10750.722529359582</v>
      </c>
      <c r="W62" s="400">
        <f>SUM(B62:U62)</f>
        <v>-88361.910526959342</v>
      </c>
    </row>
    <row r="63" spans="1:55" outlineLevel="1">
      <c r="A63" s="1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W63" s="401"/>
    </row>
    <row r="64" spans="1:55" s="125" customFormat="1" ht="15.75" outlineLevel="1">
      <c r="A64" s="46" t="s">
        <v>73</v>
      </c>
      <c r="B64" s="137">
        <f t="shared" ref="B64:U64" si="18">B59+B62+B61</f>
        <v>3314.7418733206068</v>
      </c>
      <c r="C64" s="137">
        <f t="shared" si="18"/>
        <v>3265.9777942320943</v>
      </c>
      <c r="D64" s="137">
        <f t="shared" si="18"/>
        <v>3259.9452008891021</v>
      </c>
      <c r="E64" s="137">
        <f t="shared" si="18"/>
        <v>13941.124680220651</v>
      </c>
      <c r="F64" s="137">
        <f t="shared" si="18"/>
        <v>14801.979392329486</v>
      </c>
      <c r="G64" s="137">
        <f t="shared" si="18"/>
        <v>15071.192581976697</v>
      </c>
      <c r="H64" s="137">
        <f t="shared" si="18"/>
        <v>12918.586152472581</v>
      </c>
      <c r="I64" s="137">
        <f t="shared" si="18"/>
        <v>12206.058276477694</v>
      </c>
      <c r="J64" s="137">
        <f t="shared" si="18"/>
        <v>11944.280173987283</v>
      </c>
      <c r="K64" s="137">
        <f t="shared" si="18"/>
        <v>11876.810143071732</v>
      </c>
      <c r="L64" s="137">
        <f t="shared" si="18"/>
        <v>11569.890255570113</v>
      </c>
      <c r="M64" s="137">
        <f t="shared" si="18"/>
        <v>12462.626212184585</v>
      </c>
      <c r="N64" s="137">
        <f t="shared" si="18"/>
        <v>13408.884381134376</v>
      </c>
      <c r="O64" s="137">
        <f t="shared" si="18"/>
        <v>14291.700749434063</v>
      </c>
      <c r="P64" s="137">
        <f t="shared" si="18"/>
        <v>14779.829212089142</v>
      </c>
      <c r="Q64" s="137">
        <f t="shared" si="18"/>
        <v>13319.486797696594</v>
      </c>
      <c r="R64" s="137">
        <f t="shared" si="18"/>
        <v>12189.760299457674</v>
      </c>
      <c r="S64" s="137">
        <f t="shared" si="18"/>
        <v>13984.39607656455</v>
      </c>
      <c r="T64" s="137">
        <f t="shared" si="18"/>
        <v>14583.880701724442</v>
      </c>
      <c r="U64" s="137">
        <f t="shared" si="18"/>
        <v>15752.710608815341</v>
      </c>
      <c r="W64" s="400">
        <f>SUM(B64:U64)</f>
        <v>238943.86156364882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217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5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Allocation!$C$9*'Summary Output'!$C$8</f>
        <v>83891.284845906048</v>
      </c>
      <c r="C76" s="439">
        <f>Allocation!$C$9*'Summary Output'!$C$8</f>
        <v>83891.284845906048</v>
      </c>
      <c r="D76" s="439">
        <f>Allocation!$C$9*'Summary Output'!$C$8</f>
        <v>83891.284845906048</v>
      </c>
      <c r="E76" s="439">
        <f>Allocation!$C$9*'Summary Output'!$C$8</f>
        <v>83891.284845906048</v>
      </c>
      <c r="F76" s="439">
        <f>Allocation!$C$9*'Summary Output'!$C$8</f>
        <v>83891.284845906048</v>
      </c>
      <c r="G76" s="439">
        <f>Allocation!$C$9*'Summary Output'!$C$8</f>
        <v>83891.284845906048</v>
      </c>
      <c r="H76" s="439">
        <f>Allocation!$C$9*'Summary Output'!$C$8</f>
        <v>83891.284845906048</v>
      </c>
      <c r="I76" s="439">
        <f>Allocation!$C$9*'Summary Output'!$C$8</f>
        <v>83891.284845906048</v>
      </c>
      <c r="J76" s="439">
        <f>Allocation!$C$9*'Summary Output'!$C$8</f>
        <v>83891.284845906048</v>
      </c>
      <c r="K76" s="439">
        <f>Allocation!$C$9*'Summary Output'!$C$8</f>
        <v>83891.284845906048</v>
      </c>
      <c r="L76" s="439">
        <f>Allocation!$C$9*'Summary Output'!$C$8</f>
        <v>83891.284845906048</v>
      </c>
      <c r="M76" s="439">
        <f>Allocation!$C$9*'Summary Output'!$C$8</f>
        <v>83891.284845906048</v>
      </c>
      <c r="N76" s="439">
        <f>Allocation!$C$9*'Summary Output'!$C$8</f>
        <v>83891.284845906048</v>
      </c>
      <c r="O76" s="439">
        <f>Allocation!$C$9*'Summary Output'!$C$8</f>
        <v>83891.284845906048</v>
      </c>
      <c r="P76" s="439">
        <f>Allocation!$C$9*'Summary Output'!$C$8</f>
        <v>83891.284845906048</v>
      </c>
      <c r="Q76" s="439">
        <f>Allocation!$C$9*'Summary Output'!$C$8</f>
        <v>83891.284845906048</v>
      </c>
      <c r="R76" s="439">
        <f>Allocation!$C$9*'Summary Output'!$C$8</f>
        <v>83891.284845906048</v>
      </c>
      <c r="S76" s="439">
        <f>Allocation!$C$9*'Summary Output'!$C$8</f>
        <v>83891.284845906048</v>
      </c>
      <c r="T76" s="439">
        <f>Allocation!$C$9*'Summary Output'!$C$8</f>
        <v>83891.284845906048</v>
      </c>
      <c r="U76" s="439">
        <f>Allocation!$C$9*'Summary Output'!$C$8</f>
        <v>83891.284845906048</v>
      </c>
    </row>
    <row r="77" spans="1:44" outlineLevel="1">
      <c r="A77" s="443" t="s">
        <v>273</v>
      </c>
      <c r="B77" s="440">
        <f>B44-B64-B12*(Assumptions!$E$38+(1-Assumptions!$E$38)*Assumptions!$E$37)</f>
        <v>-2475.120107229975</v>
      </c>
      <c r="C77" s="440">
        <f>C44-C64-C12*(Assumptions!$E$38+(1-Assumptions!$E$38)*Assumptions!$E$37)+B77</f>
        <v>-4848.0869025873953</v>
      </c>
      <c r="D77" s="440">
        <f>D44-D64-D12*(Assumptions!$E$38+(1-Assumptions!$E$38)*Assumptions!$E$37)+C77</f>
        <v>-7125.9398403009027</v>
      </c>
      <c r="E77" s="440">
        <f t="shared" ref="E77:U77" si="19">E44-E64+D77</f>
        <v>-15032.572139675374</v>
      </c>
      <c r="F77" s="440">
        <f t="shared" si="19"/>
        <v>-22770.928518080858</v>
      </c>
      <c r="G77" s="440">
        <f t="shared" si="19"/>
        <v>-30359.530517351093</v>
      </c>
      <c r="H77" s="440">
        <f t="shared" si="19"/>
        <v>-35348.442411961543</v>
      </c>
      <c r="I77" s="440">
        <f t="shared" si="19"/>
        <v>-39165.522408364515</v>
      </c>
      <c r="J77" s="440">
        <f t="shared" si="19"/>
        <v>-42192.641742178035</v>
      </c>
      <c r="K77" s="440">
        <f t="shared" si="19"/>
        <v>-44937.10856065603</v>
      </c>
      <c r="L77" s="440">
        <f t="shared" si="19"/>
        <v>-46582.761754550535</v>
      </c>
      <c r="M77" s="440">
        <f t="shared" si="19"/>
        <v>-48280.71698395945</v>
      </c>
      <c r="N77" s="440">
        <f t="shared" si="19"/>
        <v>-50105.685977857385</v>
      </c>
      <c r="O77" s="440">
        <f t="shared" si="19"/>
        <v>-52078.226950299213</v>
      </c>
      <c r="P77" s="440">
        <f t="shared" si="19"/>
        <v>-53793.183896521929</v>
      </c>
      <c r="Q77" s="440">
        <f t="shared" si="19"/>
        <v>-53387.104260874636</v>
      </c>
      <c r="R77" s="440">
        <f t="shared" si="19"/>
        <v>-51166.15694357561</v>
      </c>
      <c r="S77" s="440">
        <f t="shared" si="19"/>
        <v>-50077.462848862968</v>
      </c>
      <c r="T77" s="440">
        <f t="shared" si="19"/>
        <v>-48982.455637604922</v>
      </c>
      <c r="U77" s="440">
        <f t="shared" si="19"/>
        <v>-48449.124582765959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Debt!B73*Allocation!$E$9</f>
        <v>86163.722560793365</v>
      </c>
      <c r="C78" s="441">
        <f>Debt!C73*Allocation!$E$9</f>
        <v>84172.79568438865</v>
      </c>
      <c r="D78" s="441">
        <f>Debt!D73*Allocation!$E$9</f>
        <v>82032.175057878325</v>
      </c>
      <c r="E78" s="441">
        <f>Debt!E73*Allocation!$E$9</f>
        <v>79894.54830637011</v>
      </c>
      <c r="F78" s="441">
        <f>Debt!F73*Allocation!$E$9</f>
        <v>76952.167954294084</v>
      </c>
      <c r="G78" s="441">
        <f>Debt!G73*Allocation!$E$9</f>
        <v>73607.41080193418</v>
      </c>
      <c r="H78" s="441">
        <f>Debt!H73*Allocation!$E$9</f>
        <v>69960.871049361333</v>
      </c>
      <c r="I78" s="441">
        <f>Debt!I73*Allocation!$E$9</f>
        <v>65811.360296433617</v>
      </c>
      <c r="J78" s="441">
        <f>Debt!J73*Allocation!$E$9</f>
        <v>61259.47274322201</v>
      </c>
      <c r="K78" s="441">
        <f>Debt!K73*Allocation!$E$9</f>
        <v>56030.37066453258</v>
      </c>
      <c r="L78" s="441">
        <f>Debt!L73*Allocation!$E$9</f>
        <v>50342.008160519123</v>
      </c>
      <c r="M78" s="441">
        <f>Debt!M73*Allocation!$E$9</f>
        <v>44653.645656505665</v>
      </c>
      <c r="N78" s="441">
        <f>Debt!N73*Allocation!$E$9</f>
        <v>38965.2831524922</v>
      </c>
      <c r="O78" s="441">
        <f>Debt!O73*Allocation!$E$9</f>
        <v>33276.920648478743</v>
      </c>
      <c r="P78" s="441">
        <f>Debt!P73*Allocation!$E$9</f>
        <v>27304.140019264611</v>
      </c>
      <c r="Q78" s="441">
        <f>Debt!Q73*Allocation!$E$9</f>
        <v>21046.941264849804</v>
      </c>
      <c r="R78" s="441">
        <f>Debt!R73*Allocation!$E$9</f>
        <v>14789.742510434997</v>
      </c>
      <c r="S78" s="441">
        <f>Debt!S73*Allocation!$E$9</f>
        <v>9670.2162568228814</v>
      </c>
      <c r="T78" s="441">
        <f>Debt!T73*Allocation!$E$9</f>
        <v>4550.6900032107678</v>
      </c>
      <c r="U78" s="441">
        <f>Debt!U73*Allocation!$E$9</f>
        <v>-4.7923276758572062E-12</v>
      </c>
    </row>
    <row r="79" spans="1:44" outlineLevel="1">
      <c r="A79" s="224" t="s">
        <v>188</v>
      </c>
      <c r="B79" s="442">
        <f>SUM(B76:B78)</f>
        <v>167579.88729946944</v>
      </c>
      <c r="C79" s="442">
        <f t="shared" ref="C79:U79" si="20">SUM(C76:C78)</f>
        <v>163215.9936277073</v>
      </c>
      <c r="D79" s="442">
        <f t="shared" si="20"/>
        <v>158797.52006348348</v>
      </c>
      <c r="E79" s="442">
        <f t="shared" si="20"/>
        <v>148753.26101260079</v>
      </c>
      <c r="F79" s="442">
        <f t="shared" si="20"/>
        <v>138072.52428211927</v>
      </c>
      <c r="G79" s="442">
        <f t="shared" si="20"/>
        <v>127139.16513048913</v>
      </c>
      <c r="H79" s="442">
        <f t="shared" si="20"/>
        <v>118503.71348330584</v>
      </c>
      <c r="I79" s="442">
        <f t="shared" si="20"/>
        <v>110537.12273397515</v>
      </c>
      <c r="J79" s="442">
        <f t="shared" si="20"/>
        <v>102958.11584695002</v>
      </c>
      <c r="K79" s="442">
        <f t="shared" si="20"/>
        <v>94984.546949782598</v>
      </c>
      <c r="L79" s="442">
        <f t="shared" si="20"/>
        <v>87650.531251874636</v>
      </c>
      <c r="M79" s="442">
        <f t="shared" si="20"/>
        <v>80264.213518452263</v>
      </c>
      <c r="N79" s="442">
        <f t="shared" si="20"/>
        <v>72750.882020540856</v>
      </c>
      <c r="O79" s="442">
        <f t="shared" si="20"/>
        <v>65089.978544085578</v>
      </c>
      <c r="P79" s="442">
        <f t="shared" si="20"/>
        <v>57402.24096864873</v>
      </c>
      <c r="Q79" s="442">
        <f t="shared" si="20"/>
        <v>51551.121849881216</v>
      </c>
      <c r="R79" s="442">
        <f t="shared" si="20"/>
        <v>47514.870412765435</v>
      </c>
      <c r="S79" s="442">
        <f t="shared" si="20"/>
        <v>43484.038253865961</v>
      </c>
      <c r="T79" s="442">
        <f t="shared" si="20"/>
        <v>39459.519211511892</v>
      </c>
      <c r="U79" s="442">
        <f t="shared" si="20"/>
        <v>35442.160263140082</v>
      </c>
    </row>
    <row r="80" spans="1:44" outlineLevel="1">
      <c r="A80" s="443" t="s">
        <v>183</v>
      </c>
      <c r="B80" s="445">
        <f>Assumptions!$E$41</f>
        <v>2.5000000000000001E-3</v>
      </c>
      <c r="C80" s="445">
        <f>Assumptions!$E$42</f>
        <v>2.5000000000000001E-3</v>
      </c>
      <c r="D80" s="445">
        <f>Assumptions!$E$42</f>
        <v>2.5000000000000001E-3</v>
      </c>
      <c r="E80" s="445">
        <f>Assumptions!$E$42</f>
        <v>2.5000000000000001E-3</v>
      </c>
      <c r="F80" s="445">
        <f>Assumptions!$E$42</f>
        <v>2.5000000000000001E-3</v>
      </c>
      <c r="G80" s="445">
        <f>Assumptions!$E$42</f>
        <v>2.5000000000000001E-3</v>
      </c>
      <c r="H80" s="445">
        <f>Assumptions!$E$42</f>
        <v>2.5000000000000001E-3</v>
      </c>
      <c r="I80" s="445">
        <f>Assumptions!$E$42</f>
        <v>2.5000000000000001E-3</v>
      </c>
      <c r="J80" s="445">
        <f>Assumptions!$E$42</f>
        <v>2.5000000000000001E-3</v>
      </c>
      <c r="K80" s="445">
        <f>Assumptions!$E$42</f>
        <v>2.5000000000000001E-3</v>
      </c>
      <c r="L80" s="445">
        <f>Assumptions!$E$42</f>
        <v>2.5000000000000001E-3</v>
      </c>
      <c r="M80" s="445">
        <f>Assumptions!$E$42</f>
        <v>2.5000000000000001E-3</v>
      </c>
      <c r="N80" s="445">
        <f>Assumptions!$E$42</f>
        <v>2.5000000000000001E-3</v>
      </c>
      <c r="O80" s="445">
        <f>Assumptions!$E$42</f>
        <v>2.5000000000000001E-3</v>
      </c>
      <c r="P80" s="445">
        <f>Assumptions!$E$42</f>
        <v>2.5000000000000001E-3</v>
      </c>
      <c r="Q80" s="445">
        <f>Assumptions!$E$42</f>
        <v>2.5000000000000001E-3</v>
      </c>
      <c r="R80" s="445">
        <f>Assumptions!$E$42</f>
        <v>2.5000000000000001E-3</v>
      </c>
      <c r="S80" s="445">
        <f>Assumptions!$E$42</f>
        <v>2.5000000000000001E-3</v>
      </c>
      <c r="T80" s="445">
        <f>Assumptions!$E$42</f>
        <v>2.5000000000000001E-3</v>
      </c>
      <c r="U80" s="445">
        <f>Assumptions!$E$42</f>
        <v>2.5000000000000001E-3</v>
      </c>
    </row>
    <row r="81" spans="1:44" outlineLevel="1">
      <c r="A81" s="224" t="s">
        <v>184</v>
      </c>
      <c r="B81" s="461">
        <v>418.94971824867361</v>
      </c>
      <c r="C81" s="461">
        <v>408.03998406926826</v>
      </c>
      <c r="D81" s="461">
        <v>396.99380015870872</v>
      </c>
      <c r="E81" s="461">
        <v>371.88315253150199</v>
      </c>
      <c r="F81" s="461">
        <v>345.18131070529819</v>
      </c>
      <c r="G81" s="461">
        <v>317.84791282622285</v>
      </c>
      <c r="H81" s="461">
        <v>296.25902147616898</v>
      </c>
      <c r="I81" s="461">
        <v>276.34251224953175</v>
      </c>
      <c r="J81" s="461">
        <v>257.39496395576282</v>
      </c>
      <c r="K81" s="461">
        <v>237.46101191374248</v>
      </c>
      <c r="L81" s="461">
        <v>219.12594414697514</v>
      </c>
      <c r="M81" s="461">
        <v>200.66012256852613</v>
      </c>
      <c r="N81" s="461">
        <v>181.87676785595897</v>
      </c>
      <c r="O81" s="461">
        <v>162.7244844741364</v>
      </c>
      <c r="P81" s="461">
        <v>143.50511712196433</v>
      </c>
      <c r="Q81" s="461">
        <v>128.87729718856991</v>
      </c>
      <c r="R81" s="461">
        <v>118.78664773640924</v>
      </c>
      <c r="S81" s="461">
        <v>108.70954775689404</v>
      </c>
      <c r="T81" s="461">
        <v>98.648231845838936</v>
      </c>
      <c r="U81" s="461">
        <v>88.604817446982196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24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224"/>
      <c r="B85" s="24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1" t="s">
        <v>271</v>
      </c>
      <c r="B86" s="20">
        <f>B39-B12</f>
        <v>-1142.5497601817151</v>
      </c>
      <c r="C86" s="20">
        <f>C39-C12</f>
        <v>-1056.0894641751693</v>
      </c>
      <c r="D86" s="20">
        <f>D39-D12</f>
        <v>-911.82830741254475</v>
      </c>
      <c r="E86" s="20">
        <f t="shared" ref="E86:U86" si="21">E39</f>
        <v>9772.4572969168894</v>
      </c>
      <c r="F86" s="20">
        <f t="shared" si="21"/>
        <v>11439.065609593525</v>
      </c>
      <c r="G86" s="20">
        <f t="shared" si="21"/>
        <v>12117.555599524634</v>
      </c>
      <c r="H86" s="20">
        <f t="shared" si="21"/>
        <v>12841.577745525723</v>
      </c>
      <c r="I86" s="20">
        <f t="shared" si="21"/>
        <v>13585.389927246513</v>
      </c>
      <c r="J86" s="20">
        <f t="shared" si="21"/>
        <v>14440.746299876533</v>
      </c>
      <c r="K86" s="20">
        <f t="shared" si="21"/>
        <v>14789.219958856258</v>
      </c>
      <c r="L86" s="20">
        <f t="shared" si="21"/>
        <v>16071.638966276283</v>
      </c>
      <c r="M86" s="20">
        <f t="shared" si="21"/>
        <v>17432.665559150879</v>
      </c>
      <c r="N86" s="20">
        <f t="shared" si="21"/>
        <v>18759.377145322171</v>
      </c>
      <c r="O86" s="20">
        <f t="shared" si="21"/>
        <v>19950.056319015763</v>
      </c>
      <c r="P86" s="20">
        <f t="shared" si="21"/>
        <v>21157.687879945632</v>
      </c>
      <c r="Q86" s="20">
        <f t="shared" si="21"/>
        <v>22227.637948735035</v>
      </c>
      <c r="R86" s="20">
        <f t="shared" si="21"/>
        <v>23337.17832673149</v>
      </c>
      <c r="S86" s="20">
        <f t="shared" si="21"/>
        <v>24409.862625550108</v>
      </c>
      <c r="T86" s="20">
        <f t="shared" si="21"/>
        <v>25390.911599971641</v>
      </c>
      <c r="U86" s="20">
        <f t="shared" si="21"/>
        <v>26374.156540330863</v>
      </c>
      <c r="W86" s="420">
        <f>SUM(B86:U86)</f>
        <v>300986.71781680046</v>
      </c>
    </row>
    <row r="87" spans="1:44" outlineLevel="1">
      <c r="A87" s="21" t="s">
        <v>132</v>
      </c>
      <c r="B87" s="20">
        <f>B33</f>
        <v>6314.394134811977</v>
      </c>
      <c r="C87" s="20">
        <f t="shared" ref="C87:U87" si="22">C33</f>
        <v>6314.394134811977</v>
      </c>
      <c r="D87" s="20">
        <f t="shared" si="22"/>
        <v>6314.394134811977</v>
      </c>
      <c r="E87" s="20">
        <f t="shared" si="22"/>
        <v>6314.394134811977</v>
      </c>
      <c r="F87" s="20">
        <f t="shared" si="22"/>
        <v>6314.394134811977</v>
      </c>
      <c r="G87" s="20">
        <f t="shared" si="22"/>
        <v>6314.394134811977</v>
      </c>
      <c r="H87" s="20">
        <f t="shared" si="22"/>
        <v>6314.394134811977</v>
      </c>
      <c r="I87" s="20">
        <f t="shared" si="22"/>
        <v>6314.394134811977</v>
      </c>
      <c r="J87" s="20">
        <f t="shared" si="22"/>
        <v>6314.394134811977</v>
      </c>
      <c r="K87" s="20">
        <f t="shared" si="22"/>
        <v>6314.394134811977</v>
      </c>
      <c r="L87" s="20">
        <f t="shared" si="22"/>
        <v>6314.394134811977</v>
      </c>
      <c r="M87" s="20">
        <f t="shared" si="22"/>
        <v>6314.394134811977</v>
      </c>
      <c r="N87" s="20">
        <f t="shared" si="22"/>
        <v>6314.394134811977</v>
      </c>
      <c r="O87" s="20">
        <f t="shared" si="22"/>
        <v>6314.394134811977</v>
      </c>
      <c r="P87" s="20">
        <f t="shared" si="22"/>
        <v>6314.394134811977</v>
      </c>
      <c r="Q87" s="20">
        <f t="shared" si="22"/>
        <v>6314.394134811977</v>
      </c>
      <c r="R87" s="20">
        <f t="shared" si="22"/>
        <v>6314.394134811977</v>
      </c>
      <c r="S87" s="20">
        <f t="shared" si="22"/>
        <v>6314.394134811977</v>
      </c>
      <c r="T87" s="20">
        <f t="shared" si="22"/>
        <v>6314.394134811977</v>
      </c>
      <c r="U87" s="20">
        <f t="shared" si="22"/>
        <v>6314.394134811977</v>
      </c>
      <c r="W87" s="420">
        <f>SUM(B87:U87)</f>
        <v>126287.88269623948</v>
      </c>
    </row>
    <row r="88" spans="1:44" ht="15" outlineLevel="1">
      <c r="A88" s="21" t="s">
        <v>200</v>
      </c>
      <c r="B88" s="228">
        <f>-Depreciation!C81</f>
        <v>-9537.7266653231127</v>
      </c>
      <c r="C88" s="228">
        <f>-Depreciation!D81</f>
        <v>-18121.680664113916</v>
      </c>
      <c r="D88" s="228">
        <f>-Depreciation!E81</f>
        <v>-16309.512597702524</v>
      </c>
      <c r="E88" s="228">
        <f>-Depreciation!F81</f>
        <v>-14688.099064597593</v>
      </c>
      <c r="F88" s="228">
        <f>-Depreciation!G81</f>
        <v>-13219.289158137834</v>
      </c>
      <c r="G88" s="228">
        <f>-Depreciation!H81</f>
        <v>-11884.007424992598</v>
      </c>
      <c r="H88" s="228">
        <f>-Depreciation!I81</f>
        <v>-11254.517465081273</v>
      </c>
      <c r="I88" s="228">
        <f>-Depreciation!J81</f>
        <v>-11273.59291841192</v>
      </c>
      <c r="J88" s="228">
        <f>-Depreciation!K81</f>
        <v>-11254.517465081273</v>
      </c>
      <c r="K88" s="228">
        <f>-Depreciation!L81</f>
        <v>-11273.59291841192</v>
      </c>
      <c r="L88" s="228">
        <f>-Depreciation!M81</f>
        <v>-11254.517465081273</v>
      </c>
      <c r="M88" s="228">
        <f>-Depreciation!N81</f>
        <v>-11273.59291841192</v>
      </c>
      <c r="N88" s="228">
        <f>-Depreciation!O81</f>
        <v>-11254.517465081273</v>
      </c>
      <c r="O88" s="228">
        <f>-Depreciation!P81</f>
        <v>-11273.59291841192</v>
      </c>
      <c r="P88" s="228">
        <f>-Depreciation!Q81</f>
        <v>-11254.517465081273</v>
      </c>
      <c r="Q88" s="228">
        <f>-Depreciation!R81</f>
        <v>-5627.2587325406366</v>
      </c>
      <c r="R88" s="228">
        <f>-Depreciation!S81</f>
        <v>0</v>
      </c>
      <c r="S88" s="228">
        <f>-Depreciation!T81</f>
        <v>0</v>
      </c>
      <c r="T88" s="228">
        <f>-Depreciation!U81</f>
        <v>0</v>
      </c>
      <c r="U88" s="228">
        <f>-Depreciation!V81</f>
        <v>0</v>
      </c>
      <c r="W88" s="421">
        <f>SUM(B88:U88)</f>
        <v>-190754.53330646222</v>
      </c>
    </row>
    <row r="89" spans="1:44" outlineLevel="1">
      <c r="A89" s="227" t="s">
        <v>131</v>
      </c>
      <c r="B89" s="22">
        <f t="shared" ref="B89:U89" si="23">SUM(B86:B88)</f>
        <v>-4365.8822906928508</v>
      </c>
      <c r="C89" s="22">
        <f t="shared" si="23"/>
        <v>-12863.375993477108</v>
      </c>
      <c r="D89" s="22">
        <f t="shared" si="23"/>
        <v>-10906.946770303091</v>
      </c>
      <c r="E89" s="22">
        <f t="shared" si="23"/>
        <v>1398.7523671312738</v>
      </c>
      <c r="F89" s="22">
        <f t="shared" si="23"/>
        <v>4534.1705862676699</v>
      </c>
      <c r="G89" s="22">
        <f t="shared" si="23"/>
        <v>6547.9423093440109</v>
      </c>
      <c r="H89" s="22">
        <f t="shared" si="23"/>
        <v>7901.4544152564267</v>
      </c>
      <c r="I89" s="22">
        <f t="shared" si="23"/>
        <v>8626.1911436465707</v>
      </c>
      <c r="J89" s="22">
        <f t="shared" si="23"/>
        <v>9500.6229696072369</v>
      </c>
      <c r="K89" s="22">
        <f t="shared" si="23"/>
        <v>9830.0211752563155</v>
      </c>
      <c r="L89" s="22">
        <f t="shared" si="23"/>
        <v>11131.515636006985</v>
      </c>
      <c r="M89" s="22">
        <f t="shared" si="23"/>
        <v>12473.466775550936</v>
      </c>
      <c r="N89" s="22">
        <f t="shared" si="23"/>
        <v>13819.253815052874</v>
      </c>
      <c r="O89" s="22">
        <f t="shared" si="23"/>
        <v>14990.85753541582</v>
      </c>
      <c r="P89" s="22">
        <f t="shared" si="23"/>
        <v>16217.564549676335</v>
      </c>
      <c r="Q89" s="22">
        <f t="shared" si="23"/>
        <v>22914.773351006377</v>
      </c>
      <c r="R89" s="22">
        <f t="shared" si="23"/>
        <v>29651.572461543466</v>
      </c>
      <c r="S89" s="22">
        <f t="shared" si="23"/>
        <v>30724.256760362085</v>
      </c>
      <c r="T89" s="22">
        <f t="shared" si="23"/>
        <v>31705.305734783618</v>
      </c>
      <c r="U89" s="22">
        <f t="shared" si="23"/>
        <v>32688.55067514284</v>
      </c>
      <c r="W89" s="420">
        <f>SUM(B89:U89)</f>
        <v>236520.06720657778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Assumptions!$E$38</f>
        <v>0.05</v>
      </c>
      <c r="C91" s="418">
        <f>Assumptions!$E$38</f>
        <v>0.05</v>
      </c>
      <c r="D91" s="418">
        <f>Assumptions!$E$38</f>
        <v>0.05</v>
      </c>
      <c r="E91" s="418">
        <f>Assumptions!$E$38</f>
        <v>0.05</v>
      </c>
      <c r="F91" s="418">
        <f>Assumptions!$E$38</f>
        <v>0.05</v>
      </c>
      <c r="G91" s="418">
        <f>Assumptions!$E$38</f>
        <v>0.05</v>
      </c>
      <c r="H91" s="418">
        <f>Assumptions!$E$38</f>
        <v>0.05</v>
      </c>
      <c r="I91" s="418">
        <f>Assumptions!$E$38</f>
        <v>0.05</v>
      </c>
      <c r="J91" s="418">
        <f>Assumptions!$E$38</f>
        <v>0.05</v>
      </c>
      <c r="K91" s="418">
        <f>Assumptions!$E$38</f>
        <v>0.05</v>
      </c>
      <c r="L91" s="418">
        <f>Assumptions!$E$38</f>
        <v>0.05</v>
      </c>
      <c r="M91" s="418">
        <f>Assumptions!$E$38</f>
        <v>0.05</v>
      </c>
      <c r="N91" s="418">
        <f>Assumptions!$E$38</f>
        <v>0.05</v>
      </c>
      <c r="O91" s="418">
        <f>Assumptions!$E$38</f>
        <v>0.05</v>
      </c>
      <c r="P91" s="418">
        <f>Assumptions!$E$38</f>
        <v>0.05</v>
      </c>
      <c r="Q91" s="418">
        <f>Assumptions!$E$38</f>
        <v>0.05</v>
      </c>
      <c r="R91" s="418">
        <f>Assumptions!$E$38</f>
        <v>0.05</v>
      </c>
      <c r="S91" s="418">
        <f>Assumptions!$E$38</f>
        <v>0.05</v>
      </c>
      <c r="T91" s="418">
        <f>Assumptions!$E$38</f>
        <v>0.05</v>
      </c>
      <c r="U91" s="418">
        <f>Assumptions!$E$38</f>
        <v>0.05</v>
      </c>
    </row>
    <row r="92" spans="1:44" outlineLevel="1">
      <c r="A92" s="21" t="s">
        <v>133</v>
      </c>
      <c r="B92" s="20">
        <f>B89*B91</f>
        <v>-218.29411453464255</v>
      </c>
      <c r="C92" s="20">
        <f t="shared" ref="C92:U92" si="24">C89*C91</f>
        <v>-643.16879967385546</v>
      </c>
      <c r="D92" s="20">
        <f t="shared" si="24"/>
        <v>-545.34733851515455</v>
      </c>
      <c r="E92" s="20">
        <f t="shared" si="24"/>
        <v>69.937618356563689</v>
      </c>
      <c r="F92" s="20">
        <f t="shared" si="24"/>
        <v>226.70852931338351</v>
      </c>
      <c r="G92" s="20">
        <f t="shared" si="24"/>
        <v>327.39711546720059</v>
      </c>
      <c r="H92" s="20">
        <f t="shared" si="24"/>
        <v>395.07272076282135</v>
      </c>
      <c r="I92" s="20">
        <f t="shared" si="24"/>
        <v>431.30955718232855</v>
      </c>
      <c r="J92" s="20">
        <f t="shared" si="24"/>
        <v>475.03114848036188</v>
      </c>
      <c r="K92" s="20">
        <f t="shared" si="24"/>
        <v>491.50105876281577</v>
      </c>
      <c r="L92" s="20">
        <f t="shared" si="24"/>
        <v>556.57578180034932</v>
      </c>
      <c r="M92" s="20">
        <f t="shared" si="24"/>
        <v>623.67333877754686</v>
      </c>
      <c r="N92" s="20">
        <f t="shared" si="24"/>
        <v>690.96269075264377</v>
      </c>
      <c r="O92" s="20">
        <f t="shared" si="24"/>
        <v>749.54287677079105</v>
      </c>
      <c r="P92" s="20">
        <f t="shared" si="24"/>
        <v>810.87822748381677</v>
      </c>
      <c r="Q92" s="20">
        <f t="shared" si="24"/>
        <v>1145.738667550319</v>
      </c>
      <c r="R92" s="20">
        <f t="shared" si="24"/>
        <v>1482.5786230771735</v>
      </c>
      <c r="S92" s="20">
        <f t="shared" si="24"/>
        <v>1536.2128380181043</v>
      </c>
      <c r="T92" s="20">
        <f t="shared" si="24"/>
        <v>1585.265286739181</v>
      </c>
      <c r="U92" s="20">
        <f t="shared" si="24"/>
        <v>1634.4275337571421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5">B98</f>
        <v>218.29411453464255</v>
      </c>
      <c r="D94" s="20">
        <f t="shared" si="25"/>
        <v>861.46291420849798</v>
      </c>
      <c r="E94" s="20">
        <f t="shared" si="25"/>
        <v>1406.8102527236524</v>
      </c>
      <c r="F94" s="20">
        <f t="shared" si="25"/>
        <v>1336.8726343670887</v>
      </c>
      <c r="G94" s="20">
        <f t="shared" si="25"/>
        <v>1110.1641050537053</v>
      </c>
      <c r="H94" s="20">
        <f t="shared" si="25"/>
        <v>782.76698958650468</v>
      </c>
      <c r="I94" s="20">
        <f t="shared" si="25"/>
        <v>387.69426882368333</v>
      </c>
      <c r="J94" s="20">
        <f t="shared" si="25"/>
        <v>0</v>
      </c>
      <c r="K94" s="20">
        <f t="shared" si="25"/>
        <v>0</v>
      </c>
      <c r="L94" s="20">
        <f t="shared" si="25"/>
        <v>0</v>
      </c>
      <c r="M94" s="20">
        <f t="shared" si="25"/>
        <v>0</v>
      </c>
      <c r="N94" s="20">
        <f>M98</f>
        <v>0</v>
      </c>
      <c r="O94" s="20">
        <f t="shared" si="25"/>
        <v>0</v>
      </c>
      <c r="P94" s="20">
        <f t="shared" si="25"/>
        <v>0</v>
      </c>
      <c r="Q94" s="20">
        <f t="shared" si="25"/>
        <v>0</v>
      </c>
      <c r="R94" s="20">
        <v>0</v>
      </c>
      <c r="S94" s="20">
        <f t="shared" si="25"/>
        <v>0</v>
      </c>
      <c r="T94" s="20">
        <f t="shared" si="25"/>
        <v>0</v>
      </c>
      <c r="U94" s="20">
        <f t="shared" si="25"/>
        <v>0</v>
      </c>
    </row>
    <row r="95" spans="1:44" outlineLevel="1">
      <c r="A95" s="21" t="s">
        <v>135</v>
      </c>
      <c r="B95" s="239">
        <f t="shared" ref="B95:U95" si="26">IF(B68&gt;2020,0,IF(B92&lt;0,-B92,0))</f>
        <v>218.29411453464255</v>
      </c>
      <c r="C95" s="239">
        <f t="shared" si="26"/>
        <v>643.16879967385546</v>
      </c>
      <c r="D95" s="239">
        <f t="shared" si="26"/>
        <v>545.34733851515455</v>
      </c>
      <c r="E95" s="239">
        <f t="shared" si="26"/>
        <v>0</v>
      </c>
      <c r="F95" s="239">
        <f t="shared" si="26"/>
        <v>0</v>
      </c>
      <c r="G95" s="239">
        <f t="shared" si="26"/>
        <v>0</v>
      </c>
      <c r="H95" s="239">
        <f t="shared" si="26"/>
        <v>0</v>
      </c>
      <c r="I95" s="239">
        <f t="shared" si="26"/>
        <v>0</v>
      </c>
      <c r="J95" s="239">
        <f t="shared" si="26"/>
        <v>0</v>
      </c>
      <c r="K95" s="239">
        <f t="shared" si="26"/>
        <v>0</v>
      </c>
      <c r="L95" s="239">
        <f t="shared" si="26"/>
        <v>0</v>
      </c>
      <c r="M95" s="239">
        <f t="shared" si="26"/>
        <v>0</v>
      </c>
      <c r="N95" s="239">
        <f t="shared" si="26"/>
        <v>0</v>
      </c>
      <c r="O95" s="239">
        <f t="shared" si="26"/>
        <v>0</v>
      </c>
      <c r="P95" s="239">
        <f t="shared" si="26"/>
        <v>0</v>
      </c>
      <c r="Q95" s="239">
        <f t="shared" si="26"/>
        <v>0</v>
      </c>
      <c r="R95" s="239">
        <f t="shared" si="26"/>
        <v>0</v>
      </c>
      <c r="S95" s="239">
        <f t="shared" si="26"/>
        <v>0</v>
      </c>
      <c r="T95" s="239">
        <f t="shared" si="26"/>
        <v>0</v>
      </c>
      <c r="U95" s="239">
        <f t="shared" si="26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7">IF(B92&lt;0,0,IF(B94&gt;B92,-B92,-B94))</f>
        <v>0</v>
      </c>
      <c r="C97" s="230">
        <f t="shared" si="27"/>
        <v>0</v>
      </c>
      <c r="D97" s="230">
        <f t="shared" si="27"/>
        <v>0</v>
      </c>
      <c r="E97" s="230">
        <f t="shared" si="27"/>
        <v>-69.937618356563689</v>
      </c>
      <c r="F97" s="230">
        <f t="shared" si="27"/>
        <v>-226.70852931338351</v>
      </c>
      <c r="G97" s="230">
        <f t="shared" si="27"/>
        <v>-327.39711546720059</v>
      </c>
      <c r="H97" s="230">
        <f t="shared" si="27"/>
        <v>-395.07272076282135</v>
      </c>
      <c r="I97" s="230">
        <f t="shared" si="27"/>
        <v>-387.69426882368333</v>
      </c>
      <c r="J97" s="230">
        <f t="shared" si="27"/>
        <v>0</v>
      </c>
      <c r="K97" s="230">
        <f t="shared" si="27"/>
        <v>0</v>
      </c>
      <c r="L97" s="230">
        <f t="shared" si="27"/>
        <v>0</v>
      </c>
      <c r="M97" s="230">
        <f t="shared" si="27"/>
        <v>0</v>
      </c>
      <c r="N97" s="230">
        <f t="shared" si="27"/>
        <v>0</v>
      </c>
      <c r="O97" s="230">
        <f t="shared" si="27"/>
        <v>0</v>
      </c>
      <c r="P97" s="230">
        <f t="shared" si="27"/>
        <v>0</v>
      </c>
      <c r="Q97" s="230">
        <f t="shared" si="27"/>
        <v>0</v>
      </c>
      <c r="R97" s="230">
        <f t="shared" si="27"/>
        <v>0</v>
      </c>
      <c r="S97" s="230">
        <f t="shared" si="27"/>
        <v>0</v>
      </c>
      <c r="T97" s="230">
        <f t="shared" si="27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8">SUM(B94:B97)</f>
        <v>218.29411453464255</v>
      </c>
      <c r="C98" s="230">
        <f t="shared" si="28"/>
        <v>861.46291420849798</v>
      </c>
      <c r="D98" s="230">
        <f t="shared" si="28"/>
        <v>1406.8102527236524</v>
      </c>
      <c r="E98" s="230">
        <f t="shared" si="28"/>
        <v>1336.8726343670887</v>
      </c>
      <c r="F98" s="230">
        <f t="shared" si="28"/>
        <v>1110.1641050537053</v>
      </c>
      <c r="G98" s="230">
        <f t="shared" si="28"/>
        <v>782.76698958650468</v>
      </c>
      <c r="H98" s="230">
        <f t="shared" si="28"/>
        <v>387.69426882368333</v>
      </c>
      <c r="I98" s="230">
        <f t="shared" si="28"/>
        <v>0</v>
      </c>
      <c r="J98" s="230">
        <f t="shared" si="28"/>
        <v>0</v>
      </c>
      <c r="K98" s="230">
        <f t="shared" si="28"/>
        <v>0</v>
      </c>
      <c r="L98" s="230">
        <f t="shared" si="28"/>
        <v>0</v>
      </c>
      <c r="M98" s="230">
        <f t="shared" si="28"/>
        <v>0</v>
      </c>
      <c r="N98" s="230">
        <f t="shared" si="28"/>
        <v>0</v>
      </c>
      <c r="O98" s="230">
        <f t="shared" si="28"/>
        <v>0</v>
      </c>
      <c r="P98" s="230">
        <f t="shared" si="28"/>
        <v>0</v>
      </c>
      <c r="Q98" s="230">
        <f t="shared" si="28"/>
        <v>0</v>
      </c>
      <c r="R98" s="230">
        <f t="shared" si="28"/>
        <v>0</v>
      </c>
      <c r="S98" s="230">
        <f t="shared" si="28"/>
        <v>0</v>
      </c>
      <c r="T98" s="230">
        <f t="shared" si="28"/>
        <v>0</v>
      </c>
      <c r="U98" s="230">
        <f t="shared" si="28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9">IF(B92&lt;0,0,B92+B97)</f>
        <v>0</v>
      </c>
      <c r="C100" s="327">
        <f t="shared" si="29"/>
        <v>0</v>
      </c>
      <c r="D100" s="327">
        <f t="shared" si="29"/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43.615288358645216</v>
      </c>
      <c r="J100" s="327">
        <f t="shared" si="29"/>
        <v>475.03114848036188</v>
      </c>
      <c r="K100" s="327">
        <f t="shared" si="29"/>
        <v>491.50105876281577</v>
      </c>
      <c r="L100" s="327">
        <f t="shared" si="29"/>
        <v>556.57578180034932</v>
      </c>
      <c r="M100" s="327">
        <f t="shared" si="29"/>
        <v>623.67333877754686</v>
      </c>
      <c r="N100" s="327">
        <f t="shared" si="29"/>
        <v>690.96269075264377</v>
      </c>
      <c r="O100" s="327">
        <f t="shared" si="29"/>
        <v>749.54287677079105</v>
      </c>
      <c r="P100" s="327">
        <f t="shared" si="29"/>
        <v>810.87822748381677</v>
      </c>
      <c r="Q100" s="327">
        <f t="shared" si="29"/>
        <v>1145.738667550319</v>
      </c>
      <c r="R100" s="327">
        <f t="shared" si="29"/>
        <v>1482.5786230771735</v>
      </c>
      <c r="S100" s="327">
        <f t="shared" si="29"/>
        <v>1536.2128380181043</v>
      </c>
      <c r="T100" s="327">
        <f t="shared" si="29"/>
        <v>1585.265286739181</v>
      </c>
      <c r="U100" s="327">
        <f t="shared" si="29"/>
        <v>1634.4275337571421</v>
      </c>
      <c r="W100" s="420">
        <f>SUM(B100:U100)</f>
        <v>11826.003360328888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t="18.75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6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 s="80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 s="117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3"/>
  <sheetViews>
    <sheetView zoomScale="75" zoomScaleNormal="75" workbookViewId="0"/>
  </sheetViews>
  <sheetFormatPr defaultRowHeight="12.75" outlineLevelRow="2" outlineLevelCol="1"/>
  <cols>
    <col min="1" max="1" width="4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150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1171.0970525687362</v>
      </c>
      <c r="AA7" s="470">
        <f>C10+C11</f>
        <v>1206.2299641457982</v>
      </c>
      <c r="AB7" s="470">
        <f>D10+D11</f>
        <v>1242.4168630701722</v>
      </c>
      <c r="AC7" s="470">
        <f t="shared" ref="AC7:AS7" si="1">E16</f>
        <v>1026.449886712277</v>
      </c>
      <c r="AD7" s="470">
        <f t="shared" si="1"/>
        <v>1057.2433833136454</v>
      </c>
      <c r="AE7" s="470">
        <f t="shared" si="1"/>
        <v>1088.9606848130547</v>
      </c>
      <c r="AF7" s="470">
        <f t="shared" si="1"/>
        <v>1121.6295053574463</v>
      </c>
      <c r="AG7" s="470">
        <f t="shared" si="1"/>
        <v>1155.2783905181698</v>
      </c>
      <c r="AH7" s="470">
        <f t="shared" si="1"/>
        <v>1189.9367422337148</v>
      </c>
      <c r="AI7" s="470">
        <f t="shared" si="1"/>
        <v>1225.6348445007263</v>
      </c>
      <c r="AJ7" s="470">
        <f t="shared" si="1"/>
        <v>1262.4038898357483</v>
      </c>
      <c r="AK7" s="470">
        <f t="shared" si="1"/>
        <v>1300.2760065308205</v>
      </c>
      <c r="AL7" s="470">
        <f t="shared" si="1"/>
        <v>1339.2842867267448</v>
      </c>
      <c r="AM7" s="470">
        <f t="shared" si="1"/>
        <v>1379.4628153285473</v>
      </c>
      <c r="AN7" s="470">
        <f t="shared" si="1"/>
        <v>1420.8466997884038</v>
      </c>
      <c r="AO7" s="470">
        <f t="shared" si="1"/>
        <v>1463.4721007820558</v>
      </c>
      <c r="AP7" s="470">
        <f t="shared" si="1"/>
        <v>1507.3762638055175</v>
      </c>
      <c r="AQ7" s="470">
        <f t="shared" si="1"/>
        <v>1552.597551719683</v>
      </c>
      <c r="AR7" s="470">
        <f t="shared" si="1"/>
        <v>1599.1754782712733</v>
      </c>
      <c r="AS7" s="470">
        <f t="shared" si="1"/>
        <v>1647.1507426194116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1171.0970525687362</v>
      </c>
      <c r="AA8" s="491">
        <f>C23+C24</f>
        <v>1206.2299641457982</v>
      </c>
      <c r="AB8" s="491">
        <f>D23+D24</f>
        <v>1242.4168630701722</v>
      </c>
      <c r="AC8" s="491">
        <f t="shared" ref="AC8:AS8" si="2">E23+1/3*E24</f>
        <v>1026.449886712277</v>
      </c>
      <c r="AD8" s="491">
        <f t="shared" si="2"/>
        <v>1057.2433833136454</v>
      </c>
      <c r="AE8" s="491">
        <f t="shared" si="2"/>
        <v>1088.9606848130547</v>
      </c>
      <c r="AF8" s="491">
        <f t="shared" si="2"/>
        <v>1121.6295053574463</v>
      </c>
      <c r="AG8" s="491">
        <f t="shared" si="2"/>
        <v>1155.2783905181698</v>
      </c>
      <c r="AH8" s="491">
        <f t="shared" si="2"/>
        <v>1189.9367422337148</v>
      </c>
      <c r="AI8" s="491">
        <f t="shared" si="2"/>
        <v>1225.6348445007263</v>
      </c>
      <c r="AJ8" s="491">
        <f t="shared" si="2"/>
        <v>1262.4038898357483</v>
      </c>
      <c r="AK8" s="491">
        <f t="shared" si="2"/>
        <v>1300.2760065308205</v>
      </c>
      <c r="AL8" s="491">
        <f t="shared" si="2"/>
        <v>1339.284286726745</v>
      </c>
      <c r="AM8" s="491">
        <f t="shared" si="2"/>
        <v>1379.4628153285473</v>
      </c>
      <c r="AN8" s="491">
        <f t="shared" si="2"/>
        <v>1420.8466997884041</v>
      </c>
      <c r="AO8" s="491">
        <f t="shared" si="2"/>
        <v>1463.472100782056</v>
      </c>
      <c r="AP8" s="491">
        <f t="shared" si="2"/>
        <v>1507.3762638055177</v>
      </c>
      <c r="AQ8" s="491">
        <f t="shared" si="2"/>
        <v>1552.5975517196832</v>
      </c>
      <c r="AR8" s="491">
        <f t="shared" si="2"/>
        <v>1599.1754782712735</v>
      </c>
      <c r="AS8" s="491">
        <f t="shared" si="2"/>
        <v>1647.1507426194119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Assumption'!C27*12*Assumptions!$G$9</f>
        <v>24480</v>
      </c>
      <c r="C9" s="56">
        <f>'Power Price Assumption'!D27*12*Assumptions!$G$9</f>
        <v>24480</v>
      </c>
      <c r="D9" s="56">
        <f>'Power Price Assumption'!E27*12*Assumptions!$G$9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Assumptions!G19*Assumptions!G17/1000*(1+Assumptions!$G$25)</f>
        <v>823.4720525687361</v>
      </c>
      <c r="C10" s="56">
        <f>B10*(1+Assumptions!$G$25)</f>
        <v>848.17621414579821</v>
      </c>
      <c r="D10" s="56">
        <f>C10*(1+Assumptions!$G$25)</f>
        <v>873.6215005701722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2545.2697672847062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Assumptions!$G$18*Assumptions!$G$11*Assumptions!$G$8/1000*(1+Assumptions!$G$25)</f>
        <v>347.625</v>
      </c>
      <c r="C11" s="91">
        <f>B11*(1+Assumptions!$G$25)</f>
        <v>358.05375000000004</v>
      </c>
      <c r="D11" s="91">
        <f>C11*(1+Assumptions!$G$25)</f>
        <v>368.79536250000007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1074.4741125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Contract'!$C$29/3</f>
        <v>9038.5339672128084</v>
      </c>
      <c r="C12" s="127">
        <f>'Amortization of Power Contract'!$C$29/3</f>
        <v>9038.5339672128084</v>
      </c>
      <c r="D12" s="127">
        <f>'Amortization of Power Contract'!$C$29/3</f>
        <v>9038.5339672128084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27115.601901638423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Assumption'!F27*Assumptions!$G$9*12</f>
        <v>39288.819494509924</v>
      </c>
      <c r="F15" s="19">
        <f>'Power Price Assumption'!G27*Assumptions!$G$9*12</f>
        <v>41237.009778250213</v>
      </c>
      <c r="G15" s="19">
        <f>'Power Price Assumption'!H27*Assumptions!$G$9*12</f>
        <v>41765.821079137233</v>
      </c>
      <c r="H15" s="19">
        <f>'Power Price Assumption'!I27*Assumptions!$G$9*12</f>
        <v>42301.41370081959</v>
      </c>
      <c r="I15" s="19">
        <f>'Power Price Assumption'!J27*Assumptions!$G$9*12</f>
        <v>42843.874604963254</v>
      </c>
      <c r="J15" s="19">
        <f>'Power Price Assumption'!K27*Assumptions!$G$9*12</f>
        <v>43393.291868405126</v>
      </c>
      <c r="K15" s="19">
        <f>'Power Price Assumption'!L27*Assumptions!$G$9*12</f>
        <v>43949.754697453536</v>
      </c>
      <c r="L15" s="19">
        <f>'Power Price Assumption'!M27*Assumptions!$G$9*12</f>
        <v>44781.378776473983</v>
      </c>
      <c r="M15" s="19">
        <f>'Power Price Assumption'!N27*Assumptions!$G$9*12</f>
        <v>45628.738975378772</v>
      </c>
      <c r="N15" s="19">
        <f>'Power Price Assumption'!O27*Assumptions!$G$9*12</f>
        <v>46492.133055470462</v>
      </c>
      <c r="O15" s="19">
        <f>'Power Price Assumption'!P27*Assumptions!$G$9*12</f>
        <v>47371.864412337192</v>
      </c>
      <c r="P15" s="19">
        <f>'Power Price Assumption'!Q27*Assumptions!$G$9*12</f>
        <v>48268.242182465561</v>
      </c>
      <c r="Q15" s="19">
        <f>'Power Price Assumption'!R27*Assumptions!$G$9*12</f>
        <v>48956.905260957668</v>
      </c>
      <c r="R15" s="19">
        <f>'Power Price Assumption'!S27*Assumptions!$G$9*12</f>
        <v>49655.393781898791</v>
      </c>
      <c r="S15" s="19">
        <f>'Power Price Assumption'!T27*Assumptions!$G$9*12</f>
        <v>50363.847928961215</v>
      </c>
      <c r="T15" s="19">
        <f>'Power Price Assumption'!U27*Assumptions!$G$9*12</f>
        <v>51082.409885875939</v>
      </c>
      <c r="U15" s="19">
        <f>'Power Price Assumption'!V27*Assumptions!$G$9*12</f>
        <v>51811.223864968488</v>
      </c>
      <c r="W15" s="91">
        <f>SUM(B15:U15)</f>
        <v>779192.123348327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1/3*Assumptions!$G$18*Assumptions!$G$11*Assumptions!$G$8/1000*(1+Assumptions!$G$25)^(E5-2000)+Assumptions!$G$19*Assumptions!$G$17*(1+Assumptions!$G$25)^(E5-2000)/1000</f>
        <v>1026.449886712277</v>
      </c>
      <c r="F16" s="127">
        <f>1/3*Assumptions!$G$18*Assumptions!$G$11*Assumptions!$G$8/1000*(1+Assumptions!$G$25)^(F5-2000)+Assumptions!$G$19*Assumptions!$G$17*(1+Assumptions!$G$25)^(F5-2000)/1000</f>
        <v>1057.2433833136454</v>
      </c>
      <c r="G16" s="127">
        <f>1/3*Assumptions!$G$18*Assumptions!$G$11*Assumptions!$G$8/1000*(1+Assumptions!$G$25)^(G5-2000)+Assumptions!$G$19*Assumptions!$G$17*(1+Assumptions!$G$25)^(G5-2000)/1000</f>
        <v>1088.9606848130547</v>
      </c>
      <c r="H16" s="127">
        <f>1/3*Assumptions!$G$18*Assumptions!$G$11*Assumptions!$G$8/1000*(1+Assumptions!$G$25)^(H5-2000)+Assumptions!$G$19*Assumptions!$G$17*(1+Assumptions!$G$25)^(H5-2000)/1000</f>
        <v>1121.6295053574463</v>
      </c>
      <c r="I16" s="127">
        <f>1/3*Assumptions!$G$18*Assumptions!$G$11*Assumptions!$G$8/1000*(1+Assumptions!$G$25)^(I5-2000)+Assumptions!$G$19*Assumptions!$G$17*(1+Assumptions!$G$25)^(I5-2000)/1000</f>
        <v>1155.2783905181698</v>
      </c>
      <c r="J16" s="127">
        <f>1/3*Assumptions!$G$18*Assumptions!$G$11*Assumptions!$G$8/1000*(1+Assumptions!$G$25)^(J5-2000)+Assumptions!$G$19*Assumptions!$G$17*(1+Assumptions!$G$25)^(J5-2000)/1000</f>
        <v>1189.9367422337148</v>
      </c>
      <c r="K16" s="127">
        <f>1/3*Assumptions!$G$18*Assumptions!$G$11*Assumptions!$G$8/1000*(1+Assumptions!$G$25)^(K5-2000)+Assumptions!$G$19*Assumptions!$G$17*(1+Assumptions!$G$25)^(K5-2000)/1000</f>
        <v>1225.6348445007263</v>
      </c>
      <c r="L16" s="127">
        <f>1/3*Assumptions!$G$18*Assumptions!$G$11*Assumptions!$G$8/1000*(1+Assumptions!$G$25)^(L5-2000)+Assumptions!$G$19*Assumptions!$G$17*(1+Assumptions!$G$25)^(L5-2000)/1000</f>
        <v>1262.4038898357483</v>
      </c>
      <c r="M16" s="127">
        <f>1/3*Assumptions!$G$18*Assumptions!$G$11*Assumptions!$G$8/1000*(1+Assumptions!$G$25)^(M5-2000)+Assumptions!$G$19*Assumptions!$G$17*(1+Assumptions!$G$25)^(M5-2000)/1000</f>
        <v>1300.2760065308205</v>
      </c>
      <c r="N16" s="127">
        <f>1/3*Assumptions!$G$18*Assumptions!$G$11*Assumptions!$G$8/1000*(1+Assumptions!$G$25)^(N5-2000)+Assumptions!$G$19*Assumptions!$G$17*(1+Assumptions!$G$25)^(N5-2000)/1000</f>
        <v>1339.2842867267448</v>
      </c>
      <c r="O16" s="127">
        <f>1/3*Assumptions!$G$18*Assumptions!$G$11*Assumptions!$G$8/1000*(1+Assumptions!$G$25)^(O5-2000)+Assumptions!$G$19*Assumptions!$G$17*(1+Assumptions!$G$25)^(O5-2000)/1000</f>
        <v>1379.4628153285473</v>
      </c>
      <c r="P16" s="127">
        <f>1/3*Assumptions!$G$18*Assumptions!$G$11*Assumptions!$G$8/1000*(1+Assumptions!$G$25)^(P5-2000)+Assumptions!$G$19*Assumptions!$G$17*(1+Assumptions!$G$25)^(P5-2000)/1000</f>
        <v>1420.8466997884038</v>
      </c>
      <c r="Q16" s="127">
        <f>1/3*Assumptions!$G$18*Assumptions!$G$11*Assumptions!$G$8/1000*(1+Assumptions!$G$25)^(Q5-2000)+Assumptions!$G$19*Assumptions!$G$17*(1+Assumptions!$G$25)^(Q5-2000)/1000</f>
        <v>1463.4721007820558</v>
      </c>
      <c r="R16" s="127">
        <f>1/3*Assumptions!$G$18*Assumptions!$G$11*Assumptions!$G$8/1000*(1+Assumptions!$G$25)^(R5-2000)+Assumptions!$G$19*Assumptions!$G$17*(1+Assumptions!$G$25)^(R5-2000)/1000</f>
        <v>1507.3762638055175</v>
      </c>
      <c r="S16" s="127">
        <f>1/3*Assumptions!$G$18*Assumptions!$G$11*Assumptions!$G$8/1000*(1+Assumptions!$G$25)^(S5-2000)+Assumptions!$G$19*Assumptions!$G$17*(1+Assumptions!$G$25)^(S5-2000)/1000</f>
        <v>1552.597551719683</v>
      </c>
      <c r="T16" s="127">
        <f>1/3*Assumptions!$G$18*Assumptions!$G$11*Assumptions!$G$8/1000*(1+Assumptions!$G$25)^(T5-2000)+Assumptions!$G$19*Assumptions!$G$17*(1+Assumptions!$G$25)^(T5-2000)/1000</f>
        <v>1599.1754782712733</v>
      </c>
      <c r="U16" s="127">
        <f>1/3*Assumptions!$G$18*Assumptions!$G$11*Assumptions!$G$8/1000*(1+Assumptions!$G$25)^(U5-2000)+Assumptions!$G$19*Assumptions!$G$17*(1+Assumptions!$G$25)^(U5-2000)/1000</f>
        <v>1647.1507426194116</v>
      </c>
      <c r="W16" s="91">
        <f>SUM(B16:U16)</f>
        <v>22337.179272857236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276.06096083604882</v>
      </c>
      <c r="C18" s="198">
        <f>(SUM(C9:C11)-SUM(C22:C27))*'Summary Output'!$B$29/4</f>
        <v>273.51126638734553</v>
      </c>
      <c r="D18" s="198">
        <f>(SUM(D9:D11)-SUM(D22:D27))*'Summary Output'!$B$29/4</f>
        <v>272.03381559666008</v>
      </c>
      <c r="E18" s="198">
        <f>(SUM(E9:E16)-SUM(E22:E27))*'Summary Output'!$B$29/4</f>
        <v>453.57281467698215</v>
      </c>
      <c r="F18" s="198">
        <f>(SUM(F9:F16)-SUM(F22:F27))*'Summary Output'!$B$29/4</f>
        <v>477.40524180425609</v>
      </c>
      <c r="G18" s="198">
        <f>(SUM(G9:G16)-SUM(G22:G27))*'Summary Output'!$B$29/4</f>
        <v>482.38239509475881</v>
      </c>
      <c r="H18" s="198">
        <f>(SUM(H9:H16)-SUM(H22:H27))*'Summary Output'!$B$29/4</f>
        <v>488.51134849756454</v>
      </c>
      <c r="I18" s="198">
        <f>(SUM(I9:I16)-SUM(I22:I27))*'Summary Output'!$B$29/4</f>
        <v>494.70211379156899</v>
      </c>
      <c r="J18" s="198">
        <f>(SUM(J9:J16)-SUM(J22:J27))*'Summary Output'!$B$29/4</f>
        <v>500.95507068804619</v>
      </c>
      <c r="K18" s="198">
        <f>(SUM(K9:K16)-SUM(K22:K27))*'Summary Output'!$B$29/4</f>
        <v>507.27059137918764</v>
      </c>
      <c r="L18" s="198">
        <f>(SUM(L9:L16)-SUM(L22:L27))*'Summary Output'!$B$29/4</f>
        <v>516.99935674629967</v>
      </c>
      <c r="M18" s="198">
        <f>(SUM(M9:M16)-SUM(M22:M27))*'Summary Output'!$B$29/4</f>
        <v>526.89776453482557</v>
      </c>
      <c r="N18" s="198">
        <f>(SUM(N9:N16)-SUM(N22:N27))*'Summary Output'!$B$29/4</f>
        <v>532.60722498873326</v>
      </c>
      <c r="O18" s="198">
        <f>(SUM(O9:O16)-SUM(O22:O27))*'Summary Output'!$B$29/4</f>
        <v>542.85369442739056</v>
      </c>
      <c r="P18" s="198">
        <f>(SUM(P9:P16)-SUM(P22:P27))*'Summary Output'!$B$29/4</f>
        <v>547.82680084763217</v>
      </c>
      <c r="Q18" s="198">
        <f>(SUM(Q9:Q16)-SUM(Q22:Q27))*'Summary Output'!$B$29/4</f>
        <v>562.68138033020853</v>
      </c>
      <c r="R18" s="198">
        <f>(SUM(R9:R16)-SUM(R22:R27))*'Summary Output'!$B$29/4</f>
        <v>570.38493925804437</v>
      </c>
      <c r="S18" s="198">
        <f>(SUM(S9:S16)-SUM(S22:S27))*'Summary Output'!$B$29/4</f>
        <v>578.17703890397001</v>
      </c>
      <c r="T18" s="198">
        <f>(SUM(T9:T16)-SUM(T22:T27))*'Summary Output'!$B$29/4</f>
        <v>586.0584128729223</v>
      </c>
      <c r="U18" s="198">
        <f>(SUM(U9:U16)-SUM(U22:U27))*'Summary Output'!$B$29/4</f>
        <v>594.02978956045024</v>
      </c>
      <c r="W18" s="91">
        <f>SUM(B18:U18)</f>
        <v>9784.9220212228975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34965.691980617594</v>
      </c>
      <c r="C19" s="56">
        <f t="shared" ref="C19:U19" si="4">SUM(C9:C18)</f>
        <v>34998.275197745948</v>
      </c>
      <c r="D19" s="56">
        <f t="shared" si="4"/>
        <v>35032.984645879638</v>
      </c>
      <c r="E19" s="56">
        <f t="shared" si="4"/>
        <v>40768.842195899182</v>
      </c>
      <c r="F19" s="56">
        <f t="shared" si="4"/>
        <v>42771.658403368114</v>
      </c>
      <c r="G19" s="56">
        <f t="shared" si="4"/>
        <v>43337.164159045045</v>
      </c>
      <c r="H19" s="56">
        <f t="shared" si="4"/>
        <v>43911.5545546746</v>
      </c>
      <c r="I19" s="56">
        <f t="shared" si="4"/>
        <v>44493.85510927299</v>
      </c>
      <c r="J19" s="56">
        <f t="shared" si="4"/>
        <v>45084.183681326889</v>
      </c>
      <c r="K19" s="56">
        <f t="shared" si="4"/>
        <v>45682.660133333447</v>
      </c>
      <c r="L19" s="56">
        <f t="shared" si="4"/>
        <v>46560.782023056032</v>
      </c>
      <c r="M19" s="56">
        <f t="shared" si="4"/>
        <v>47455.912746444417</v>
      </c>
      <c r="N19" s="56">
        <f t="shared" si="4"/>
        <v>48364.024567185945</v>
      </c>
      <c r="O19" s="56">
        <f t="shared" si="4"/>
        <v>49294.180922093125</v>
      </c>
      <c r="P19" s="56">
        <f t="shared" si="4"/>
        <v>50236.915683101593</v>
      </c>
      <c r="Q19" s="56">
        <f t="shared" si="4"/>
        <v>50983.05874206993</v>
      </c>
      <c r="R19" s="56">
        <f t="shared" si="4"/>
        <v>51733.154984962355</v>
      </c>
      <c r="S19" s="56">
        <f t="shared" si="4"/>
        <v>52494.622519584867</v>
      </c>
      <c r="T19" s="56">
        <f t="shared" si="4"/>
        <v>53267.643777020137</v>
      </c>
      <c r="U19" s="56">
        <f t="shared" si="4"/>
        <v>54052.404397148355</v>
      </c>
      <c r="W19" s="91">
        <f>SUM(B19:U19)</f>
        <v>915489.5704238303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Assumptions!G28*(1+Assumptions!$G$25)</f>
        <v>1279.7561657142855</v>
      </c>
      <c r="C22" s="91">
        <f>B22*(1+Assumptions!$G$25)</f>
        <v>1318.1488506857143</v>
      </c>
      <c r="D22" s="91">
        <f>C22*(1+Assumptions!$G$25)</f>
        <v>1357.6933162062858</v>
      </c>
      <c r="E22" s="91">
        <f>D22*(1+Assumptions!$G$25)</f>
        <v>1398.4241156924743</v>
      </c>
      <c r="F22" s="91">
        <f>E22*(1+Assumptions!$G$25)</f>
        <v>1440.3768391632486</v>
      </c>
      <c r="G22" s="91">
        <f>F22*(1+Assumptions!$G$25)</f>
        <v>1483.5881443381461</v>
      </c>
      <c r="H22" s="91">
        <f>G22*(1+Assumptions!$G$25)</f>
        <v>1528.0957886682904</v>
      </c>
      <c r="I22" s="91">
        <f>H22*(1+Assumptions!$G$25)</f>
        <v>1573.9386623283392</v>
      </c>
      <c r="J22" s="91">
        <f>I22*(1+Assumptions!$G$25)</f>
        <v>1621.1568221981895</v>
      </c>
      <c r="K22" s="91">
        <f>J22*(1+Assumptions!$G$25)</f>
        <v>1669.7915268641352</v>
      </c>
      <c r="L22" s="91">
        <f>K22*(1+Assumptions!$G$25)</f>
        <v>1719.8852726700593</v>
      </c>
      <c r="M22" s="91">
        <f>L22*(1+Assumptions!$G$25)</f>
        <v>1771.481830850161</v>
      </c>
      <c r="N22" s="91">
        <f>M22*(1+Assumptions!$G$25)</f>
        <v>1824.626285775666</v>
      </c>
      <c r="O22" s="91">
        <f>N22*(1+Assumptions!$G$25)</f>
        <v>1879.3650743489361</v>
      </c>
      <c r="P22" s="91">
        <f>O22*(1+Assumptions!$G$25)</f>
        <v>1935.7460265794043</v>
      </c>
      <c r="Q22" s="91">
        <f>P22*(1+Assumptions!$G$25)</f>
        <v>1993.8184073767866</v>
      </c>
      <c r="R22" s="91">
        <f>Q22*(1+Assumptions!$G$25)</f>
        <v>2053.6329595980901</v>
      </c>
      <c r="S22" s="91">
        <f>R22*(1+Assumptions!$G$25)</f>
        <v>2115.2419483860331</v>
      </c>
      <c r="T22" s="91">
        <f>S22*(1+Assumptions!$G$25)</f>
        <v>2178.6992068376139</v>
      </c>
      <c r="U22" s="91">
        <f>T22*(1+Assumptions!$G$25)</f>
        <v>2244.0601830427422</v>
      </c>
      <c r="W22" s="91">
        <f t="shared" ref="W22:W28" si="5">SUM(B22:U22)</f>
        <v>34387.527427324596</v>
      </c>
    </row>
    <row r="23" spans="1:55">
      <c r="A23" s="3" t="s">
        <v>49</v>
      </c>
      <c r="B23" s="127">
        <f>Assumptions!$G$29*(1+Assumptions!$G$25)</f>
        <v>823.4720525687361</v>
      </c>
      <c r="C23" s="56">
        <f>B23*(1+Assumptions!$G$25)</f>
        <v>848.17621414579821</v>
      </c>
      <c r="D23" s="56">
        <f>C23*(1+Assumptions!$G$25)</f>
        <v>873.6215005701722</v>
      </c>
      <c r="E23" s="127">
        <f>Assumptions!$G$19*Assumptions!$G$23*(1+Assumptions!$G$25)^(E5-2000)/1000</f>
        <v>899.83014558727712</v>
      </c>
      <c r="F23" s="127">
        <f>Assumptions!$G$19*Assumptions!$G$23*(1+Assumptions!$G$25)^(F5-2000)/1000</f>
        <v>926.82504995489535</v>
      </c>
      <c r="G23" s="127">
        <f>Assumptions!$G$19*Assumptions!$G$23*(1+Assumptions!$G$25)^(G5-2000)/1000</f>
        <v>954.62980145354231</v>
      </c>
      <c r="H23" s="127">
        <f>Assumptions!$G$19*Assumptions!$G$23*(1+Assumptions!$G$25)^(H5-2000)/1000</f>
        <v>983.26869549714854</v>
      </c>
      <c r="I23" s="127">
        <f>Assumptions!$G$19*Assumptions!$G$23*(1+Assumptions!$G$25)^(I5-2000)/1000</f>
        <v>1012.7667563620629</v>
      </c>
      <c r="J23" s="127">
        <f>Assumptions!$G$19*Assumptions!$G$23*(1+Assumptions!$G$25)^(J5-2000)/1000</f>
        <v>1043.1497590529248</v>
      </c>
      <c r="K23" s="127">
        <f>Assumptions!$G$19*Assumptions!$G$23*(1+Assumptions!$G$25)^(K5-2000)/1000</f>
        <v>1074.4442518245125</v>
      </c>
      <c r="L23" s="127">
        <f>Assumptions!$G$19*Assumptions!$G$23*(1+Assumptions!$G$25)^(L5-2000)/1000</f>
        <v>1106.6775793792481</v>
      </c>
      <c r="M23" s="127">
        <f>Assumptions!$G$19*Assumptions!$G$23*(1+Assumptions!$G$25)^(M5-2000)/1000</f>
        <v>1139.8779067606254</v>
      </c>
      <c r="N23" s="127">
        <f>Assumptions!$G$19*Assumptions!$G$23*(1+Assumptions!$G$25)^(N5-2000)/1000</f>
        <v>1174.0742439634439</v>
      </c>
      <c r="O23" s="127">
        <f>Assumptions!$G$19*Assumptions!$G$23*(1+Assumptions!$G$25)^(O5-2000)/1000</f>
        <v>1209.2964712823473</v>
      </c>
      <c r="P23" s="127">
        <f>Assumptions!$G$19*Assumptions!$G$23*(1+Assumptions!$G$25)^(P5-2000)/1000</f>
        <v>1245.5753654208179</v>
      </c>
      <c r="Q23" s="127">
        <f>Assumptions!$G$19*Assumptions!$G$23*(1+Assumptions!$G$25)^(Q5-2000)/1000</f>
        <v>1282.9426263834423</v>
      </c>
      <c r="R23" s="127">
        <f>Assumptions!$G$19*Assumptions!$G$23*(1+Assumptions!$G$25)^(R5-2000)/1000</f>
        <v>1321.4309051749456</v>
      </c>
      <c r="S23" s="127">
        <f>Assumptions!$G$19*Assumptions!$G$23*(1+Assumptions!$G$25)^(S5-2000)/1000</f>
        <v>1361.0738323301939</v>
      </c>
      <c r="T23" s="127">
        <f>Assumptions!$G$19*Assumptions!$G$23*(1+Assumptions!$G$25)^(T5-2000)/1000</f>
        <v>1401.9060473000995</v>
      </c>
      <c r="U23" s="127">
        <f>Assumptions!$G$19*Assumptions!$G$23*(1+Assumptions!$G$25)^(U5-2000)/1000</f>
        <v>1443.9632287191027</v>
      </c>
      <c r="W23" s="91">
        <f t="shared" si="5"/>
        <v>22127.002433731333</v>
      </c>
    </row>
    <row r="24" spans="1:55">
      <c r="A24" s="3" t="s">
        <v>256</v>
      </c>
      <c r="B24" s="127">
        <f>Assumptions!$G$24*Assumptions!$G$11*Assumptions!$G$8/1000*(1+Assumptions!$G$25)</f>
        <v>347.625</v>
      </c>
      <c r="C24" s="91">
        <f>B24*(1+Assumptions!$G$25)</f>
        <v>358.05375000000004</v>
      </c>
      <c r="D24" s="91">
        <f>C24*(1+Assumptions!$G$25)</f>
        <v>368.79536250000007</v>
      </c>
      <c r="E24" s="91">
        <f>D24*(1+Assumptions!$G$25)</f>
        <v>379.85922337500006</v>
      </c>
      <c r="F24" s="91">
        <f>E24*(1+Assumptions!$G$25)</f>
        <v>391.25500007625004</v>
      </c>
      <c r="G24" s="91">
        <f>F24*(1+Assumptions!$G$25)</f>
        <v>402.99265007853757</v>
      </c>
      <c r="H24" s="91">
        <f>G24*(1+Assumptions!$G$25)</f>
        <v>415.08242958089369</v>
      </c>
      <c r="I24" s="91">
        <f>H24*(1+Assumptions!$G$25)</f>
        <v>427.53490246832052</v>
      </c>
      <c r="J24" s="91">
        <f>I24*(1+Assumptions!$G$25)</f>
        <v>440.36094954237018</v>
      </c>
      <c r="K24" s="91">
        <f>J24*(1+Assumptions!$G$25)</f>
        <v>453.57177802864129</v>
      </c>
      <c r="L24" s="91">
        <f>K24*(1+Assumptions!$G$25)</f>
        <v>467.17893136950056</v>
      </c>
      <c r="M24" s="91">
        <f>L24*(1+Assumptions!$G$25)</f>
        <v>481.19429931058556</v>
      </c>
      <c r="N24" s="91">
        <f>M24*(1+Assumptions!$G$25)</f>
        <v>495.63012828990315</v>
      </c>
      <c r="O24" s="91">
        <f>N24*(1+Assumptions!$G$25)</f>
        <v>510.49903213860028</v>
      </c>
      <c r="P24" s="91">
        <f>O24*(1+Assumptions!$G$25)</f>
        <v>525.81400310275831</v>
      </c>
      <c r="Q24" s="91">
        <f>P24*(1+Assumptions!$G$25)</f>
        <v>541.58842319584107</v>
      </c>
      <c r="R24" s="91">
        <f>Q24*(1+Assumptions!$G$25)</f>
        <v>557.83607589171629</v>
      </c>
      <c r="S24" s="91">
        <f>R24*(1+Assumptions!$G$25)</f>
        <v>574.57115816846783</v>
      </c>
      <c r="T24" s="91">
        <f>S24*(1+Assumptions!$G$25)</f>
        <v>591.80829291352188</v>
      </c>
      <c r="U24" s="91">
        <f>T24*(1+Assumptions!$G$25)</f>
        <v>609.56254170092757</v>
      </c>
      <c r="W24" s="91">
        <f t="shared" si="5"/>
        <v>9340.8139317318364</v>
      </c>
    </row>
    <row r="25" spans="1:55">
      <c r="A25" s="3" t="s">
        <v>112</v>
      </c>
      <c r="B25" s="127">
        <f>Assumptions!G31*(1+Assumptions!$G$25)</f>
        <v>331.91867714285718</v>
      </c>
      <c r="C25" s="91">
        <f>B25*(1+Assumptions!$G$25)</f>
        <v>341.87623745714291</v>
      </c>
      <c r="D25" s="91">
        <f>C25*(1+Assumptions!$G$25)</f>
        <v>352.13252458085719</v>
      </c>
      <c r="E25" s="91">
        <f>D25*(1+Assumptions!$G$25)</f>
        <v>362.69650031828292</v>
      </c>
      <c r="F25" s="91">
        <f>E25*(1+Assumptions!$G$25)</f>
        <v>373.57739532783143</v>
      </c>
      <c r="G25" s="91">
        <f>F25*(1+Assumptions!$G$25)</f>
        <v>384.78471718766639</v>
      </c>
      <c r="H25" s="91">
        <f>G25*(1+Assumptions!$G$25)</f>
        <v>396.3282587032964</v>
      </c>
      <c r="I25" s="91">
        <f>H25*(1+Assumptions!$G$25)</f>
        <v>408.21810646439531</v>
      </c>
      <c r="J25" s="91">
        <f>I25*(1+Assumptions!$G$25)</f>
        <v>420.46464965832718</v>
      </c>
      <c r="K25" s="91">
        <f>J25*(1+Assumptions!$G$25)</f>
        <v>433.07858914807701</v>
      </c>
      <c r="L25" s="91">
        <f>K25*(1+Assumptions!$G$25)</f>
        <v>446.07094682251932</v>
      </c>
      <c r="M25" s="91">
        <f>L25*(1+Assumptions!$G$25)</f>
        <v>459.45307522719492</v>
      </c>
      <c r="N25" s="91">
        <f>M25*(1+Assumptions!$G$25)</f>
        <v>473.23666748401075</v>
      </c>
      <c r="O25" s="91">
        <f>N25*(1+Assumptions!$G$25)</f>
        <v>487.4337675085311</v>
      </c>
      <c r="P25" s="91">
        <f>O25*(1+Assumptions!$G$25)</f>
        <v>502.05678053378705</v>
      </c>
      <c r="Q25" s="91">
        <f>P25*(1+Assumptions!$G$25)</f>
        <v>517.11848394980063</v>
      </c>
      <c r="R25" s="91">
        <f>Q25*(1+Assumptions!$G$25)</f>
        <v>532.6320384682947</v>
      </c>
      <c r="S25" s="91">
        <f>R25*(1+Assumptions!$G$25)</f>
        <v>548.61099962234357</v>
      </c>
      <c r="T25" s="91">
        <f>S25*(1+Assumptions!$G$25)</f>
        <v>565.06932961101393</v>
      </c>
      <c r="U25" s="91">
        <f>T25*(1+Assumptions!$G$25)</f>
        <v>582.02140949934437</v>
      </c>
      <c r="W25" s="91">
        <f t="shared" si="5"/>
        <v>8918.7791547155739</v>
      </c>
    </row>
    <row r="26" spans="1:55">
      <c r="A26" s="3" t="s">
        <v>189</v>
      </c>
      <c r="B26" s="456">
        <v>174.46</v>
      </c>
      <c r="C26" s="456">
        <v>348.92</v>
      </c>
      <c r="D26" s="456">
        <v>436.15</v>
      </c>
      <c r="E26" s="456">
        <v>436.15</v>
      </c>
      <c r="F26" s="456">
        <v>436.15</v>
      </c>
      <c r="G26" s="456">
        <v>523.38</v>
      </c>
      <c r="H26" s="456">
        <v>523.38</v>
      </c>
      <c r="I26" s="456">
        <v>523.38</v>
      </c>
      <c r="J26" s="456">
        <v>523.38</v>
      </c>
      <c r="K26" s="456">
        <v>523.38</v>
      </c>
      <c r="L26" s="456">
        <v>523.38</v>
      </c>
      <c r="M26" s="456">
        <v>523.38</v>
      </c>
      <c r="N26" s="456">
        <v>872.3</v>
      </c>
      <c r="O26" s="456">
        <v>872.3</v>
      </c>
      <c r="P26" s="456">
        <v>1308.45</v>
      </c>
      <c r="Q26" s="456">
        <v>743.93104499999993</v>
      </c>
      <c r="R26" s="456">
        <v>758.80966589999991</v>
      </c>
      <c r="S26" s="456">
        <v>773.98585921799997</v>
      </c>
      <c r="T26" s="456">
        <v>789.46557640235994</v>
      </c>
      <c r="U26" s="456">
        <v>805.25488793040722</v>
      </c>
      <c r="W26" s="91">
        <f t="shared" si="5"/>
        <v>12419.987034450767</v>
      </c>
    </row>
    <row r="27" spans="1:55" s="16" customFormat="1">
      <c r="A27" s="3" t="s">
        <v>185</v>
      </c>
      <c r="B27" s="146">
        <f>B84</f>
        <v>608.98829025895418</v>
      </c>
      <c r="C27" s="146">
        <f t="shared" ref="C27:U27" si="6">C84</f>
        <v>590.15360086950193</v>
      </c>
      <c r="D27" s="146">
        <f t="shared" si="6"/>
        <v>571.31891148004979</v>
      </c>
      <c r="E27" s="146">
        <f t="shared" si="6"/>
        <v>552.48422209059765</v>
      </c>
      <c r="F27" s="146">
        <f t="shared" si="6"/>
        <v>533.6495327011454</v>
      </c>
      <c r="G27" s="146">
        <f t="shared" si="6"/>
        <v>514.81484331169327</v>
      </c>
      <c r="H27" s="146">
        <f t="shared" si="6"/>
        <v>495.98015392224107</v>
      </c>
      <c r="I27" s="146">
        <f t="shared" si="6"/>
        <v>477.14546453278894</v>
      </c>
      <c r="J27" s="146">
        <f t="shared" si="6"/>
        <v>458.31077514333674</v>
      </c>
      <c r="K27" s="146">
        <f t="shared" si="6"/>
        <v>439.47608575388455</v>
      </c>
      <c r="L27" s="146">
        <f t="shared" si="6"/>
        <v>420.64139636443235</v>
      </c>
      <c r="M27" s="146">
        <f t="shared" si="6"/>
        <v>401.80670697498022</v>
      </c>
      <c r="N27" s="146">
        <f t="shared" si="6"/>
        <v>382.97201758552802</v>
      </c>
      <c r="O27" s="146">
        <f t="shared" si="6"/>
        <v>364.13732819607583</v>
      </c>
      <c r="P27" s="146">
        <f t="shared" si="6"/>
        <v>345.30263880662363</v>
      </c>
      <c r="Q27" s="146">
        <f t="shared" si="6"/>
        <v>326.4679494171715</v>
      </c>
      <c r="R27" s="146">
        <f t="shared" si="6"/>
        <v>307.6332600277193</v>
      </c>
      <c r="S27" s="146">
        <f t="shared" si="6"/>
        <v>288.79857063826711</v>
      </c>
      <c r="T27" s="146">
        <f t="shared" si="6"/>
        <v>269.96388124881497</v>
      </c>
      <c r="U27" s="146">
        <f t="shared" si="6"/>
        <v>251.12919185936278</v>
      </c>
      <c r="V27" s="91"/>
      <c r="W27" s="91">
        <f t="shared" si="5"/>
        <v>8601.1748211831709</v>
      </c>
    </row>
    <row r="28" spans="1:55">
      <c r="A28" s="3" t="s">
        <v>62</v>
      </c>
      <c r="B28" s="127">
        <f t="shared" ref="B28:U28" si="7">SUM(B22:B27)</f>
        <v>3566.2201856848333</v>
      </c>
      <c r="C28" s="127">
        <f t="shared" si="7"/>
        <v>3805.3286531581575</v>
      </c>
      <c r="D28" s="127">
        <f t="shared" si="7"/>
        <v>3959.7116153373649</v>
      </c>
      <c r="E28" s="127">
        <f t="shared" si="7"/>
        <v>4029.4442070636319</v>
      </c>
      <c r="F28" s="127">
        <f t="shared" si="7"/>
        <v>4101.8338172233707</v>
      </c>
      <c r="G28" s="127">
        <f t="shared" si="7"/>
        <v>4264.1901563695856</v>
      </c>
      <c r="H28" s="127">
        <f t="shared" si="7"/>
        <v>4342.1353263718702</v>
      </c>
      <c r="I28" s="127">
        <f t="shared" si="7"/>
        <v>4422.9838921559067</v>
      </c>
      <c r="J28" s="127">
        <f t="shared" si="7"/>
        <v>4506.8229555951484</v>
      </c>
      <c r="K28" s="127">
        <f t="shared" si="7"/>
        <v>4593.7422316192506</v>
      </c>
      <c r="L28" s="127">
        <f t="shared" si="7"/>
        <v>4683.8341266057605</v>
      </c>
      <c r="M28" s="127">
        <f t="shared" si="7"/>
        <v>4777.1938191235467</v>
      </c>
      <c r="N28" s="127">
        <f t="shared" si="7"/>
        <v>5222.8393430985516</v>
      </c>
      <c r="O28" s="127">
        <f t="shared" si="7"/>
        <v>5323.0316734744911</v>
      </c>
      <c r="P28" s="127">
        <f t="shared" si="7"/>
        <v>5862.9448144433909</v>
      </c>
      <c r="Q28" s="127">
        <f t="shared" si="7"/>
        <v>5405.8669353230425</v>
      </c>
      <c r="R28" s="127">
        <f t="shared" si="7"/>
        <v>5531.9749050607661</v>
      </c>
      <c r="S28" s="127">
        <f t="shared" si="7"/>
        <v>5662.2823683633051</v>
      </c>
      <c r="T28" s="127">
        <f t="shared" si="7"/>
        <v>5796.9123343134243</v>
      </c>
      <c r="U28" s="127">
        <f t="shared" si="7"/>
        <v>5935.9914427518861</v>
      </c>
      <c r="W28" s="91">
        <f t="shared" si="5"/>
        <v>95795.284803137271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31399.471794932761</v>
      </c>
      <c r="C31" s="120">
        <f t="shared" si="8"/>
        <v>31192.94654458779</v>
      </c>
      <c r="D31" s="120">
        <f t="shared" si="8"/>
        <v>31073.273030542274</v>
      </c>
      <c r="E31" s="120">
        <f t="shared" si="8"/>
        <v>36739.397988835553</v>
      </c>
      <c r="F31" s="120">
        <f t="shared" si="8"/>
        <v>38669.824586144743</v>
      </c>
      <c r="G31" s="120">
        <f t="shared" si="8"/>
        <v>39072.974002675459</v>
      </c>
      <c r="H31" s="120">
        <f t="shared" si="8"/>
        <v>39569.41922830273</v>
      </c>
      <c r="I31" s="120">
        <f t="shared" si="8"/>
        <v>40070.871217117085</v>
      </c>
      <c r="J31" s="120">
        <f t="shared" si="8"/>
        <v>40577.360725731742</v>
      </c>
      <c r="K31" s="120">
        <f t="shared" si="8"/>
        <v>41088.917901714194</v>
      </c>
      <c r="L31" s="120">
        <f t="shared" si="8"/>
        <v>41876.94789645027</v>
      </c>
      <c r="M31" s="120">
        <f t="shared" si="8"/>
        <v>42678.718927320871</v>
      </c>
      <c r="N31" s="120">
        <f t="shared" si="8"/>
        <v>43141.185224087392</v>
      </c>
      <c r="O31" s="120">
        <f t="shared" si="8"/>
        <v>43971.149248618633</v>
      </c>
      <c r="P31" s="120">
        <f t="shared" si="8"/>
        <v>44373.970868658202</v>
      </c>
      <c r="Q31" s="120">
        <f t="shared" si="8"/>
        <v>45577.191806746887</v>
      </c>
      <c r="R31" s="120">
        <f t="shared" si="8"/>
        <v>46201.180079901591</v>
      </c>
      <c r="S31" s="120">
        <f t="shared" si="8"/>
        <v>46832.340151221564</v>
      </c>
      <c r="T31" s="120">
        <f t="shared" si="8"/>
        <v>47470.73144270671</v>
      </c>
      <c r="U31" s="120">
        <f t="shared" si="8"/>
        <v>48116.412954396466</v>
      </c>
      <c r="W31" s="91">
        <f>SUM(B31:U31)</f>
        <v>819694.28562069277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Depreciation!C37</f>
        <v>7533.8757557808767</v>
      </c>
      <c r="C33" s="127">
        <f>Depreciation!D37</f>
        <v>7533.8757557808767</v>
      </c>
      <c r="D33" s="127">
        <f>Depreciation!E37</f>
        <v>7533.8757557808767</v>
      </c>
      <c r="E33" s="127">
        <f>Depreciation!F37</f>
        <v>7533.8757557808767</v>
      </c>
      <c r="F33" s="127">
        <f>Depreciation!G37</f>
        <v>7533.8757557808767</v>
      </c>
      <c r="G33" s="127">
        <f>Depreciation!H37</f>
        <v>7533.8757557808767</v>
      </c>
      <c r="H33" s="127">
        <f>Depreciation!I37</f>
        <v>7533.8757557808767</v>
      </c>
      <c r="I33" s="127">
        <f>Depreciation!J37</f>
        <v>7533.8757557808767</v>
      </c>
      <c r="J33" s="127">
        <f>Depreciation!K37</f>
        <v>7533.8757557808767</v>
      </c>
      <c r="K33" s="127">
        <f>Depreciation!L37</f>
        <v>7533.8757557808767</v>
      </c>
      <c r="L33" s="127">
        <f>Depreciation!M37</f>
        <v>7533.8757557808767</v>
      </c>
      <c r="M33" s="127">
        <f>Depreciation!N37</f>
        <v>7533.8757557808767</v>
      </c>
      <c r="N33" s="127">
        <f>Depreciation!O37</f>
        <v>7533.8757557808767</v>
      </c>
      <c r="O33" s="127">
        <f>Depreciation!P37</f>
        <v>7533.8757557808767</v>
      </c>
      <c r="P33" s="127">
        <f>Depreciation!Q37</f>
        <v>7533.8757557808767</v>
      </c>
      <c r="Q33" s="127">
        <f>Depreciation!R37</f>
        <v>7533.8757557808767</v>
      </c>
      <c r="R33" s="127">
        <f>Depreciation!S37</f>
        <v>7533.8757557808767</v>
      </c>
      <c r="S33" s="127">
        <f>Depreciation!T37</f>
        <v>7533.8757557808767</v>
      </c>
      <c r="T33" s="127">
        <f>Depreciation!U37</f>
        <v>7533.8757557808767</v>
      </c>
      <c r="U33" s="127">
        <f>Depreciation!V37</f>
        <v>7533.8757557808767</v>
      </c>
      <c r="W33" s="91">
        <f>SUM(B33:U33)</f>
        <v>150677.51511561748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23865.596039151882</v>
      </c>
      <c r="C35" s="132">
        <f t="shared" si="9"/>
        <v>23659.070788806916</v>
      </c>
      <c r="D35" s="132">
        <f t="shared" si="9"/>
        <v>23539.397274761395</v>
      </c>
      <c r="E35" s="132">
        <f t="shared" si="9"/>
        <v>29205.522233054675</v>
      </c>
      <c r="F35" s="132">
        <f t="shared" si="9"/>
        <v>31135.948830363865</v>
      </c>
      <c r="G35" s="132">
        <f t="shared" si="9"/>
        <v>31539.09824689458</v>
      </c>
      <c r="H35" s="132">
        <f t="shared" si="9"/>
        <v>32035.543472521851</v>
      </c>
      <c r="I35" s="132">
        <f t="shared" si="9"/>
        <v>32536.995461336206</v>
      </c>
      <c r="J35" s="132">
        <f t="shared" si="9"/>
        <v>33043.484969950863</v>
      </c>
      <c r="K35" s="132">
        <f t="shared" si="9"/>
        <v>33555.042145933316</v>
      </c>
      <c r="L35" s="132">
        <f t="shared" si="9"/>
        <v>34343.072140669392</v>
      </c>
      <c r="M35" s="132">
        <f t="shared" si="9"/>
        <v>35144.843171539993</v>
      </c>
      <c r="N35" s="132">
        <f t="shared" si="9"/>
        <v>35607.309468306514</v>
      </c>
      <c r="O35" s="132">
        <f t="shared" si="9"/>
        <v>36437.273492837754</v>
      </c>
      <c r="P35" s="132">
        <f t="shared" si="9"/>
        <v>36840.095112877323</v>
      </c>
      <c r="Q35" s="132">
        <f t="shared" si="9"/>
        <v>38043.316050966008</v>
      </c>
      <c r="R35" s="132">
        <f t="shared" si="9"/>
        <v>38667.304324120712</v>
      </c>
      <c r="S35" s="132">
        <f t="shared" si="9"/>
        <v>39298.464395440686</v>
      </c>
      <c r="T35" s="132">
        <f t="shared" si="9"/>
        <v>39936.855686925832</v>
      </c>
      <c r="U35" s="132">
        <f t="shared" si="9"/>
        <v>40582.537198615588</v>
      </c>
      <c r="W35" s="91">
        <f>SUM(B35:U35)</f>
        <v>669016.77050507534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IS!B38*Allocation!$E$12</f>
        <v>14038.121018428183</v>
      </c>
      <c r="C37" s="127">
        <f>IS!C38*Allocation!$E$12</f>
        <v>13827.484002234436</v>
      </c>
      <c r="D37" s="127">
        <f>IS!D38*Allocation!$E$12</f>
        <v>13530.373367832524</v>
      </c>
      <c r="E37" s="127">
        <f>IS!E38*Allocation!$E$12</f>
        <v>13297.142510846699</v>
      </c>
      <c r="F37" s="127">
        <f>IS!F38*Allocation!$E$12</f>
        <v>12884.507426272858</v>
      </c>
      <c r="G37" s="127">
        <f>IS!G38*Allocation!$E$12</f>
        <v>12395.428082244302</v>
      </c>
      <c r="H37" s="127">
        <f>IS!H38*Allocation!$E$12</f>
        <v>11845.768749295621</v>
      </c>
      <c r="I37" s="127">
        <f>IS!I38*Allocation!$E$12</f>
        <v>11270.724168021539</v>
      </c>
      <c r="J37" s="127">
        <f>IS!J38*Allocation!$E$12</f>
        <v>10556.42908014077</v>
      </c>
      <c r="K37" s="127">
        <f>IS!K38*Allocation!$E$12</f>
        <v>9764.9369113055454</v>
      </c>
      <c r="L37" s="127">
        <f>IS!L38*Allocation!$E$12</f>
        <v>8932.1063208931118</v>
      </c>
      <c r="M37" s="127">
        <f>IS!M38*Allocation!$E$12</f>
        <v>8024.0439027996035</v>
      </c>
      <c r="N37" s="127">
        <f>IS!N38*Allocation!$E$12</f>
        <v>7070.8524525560042</v>
      </c>
      <c r="O37" s="127">
        <f>IS!O38*Allocation!$E$12</f>
        <v>6140.2255183874504</v>
      </c>
      <c r="P37" s="127">
        <f>IS!P38*Allocation!$E$12</f>
        <v>5197.8701351855407</v>
      </c>
      <c r="Q37" s="127">
        <f>IS!Q38*Allocation!$E$12</f>
        <v>4221.2217868752259</v>
      </c>
      <c r="R37" s="127">
        <f>IS!R38*Allocation!$E$12</f>
        <v>3185.2937776897925</v>
      </c>
      <c r="S37" s="127">
        <f>IS!S38*Allocation!$E$12</f>
        <v>2208.5179462378119</v>
      </c>
      <c r="T37" s="127">
        <f>IS!T38*Allocation!$E$12</f>
        <v>1370.9537054861132</v>
      </c>
      <c r="U37" s="127">
        <f>IS!U38*Allocation!$E$12</f>
        <v>535.42919500108565</v>
      </c>
      <c r="W37" s="91">
        <f>SUM(B37:U37)</f>
        <v>170297.43005773419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9827.4750207236993</v>
      </c>
      <c r="C39" s="132">
        <f t="shared" si="10"/>
        <v>9831.5867865724795</v>
      </c>
      <c r="D39" s="132">
        <f t="shared" si="10"/>
        <v>10009.023906928871</v>
      </c>
      <c r="E39" s="132">
        <f t="shared" si="10"/>
        <v>15908.379722207976</v>
      </c>
      <c r="F39" s="132">
        <f t="shared" si="10"/>
        <v>18251.441404091005</v>
      </c>
      <c r="G39" s="132">
        <f t="shared" si="10"/>
        <v>19143.670164650277</v>
      </c>
      <c r="H39" s="132">
        <f t="shared" si="10"/>
        <v>20189.77472322623</v>
      </c>
      <c r="I39" s="132">
        <f t="shared" si="10"/>
        <v>21266.271293314669</v>
      </c>
      <c r="J39" s="132">
        <f t="shared" si="10"/>
        <v>22487.055889810094</v>
      </c>
      <c r="K39" s="132">
        <f t="shared" si="10"/>
        <v>23790.105234627772</v>
      </c>
      <c r="L39" s="132">
        <f t="shared" si="10"/>
        <v>25410.96581977628</v>
      </c>
      <c r="M39" s="132">
        <f t="shared" si="10"/>
        <v>27120.799268740389</v>
      </c>
      <c r="N39" s="132">
        <f t="shared" si="10"/>
        <v>28536.457015750508</v>
      </c>
      <c r="O39" s="132">
        <f t="shared" si="10"/>
        <v>30297.047974450303</v>
      </c>
      <c r="P39" s="132">
        <f t="shared" si="10"/>
        <v>31642.224977691782</v>
      </c>
      <c r="Q39" s="132">
        <f t="shared" si="10"/>
        <v>33822.094264090782</v>
      </c>
      <c r="R39" s="132">
        <f t="shared" si="10"/>
        <v>35482.010546430916</v>
      </c>
      <c r="S39" s="132">
        <f t="shared" si="10"/>
        <v>37089.946449202871</v>
      </c>
      <c r="T39" s="132">
        <f t="shared" si="10"/>
        <v>38565.901981439718</v>
      </c>
      <c r="U39" s="132">
        <f t="shared" si="10"/>
        <v>40047.108003614499</v>
      </c>
      <c r="W39" s="91">
        <f>SUM(B39:U39)</f>
        <v>498719.34044734109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B39*-Assumptions!$G$38</f>
        <v>-589.64850124342195</v>
      </c>
      <c r="C41" s="127">
        <f>C39*-Assumptions!$G$38</f>
        <v>-589.8952071943487</v>
      </c>
      <c r="D41" s="127">
        <f>D39*-Assumptions!$G$38</f>
        <v>-600.54143441573228</v>
      </c>
      <c r="E41" s="127">
        <f>E39*-Assumptions!$G$38</f>
        <v>-954.50278333247854</v>
      </c>
      <c r="F41" s="127">
        <f>F39*-Assumptions!$G$38</f>
        <v>-1095.0864842454603</v>
      </c>
      <c r="G41" s="127">
        <f>G39*-Assumptions!$G$38</f>
        <v>-1148.6202098790166</v>
      </c>
      <c r="H41" s="127">
        <f>H39*-Assumptions!$G$38</f>
        <v>-1211.3864833935738</v>
      </c>
      <c r="I41" s="127">
        <f>I39*-Assumptions!$G$38</f>
        <v>-1275.97627759888</v>
      </c>
      <c r="J41" s="127">
        <f>J39*-Assumptions!$G$38</f>
        <v>-1349.2233533886056</v>
      </c>
      <c r="K41" s="127">
        <f>K39*-Assumptions!$G$38</f>
        <v>-1427.4063140776664</v>
      </c>
      <c r="L41" s="127">
        <f>L39*-Assumptions!$G$38</f>
        <v>-1524.6579491865768</v>
      </c>
      <c r="M41" s="127">
        <f>M39*-Assumptions!$G$38</f>
        <v>-1627.2479561244234</v>
      </c>
      <c r="N41" s="127">
        <f>N39*-Assumptions!$G$38</f>
        <v>-1712.1874209450305</v>
      </c>
      <c r="O41" s="127">
        <f>O39*-Assumptions!$G$38</f>
        <v>-1817.8228784670182</v>
      </c>
      <c r="P41" s="127">
        <f>P39*-Assumptions!$G$38</f>
        <v>-1898.5334986615069</v>
      </c>
      <c r="Q41" s="127">
        <f>Q39*-Assumptions!$G$38</f>
        <v>-2029.3256558454468</v>
      </c>
      <c r="R41" s="127">
        <f>R39*-Assumptions!$G$38</f>
        <v>-2128.9206327858551</v>
      </c>
      <c r="S41" s="127">
        <f>S39*-Assumptions!$G$38</f>
        <v>-2225.3967869521721</v>
      </c>
      <c r="T41" s="127">
        <f>T39*-Assumptions!$G$38</f>
        <v>-2313.9541188863832</v>
      </c>
      <c r="U41" s="127">
        <f>U39*-Assumptions!$G$38</f>
        <v>-2402.8264802168701</v>
      </c>
      <c r="W41" s="91">
        <f>SUM(B41:U41)</f>
        <v>-29923.160426840466</v>
      </c>
    </row>
    <row r="42" spans="1:23">
      <c r="A42" s="3" t="s">
        <v>69</v>
      </c>
      <c r="B42" s="121">
        <f>(B39+B41)*-Assumptions!$G$37</f>
        <v>-3233.239281818097</v>
      </c>
      <c r="C42" s="121">
        <f>(C39+C41)*-Assumptions!$G$37</f>
        <v>-3234.5920527823455</v>
      </c>
      <c r="D42" s="121">
        <f>(D39+D41)*-Assumptions!$G$37</f>
        <v>-3292.9688653795984</v>
      </c>
      <c r="E42" s="121">
        <f>(E39+E41)*-Assumptions!$G$37</f>
        <v>-5233.8569286064239</v>
      </c>
      <c r="F42" s="121">
        <f>(F39+F41)*-Assumptions!$G$37</f>
        <v>-6004.7242219459404</v>
      </c>
      <c r="G42" s="121">
        <f>(G39+G41)*-Assumptions!$G$37</f>
        <v>-6298.2674841699409</v>
      </c>
      <c r="H42" s="121">
        <f>(H39+H41)*-Assumptions!$G$37</f>
        <v>-6642.4358839414299</v>
      </c>
      <c r="I42" s="121">
        <f>(I39+I41)*-Assumptions!$G$37</f>
        <v>-6996.6032555005258</v>
      </c>
      <c r="J42" s="121">
        <f>(J39+J41)*-Assumptions!$G$37</f>
        <v>-7398.2413877475201</v>
      </c>
      <c r="K42" s="121">
        <f>(K39+K41)*-Assumptions!$G$37</f>
        <v>-7826.9446221925364</v>
      </c>
      <c r="L42" s="121">
        <f>(L39+L41)*-Assumptions!$G$37</f>
        <v>-8360.2077547063946</v>
      </c>
      <c r="M42" s="121">
        <f>(M39+M41)*-Assumptions!$G$37</f>
        <v>-8922.7429594155874</v>
      </c>
      <c r="N42" s="121">
        <f>(N39+N41)*-Assumptions!$G$37</f>
        <v>-9388.4943581819171</v>
      </c>
      <c r="O42" s="121">
        <f>(O39+O41)*-Assumptions!$G$37</f>
        <v>-9967.7287835941497</v>
      </c>
      <c r="P42" s="121">
        <f>(P39+P41)*-Assumptions!$G$37</f>
        <v>-10410.292017660597</v>
      </c>
      <c r="Q42" s="121">
        <f>(Q39+Q41)*-Assumptions!$G$37</f>
        <v>-11127.469012885867</v>
      </c>
      <c r="R42" s="121">
        <f>(R39+R41)*-Assumptions!$G$37</f>
        <v>-11673.581469775771</v>
      </c>
      <c r="S42" s="121">
        <f>(S39+S41)*-Assumptions!$G$37</f>
        <v>-12202.592381787743</v>
      </c>
      <c r="T42" s="121">
        <f>(T39+T41)*-Assumptions!$G$37</f>
        <v>-12688.181751893668</v>
      </c>
      <c r="U42" s="121">
        <f>(U39+U41)*-Assumptions!$G$37</f>
        <v>-13175.498533189169</v>
      </c>
      <c r="W42" s="91">
        <f>SUM(B42:U42)</f>
        <v>-164078.66300717523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6004.5872376621801</v>
      </c>
      <c r="C44" s="134">
        <f t="shared" si="11"/>
        <v>6007.0995265957845</v>
      </c>
      <c r="D44" s="134">
        <f t="shared" si="11"/>
        <v>6115.5136071335401</v>
      </c>
      <c r="E44" s="134">
        <f t="shared" si="11"/>
        <v>9720.0200102690724</v>
      </c>
      <c r="F44" s="134">
        <f t="shared" si="11"/>
        <v>11151.630697899604</v>
      </c>
      <c r="G44" s="134">
        <f t="shared" si="11"/>
        <v>11696.78247060132</v>
      </c>
      <c r="H44" s="134">
        <f t="shared" si="11"/>
        <v>12335.952355891226</v>
      </c>
      <c r="I44" s="134">
        <f t="shared" si="11"/>
        <v>12993.691760215264</v>
      </c>
      <c r="J44" s="134">
        <f t="shared" si="11"/>
        <v>13739.591148673968</v>
      </c>
      <c r="K44" s="134">
        <f t="shared" si="11"/>
        <v>14535.754298357569</v>
      </c>
      <c r="L44" s="134">
        <f t="shared" si="11"/>
        <v>15526.100115883308</v>
      </c>
      <c r="M44" s="134">
        <f t="shared" si="11"/>
        <v>16570.80835320038</v>
      </c>
      <c r="N44" s="134">
        <f t="shared" si="11"/>
        <v>17435.775236623562</v>
      </c>
      <c r="O44" s="134">
        <f t="shared" si="11"/>
        <v>18511.496312389136</v>
      </c>
      <c r="P44" s="134">
        <f t="shared" si="11"/>
        <v>19333.399461369678</v>
      </c>
      <c r="Q44" s="134">
        <f t="shared" si="11"/>
        <v>20665.299595359469</v>
      </c>
      <c r="R44" s="134">
        <f t="shared" si="11"/>
        <v>21679.50844386929</v>
      </c>
      <c r="S44" s="134">
        <f t="shared" si="11"/>
        <v>22661.957280462957</v>
      </c>
      <c r="T44" s="134">
        <f t="shared" si="11"/>
        <v>23563.766110659672</v>
      </c>
      <c r="U44" s="134">
        <f t="shared" si="11"/>
        <v>24468.78299020846</v>
      </c>
      <c r="W44" s="91">
        <f>SUM(B44:U44)</f>
        <v>304717.51701332547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211</v>
      </c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22360.93782771995</v>
      </c>
      <c r="C54" s="67">
        <f>C31-C12</f>
        <v>22154.412577374984</v>
      </c>
      <c r="D54" s="67">
        <f>D31-D12</f>
        <v>22034.739063329464</v>
      </c>
      <c r="E54" s="56">
        <f t="shared" ref="E54:U54" si="13">E31</f>
        <v>36739.397988835553</v>
      </c>
      <c r="F54" s="56">
        <f t="shared" si="13"/>
        <v>38669.824586144743</v>
      </c>
      <c r="G54" s="56">
        <f t="shared" si="13"/>
        <v>39072.974002675459</v>
      </c>
      <c r="H54" s="56">
        <f t="shared" si="13"/>
        <v>39569.41922830273</v>
      </c>
      <c r="I54" s="56">
        <f t="shared" si="13"/>
        <v>40070.871217117085</v>
      </c>
      <c r="J54" s="56">
        <f t="shared" si="13"/>
        <v>40577.360725731742</v>
      </c>
      <c r="K54" s="56">
        <f t="shared" si="13"/>
        <v>41088.917901714194</v>
      </c>
      <c r="L54" s="56">
        <f t="shared" si="13"/>
        <v>41876.94789645027</v>
      </c>
      <c r="M54" s="56">
        <f t="shared" si="13"/>
        <v>42678.718927320871</v>
      </c>
      <c r="N54" s="56">
        <f t="shared" si="13"/>
        <v>43141.185224087392</v>
      </c>
      <c r="O54" s="56">
        <f t="shared" si="13"/>
        <v>43971.149248618633</v>
      </c>
      <c r="P54" s="56">
        <f t="shared" si="13"/>
        <v>44373.970868658202</v>
      </c>
      <c r="Q54" s="56">
        <f t="shared" si="13"/>
        <v>45577.191806746887</v>
      </c>
      <c r="R54" s="56">
        <f t="shared" si="13"/>
        <v>46201.180079901591</v>
      </c>
      <c r="S54" s="56">
        <f t="shared" si="13"/>
        <v>46832.340151221564</v>
      </c>
      <c r="T54" s="56">
        <f t="shared" si="13"/>
        <v>47470.73144270671</v>
      </c>
      <c r="U54" s="56">
        <f t="shared" si="13"/>
        <v>48116.412954396466</v>
      </c>
      <c r="W54" s="400">
        <f>SUM(B54:U54)</f>
        <v>792578.68371905445</v>
      </c>
    </row>
    <row r="55" spans="1:55">
      <c r="A55" s="13" t="s">
        <v>168</v>
      </c>
      <c r="B55" s="67">
        <f>B26</f>
        <v>174.46</v>
      </c>
      <c r="C55" s="67">
        <f t="shared" ref="C55:U55" si="14">C26</f>
        <v>348.92</v>
      </c>
      <c r="D55" s="67">
        <f t="shared" si="14"/>
        <v>436.15</v>
      </c>
      <c r="E55" s="67">
        <f t="shared" si="14"/>
        <v>436.15</v>
      </c>
      <c r="F55" s="67">
        <f t="shared" si="14"/>
        <v>436.15</v>
      </c>
      <c r="G55" s="67">
        <f t="shared" si="14"/>
        <v>523.38</v>
      </c>
      <c r="H55" s="67">
        <f t="shared" si="14"/>
        <v>523.38</v>
      </c>
      <c r="I55" s="67">
        <f t="shared" si="14"/>
        <v>523.38</v>
      </c>
      <c r="J55" s="67">
        <f t="shared" si="14"/>
        <v>523.38</v>
      </c>
      <c r="K55" s="67">
        <f t="shared" si="14"/>
        <v>523.38</v>
      </c>
      <c r="L55" s="67">
        <f t="shared" si="14"/>
        <v>523.38</v>
      </c>
      <c r="M55" s="67">
        <f t="shared" si="14"/>
        <v>523.38</v>
      </c>
      <c r="N55" s="67">
        <f t="shared" si="14"/>
        <v>872.3</v>
      </c>
      <c r="O55" s="67">
        <f t="shared" si="14"/>
        <v>872.3</v>
      </c>
      <c r="P55" s="67">
        <f t="shared" si="14"/>
        <v>1308.45</v>
      </c>
      <c r="Q55" s="67">
        <f t="shared" si="14"/>
        <v>743.93104499999993</v>
      </c>
      <c r="R55" s="67">
        <f t="shared" si="14"/>
        <v>758.80966589999991</v>
      </c>
      <c r="S55" s="67">
        <f t="shared" si="14"/>
        <v>773.98585921799997</v>
      </c>
      <c r="T55" s="67">
        <f t="shared" si="14"/>
        <v>789.46557640235994</v>
      </c>
      <c r="U55" s="67">
        <f t="shared" si="14"/>
        <v>805.25488793040722</v>
      </c>
      <c r="W55" s="400">
        <f>SUM(B55:U55)</f>
        <v>12419.987034450767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-92.2251014</v>
      </c>
      <c r="C56" s="67">
        <f>-B55</f>
        <v>-174.46</v>
      </c>
      <c r="D56" s="67">
        <f t="shared" ref="D56:U56" si="15">-C55</f>
        <v>-348.92</v>
      </c>
      <c r="E56" s="67">
        <f t="shared" si="15"/>
        <v>-436.15</v>
      </c>
      <c r="F56" s="67">
        <f t="shared" si="15"/>
        <v>-436.15</v>
      </c>
      <c r="G56" s="67">
        <f t="shared" si="15"/>
        <v>-436.15</v>
      </c>
      <c r="H56" s="67">
        <f t="shared" si="15"/>
        <v>-523.38</v>
      </c>
      <c r="I56" s="67">
        <f t="shared" si="15"/>
        <v>-523.38</v>
      </c>
      <c r="J56" s="67">
        <f t="shared" si="15"/>
        <v>-523.38</v>
      </c>
      <c r="K56" s="67">
        <f t="shared" si="15"/>
        <v>-523.38</v>
      </c>
      <c r="L56" s="67">
        <f t="shared" si="15"/>
        <v>-523.38</v>
      </c>
      <c r="M56" s="67">
        <f t="shared" si="15"/>
        <v>-523.38</v>
      </c>
      <c r="N56" s="67">
        <f t="shared" si="15"/>
        <v>-523.38</v>
      </c>
      <c r="O56" s="67">
        <f t="shared" si="15"/>
        <v>-872.3</v>
      </c>
      <c r="P56" s="67">
        <f t="shared" si="15"/>
        <v>-872.3</v>
      </c>
      <c r="Q56" s="67">
        <f t="shared" si="15"/>
        <v>-1308.45</v>
      </c>
      <c r="R56" s="67">
        <f t="shared" si="15"/>
        <v>-743.93104499999993</v>
      </c>
      <c r="S56" s="67">
        <f t="shared" si="15"/>
        <v>-758.80966589999991</v>
      </c>
      <c r="T56" s="67">
        <f t="shared" si="15"/>
        <v>-773.98585921799997</v>
      </c>
      <c r="U56" s="67">
        <f t="shared" si="15"/>
        <v>-789.46557640235994</v>
      </c>
      <c r="W56" s="400">
        <f>SUM(B56:U56)</f>
        <v>-11706.957247920362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-Debt!B77*Allocation!$E$12</f>
        <v>-16751.391210738668</v>
      </c>
      <c r="C57" s="398">
        <f>-Debt!C77*Allocation!$E$12</f>
        <v>-16737.685095599714</v>
      </c>
      <c r="D57" s="398">
        <f>-Debt!D77*Allocation!$E$12</f>
        <v>-16659.386573480904</v>
      </c>
      <c r="E57" s="398">
        <f>-Debt!E77*Allocation!$E$12</f>
        <v>-16421.779474249419</v>
      </c>
      <c r="F57" s="398">
        <f>-Debt!F77*Allocation!$E$12</f>
        <v>-17185.478305309542</v>
      </c>
      <c r="G57" s="398">
        <f>-Debt!G77*Allocation!$E$12</f>
        <v>-17284.565919097964</v>
      </c>
      <c r="H57" s="398">
        <f>-Debt!H77*Allocation!$E$12</f>
        <v>-17176.031804512022</v>
      </c>
      <c r="I57" s="398">
        <f>-Debt!I77*Allocation!$E$12</f>
        <v>-17336.195920509166</v>
      </c>
      <c r="J57" s="398">
        <f>-Debt!J77*Allocation!$E$12</f>
        <v>-17210.067790445381</v>
      </c>
      <c r="K57" s="398">
        <f>-Debt!K77*Allocation!$E$12</f>
        <v>-17408.481617578913</v>
      </c>
      <c r="L57" s="398">
        <f>-Debt!L77*Allocation!$E$12</f>
        <v>-17246.966587651044</v>
      </c>
      <c r="M57" s="398">
        <f>-Debt!M77*Allocation!$E$12</f>
        <v>-16338.904169557536</v>
      </c>
      <c r="N57" s="398">
        <f>-Debt!N77*Allocation!$E$12</f>
        <v>-15385.712719313937</v>
      </c>
      <c r="O57" s="398">
        <f>-Debt!O77*Allocation!$E$12</f>
        <v>-14455.085785145382</v>
      </c>
      <c r="P57" s="398">
        <f>-Debt!P77*Allocation!$E$12</f>
        <v>-13928.473415281369</v>
      </c>
      <c r="Q57" s="398">
        <f>-Debt!Q77*Allocation!$E$12</f>
        <v>-13367.568080308951</v>
      </c>
      <c r="R57" s="398">
        <f>-Debt!R77*Allocation!$E$12</f>
        <v>-12331.640071123518</v>
      </c>
      <c r="S57" s="398">
        <f>-Debt!S77*Allocation!$E$12</f>
        <v>-9691.8921863199503</v>
      </c>
      <c r="T57" s="398">
        <f>-Debt!T77*Allocation!$E$12</f>
        <v>-8854.3279455682514</v>
      </c>
      <c r="U57" s="398">
        <f>-Debt!U77*Allocation!$E$12</f>
        <v>-7187.317408407439</v>
      </c>
      <c r="W57" s="400">
        <f>SUM(B57:U57)</f>
        <v>-298958.95208019903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6">SUM(B54:B57)</f>
        <v>5691.7815155812823</v>
      </c>
      <c r="C59" s="136">
        <f t="shared" si="16"/>
        <v>5591.1874817752687</v>
      </c>
      <c r="D59" s="136">
        <f t="shared" si="16"/>
        <v>5462.5824898485625</v>
      </c>
      <c r="E59" s="136">
        <f t="shared" si="16"/>
        <v>20317.618514586135</v>
      </c>
      <c r="F59" s="136">
        <f t="shared" si="16"/>
        <v>21484.346280835201</v>
      </c>
      <c r="G59" s="136">
        <f t="shared" si="16"/>
        <v>21875.638083577491</v>
      </c>
      <c r="H59" s="136">
        <f t="shared" si="16"/>
        <v>22393.387423790708</v>
      </c>
      <c r="I59" s="136">
        <f t="shared" si="16"/>
        <v>22734.675296607918</v>
      </c>
      <c r="J59" s="136">
        <f t="shared" si="16"/>
        <v>23367.292935286361</v>
      </c>
      <c r="K59" s="136">
        <f t="shared" si="16"/>
        <v>23680.436284135281</v>
      </c>
      <c r="L59" s="136">
        <f t="shared" si="16"/>
        <v>24629.981308799226</v>
      </c>
      <c r="M59" s="136">
        <f t="shared" si="16"/>
        <v>26339.814757763335</v>
      </c>
      <c r="N59" s="136">
        <f t="shared" si="16"/>
        <v>28104.392504773459</v>
      </c>
      <c r="O59" s="136">
        <f t="shared" si="16"/>
        <v>29516.063463473249</v>
      </c>
      <c r="P59" s="136">
        <f t="shared" si="16"/>
        <v>30881.647453376827</v>
      </c>
      <c r="Q59" s="136">
        <f t="shared" si="16"/>
        <v>31645.104771437938</v>
      </c>
      <c r="R59" s="136">
        <f t="shared" si="16"/>
        <v>33884.418629678075</v>
      </c>
      <c r="S59" s="136">
        <f t="shared" si="16"/>
        <v>37155.624158219616</v>
      </c>
      <c r="T59" s="136">
        <f t="shared" si="16"/>
        <v>38631.883214322821</v>
      </c>
      <c r="U59" s="136">
        <f t="shared" si="16"/>
        <v>40944.88485751707</v>
      </c>
      <c r="W59" s="400">
        <f>SUM(B59:U59)</f>
        <v>494332.76142538583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ht="15" outlineLevel="1">
      <c r="A61" s="13" t="s">
        <v>99</v>
      </c>
      <c r="B61" s="223">
        <f>-B103</f>
        <v>0</v>
      </c>
      <c r="C61" s="223">
        <f t="shared" ref="C61:U61" si="17">-C103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-161.69173726707015</v>
      </c>
      <c r="H61" s="223">
        <f t="shared" si="17"/>
        <v>-870.41092029008303</v>
      </c>
      <c r="I61" s="223">
        <f t="shared" si="17"/>
        <v>-933.65663295564309</v>
      </c>
      <c r="J61" s="223">
        <f t="shared" si="17"/>
        <v>-1008.2477902851151</v>
      </c>
      <c r="K61" s="223">
        <f t="shared" si="17"/>
        <v>-1085.0866694344293</v>
      </c>
      <c r="L61" s="223">
        <f t="shared" si="17"/>
        <v>-1183.6823860830862</v>
      </c>
      <c r="M61" s="223">
        <f t="shared" si="17"/>
        <v>-1284.9283114811863</v>
      </c>
      <c r="N61" s="223">
        <f t="shared" si="17"/>
        <v>-1371.21185784154</v>
      </c>
      <c r="O61" s="223">
        <f t="shared" si="17"/>
        <v>-1475.5032338237811</v>
      </c>
      <c r="P61" s="223">
        <f t="shared" si="17"/>
        <v>-1557.5579355580164</v>
      </c>
      <c r="Q61" s="223">
        <f t="shared" si="17"/>
        <v>-2084.8541469671281</v>
      </c>
      <c r="R61" s="223">
        <f t="shared" si="17"/>
        <v>-2580.9531781327078</v>
      </c>
      <c r="S61" s="223">
        <f t="shared" si="17"/>
        <v>-2677.4293322990247</v>
      </c>
      <c r="T61" s="223">
        <f t="shared" si="17"/>
        <v>-2765.9866642332358</v>
      </c>
      <c r="U61" s="223">
        <f t="shared" si="17"/>
        <v>-2854.8590255637228</v>
      </c>
      <c r="W61" s="400">
        <f>SUM(B61:U61)</f>
        <v>-23896.059822215771</v>
      </c>
    </row>
    <row r="62" spans="1:55" outlineLevel="1">
      <c r="A62" s="13" t="s">
        <v>100</v>
      </c>
      <c r="B62" s="128">
        <f>-Allocation!$E$12*Tax!B24</f>
        <v>0</v>
      </c>
      <c r="C62" s="128">
        <f>-Allocation!$E$12*Tax!C24</f>
        <v>0</v>
      </c>
      <c r="D62" s="128">
        <f>-Allocation!$E$12*Tax!D24</f>
        <v>0</v>
      </c>
      <c r="E62" s="128">
        <f>-Allocation!$E$12*Tax!E24</f>
        <v>0</v>
      </c>
      <c r="F62" s="128">
        <f>-Allocation!$E$12*Tax!F24</f>
        <v>0</v>
      </c>
      <c r="G62" s="128">
        <f>-Allocation!$E$12*Tax!G24</f>
        <v>0</v>
      </c>
      <c r="H62" s="128">
        <f>-Allocation!$E$12*Tax!H24</f>
        <v>-3752.771210680944</v>
      </c>
      <c r="I62" s="128">
        <f>-Allocation!$E$12*Tax!I24</f>
        <v>-5079.9560925520545</v>
      </c>
      <c r="J62" s="128">
        <f>-Allocation!$E$12*Tax!J24</f>
        <v>-5472.4921982520436</v>
      </c>
      <c r="K62" s="128">
        <f>-Allocation!$E$12*Tax!K24</f>
        <v>-5879.2325940043193</v>
      </c>
      <c r="L62" s="128">
        <f>-Allocation!$E$12*Tax!L24</f>
        <v>-6414.3780763176983</v>
      </c>
      <c r="M62" s="128">
        <f>-Allocation!$E$12*Tax!M24</f>
        <v>-6974.0650598916054</v>
      </c>
      <c r="N62" s="128">
        <f>-Allocation!$E$12*Tax!N24</f>
        <v>-7538.8256939675421</v>
      </c>
      <c r="O62" s="128">
        <f>-Allocation!$E$12*Tax!O24</f>
        <v>-8090.4578631548093</v>
      </c>
      <c r="P62" s="128">
        <f>-Allocation!$E$12*Tax!P24</f>
        <v>-8636.7795651373053</v>
      </c>
      <c r="Q62" s="128">
        <f>-Allocation!$E$12*Tax!Q24</f>
        <v>-11430.169347184388</v>
      </c>
      <c r="R62" s="128">
        <f>-Allocation!$E$12*Tax!R24</f>
        <v>-14211.007242492418</v>
      </c>
      <c r="S62" s="128">
        <f>-Allocation!$E$12*Tax!S24</f>
        <v>-14740.281037417748</v>
      </c>
      <c r="T62" s="128">
        <f>-Allocation!$E$12*Tax!T24</f>
        <v>-15226.324250746398</v>
      </c>
      <c r="U62" s="128">
        <f>-Allocation!$E$12*Tax!U24</f>
        <v>-15714.672814055208</v>
      </c>
      <c r="W62" s="400">
        <f>SUM(B62:U62)</f>
        <v>-129161.41304585448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8">B59+B62+B61</f>
        <v>5691.7815155812823</v>
      </c>
      <c r="C64" s="137">
        <f t="shared" si="18"/>
        <v>5591.1874817752687</v>
      </c>
      <c r="D64" s="137">
        <f t="shared" si="18"/>
        <v>5462.5824898485625</v>
      </c>
      <c r="E64" s="137">
        <f t="shared" si="18"/>
        <v>20317.618514586135</v>
      </c>
      <c r="F64" s="137">
        <f t="shared" si="18"/>
        <v>21484.346280835201</v>
      </c>
      <c r="G64" s="137">
        <f t="shared" si="18"/>
        <v>21713.946346310422</v>
      </c>
      <c r="H64" s="137">
        <f t="shared" si="18"/>
        <v>17770.205292819679</v>
      </c>
      <c r="I64" s="137">
        <f t="shared" si="18"/>
        <v>16721.062571100221</v>
      </c>
      <c r="J64" s="137">
        <f t="shared" si="18"/>
        <v>16886.552946749202</v>
      </c>
      <c r="K64" s="137">
        <f t="shared" si="18"/>
        <v>16716.117020696533</v>
      </c>
      <c r="L64" s="137">
        <f t="shared" si="18"/>
        <v>17031.920846398443</v>
      </c>
      <c r="M64" s="137">
        <f t="shared" si="18"/>
        <v>18080.821386390544</v>
      </c>
      <c r="N64" s="137">
        <f t="shared" si="18"/>
        <v>19194.354952964379</v>
      </c>
      <c r="O64" s="137">
        <f t="shared" si="18"/>
        <v>19950.102366494659</v>
      </c>
      <c r="P64" s="137">
        <f t="shared" si="18"/>
        <v>20687.309952681506</v>
      </c>
      <c r="Q64" s="137">
        <f t="shared" si="18"/>
        <v>18130.081277286419</v>
      </c>
      <c r="R64" s="137">
        <f t="shared" si="18"/>
        <v>17092.458209052951</v>
      </c>
      <c r="S64" s="137">
        <f t="shared" si="18"/>
        <v>19737.913788502843</v>
      </c>
      <c r="T64" s="137">
        <f t="shared" si="18"/>
        <v>20639.572299343188</v>
      </c>
      <c r="U64" s="137">
        <f t="shared" si="18"/>
        <v>22375.353017898138</v>
      </c>
      <c r="W64" s="400">
        <f>SUM(B64:U64)</f>
        <v>341275.28855731559</v>
      </c>
    </row>
    <row r="65" spans="1:23" outlineLevel="1">
      <c r="A65" s="68"/>
      <c r="B65" s="56"/>
      <c r="C65" s="59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 outlineLevel="1">
      <c r="A66" s="68"/>
      <c r="B66" s="56"/>
      <c r="C66" s="59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3" ht="18.75" outlineLevel="1">
      <c r="A68" s="55" t="s">
        <v>191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 outlineLevel="1">
      <c r="A76" s="57" t="s">
        <v>192</v>
      </c>
      <c r="B76" s="439">
        <f>Depreciation!C38</f>
        <v>243595.31610358166</v>
      </c>
      <c r="C76" s="439">
        <f>Depreciation!D38</f>
        <v>236061.44034780079</v>
      </c>
      <c r="D76" s="439">
        <f>Depreciation!E38</f>
        <v>228527.56459201992</v>
      </c>
      <c r="E76" s="439">
        <f>Depreciation!F38</f>
        <v>220993.68883623905</v>
      </c>
      <c r="F76" s="439">
        <f>Depreciation!G38</f>
        <v>213459.81308045817</v>
      </c>
      <c r="G76" s="439">
        <f>Depreciation!H38</f>
        <v>205925.9373246773</v>
      </c>
      <c r="H76" s="439">
        <f>Depreciation!I38</f>
        <v>198392.06156889643</v>
      </c>
      <c r="I76" s="439">
        <f>Depreciation!J38</f>
        <v>190858.18581311556</v>
      </c>
      <c r="J76" s="439">
        <f>Depreciation!K38</f>
        <v>183324.31005733469</v>
      </c>
      <c r="K76" s="439">
        <f>Depreciation!L38</f>
        <v>175790.43430155382</v>
      </c>
      <c r="L76" s="439">
        <f>Depreciation!M38</f>
        <v>168256.55854577295</v>
      </c>
      <c r="M76" s="439">
        <f>Depreciation!N38</f>
        <v>160722.68278999208</v>
      </c>
      <c r="N76" s="439">
        <f>Depreciation!O38</f>
        <v>153188.8070342112</v>
      </c>
      <c r="O76" s="439">
        <f>Depreciation!P38</f>
        <v>145654.93127843033</v>
      </c>
      <c r="P76" s="439">
        <f>Depreciation!Q38</f>
        <v>138121.05552264946</v>
      </c>
      <c r="Q76" s="439">
        <f>Depreciation!R38</f>
        <v>130587.17976686859</v>
      </c>
      <c r="R76" s="439">
        <f>Depreciation!S38</f>
        <v>123053.30401108772</v>
      </c>
      <c r="S76" s="439">
        <f>Depreciation!T38</f>
        <v>115519.42825530685</v>
      </c>
      <c r="T76" s="439">
        <f>Depreciation!U38</f>
        <v>107985.55249952598</v>
      </c>
      <c r="U76" s="439">
        <f>Depreciation!V38</f>
        <v>100451.67674374511</v>
      </c>
      <c r="W76" s="420">
        <f t="shared" ref="W76:W84" si="19">SUM(B76:U76)</f>
        <v>3440469.9284732686</v>
      </c>
    </row>
    <row r="77" spans="1:23" outlineLevel="1">
      <c r="A77" s="7" t="s">
        <v>180</v>
      </c>
      <c r="B77" s="439">
        <f>Allocation!$C$12*'Summary Output'!$C$8</f>
        <v>98518.171803053978</v>
      </c>
      <c r="C77" s="439">
        <f>Allocation!$C$12*'Summary Output'!$C$8</f>
        <v>98518.171803053978</v>
      </c>
      <c r="D77" s="439">
        <f>Allocation!$C$12*'Summary Output'!$C$8</f>
        <v>98518.171803053978</v>
      </c>
      <c r="E77" s="439">
        <f>Allocation!$C$12*'Summary Output'!$C$8</f>
        <v>98518.171803053978</v>
      </c>
      <c r="F77" s="439">
        <f>Allocation!$C$12*'Summary Output'!$C$8</f>
        <v>98518.171803053978</v>
      </c>
      <c r="G77" s="439">
        <f>Allocation!$C$12*'Summary Output'!$C$8</f>
        <v>98518.171803053978</v>
      </c>
      <c r="H77" s="439">
        <f>Allocation!$C$12*'Summary Output'!$C$8</f>
        <v>98518.171803053978</v>
      </c>
      <c r="I77" s="439">
        <f>Allocation!$C$12*'Summary Output'!$C$8</f>
        <v>98518.171803053978</v>
      </c>
      <c r="J77" s="439">
        <f>Allocation!$C$12*'Summary Output'!$C$8</f>
        <v>98518.171803053978</v>
      </c>
      <c r="K77" s="439">
        <f>Allocation!$C$12*'Summary Output'!$C$8</f>
        <v>98518.171803053978</v>
      </c>
      <c r="L77" s="439">
        <f>Allocation!$C$12*'Summary Output'!$C$8</f>
        <v>98518.171803053978</v>
      </c>
      <c r="M77" s="439">
        <f>Allocation!$C$12*'Summary Output'!$C$8</f>
        <v>98518.171803053978</v>
      </c>
      <c r="N77" s="439">
        <f>Allocation!$C$12*'Summary Output'!$C$8</f>
        <v>98518.171803053978</v>
      </c>
      <c r="O77" s="439">
        <f>Allocation!$C$12*'Summary Output'!$C$8</f>
        <v>98518.171803053978</v>
      </c>
      <c r="P77" s="439">
        <f>Allocation!$C$12*'Summary Output'!$C$8</f>
        <v>98518.171803053978</v>
      </c>
      <c r="Q77" s="439">
        <f>Allocation!$C$12*'Summary Output'!$C$8</f>
        <v>98518.171803053978</v>
      </c>
      <c r="R77" s="439">
        <f>Allocation!$C$12*'Summary Output'!$C$8</f>
        <v>98518.171803053978</v>
      </c>
      <c r="S77" s="439">
        <f>Allocation!$C$12*'Summary Output'!$C$8</f>
        <v>98518.171803053978</v>
      </c>
      <c r="T77" s="439">
        <f>Allocation!$C$12*'Summary Output'!$C$8</f>
        <v>98518.171803053978</v>
      </c>
      <c r="U77" s="439">
        <f>Allocation!$C$12*'Summary Output'!$C$8</f>
        <v>98518.171803053978</v>
      </c>
      <c r="W77" s="420">
        <f t="shared" si="19"/>
        <v>1970363.4360610789</v>
      </c>
    </row>
    <row r="78" spans="1:23" outlineLevel="1">
      <c r="A78" s="443" t="s">
        <v>273</v>
      </c>
      <c r="B78" s="440">
        <f>B44-B64-B12*(Assumptions!$G$38+(1-Assumptions!$G$38)*Assumptions!$G$37)</f>
        <v>-3203.1839911648844</v>
      </c>
      <c r="C78" s="440">
        <f>C44-C64-C12*(Assumptions!$G$38+(1-Assumptions!$G$38)*Assumptions!$G$37)+B78</f>
        <v>-6303.2616595901509</v>
      </c>
      <c r="D78" s="440">
        <f>D44-D64-D12*(Assumptions!$G$38+(1-Assumptions!$G$38)*Assumptions!$G$37)+C78</f>
        <v>-9166.3202555509561</v>
      </c>
      <c r="E78" s="440">
        <f t="shared" ref="E78:U78" si="20">E44-E64+D78</f>
        <v>-19763.918759868018</v>
      </c>
      <c r="F78" s="440">
        <f t="shared" si="20"/>
        <v>-30096.634342803616</v>
      </c>
      <c r="G78" s="440">
        <f t="shared" si="20"/>
        <v>-40113.798218512718</v>
      </c>
      <c r="H78" s="440">
        <f t="shared" si="20"/>
        <v>-45548.051155441171</v>
      </c>
      <c r="I78" s="440">
        <f t="shared" si="20"/>
        <v>-49275.421966326132</v>
      </c>
      <c r="J78" s="440">
        <f t="shared" si="20"/>
        <v>-52422.383764401369</v>
      </c>
      <c r="K78" s="440">
        <f t="shared" si="20"/>
        <v>-54602.746486740332</v>
      </c>
      <c r="L78" s="440">
        <f t="shared" si="20"/>
        <v>-56108.56721725547</v>
      </c>
      <c r="M78" s="440">
        <f t="shared" si="20"/>
        <v>-57618.580250445637</v>
      </c>
      <c r="N78" s="440">
        <f t="shared" si="20"/>
        <v>-59377.15996678645</v>
      </c>
      <c r="O78" s="440">
        <f t="shared" si="20"/>
        <v>-60815.76602089197</v>
      </c>
      <c r="P78" s="440">
        <f t="shared" si="20"/>
        <v>-62169.676512203798</v>
      </c>
      <c r="Q78" s="440">
        <f t="shared" si="20"/>
        <v>-59634.458194130748</v>
      </c>
      <c r="R78" s="440">
        <f t="shared" si="20"/>
        <v>-55047.407959314412</v>
      </c>
      <c r="S78" s="440">
        <f t="shared" si="20"/>
        <v>-52123.364467354302</v>
      </c>
      <c r="T78" s="440">
        <f t="shared" si="20"/>
        <v>-49199.170656037822</v>
      </c>
      <c r="U78" s="440">
        <f t="shared" si="20"/>
        <v>-47105.740683727505</v>
      </c>
      <c r="W78" s="420">
        <f t="shared" si="19"/>
        <v>-869695.61252854753</v>
      </c>
    </row>
    <row r="79" spans="1:23" outlineLevel="1">
      <c r="A79" s="443" t="s">
        <v>187</v>
      </c>
      <c r="B79" s="441">
        <f>Debt!B73*Allocation!$E$12</f>
        <v>125948.25183015436</v>
      </c>
      <c r="C79" s="441">
        <f>Debt!C73*Allocation!$E$12</f>
        <v>123038.05073678908</v>
      </c>
      <c r="D79" s="441">
        <f>Debt!D73*Allocation!$E$12</f>
        <v>119909.0375311407</v>
      </c>
      <c r="E79" s="441">
        <f>Debt!E73*Allocation!$E$12</f>
        <v>116784.40056773799</v>
      </c>
      <c r="F79" s="441">
        <f>Debt!F73*Allocation!$E$12</f>
        <v>112483.4296887013</v>
      </c>
      <c r="G79" s="441">
        <f>Debt!G73*Allocation!$E$12</f>
        <v>107594.29185184764</v>
      </c>
      <c r="H79" s="441">
        <f>Debt!H73*Allocation!$E$12</f>
        <v>102264.02879663125</v>
      </c>
      <c r="I79" s="441">
        <f>Debt!I73*Allocation!$E$12</f>
        <v>96198.557044143614</v>
      </c>
      <c r="J79" s="441">
        <f>Debt!J73*Allocation!$E$12</f>
        <v>89544.918333838999</v>
      </c>
      <c r="K79" s="441">
        <f>Debt!K73*Allocation!$E$12</f>
        <v>81901.373627565627</v>
      </c>
      <c r="L79" s="441">
        <f>Debt!L73*Allocation!$E$12</f>
        <v>73586.513360807701</v>
      </c>
      <c r="M79" s="441">
        <f>Debt!M73*Allocation!$E$12</f>
        <v>65271.653094049769</v>
      </c>
      <c r="N79" s="441">
        <f>Debt!N73*Allocation!$E$12</f>
        <v>56956.792827291836</v>
      </c>
      <c r="O79" s="441">
        <f>Debt!O73*Allocation!$E$12</f>
        <v>48641.932560533904</v>
      </c>
      <c r="P79" s="441">
        <f>Debt!P73*Allocation!$E$12</f>
        <v>39911.329280438076</v>
      </c>
      <c r="Q79" s="441">
        <f>Debt!Q73*Allocation!$E$12</f>
        <v>30764.982987004347</v>
      </c>
      <c r="R79" s="441">
        <f>Debt!R73*Allocation!$E$12</f>
        <v>21618.636693570625</v>
      </c>
      <c r="S79" s="441">
        <f>Debt!S73*Allocation!$E$12</f>
        <v>14135.262453488485</v>
      </c>
      <c r="T79" s="441">
        <f>Debt!T73*Allocation!$E$12</f>
        <v>6651.888213406346</v>
      </c>
      <c r="U79" s="441">
        <f>Debt!U73*Allocation!$E$12</f>
        <v>-7.0050976795439438E-12</v>
      </c>
      <c r="W79" s="420">
        <f t="shared" si="19"/>
        <v>1433205.331479142</v>
      </c>
    </row>
    <row r="80" spans="1:23" outlineLevel="1">
      <c r="A80" s="57" t="s">
        <v>193</v>
      </c>
      <c r="B80" s="442">
        <f>SUM(B77:B79)</f>
        <v>221263.23964204345</v>
      </c>
      <c r="C80" s="442">
        <f t="shared" ref="C80:U80" si="21">SUM(C77:C79)</f>
        <v>215252.96088025291</v>
      </c>
      <c r="D80" s="442">
        <f t="shared" si="21"/>
        <v>209260.88907864373</v>
      </c>
      <c r="E80" s="442">
        <f t="shared" si="21"/>
        <v>195538.65361092397</v>
      </c>
      <c r="F80" s="442">
        <f t="shared" si="21"/>
        <v>180904.96714895166</v>
      </c>
      <c r="G80" s="442">
        <f t="shared" si="21"/>
        <v>165998.6654363889</v>
      </c>
      <c r="H80" s="442">
        <f t="shared" si="21"/>
        <v>155234.14944424405</v>
      </c>
      <c r="I80" s="442">
        <f t="shared" si="21"/>
        <v>145441.30688087147</v>
      </c>
      <c r="J80" s="442">
        <f t="shared" si="21"/>
        <v>135640.70637249161</v>
      </c>
      <c r="K80" s="442">
        <f t="shared" si="21"/>
        <v>125816.79894387927</v>
      </c>
      <c r="L80" s="442">
        <f t="shared" si="21"/>
        <v>115996.11794660622</v>
      </c>
      <c r="M80" s="442">
        <f t="shared" si="21"/>
        <v>106171.2446466581</v>
      </c>
      <c r="N80" s="442">
        <f t="shared" si="21"/>
        <v>96097.804663559364</v>
      </c>
      <c r="O80" s="442">
        <f t="shared" si="21"/>
        <v>86344.338342695904</v>
      </c>
      <c r="P80" s="442">
        <f t="shared" si="21"/>
        <v>76259.824571288249</v>
      </c>
      <c r="Q80" s="442">
        <f t="shared" si="21"/>
        <v>69648.696595927584</v>
      </c>
      <c r="R80" s="442">
        <f t="shared" si="21"/>
        <v>65089.40053731019</v>
      </c>
      <c r="S80" s="442">
        <f t="shared" si="21"/>
        <v>60530.069789188157</v>
      </c>
      <c r="T80" s="442">
        <f t="shared" si="21"/>
        <v>55970.889360422501</v>
      </c>
      <c r="U80" s="442">
        <f t="shared" si="21"/>
        <v>51412.431119326466</v>
      </c>
      <c r="W80" s="420">
        <f t="shared" si="19"/>
        <v>2533873.1550116735</v>
      </c>
    </row>
    <row r="81" spans="1:44" outlineLevel="1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/>
    </row>
    <row r="82" spans="1:44" outlineLevel="1">
      <c r="A82" s="57" t="s">
        <v>206</v>
      </c>
      <c r="B82" s="442">
        <f>MAX(B80,B76)</f>
        <v>243595.31610358166</v>
      </c>
      <c r="C82" s="442">
        <f t="shared" ref="C82:U82" si="22">MAX(C80,C76)</f>
        <v>236061.44034780079</v>
      </c>
      <c r="D82" s="442">
        <f t="shared" si="22"/>
        <v>228527.56459201992</v>
      </c>
      <c r="E82" s="442">
        <f t="shared" si="22"/>
        <v>220993.68883623905</v>
      </c>
      <c r="F82" s="442">
        <f t="shared" si="22"/>
        <v>213459.81308045817</v>
      </c>
      <c r="G82" s="442">
        <f t="shared" si="22"/>
        <v>205925.9373246773</v>
      </c>
      <c r="H82" s="442">
        <f t="shared" si="22"/>
        <v>198392.06156889643</v>
      </c>
      <c r="I82" s="442">
        <f t="shared" si="22"/>
        <v>190858.18581311556</v>
      </c>
      <c r="J82" s="442">
        <f t="shared" si="22"/>
        <v>183324.31005733469</v>
      </c>
      <c r="K82" s="442">
        <f t="shared" si="22"/>
        <v>175790.43430155382</v>
      </c>
      <c r="L82" s="442">
        <f t="shared" si="22"/>
        <v>168256.55854577295</v>
      </c>
      <c r="M82" s="442">
        <f t="shared" si="22"/>
        <v>160722.68278999208</v>
      </c>
      <c r="N82" s="442">
        <f t="shared" si="22"/>
        <v>153188.8070342112</v>
      </c>
      <c r="O82" s="442">
        <f t="shared" si="22"/>
        <v>145654.93127843033</v>
      </c>
      <c r="P82" s="442">
        <f t="shared" si="22"/>
        <v>138121.05552264946</v>
      </c>
      <c r="Q82" s="442">
        <f t="shared" si="22"/>
        <v>130587.17976686859</v>
      </c>
      <c r="R82" s="442">
        <f t="shared" si="22"/>
        <v>123053.30401108772</v>
      </c>
      <c r="S82" s="442">
        <f t="shared" si="22"/>
        <v>115519.42825530685</v>
      </c>
      <c r="T82" s="442">
        <f t="shared" si="22"/>
        <v>107985.55249952598</v>
      </c>
      <c r="U82" s="442">
        <f t="shared" si="22"/>
        <v>100451.67674374511</v>
      </c>
      <c r="W82" s="420">
        <f t="shared" si="19"/>
        <v>3440469.9284732686</v>
      </c>
    </row>
    <row r="83" spans="1:44" outlineLevel="1">
      <c r="A83" s="443" t="s">
        <v>183</v>
      </c>
      <c r="B83" s="445">
        <f>Assumptions!$G$41</f>
        <v>2.5000000000000001E-3</v>
      </c>
      <c r="C83" s="445">
        <f>Assumptions!$G$42</f>
        <v>2.5000000000000001E-3</v>
      </c>
      <c r="D83" s="445">
        <f>Assumptions!$G$42</f>
        <v>2.5000000000000001E-3</v>
      </c>
      <c r="E83" s="445">
        <f>Assumptions!$G$42</f>
        <v>2.5000000000000001E-3</v>
      </c>
      <c r="F83" s="445">
        <f>Assumptions!$G$42</f>
        <v>2.5000000000000001E-3</v>
      </c>
      <c r="G83" s="445">
        <f>Assumptions!$G$42</f>
        <v>2.5000000000000001E-3</v>
      </c>
      <c r="H83" s="445">
        <f>Assumptions!$G$42</f>
        <v>2.5000000000000001E-3</v>
      </c>
      <c r="I83" s="445">
        <f>Assumptions!$G$42</f>
        <v>2.5000000000000001E-3</v>
      </c>
      <c r="J83" s="445">
        <f>Assumptions!$G$42</f>
        <v>2.5000000000000001E-3</v>
      </c>
      <c r="K83" s="445">
        <f>Assumptions!$G$42</f>
        <v>2.5000000000000001E-3</v>
      </c>
      <c r="L83" s="445">
        <f>Assumptions!$G$42</f>
        <v>2.5000000000000001E-3</v>
      </c>
      <c r="M83" s="445">
        <f>Assumptions!$G$42</f>
        <v>2.5000000000000001E-3</v>
      </c>
      <c r="N83" s="445">
        <f>Assumptions!$G$42</f>
        <v>2.5000000000000001E-3</v>
      </c>
      <c r="O83" s="445">
        <f>Assumptions!$G$42</f>
        <v>2.5000000000000001E-3</v>
      </c>
      <c r="P83" s="445">
        <f>Assumptions!$G$42</f>
        <v>2.5000000000000001E-3</v>
      </c>
      <c r="Q83" s="445">
        <f>Assumptions!$G$42</f>
        <v>2.5000000000000001E-3</v>
      </c>
      <c r="R83" s="445">
        <f>Assumptions!$G$42</f>
        <v>2.5000000000000001E-3</v>
      </c>
      <c r="S83" s="445">
        <f>Assumptions!$G$42</f>
        <v>2.5000000000000001E-3</v>
      </c>
      <c r="T83" s="445">
        <f>Assumptions!$G$42</f>
        <v>2.5000000000000001E-3</v>
      </c>
      <c r="U83" s="445">
        <f>Assumptions!$G$42</f>
        <v>2.5000000000000001E-3</v>
      </c>
      <c r="W83" s="420"/>
    </row>
    <row r="84" spans="1:44" outlineLevel="1">
      <c r="A84" s="224" t="s">
        <v>184</v>
      </c>
      <c r="B84" s="461">
        <v>608.98829025895418</v>
      </c>
      <c r="C84" s="461">
        <v>590.15360086950193</v>
      </c>
      <c r="D84" s="461">
        <v>571.31891148004979</v>
      </c>
      <c r="E84" s="461">
        <v>552.48422209059765</v>
      </c>
      <c r="F84" s="461">
        <v>533.6495327011454</v>
      </c>
      <c r="G84" s="461">
        <v>514.81484331169327</v>
      </c>
      <c r="H84" s="461">
        <v>495.98015392224107</v>
      </c>
      <c r="I84" s="461">
        <v>477.14546453278894</v>
      </c>
      <c r="J84" s="461">
        <v>458.31077514333674</v>
      </c>
      <c r="K84" s="461">
        <v>439.47608575388455</v>
      </c>
      <c r="L84" s="461">
        <v>420.64139636443235</v>
      </c>
      <c r="M84" s="461">
        <v>401.80670697498022</v>
      </c>
      <c r="N84" s="461">
        <v>382.97201758552802</v>
      </c>
      <c r="O84" s="461">
        <v>364.13732819607583</v>
      </c>
      <c r="P84" s="461">
        <v>345.30263880662363</v>
      </c>
      <c r="Q84" s="461">
        <v>326.4679494171715</v>
      </c>
      <c r="R84" s="461">
        <v>307.6332600277193</v>
      </c>
      <c r="S84" s="461">
        <v>288.79857063826711</v>
      </c>
      <c r="T84" s="461">
        <v>269.96388124881497</v>
      </c>
      <c r="U84" s="461">
        <v>251.12919185936278</v>
      </c>
      <c r="W84" s="420">
        <f t="shared" si="19"/>
        <v>8601.1748211831709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outlineLevel="1">
      <c r="A85" s="443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 outlineLevel="1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 outlineLevel="1">
      <c r="A89" s="21" t="s">
        <v>271</v>
      </c>
      <c r="B89" s="20">
        <f>B39-B12</f>
        <v>788.94105351089092</v>
      </c>
      <c r="C89" s="20">
        <f>C39-C12</f>
        <v>793.05281935967105</v>
      </c>
      <c r="D89" s="20">
        <f>D39-D12</f>
        <v>970.48993971606251</v>
      </c>
      <c r="E89" s="20">
        <f t="shared" ref="E89:U89" si="23">E39</f>
        <v>15908.379722207976</v>
      </c>
      <c r="F89" s="20">
        <f t="shared" si="23"/>
        <v>18251.441404091005</v>
      </c>
      <c r="G89" s="20">
        <f t="shared" si="23"/>
        <v>19143.670164650277</v>
      </c>
      <c r="H89" s="20">
        <f t="shared" si="23"/>
        <v>20189.77472322623</v>
      </c>
      <c r="I89" s="20">
        <f t="shared" si="23"/>
        <v>21266.271293314669</v>
      </c>
      <c r="J89" s="20">
        <f t="shared" si="23"/>
        <v>22487.055889810094</v>
      </c>
      <c r="K89" s="20">
        <f t="shared" si="23"/>
        <v>23790.105234627772</v>
      </c>
      <c r="L89" s="20">
        <f t="shared" si="23"/>
        <v>25410.96581977628</v>
      </c>
      <c r="M89" s="20">
        <f t="shared" si="23"/>
        <v>27120.799268740389</v>
      </c>
      <c r="N89" s="20">
        <f t="shared" si="23"/>
        <v>28536.457015750508</v>
      </c>
      <c r="O89" s="20">
        <f t="shared" si="23"/>
        <v>30297.047974450303</v>
      </c>
      <c r="P89" s="20">
        <f t="shared" si="23"/>
        <v>31642.224977691782</v>
      </c>
      <c r="Q89" s="20">
        <f t="shared" si="23"/>
        <v>33822.094264090782</v>
      </c>
      <c r="R89" s="20">
        <f t="shared" si="23"/>
        <v>35482.010546430916</v>
      </c>
      <c r="S89" s="20">
        <f t="shared" si="23"/>
        <v>37089.946449202871</v>
      </c>
      <c r="T89" s="20">
        <f t="shared" si="23"/>
        <v>38565.901981439718</v>
      </c>
      <c r="U89" s="20">
        <f t="shared" si="23"/>
        <v>40047.108003614499</v>
      </c>
      <c r="W89" s="420">
        <f>SUM(B89:U89)</f>
        <v>471603.73854570277</v>
      </c>
    </row>
    <row r="90" spans="1:44" outlineLevel="1">
      <c r="A90" s="21" t="s">
        <v>132</v>
      </c>
      <c r="B90" s="20">
        <f>B33</f>
        <v>7533.8757557808767</v>
      </c>
      <c r="C90" s="20">
        <f t="shared" ref="C90:U90" si="24">C33</f>
        <v>7533.8757557808767</v>
      </c>
      <c r="D90" s="20">
        <f t="shared" si="24"/>
        <v>7533.8757557808767</v>
      </c>
      <c r="E90" s="20">
        <f t="shared" si="24"/>
        <v>7533.8757557808767</v>
      </c>
      <c r="F90" s="20">
        <f t="shared" si="24"/>
        <v>7533.8757557808767</v>
      </c>
      <c r="G90" s="20">
        <f t="shared" si="24"/>
        <v>7533.8757557808767</v>
      </c>
      <c r="H90" s="20">
        <f t="shared" si="24"/>
        <v>7533.8757557808767</v>
      </c>
      <c r="I90" s="20">
        <f t="shared" si="24"/>
        <v>7533.8757557808767</v>
      </c>
      <c r="J90" s="20">
        <f t="shared" si="24"/>
        <v>7533.8757557808767</v>
      </c>
      <c r="K90" s="20">
        <f t="shared" si="24"/>
        <v>7533.8757557808767</v>
      </c>
      <c r="L90" s="20">
        <f t="shared" si="24"/>
        <v>7533.8757557808767</v>
      </c>
      <c r="M90" s="20">
        <f t="shared" si="24"/>
        <v>7533.8757557808767</v>
      </c>
      <c r="N90" s="20">
        <f t="shared" si="24"/>
        <v>7533.8757557808767</v>
      </c>
      <c r="O90" s="20">
        <f t="shared" si="24"/>
        <v>7533.8757557808767</v>
      </c>
      <c r="P90" s="20">
        <f t="shared" si="24"/>
        <v>7533.8757557808767</v>
      </c>
      <c r="Q90" s="20">
        <f t="shared" si="24"/>
        <v>7533.8757557808767</v>
      </c>
      <c r="R90" s="20">
        <f t="shared" si="24"/>
        <v>7533.8757557808767</v>
      </c>
      <c r="S90" s="20">
        <f t="shared" si="24"/>
        <v>7533.8757557808767</v>
      </c>
      <c r="T90" s="20">
        <f t="shared" si="24"/>
        <v>7533.8757557808767</v>
      </c>
      <c r="U90" s="20">
        <f t="shared" si="24"/>
        <v>7533.8757557808767</v>
      </c>
      <c r="W90" s="420">
        <f>SUM(B90:U90)</f>
        <v>150677.51511561748</v>
      </c>
    </row>
    <row r="91" spans="1:44" ht="15" outlineLevel="1">
      <c r="A91" s="21" t="s">
        <v>200</v>
      </c>
      <c r="B91" s="228">
        <f>-Depreciation!C87</f>
        <v>-11200.679497886205</v>
      </c>
      <c r="C91" s="228">
        <f>-Depreciation!D87</f>
        <v>-21281.291045983788</v>
      </c>
      <c r="D91" s="228">
        <f>-Depreciation!E87</f>
        <v>-19153.16194138541</v>
      </c>
      <c r="E91" s="228">
        <f>-Depreciation!F87</f>
        <v>-17249.046426744753</v>
      </c>
      <c r="F91" s="228">
        <f>-Depreciation!G87</f>
        <v>-15524.14178407028</v>
      </c>
      <c r="G91" s="228">
        <f>-Depreciation!H87</f>
        <v>-13956.046654366211</v>
      </c>
      <c r="H91" s="228">
        <f>-Depreciation!I87</f>
        <v>-13216.801807505721</v>
      </c>
      <c r="I91" s="228">
        <f>-Depreciation!J87</f>
        <v>-13239.203166501495</v>
      </c>
      <c r="J91" s="228">
        <f>-Depreciation!K87</f>
        <v>-13216.801807505721</v>
      </c>
      <c r="K91" s="228">
        <f>-Depreciation!L87</f>
        <v>-13239.203166501495</v>
      </c>
      <c r="L91" s="228">
        <f>-Depreciation!M87</f>
        <v>-13216.801807505721</v>
      </c>
      <c r="M91" s="228">
        <f>-Depreciation!N87</f>
        <v>-13239.203166501495</v>
      </c>
      <c r="N91" s="228">
        <f>-Depreciation!O87</f>
        <v>-13216.801807505721</v>
      </c>
      <c r="O91" s="228">
        <f>-Depreciation!P87</f>
        <v>-13239.203166501495</v>
      </c>
      <c r="P91" s="228">
        <f>-Depreciation!Q87</f>
        <v>-13216.801807505721</v>
      </c>
      <c r="Q91" s="228">
        <f>-Depreciation!R87</f>
        <v>-6608.4009037528604</v>
      </c>
      <c r="R91" s="228">
        <f>-Depreciation!S87</f>
        <v>0</v>
      </c>
      <c r="S91" s="228">
        <f>-Depreciation!T87</f>
        <v>0</v>
      </c>
      <c r="T91" s="228">
        <f>-Depreciation!U87</f>
        <v>0</v>
      </c>
      <c r="U91" s="228">
        <f>-Depreciation!V87</f>
        <v>0</v>
      </c>
      <c r="W91" s="421">
        <f>SUM(B91:U91)</f>
        <v>-224013.58995772406</v>
      </c>
    </row>
    <row r="92" spans="1:44" outlineLevel="1">
      <c r="A92" s="227" t="s">
        <v>131</v>
      </c>
      <c r="B92" s="22">
        <f t="shared" ref="B92:U92" si="25">SUM(B89:B91)</f>
        <v>-2877.8626885944377</v>
      </c>
      <c r="C92" s="22">
        <f t="shared" si="25"/>
        <v>-12954.36247084324</v>
      </c>
      <c r="D92" s="22">
        <f t="shared" si="25"/>
        <v>-10648.79624588847</v>
      </c>
      <c r="E92" s="22">
        <f t="shared" si="25"/>
        <v>6193.2090512440991</v>
      </c>
      <c r="F92" s="22">
        <f t="shared" si="25"/>
        <v>10261.175375801604</v>
      </c>
      <c r="G92" s="22">
        <f t="shared" si="25"/>
        <v>12721.499266064944</v>
      </c>
      <c r="H92" s="22">
        <f t="shared" si="25"/>
        <v>14506.848671501384</v>
      </c>
      <c r="I92" s="22">
        <f t="shared" si="25"/>
        <v>15560.943882594052</v>
      </c>
      <c r="J92" s="22">
        <f t="shared" si="25"/>
        <v>16804.129838085253</v>
      </c>
      <c r="K92" s="22">
        <f t="shared" si="25"/>
        <v>18084.777823907156</v>
      </c>
      <c r="L92" s="22">
        <f t="shared" si="25"/>
        <v>19728.039768051436</v>
      </c>
      <c r="M92" s="22">
        <f t="shared" si="25"/>
        <v>21415.471858019773</v>
      </c>
      <c r="N92" s="22">
        <f t="shared" si="25"/>
        <v>22853.530964025667</v>
      </c>
      <c r="O92" s="22">
        <f t="shared" si="25"/>
        <v>24591.720563729687</v>
      </c>
      <c r="P92" s="22">
        <f t="shared" si="25"/>
        <v>25959.298925966941</v>
      </c>
      <c r="Q92" s="22">
        <f t="shared" si="25"/>
        <v>34747.569116118801</v>
      </c>
      <c r="R92" s="22">
        <f t="shared" si="25"/>
        <v>43015.886302211795</v>
      </c>
      <c r="S92" s="22">
        <f t="shared" si="25"/>
        <v>44623.82220498375</v>
      </c>
      <c r="T92" s="22">
        <f t="shared" si="25"/>
        <v>46099.777737220596</v>
      </c>
      <c r="U92" s="22">
        <f t="shared" si="25"/>
        <v>47580.983759395378</v>
      </c>
      <c r="W92" s="420">
        <f>SUM(B92:U92)</f>
        <v>398267.66370359616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39</v>
      </c>
      <c r="B94" s="418">
        <f>Assumptions!$G$38</f>
        <v>0.06</v>
      </c>
      <c r="C94" s="418">
        <f>Assumptions!$G$38</f>
        <v>0.06</v>
      </c>
      <c r="D94" s="418">
        <f>Assumptions!$G$38</f>
        <v>0.06</v>
      </c>
      <c r="E94" s="418">
        <f>Assumptions!$G$38</f>
        <v>0.06</v>
      </c>
      <c r="F94" s="418">
        <f>Assumptions!$G$38</f>
        <v>0.06</v>
      </c>
      <c r="G94" s="418">
        <f>Assumptions!$G$38</f>
        <v>0.06</v>
      </c>
      <c r="H94" s="418">
        <f>Assumptions!$G$38</f>
        <v>0.06</v>
      </c>
      <c r="I94" s="418">
        <f>Assumptions!$G$38</f>
        <v>0.06</v>
      </c>
      <c r="J94" s="418">
        <f>Assumptions!$G$38</f>
        <v>0.06</v>
      </c>
      <c r="K94" s="418">
        <f>Assumptions!$G$38</f>
        <v>0.06</v>
      </c>
      <c r="L94" s="418">
        <f>Assumptions!$G$38</f>
        <v>0.06</v>
      </c>
      <c r="M94" s="418">
        <f>Assumptions!$G$38</f>
        <v>0.06</v>
      </c>
      <c r="N94" s="418">
        <f>Assumptions!$G$38</f>
        <v>0.06</v>
      </c>
      <c r="O94" s="418">
        <f>Assumptions!$G$38</f>
        <v>0.06</v>
      </c>
      <c r="P94" s="418">
        <f>Assumptions!$G$38</f>
        <v>0.06</v>
      </c>
      <c r="Q94" s="418">
        <f>Assumptions!$G$38</f>
        <v>0.06</v>
      </c>
      <c r="R94" s="418">
        <f>Assumptions!$G$38</f>
        <v>0.06</v>
      </c>
      <c r="S94" s="418">
        <f>Assumptions!$G$38</f>
        <v>0.06</v>
      </c>
      <c r="T94" s="418">
        <f>Assumptions!$G$38</f>
        <v>0.06</v>
      </c>
      <c r="U94" s="418">
        <f>Assumptions!$G$38</f>
        <v>0.06</v>
      </c>
    </row>
    <row r="95" spans="1:44" outlineLevel="1">
      <c r="A95" s="21" t="s">
        <v>133</v>
      </c>
      <c r="B95" s="20">
        <f>B92*B94</f>
        <v>-172.67176131566626</v>
      </c>
      <c r="C95" s="20">
        <f t="shared" ref="C95:U95" si="26">C92*C94</f>
        <v>-777.26174825059434</v>
      </c>
      <c r="D95" s="20">
        <f t="shared" si="26"/>
        <v>-638.9277747533082</v>
      </c>
      <c r="E95" s="20">
        <f t="shared" si="26"/>
        <v>371.59254307464596</v>
      </c>
      <c r="F95" s="20">
        <f t="shared" si="26"/>
        <v>615.67052254809619</v>
      </c>
      <c r="G95" s="20">
        <f t="shared" si="26"/>
        <v>763.28995596389666</v>
      </c>
      <c r="H95" s="20">
        <f t="shared" si="26"/>
        <v>870.41092029008303</v>
      </c>
      <c r="I95" s="20">
        <f t="shared" si="26"/>
        <v>933.65663295564309</v>
      </c>
      <c r="J95" s="20">
        <f t="shared" si="26"/>
        <v>1008.2477902851151</v>
      </c>
      <c r="K95" s="20">
        <f t="shared" si="26"/>
        <v>1085.0866694344293</v>
      </c>
      <c r="L95" s="20">
        <f t="shared" si="26"/>
        <v>1183.6823860830862</v>
      </c>
      <c r="M95" s="20">
        <f t="shared" si="26"/>
        <v>1284.9283114811863</v>
      </c>
      <c r="N95" s="20">
        <f t="shared" si="26"/>
        <v>1371.21185784154</v>
      </c>
      <c r="O95" s="20">
        <f t="shared" si="26"/>
        <v>1475.5032338237811</v>
      </c>
      <c r="P95" s="20">
        <f t="shared" si="26"/>
        <v>1557.5579355580164</v>
      </c>
      <c r="Q95" s="20">
        <f t="shared" si="26"/>
        <v>2084.8541469671281</v>
      </c>
      <c r="R95" s="20">
        <f t="shared" si="26"/>
        <v>2580.9531781327078</v>
      </c>
      <c r="S95" s="20">
        <f t="shared" si="26"/>
        <v>2677.4293322990247</v>
      </c>
      <c r="T95" s="20">
        <f t="shared" si="26"/>
        <v>2765.9866642332358</v>
      </c>
      <c r="U95" s="20">
        <f t="shared" si="26"/>
        <v>2854.8590255637228</v>
      </c>
    </row>
    <row r="96" spans="1:44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134</v>
      </c>
      <c r="B97" s="20">
        <v>0</v>
      </c>
      <c r="C97" s="20">
        <f t="shared" ref="C97:U97" si="27">B101</f>
        <v>172.67176131566626</v>
      </c>
      <c r="D97" s="20">
        <f t="shared" si="27"/>
        <v>949.93350956626057</v>
      </c>
      <c r="E97" s="20">
        <f t="shared" si="27"/>
        <v>1588.8612843195688</v>
      </c>
      <c r="F97" s="20">
        <f t="shared" si="27"/>
        <v>1217.2687412449227</v>
      </c>
      <c r="G97" s="20">
        <f t="shared" si="27"/>
        <v>601.59821869682651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 outlineLevel="1">
      <c r="A98" s="21" t="s">
        <v>135</v>
      </c>
      <c r="B98" s="239">
        <f t="shared" ref="B98:U98" si="28">IF(B68&gt;2020,0,IF(B95&lt;0,-B95,0))</f>
        <v>172.67176131566626</v>
      </c>
      <c r="C98" s="239">
        <f t="shared" si="28"/>
        <v>777.26174825059434</v>
      </c>
      <c r="D98" s="239">
        <f t="shared" si="28"/>
        <v>638.9277747533082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 outlineLevel="1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 outlineLevel="1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-371.59254307464596</v>
      </c>
      <c r="F100" s="230">
        <f t="shared" si="29"/>
        <v>-615.67052254809619</v>
      </c>
      <c r="G100" s="230">
        <f t="shared" si="29"/>
        <v>-601.59821869682651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 outlineLevel="1">
      <c r="A101" s="17" t="s">
        <v>138</v>
      </c>
      <c r="B101" s="230">
        <f t="shared" ref="B101:U101" si="30">SUM(B97:B100)</f>
        <v>172.67176131566626</v>
      </c>
      <c r="C101" s="230">
        <f t="shared" si="30"/>
        <v>949.93350956626057</v>
      </c>
      <c r="D101" s="230">
        <f t="shared" si="30"/>
        <v>1588.8612843195688</v>
      </c>
      <c r="E101" s="230">
        <f t="shared" si="30"/>
        <v>1217.2687412449227</v>
      </c>
      <c r="F101" s="230">
        <f t="shared" si="30"/>
        <v>601.59821869682651</v>
      </c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 outlineLevel="1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outlineLevel="1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0</v>
      </c>
      <c r="G103" s="327">
        <f t="shared" si="31"/>
        <v>161.69173726707015</v>
      </c>
      <c r="H103" s="327">
        <f t="shared" si="31"/>
        <v>870.41092029008303</v>
      </c>
      <c r="I103" s="327">
        <f t="shared" si="31"/>
        <v>933.65663295564309</v>
      </c>
      <c r="J103" s="327">
        <f t="shared" si="31"/>
        <v>1008.2477902851151</v>
      </c>
      <c r="K103" s="327">
        <f t="shared" si="31"/>
        <v>1085.0866694344293</v>
      </c>
      <c r="L103" s="327">
        <f t="shared" si="31"/>
        <v>1183.6823860830862</v>
      </c>
      <c r="M103" s="327">
        <f t="shared" si="31"/>
        <v>1284.9283114811863</v>
      </c>
      <c r="N103" s="327">
        <f t="shared" si="31"/>
        <v>1371.21185784154</v>
      </c>
      <c r="O103" s="327">
        <f t="shared" si="31"/>
        <v>1475.5032338237811</v>
      </c>
      <c r="P103" s="327">
        <f t="shared" si="31"/>
        <v>1557.5579355580164</v>
      </c>
      <c r="Q103" s="327">
        <f t="shared" si="31"/>
        <v>2084.8541469671281</v>
      </c>
      <c r="R103" s="327">
        <f t="shared" si="31"/>
        <v>2580.9531781327078</v>
      </c>
      <c r="S103" s="327">
        <f t="shared" si="31"/>
        <v>2677.4293322990247</v>
      </c>
      <c r="T103" s="327">
        <f t="shared" si="31"/>
        <v>2765.9866642332358</v>
      </c>
      <c r="U103" s="327">
        <f t="shared" si="31"/>
        <v>2854.8590255637228</v>
      </c>
      <c r="W103" s="420">
        <f>SUM(B103:U103)</f>
        <v>23896.059822215771</v>
      </c>
    </row>
    <row r="104" spans="1:23" outlineLevel="1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4.25" outlineLevel="1">
      <c r="A106" s="75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19"/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1:23" outlineLevel="1">
      <c r="A108" s="7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2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23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8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8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15" customHeight="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4.2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outlineLevel="1">
      <c r="A131" s="83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outlineLevel="1">
      <c r="A132" s="83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7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7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8.75" outlineLevel="1">
      <c r="A138" s="84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5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outlineLevel="1">
      <c r="A140" s="5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2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outlineLevel="1">
      <c r="A144" s="80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8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6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2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8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0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1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2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82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8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80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80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outlineLevel="1">
      <c r="A187" s="7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outlineLevel="1">
      <c r="A188" s="7"/>
      <c r="B188" s="7"/>
      <c r="C188" s="7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8.75" outlineLevel="1">
      <c r="A189" s="8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5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2"/>
      <c r="B193" s="9"/>
      <c r="C193" s="9"/>
      <c r="D193" s="9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5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8.75" outlineLevel="1">
      <c r="A242" s="8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s="90" customFormat="1" outlineLevel="1">
      <c r="A246" s="89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8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94"/>
      <c r="B254" s="7"/>
      <c r="C254" s="59"/>
      <c r="D254" s="59"/>
      <c r="E254" s="59"/>
      <c r="F254" s="59"/>
      <c r="G254" s="59"/>
      <c r="H254" s="5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95"/>
      <c r="D258" s="95"/>
      <c r="E258" s="95"/>
      <c r="F258" s="95"/>
      <c r="G258" s="95"/>
      <c r="H258" s="9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6"/>
      <c r="D259" s="96"/>
      <c r="E259" s="96"/>
      <c r="F259" s="96"/>
      <c r="G259" s="96"/>
      <c r="H259" s="9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4"/>
      <c r="B260" s="7"/>
      <c r="C260" s="96"/>
      <c r="D260" s="96"/>
      <c r="E260" s="96"/>
      <c r="F260" s="96"/>
      <c r="G260" s="96"/>
      <c r="H260" s="9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9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1"/>
      <c r="D271" s="91"/>
      <c r="E271" s="91"/>
      <c r="F271" s="91"/>
      <c r="G271" s="91"/>
      <c r="H271" s="9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1"/>
      <c r="D272" s="91"/>
      <c r="E272" s="91"/>
      <c r="F272" s="91"/>
      <c r="G272" s="91"/>
      <c r="H272" s="9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9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7"/>
      <c r="B282" s="98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97"/>
      <c r="C283" s="98"/>
      <c r="D283" s="98"/>
      <c r="E283" s="98"/>
      <c r="F283" s="98"/>
      <c r="G283" s="98"/>
      <c r="H283" s="9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87"/>
      <c r="D290" s="87"/>
      <c r="E290" s="87"/>
      <c r="F290" s="87"/>
      <c r="G290" s="87"/>
      <c r="H290" s="8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9"/>
      <c r="D292" s="99"/>
      <c r="E292" s="99"/>
      <c r="F292" s="99"/>
      <c r="G292" s="99"/>
      <c r="H292" s="9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87"/>
      <c r="D293" s="87"/>
      <c r="E293" s="87"/>
      <c r="F293" s="87"/>
      <c r="G293" s="87"/>
      <c r="H293" s="8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hidden="1" outlineLevel="2">
      <c r="A297" s="84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idden="1" outlineLevel="2">
      <c r="A298" s="5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idden="1" outlineLevel="2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11"/>
      <c r="C300" s="11"/>
      <c r="D300" s="10"/>
      <c r="E300" s="10"/>
      <c r="F300" s="11"/>
      <c r="G300" s="11"/>
      <c r="H300" s="10"/>
      <c r="I300" s="11"/>
      <c r="J300" s="11"/>
      <c r="K300" s="11"/>
      <c r="L300" s="10"/>
      <c r="M300" s="11"/>
      <c r="N300" s="11"/>
      <c r="O300" s="7"/>
      <c r="P300" s="7"/>
      <c r="Q300" s="7"/>
      <c r="R300" s="7"/>
      <c r="S300" s="7"/>
      <c r="T300" s="11"/>
      <c r="U300" s="7"/>
    </row>
    <row r="301" spans="1:21" hidden="1" outlineLevel="2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2">
      <c r="A303" s="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7"/>
      <c r="P303" s="7"/>
      <c r="Q303" s="7"/>
      <c r="R303" s="7"/>
      <c r="S303" s="7"/>
      <c r="T303" s="8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98"/>
      <c r="C305" s="98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87"/>
      <c r="V307" s="87"/>
      <c r="W307" s="87"/>
      <c r="X307" s="87"/>
      <c r="Y307" s="87"/>
      <c r="Z307" s="8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1" collapsed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t="18.75" outlineLevel="1">
      <c r="A318" s="8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5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1">
      <c r="A320" s="5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outlineLevel="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2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outlineLevel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8.75" outlineLevel="1">
      <c r="A368" s="8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86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5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5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7"/>
      <c r="P424" s="7"/>
      <c r="Q424" s="7"/>
      <c r="R424" s="7"/>
      <c r="S424" s="7"/>
      <c r="T424" s="7"/>
      <c r="U424" s="7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2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8.75" outlineLevel="1">
      <c r="A431" s="8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outlineLevel="1">
      <c r="A432" s="5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outlineLevel="1">
      <c r="A436" s="7"/>
      <c r="B436" s="7"/>
      <c r="C436" s="7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7"/>
      <c r="C437" s="73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"/>
      <c r="P441" s="7"/>
      <c r="Q441" s="7"/>
      <c r="R441" s="7"/>
      <c r="S441" s="7"/>
      <c r="T441" s="7"/>
      <c r="U441" s="7"/>
    </row>
    <row r="442" spans="1:21" outlineLevel="1">
      <c r="A442" s="94"/>
      <c r="B442" s="7"/>
      <c r="C442" s="73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94"/>
      <c r="B443" s="7"/>
      <c r="C443" s="73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7"/>
      <c r="P443" s="7"/>
      <c r="Q443" s="7"/>
      <c r="R443" s="7"/>
      <c r="S443" s="7"/>
      <c r="T443" s="7"/>
      <c r="U443" s="7"/>
    </row>
    <row r="444" spans="1:21" outlineLevel="1">
      <c r="A444" s="57"/>
      <c r="B444" s="7"/>
      <c r="C444" s="7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102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57"/>
      <c r="B447" s="7"/>
      <c r="C447" s="73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s="106" customFormat="1" ht="18.75" outlineLevel="1">
      <c r="A452" s="104"/>
      <c r="B452" s="105"/>
      <c r="C452" s="105"/>
    </row>
    <row r="453" spans="1:21" s="106" customFormat="1" outlineLevel="1">
      <c r="A453" s="105"/>
      <c r="B453" s="107"/>
      <c r="C453" s="108"/>
      <c r="D453" s="105"/>
      <c r="E453" s="109"/>
    </row>
    <row r="454" spans="1:21" s="106" customFormat="1" outlineLevel="1">
      <c r="A454" s="105"/>
      <c r="B454" s="110"/>
      <c r="C454" s="88"/>
      <c r="D454" s="88"/>
      <c r="E454" s="109"/>
    </row>
    <row r="455" spans="1:21" s="106" customFormat="1" outlineLevel="1">
      <c r="A455" s="105"/>
      <c r="B455" s="88"/>
      <c r="C455" s="109"/>
      <c r="D455" s="88"/>
      <c r="E455" s="110"/>
    </row>
    <row r="456" spans="1:21" s="106" customFormat="1" outlineLevel="1">
      <c r="A456" s="111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</row>
    <row r="457" spans="1:21" s="106" customFormat="1" outlineLevel="1">
      <c r="A457" s="80"/>
      <c r="B457" s="105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6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113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113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8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0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79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9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2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6" customFormat="1" outlineLevel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ht="13.9" customHeight="1" outlineLevel="1">
      <c r="A484" s="78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16" customFormat="1" outlineLevel="1">
      <c r="A485" s="115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9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16" customFormat="1" outlineLevel="1">
      <c r="A492" s="117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9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8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8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 outlineLevel="1">
      <c r="A502" s="117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80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 s="80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outlineLevel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outlineLevel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8.75" outlineLevel="1">
      <c r="A511" s="8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118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6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119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5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1" collapsed="1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1">
      <c r="A542" s="5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0"/>
  <sheetViews>
    <sheetView zoomScale="75" zoomScaleNormal="75" workbookViewId="0">
      <selection activeCell="A5" sqref="A5"/>
    </sheetView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85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1888.9563105357156</v>
      </c>
      <c r="AA7" s="470">
        <f>C10+C11</f>
        <v>1945.6249998517872</v>
      </c>
      <c r="AB7" s="470">
        <f>D10+D11</f>
        <v>2003.993749847341</v>
      </c>
      <c r="AC7" s="470">
        <f t="shared" ref="AC7:AS7" si="1">E16</f>
        <v>1726.4609193427605</v>
      </c>
      <c r="AD7" s="470">
        <f t="shared" si="1"/>
        <v>1778.2547469230433</v>
      </c>
      <c r="AE7" s="470">
        <f t="shared" si="1"/>
        <v>1831.6023893307347</v>
      </c>
      <c r="AF7" s="470">
        <f t="shared" si="1"/>
        <v>1886.5504610106568</v>
      </c>
      <c r="AG7" s="470">
        <f t="shared" si="1"/>
        <v>1943.1469748409763</v>
      </c>
      <c r="AH7" s="470">
        <f t="shared" si="1"/>
        <v>2001.441384086206</v>
      </c>
      <c r="AI7" s="470">
        <f t="shared" si="1"/>
        <v>2061.4846256087922</v>
      </c>
      <c r="AJ7" s="470">
        <f t="shared" si="1"/>
        <v>2123.3291643770558</v>
      </c>
      <c r="AK7" s="470">
        <f t="shared" si="1"/>
        <v>2187.0290393083674</v>
      </c>
      <c r="AL7" s="470">
        <f t="shared" si="1"/>
        <v>2252.6399104876177</v>
      </c>
      <c r="AM7" s="470">
        <f t="shared" si="1"/>
        <v>2320.219107802247</v>
      </c>
      <c r="AN7" s="470">
        <f t="shared" si="1"/>
        <v>2389.8256810363146</v>
      </c>
      <c r="AO7" s="470">
        <f t="shared" si="1"/>
        <v>2461.5204514674033</v>
      </c>
      <c r="AP7" s="470">
        <f t="shared" si="1"/>
        <v>2535.3660650114257</v>
      </c>
      <c r="AQ7" s="470">
        <f t="shared" si="1"/>
        <v>2611.4270469617682</v>
      </c>
      <c r="AR7" s="470">
        <f t="shared" si="1"/>
        <v>2689.7698583706215</v>
      </c>
      <c r="AS7" s="470">
        <f t="shared" si="1"/>
        <v>2770.4629541217396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1888.9563105357156</v>
      </c>
      <c r="AA8" s="491">
        <f>C23+C24</f>
        <v>1945.6249998517872</v>
      </c>
      <c r="AB8" s="491">
        <f>D23+D24</f>
        <v>2003.993749847341</v>
      </c>
      <c r="AC8" s="491">
        <f t="shared" ref="AC8:AS8" si="2">E23+1/3*E24</f>
        <v>1726.4609193427605</v>
      </c>
      <c r="AD8" s="491">
        <f t="shared" si="2"/>
        <v>1778.2547469230433</v>
      </c>
      <c r="AE8" s="491">
        <f t="shared" si="2"/>
        <v>1831.6023893307347</v>
      </c>
      <c r="AF8" s="491">
        <f t="shared" si="2"/>
        <v>1886.5504610106568</v>
      </c>
      <c r="AG8" s="491">
        <f t="shared" si="2"/>
        <v>1943.1469748409766</v>
      </c>
      <c r="AH8" s="491">
        <f t="shared" si="2"/>
        <v>2001.4413840862062</v>
      </c>
      <c r="AI8" s="491">
        <f t="shared" si="2"/>
        <v>2061.4846256087922</v>
      </c>
      <c r="AJ8" s="491">
        <f t="shared" si="2"/>
        <v>2123.3291643770558</v>
      </c>
      <c r="AK8" s="491">
        <f t="shared" si="2"/>
        <v>2187.0290393083674</v>
      </c>
      <c r="AL8" s="491">
        <f t="shared" si="2"/>
        <v>2252.6399104876182</v>
      </c>
      <c r="AM8" s="491">
        <f t="shared" si="2"/>
        <v>2320.219107802247</v>
      </c>
      <c r="AN8" s="491">
        <f t="shared" si="2"/>
        <v>2389.8256810363146</v>
      </c>
      <c r="AO8" s="491">
        <f t="shared" si="2"/>
        <v>2461.5204514674033</v>
      </c>
      <c r="AP8" s="491">
        <f t="shared" si="2"/>
        <v>2535.3660650114257</v>
      </c>
      <c r="AQ8" s="491">
        <f t="shared" si="2"/>
        <v>2611.4270469617686</v>
      </c>
      <c r="AR8" s="491">
        <f t="shared" si="2"/>
        <v>2689.7698583706215</v>
      </c>
      <c r="AS8" s="491">
        <f t="shared" si="2"/>
        <v>2770.46295412174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Assumption'!C40*12*Assumptions!$H$9</f>
        <v>22560</v>
      </c>
      <c r="C9" s="56">
        <f>'Power Price Assumption'!D40*12*Assumptions!$H$9</f>
        <v>22560</v>
      </c>
      <c r="D9" s="56">
        <f>'Power Price Assumption'!E40*12*Assumptions!$H$9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469"/>
      <c r="Z9" s="493">
        <f>Z7-Z8</f>
        <v>0</v>
      </c>
      <c r="AA9" s="493">
        <f t="shared" ref="AA9:AS9" si="3">AA7-AA8</f>
        <v>0</v>
      </c>
      <c r="AB9" s="493">
        <f t="shared" si="3"/>
        <v>0</v>
      </c>
      <c r="AC9" s="493">
        <f t="shared" si="3"/>
        <v>0</v>
      </c>
      <c r="AD9" s="493">
        <f t="shared" si="3"/>
        <v>0</v>
      </c>
      <c r="AE9" s="493">
        <f t="shared" si="3"/>
        <v>0</v>
      </c>
      <c r="AF9" s="493">
        <f t="shared" si="3"/>
        <v>0</v>
      </c>
      <c r="AG9" s="493">
        <f t="shared" si="3"/>
        <v>0</v>
      </c>
      <c r="AH9" s="493">
        <f t="shared" si="3"/>
        <v>0</v>
      </c>
      <c r="AI9" s="493">
        <f t="shared" si="3"/>
        <v>0</v>
      </c>
      <c r="AJ9" s="493">
        <f t="shared" si="3"/>
        <v>0</v>
      </c>
      <c r="AK9" s="493">
        <f t="shared" si="3"/>
        <v>0</v>
      </c>
      <c r="AL9" s="493">
        <f t="shared" si="3"/>
        <v>0</v>
      </c>
      <c r="AM9" s="493">
        <f t="shared" si="3"/>
        <v>0</v>
      </c>
      <c r="AN9" s="493">
        <f t="shared" si="3"/>
        <v>0</v>
      </c>
      <c r="AO9" s="493">
        <f t="shared" si="3"/>
        <v>0</v>
      </c>
      <c r="AP9" s="493">
        <f t="shared" si="3"/>
        <v>0</v>
      </c>
      <c r="AQ9" s="493">
        <f t="shared" si="3"/>
        <v>0</v>
      </c>
      <c r="AR9" s="493">
        <f t="shared" si="3"/>
        <v>0</v>
      </c>
      <c r="AS9" s="493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Assumptions!H19*Assumptions!H17/1000*(1+Assumptions!$H$25)</f>
        <v>1425.4563105357156</v>
      </c>
      <c r="C10" s="56">
        <f>B10*(1+Assumptions!$H$25)</f>
        <v>1468.2199998517872</v>
      </c>
      <c r="D10" s="56">
        <f>C10*(1+Assumptions!$H$25)</f>
        <v>1512.2665998473408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4405.942910234844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Assumptions!$H$18*Assumptions!$H$11*Assumptions!$H$8/1000*(1+Assumptions!$H$25)</f>
        <v>463.5</v>
      </c>
      <c r="C11" s="91">
        <f>B11*(1+Assumptions!$H$25)</f>
        <v>477.40500000000003</v>
      </c>
      <c r="D11" s="91">
        <f>C11*(1+Assumptions!$H$25)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Contract'!$C$35/3</f>
        <v>9602.8202017346175</v>
      </c>
      <c r="C12" s="127">
        <f>'Amortization of Power Contract'!$C$35/3</f>
        <v>9602.8202017346175</v>
      </c>
      <c r="D12" s="127">
        <f>'Amortization of Power Contract'!$C$35/3</f>
        <v>9602.8202017346175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28808.460605203851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Assumption'!F40*Assumptions!$H$9*12</f>
        <v>38186.125205806944</v>
      </c>
      <c r="F15" s="19">
        <f>'Power Price Assumption'!G40*Assumptions!$H$9*12</f>
        <v>40210.726030066122</v>
      </c>
      <c r="G15" s="19">
        <f>'Power Price Assumption'!H40*Assumptions!$H$9*12</f>
        <v>41027.476548845225</v>
      </c>
      <c r="H15" s="19">
        <f>'Power Price Assumption'!I40*Assumptions!$H$9*12</f>
        <v>41860.816706155776</v>
      </c>
      <c r="I15" s="19">
        <f>'Power Price Assumption'!J40*Assumptions!$H$9*12</f>
        <v>42711.083466713768</v>
      </c>
      <c r="J15" s="19">
        <f>'Power Price Assumption'!K40*Assumptions!$H$9*12</f>
        <v>43578.620639580855</v>
      </c>
      <c r="K15" s="19">
        <f>'Power Price Assumption'!L40*Assumptions!$H$9*12</f>
        <v>44463.779017184934</v>
      </c>
      <c r="L15" s="19">
        <f>'Power Price Assumption'!M40*Assumptions!$H$9*12</f>
        <v>45033.969458996071</v>
      </c>
      <c r="M15" s="19">
        <f>'Power Price Assumption'!N40*Assumptions!$H$9*12</f>
        <v>45611.471855551499</v>
      </c>
      <c r="N15" s="19">
        <f>'Power Price Assumption'!O40*Assumptions!$H$9*12</f>
        <v>46196.379973211093</v>
      </c>
      <c r="O15" s="19">
        <f>'Power Price Assumption'!P40*Assumptions!$H$9*12</f>
        <v>46788.788780767012</v>
      </c>
      <c r="P15" s="19">
        <f>'Power Price Assumption'!Q40*Assumptions!$H$9*12</f>
        <v>47388.794464863364</v>
      </c>
      <c r="Q15" s="19">
        <f>'Power Price Assumption'!R40*Assumptions!$H$9*12</f>
        <v>48105.317812997419</v>
      </c>
      <c r="R15" s="19">
        <f>'Power Price Assumption'!S40*Assumptions!$H$9*12</f>
        <v>48832.675066366217</v>
      </c>
      <c r="S15" s="19">
        <f>'Power Price Assumption'!T40*Assumptions!$H$9*12</f>
        <v>49571.030034708747</v>
      </c>
      <c r="T15" s="19">
        <f>'Power Price Assumption'!U40*Assumptions!$H$9*12</f>
        <v>50320.549004583765</v>
      </c>
      <c r="U15" s="19">
        <f>'Power Price Assumption'!V40*Assumptions!$H$9*12</f>
        <v>51081.400776819544</v>
      </c>
      <c r="W15" s="91">
        <f>SUM(B15:U15)</f>
        <v>770969.00484321837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1/3*Assumptions!$H$18*Assumptions!$H$11*Assumptions!$H$8/1000*(1+Assumptions!$H$25)^(E5-2000)+Assumptions!$H$19*Assumptions!$H$17*(1+Assumptions!$H$25)^(E5-2000)/1000</f>
        <v>1726.4609193427605</v>
      </c>
      <c r="F16" s="127">
        <f>1/3*Assumptions!$H$18*Assumptions!$H$11*Assumptions!$H$8/1000*(1+Assumptions!$H$25)^(F5-2000)+Assumptions!$H$19*Assumptions!$H$17*(1+Assumptions!$H$25)^(F5-2000)/1000</f>
        <v>1778.2547469230433</v>
      </c>
      <c r="G16" s="127">
        <f>1/3*Assumptions!$H$18*Assumptions!$H$11*Assumptions!$H$8/1000*(1+Assumptions!$H$25)^(G5-2000)+Assumptions!$H$19*Assumptions!$H$17*(1+Assumptions!$H$25)^(G5-2000)/1000</f>
        <v>1831.6023893307347</v>
      </c>
      <c r="H16" s="127">
        <f>1/3*Assumptions!$H$18*Assumptions!$H$11*Assumptions!$H$8/1000*(1+Assumptions!$H$25)^(H5-2000)+Assumptions!$H$19*Assumptions!$H$17*(1+Assumptions!$H$25)^(H5-2000)/1000</f>
        <v>1886.5504610106568</v>
      </c>
      <c r="I16" s="127">
        <f>1/3*Assumptions!$H$18*Assumptions!$H$11*Assumptions!$H$8/1000*(1+Assumptions!$H$25)^(I5-2000)+Assumptions!$H$19*Assumptions!$H$17*(1+Assumptions!$H$25)^(I5-2000)/1000</f>
        <v>1943.1469748409763</v>
      </c>
      <c r="J16" s="127">
        <f>1/3*Assumptions!$H$18*Assumptions!$H$11*Assumptions!$H$8/1000*(1+Assumptions!$H$25)^(J5-2000)+Assumptions!$H$19*Assumptions!$H$17*(1+Assumptions!$H$25)^(J5-2000)/1000</f>
        <v>2001.441384086206</v>
      </c>
      <c r="K16" s="127">
        <f>1/3*Assumptions!$H$18*Assumptions!$H$11*Assumptions!$H$8/1000*(1+Assumptions!$H$25)^(K5-2000)+Assumptions!$H$19*Assumptions!$H$17*(1+Assumptions!$H$25)^(K5-2000)/1000</f>
        <v>2061.4846256087922</v>
      </c>
      <c r="L16" s="127">
        <f>1/3*Assumptions!$H$18*Assumptions!$H$11*Assumptions!$H$8/1000*(1+Assumptions!$H$25)^(L5-2000)+Assumptions!$H$19*Assumptions!$H$17*(1+Assumptions!$H$25)^(L5-2000)/1000</f>
        <v>2123.3291643770558</v>
      </c>
      <c r="M16" s="127">
        <f>1/3*Assumptions!$H$18*Assumptions!$H$11*Assumptions!$H$8/1000*(1+Assumptions!$H$25)^(M5-2000)+Assumptions!$H$19*Assumptions!$H$17*(1+Assumptions!$H$25)^(M5-2000)/1000</f>
        <v>2187.0290393083674</v>
      </c>
      <c r="N16" s="127">
        <f>1/3*Assumptions!$H$18*Assumptions!$H$11*Assumptions!$H$8/1000*(1+Assumptions!$H$25)^(N5-2000)+Assumptions!$H$19*Assumptions!$H$17*(1+Assumptions!$H$25)^(N5-2000)/1000</f>
        <v>2252.6399104876177</v>
      </c>
      <c r="O16" s="127">
        <f>1/3*Assumptions!$H$18*Assumptions!$H$11*Assumptions!$H$8/1000*(1+Assumptions!$H$25)^(O5-2000)+Assumptions!$H$19*Assumptions!$H$17*(1+Assumptions!$H$25)^(O5-2000)/1000</f>
        <v>2320.219107802247</v>
      </c>
      <c r="P16" s="127">
        <f>1/3*Assumptions!$H$18*Assumptions!$H$11*Assumptions!$H$8/1000*(1+Assumptions!$H$25)^(P5-2000)+Assumptions!$H$19*Assumptions!$H$17*(1+Assumptions!$H$25)^(P5-2000)/1000</f>
        <v>2389.8256810363146</v>
      </c>
      <c r="Q16" s="127">
        <f>1/3*Assumptions!$H$18*Assumptions!$H$11*Assumptions!$H$8/1000*(1+Assumptions!$H$25)^(Q5-2000)+Assumptions!$H$19*Assumptions!$H$17*(1+Assumptions!$H$25)^(Q5-2000)/1000</f>
        <v>2461.5204514674033</v>
      </c>
      <c r="R16" s="127">
        <f>1/3*Assumptions!$H$18*Assumptions!$H$11*Assumptions!$H$8/1000*(1+Assumptions!$H$25)^(R5-2000)+Assumptions!$H$19*Assumptions!$H$17*(1+Assumptions!$H$25)^(R5-2000)/1000</f>
        <v>2535.3660650114257</v>
      </c>
      <c r="S16" s="127">
        <f>1/3*Assumptions!$H$18*Assumptions!$H$11*Assumptions!$H$8/1000*(1+Assumptions!$H$25)^(S5-2000)+Assumptions!$H$19*Assumptions!$H$17*(1+Assumptions!$H$25)^(S5-2000)/1000</f>
        <v>2611.4270469617682</v>
      </c>
      <c r="T16" s="127">
        <f>1/3*Assumptions!$H$18*Assumptions!$H$11*Assumptions!$H$8/1000*(1+Assumptions!$H$25)^(T5-2000)+Assumptions!$H$19*Assumptions!$H$17*(1+Assumptions!$H$25)^(T5-2000)/1000</f>
        <v>2689.7698583706215</v>
      </c>
      <c r="U16" s="127">
        <f>1/3*Assumptions!$H$18*Assumptions!$H$11*Assumptions!$H$8/1000*(1+Assumptions!$H$25)^(U5-2000)+Assumptions!$H$19*Assumptions!$H$17*(1+Assumptions!$H$25)^(U5-2000)/1000</f>
        <v>2770.4629541217396</v>
      </c>
      <c r="W16" s="91">
        <f>SUM(B16:U16)</f>
        <v>37570.530780087734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258.54100325000002</v>
      </c>
      <c r="C18" s="198">
        <f>(SUM(C9:C11)-SUM(C22:C27))*'Summary Output'!$B$29/4</f>
        <v>256.36239584749995</v>
      </c>
      <c r="D18" s="198">
        <f>(SUM(D9:D11)-SUM(D22:D27))*'Summary Output'!$B$29/4</f>
        <v>254.40181284792499</v>
      </c>
      <c r="E18" s="198">
        <f>(SUM(E9:E16)-SUM(E22:E27))*'Summary Output'!$B$29/4</f>
        <v>443.77181539344957</v>
      </c>
      <c r="F18" s="198">
        <f>(SUM(F9:F16)-SUM(F22:F27))*'Summary Output'!$B$29/4</f>
        <v>467.55535258131516</v>
      </c>
      <c r="G18" s="198">
        <f>(SUM(G9:G16)-SUM(G22:G27))*'Summary Output'!$B$29/4</f>
        <v>475.31214150721866</v>
      </c>
      <c r="H18" s="198">
        <f>(SUM(H9:H16)-SUM(H22:H27))*'Summary Output'!$B$29/4</f>
        <v>482.62367538800009</v>
      </c>
      <c r="I18" s="198">
        <f>(SUM(I9:I16)-SUM(I22:I27))*'Summary Output'!$B$29/4</f>
        <v>490.87114851680656</v>
      </c>
      <c r="J18" s="198">
        <f>(SUM(J9:J16)-SUM(J22:J27))*'Summary Output'!$B$29/4</f>
        <v>500.55645333313169</v>
      </c>
      <c r="K18" s="198">
        <f>(SUM(K9:K16)-SUM(K22:K27))*'Summary Output'!$B$29/4</f>
        <v>511.40815641333387</v>
      </c>
      <c r="L18" s="198">
        <f>(SUM(L9:L16)-SUM(L22:L27))*'Summary Output'!$B$29/4</f>
        <v>515.52764874692878</v>
      </c>
      <c r="M18" s="198">
        <f>(SUM(M9:M16)-SUM(M22:M27))*'Summary Output'!$B$29/4</f>
        <v>521.64530699415593</v>
      </c>
      <c r="N18" s="198">
        <f>(SUM(N9:N16)-SUM(N22:N27))*'Summary Output'!$B$29/4</f>
        <v>527.8220782288937</v>
      </c>
      <c r="O18" s="198">
        <f>(SUM(O9:O16)-SUM(O22:O27))*'Summary Output'!$B$29/4</f>
        <v>534.05857068025523</v>
      </c>
      <c r="P18" s="198">
        <f>(SUM(P9:P16)-SUM(P22:P27))*'Summary Output'!$B$29/4</f>
        <v>540.3549655590798</v>
      </c>
      <c r="Q18" s="198">
        <f>(SUM(Q9:Q16)-SUM(Q22:Q27))*'Summary Output'!$B$29/4</f>
        <v>548.07172095320402</v>
      </c>
      <c r="R18" s="198">
        <f>(SUM(R9:R16)-SUM(R22:R27))*'Summary Output'!$B$29/4</f>
        <v>555.88670656903605</v>
      </c>
      <c r="S18" s="198">
        <f>(SUM(S9:S16)-SUM(S22:S27))*'Summary Output'!$B$29/4</f>
        <v>563.80085422050149</v>
      </c>
      <c r="T18" s="198">
        <f>(SUM(T9:T16)-SUM(T22:T27))*'Summary Output'!$B$29/4</f>
        <v>571.81509320753855</v>
      </c>
      <c r="U18" s="198">
        <f>(SUM(U9:U16)-SUM(U22:U27))*'Summary Output'!$B$29/4</f>
        <v>579.93034977999287</v>
      </c>
      <c r="W18" s="91">
        <f>SUM(B18:U18)</f>
        <v>9600.3172500182663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34310.317515520335</v>
      </c>
      <c r="C19" s="56">
        <f t="shared" ref="C19:U19" si="4">SUM(C9:C18)</f>
        <v>34364.807597433901</v>
      </c>
      <c r="D19" s="56">
        <f t="shared" si="4"/>
        <v>34421.215764429879</v>
      </c>
      <c r="E19" s="56">
        <f t="shared" si="4"/>
        <v>40356.357940543152</v>
      </c>
      <c r="F19" s="56">
        <f t="shared" si="4"/>
        <v>42456.536129570479</v>
      </c>
      <c r="G19" s="56">
        <f t="shared" si="4"/>
        <v>43334.391079683177</v>
      </c>
      <c r="H19" s="56">
        <f t="shared" si="4"/>
        <v>44229.990842554434</v>
      </c>
      <c r="I19" s="56">
        <f t="shared" si="4"/>
        <v>45145.10159007155</v>
      </c>
      <c r="J19" s="56">
        <f t="shared" si="4"/>
        <v>46080.618477000193</v>
      </c>
      <c r="K19" s="56">
        <f t="shared" si="4"/>
        <v>47036.671799207055</v>
      </c>
      <c r="L19" s="56">
        <f t="shared" si="4"/>
        <v>47672.826272120059</v>
      </c>
      <c r="M19" s="56">
        <f t="shared" si="4"/>
        <v>48320.146201854026</v>
      </c>
      <c r="N19" s="56">
        <f t="shared" si="4"/>
        <v>48976.841961927603</v>
      </c>
      <c r="O19" s="56">
        <f t="shared" si="4"/>
        <v>49643.066459249509</v>
      </c>
      <c r="P19" s="56">
        <f t="shared" si="4"/>
        <v>50318.975111458763</v>
      </c>
      <c r="Q19" s="56">
        <f t="shared" si="4"/>
        <v>51114.909985418024</v>
      </c>
      <c r="R19" s="56">
        <f t="shared" si="4"/>
        <v>51923.927837946678</v>
      </c>
      <c r="S19" s="56">
        <f t="shared" si="4"/>
        <v>52746.257935891015</v>
      </c>
      <c r="T19" s="56">
        <f t="shared" si="4"/>
        <v>53582.133956161924</v>
      </c>
      <c r="U19" s="56">
        <f t="shared" si="4"/>
        <v>54431.794080721273</v>
      </c>
      <c r="W19" s="91">
        <f>SUM(B19:U19)</f>
        <v>920466.88853876316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Assumptions!H28*(1+Assumptions!$H$25)</f>
        <v>1561.2639942857145</v>
      </c>
      <c r="C22" s="91">
        <f>B22*(1+Assumptions!$H$25)</f>
        <v>1608.101914114286</v>
      </c>
      <c r="D22" s="91">
        <f>C22*(1+Assumptions!$H$25)</f>
        <v>1656.3449715377146</v>
      </c>
      <c r="E22" s="91">
        <f>D22*(1+Assumptions!$H$25)</f>
        <v>1706.0353206838461</v>
      </c>
      <c r="F22" s="91">
        <f>E22*(1+Assumptions!$H$25)</f>
        <v>1757.2163803043616</v>
      </c>
      <c r="G22" s="91">
        <f>F22*(1+Assumptions!$H$25)</f>
        <v>1809.9328717134924</v>
      </c>
      <c r="H22" s="91">
        <f>G22*(1+Assumptions!$H$25)</f>
        <v>1864.2308578648972</v>
      </c>
      <c r="I22" s="91">
        <f>H22*(1+Assumptions!$H$25)</f>
        <v>1920.1577836008441</v>
      </c>
      <c r="J22" s="91">
        <f>I22*(1+Assumptions!$H$25)</f>
        <v>1977.7625171088696</v>
      </c>
      <c r="K22" s="91">
        <f>J22*(1+Assumptions!$H$25)</f>
        <v>2037.0953926221357</v>
      </c>
      <c r="L22" s="91">
        <f>K22*(1+Assumptions!$H$25)</f>
        <v>2098.2082544007999</v>
      </c>
      <c r="M22" s="91">
        <f>L22*(1+Assumptions!$H$25)</f>
        <v>2161.154502032824</v>
      </c>
      <c r="N22" s="91">
        <f>M22*(1+Assumptions!$H$25)</f>
        <v>2225.9891370938089</v>
      </c>
      <c r="O22" s="91">
        <f>N22*(1+Assumptions!$H$25)</f>
        <v>2292.7688112066235</v>
      </c>
      <c r="P22" s="91">
        <f>O22*(1+Assumptions!$H$25)</f>
        <v>2361.551875542822</v>
      </c>
      <c r="Q22" s="91">
        <f>P22*(1+Assumptions!$H$25)</f>
        <v>2432.3984318091066</v>
      </c>
      <c r="R22" s="91">
        <f>Q22*(1+Assumptions!$H$25)</f>
        <v>2505.3703847633797</v>
      </c>
      <c r="S22" s="91">
        <f>R22*(1+Assumptions!$H$25)</f>
        <v>2580.531496306281</v>
      </c>
      <c r="T22" s="91">
        <f>S22*(1+Assumptions!$H$25)</f>
        <v>2657.9474411954698</v>
      </c>
      <c r="U22" s="91">
        <f>T22*(1+Assumptions!$H$25)</f>
        <v>2737.6858644313338</v>
      </c>
      <c r="W22" s="91">
        <f t="shared" ref="W22:W28" si="5">SUM(B22:U22)</f>
        <v>41951.748202618604</v>
      </c>
    </row>
    <row r="23" spans="1:55">
      <c r="A23" s="3" t="s">
        <v>49</v>
      </c>
      <c r="B23" s="127">
        <f>Assumptions!$H$29*(1+Assumptions!$H$25)</f>
        <v>1425.4563105357156</v>
      </c>
      <c r="C23" s="56">
        <f>B23*(1+Assumptions!$H$25)</f>
        <v>1468.2199998517872</v>
      </c>
      <c r="D23" s="56">
        <f>C23*(1+Assumptions!$H$25)</f>
        <v>1512.2665998473408</v>
      </c>
      <c r="E23" s="127">
        <f>Assumptions!$H$19*Assumptions!$H$23*(1+Assumptions!$H$25)^(E5-2000)/1000</f>
        <v>1557.6345978427605</v>
      </c>
      <c r="F23" s="127">
        <f>Assumptions!$H$19*Assumptions!$H$23*(1+Assumptions!$H$25)^(F5-2000)/1000</f>
        <v>1604.3636357780433</v>
      </c>
      <c r="G23" s="127">
        <f>Assumptions!$H$19*Assumptions!$H$23*(1+Assumptions!$H$25)^(G5-2000)/1000</f>
        <v>1652.4945448513847</v>
      </c>
      <c r="H23" s="127">
        <f>Assumptions!$H$19*Assumptions!$H$23*(1+Assumptions!$H$25)^(H5-2000)/1000</f>
        <v>1702.0693811969263</v>
      </c>
      <c r="I23" s="127">
        <f>Assumptions!$H$19*Assumptions!$H$23*(1+Assumptions!$H$25)^(I5-2000)/1000</f>
        <v>1753.131462632834</v>
      </c>
      <c r="J23" s="127">
        <f>Assumptions!$H$19*Assumptions!$H$23*(1+Assumptions!$H$25)^(J5-2000)/1000</f>
        <v>1805.7254065118193</v>
      </c>
      <c r="K23" s="127">
        <f>Assumptions!$H$19*Assumptions!$H$23*(1+Assumptions!$H$25)^(K5-2000)/1000</f>
        <v>1859.8971687071737</v>
      </c>
      <c r="L23" s="127">
        <f>Assumptions!$H$19*Assumptions!$H$23*(1+Assumptions!$H$25)^(L5-2000)/1000</f>
        <v>1915.694083768389</v>
      </c>
      <c r="M23" s="127">
        <f>Assumptions!$H$19*Assumptions!$H$23*(1+Assumptions!$H$25)^(M5-2000)/1000</f>
        <v>1973.1649062814404</v>
      </c>
      <c r="N23" s="127">
        <f>Assumptions!$H$19*Assumptions!$H$23*(1+Assumptions!$H$25)^(N5-2000)/1000</f>
        <v>2032.3598534698833</v>
      </c>
      <c r="O23" s="127">
        <f>Assumptions!$H$19*Assumptions!$H$23*(1+Assumptions!$H$25)^(O5-2000)/1000</f>
        <v>2093.3306490739801</v>
      </c>
      <c r="P23" s="127">
        <f>Assumptions!$H$19*Assumptions!$H$23*(1+Assumptions!$H$25)^(P5-2000)/1000</f>
        <v>2156.1305685461998</v>
      </c>
      <c r="Q23" s="127">
        <f>Assumptions!$H$19*Assumptions!$H$23*(1+Assumptions!$H$25)^(Q5-2000)/1000</f>
        <v>2220.8144856025851</v>
      </c>
      <c r="R23" s="127">
        <f>Assumptions!$H$19*Assumptions!$H$23*(1+Assumptions!$H$25)^(R5-2000)/1000</f>
        <v>2287.4389201706631</v>
      </c>
      <c r="S23" s="127">
        <f>Assumptions!$H$19*Assumptions!$H$23*(1+Assumptions!$H$25)^(S5-2000)/1000</f>
        <v>2356.0620877757829</v>
      </c>
      <c r="T23" s="127">
        <f>Assumptions!$H$19*Assumptions!$H$23*(1+Assumptions!$H$25)^(T5-2000)/1000</f>
        <v>2426.7439504090562</v>
      </c>
      <c r="U23" s="127">
        <f>Assumptions!$H$19*Assumptions!$H$23*(1+Assumptions!$H$25)^(U5-2000)/1000</f>
        <v>2499.5462689213277</v>
      </c>
      <c r="W23" s="91">
        <f t="shared" si="5"/>
        <v>38302.544881775102</v>
      </c>
    </row>
    <row r="24" spans="1:55">
      <c r="A24" s="3" t="s">
        <v>256</v>
      </c>
      <c r="B24" s="127">
        <f>Assumptions!$H$24*Assumptions!$H$11*Assumptions!$H$8/1000*(1+Assumptions!$H$25)</f>
        <v>463.5</v>
      </c>
      <c r="C24" s="91">
        <f>B24*(1+Assumptions!$H$25)</f>
        <v>477.40500000000003</v>
      </c>
      <c r="D24" s="91">
        <f>C24*(1+Assumptions!$H$25)</f>
        <v>491.72715000000005</v>
      </c>
      <c r="E24" s="91">
        <f>D24*(1+Assumptions!$H$25)</f>
        <v>506.47896450000007</v>
      </c>
      <c r="F24" s="91">
        <f>E24*(1+Assumptions!$H$25)</f>
        <v>521.67333343500013</v>
      </c>
      <c r="G24" s="91">
        <f>F24*(1+Assumptions!$H$25)</f>
        <v>537.32353343805016</v>
      </c>
      <c r="H24" s="91">
        <f>G24*(1+Assumptions!$H$25)</f>
        <v>553.44323944119174</v>
      </c>
      <c r="I24" s="91">
        <f>H24*(1+Assumptions!$H$25)</f>
        <v>570.04653662442752</v>
      </c>
      <c r="J24" s="91">
        <f>I24*(1+Assumptions!$H$25)</f>
        <v>587.14793272316035</v>
      </c>
      <c r="K24" s="91">
        <f>J24*(1+Assumptions!$H$25)</f>
        <v>604.76237070485513</v>
      </c>
      <c r="L24" s="91">
        <f>K24*(1+Assumptions!$H$25)</f>
        <v>622.90524182600075</v>
      </c>
      <c r="M24" s="91">
        <f>L24*(1+Assumptions!$H$25)</f>
        <v>641.59239908078075</v>
      </c>
      <c r="N24" s="91">
        <f>M24*(1+Assumptions!$H$25)</f>
        <v>660.84017105320424</v>
      </c>
      <c r="O24" s="91">
        <f>N24*(1+Assumptions!$H$25)</f>
        <v>680.66537618480038</v>
      </c>
      <c r="P24" s="91">
        <f>O24*(1+Assumptions!$H$25)</f>
        <v>701.08533747034437</v>
      </c>
      <c r="Q24" s="91">
        <f>P24*(1+Assumptions!$H$25)</f>
        <v>722.11789759445469</v>
      </c>
      <c r="R24" s="91">
        <f>Q24*(1+Assumptions!$H$25)</f>
        <v>743.78143452228835</v>
      </c>
      <c r="S24" s="91">
        <f>R24*(1+Assumptions!$H$25)</f>
        <v>766.09487755795703</v>
      </c>
      <c r="T24" s="91">
        <f>S24*(1+Assumptions!$H$25)</f>
        <v>789.07772388469573</v>
      </c>
      <c r="U24" s="91">
        <f>T24*(1+Assumptions!$H$25)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Assumptions!H31*(1+Assumptions!$H$25)</f>
        <v>315.45574571428568</v>
      </c>
      <c r="C25" s="91">
        <f>B25*(1+Assumptions!$H$25)</f>
        <v>324.91941808571426</v>
      </c>
      <c r="D25" s="91">
        <f>C25*(1+Assumptions!$H$25)</f>
        <v>334.66700062828568</v>
      </c>
      <c r="E25" s="91">
        <f>D25*(1+Assumptions!$H$25)</f>
        <v>344.70701064713427</v>
      </c>
      <c r="F25" s="91">
        <f>E25*(1+Assumptions!$H$25)</f>
        <v>355.04822096654829</v>
      </c>
      <c r="G25" s="91">
        <f>F25*(1+Assumptions!$H$25)</f>
        <v>365.69966759554472</v>
      </c>
      <c r="H25" s="91">
        <f>G25*(1+Assumptions!$H$25)</f>
        <v>376.6706576234111</v>
      </c>
      <c r="I25" s="91">
        <f>H25*(1+Assumptions!$H$25)</f>
        <v>387.97077735211343</v>
      </c>
      <c r="J25" s="91">
        <f>I25*(1+Assumptions!$H$25)</f>
        <v>399.60990067267682</v>
      </c>
      <c r="K25" s="91">
        <f>J25*(1+Assumptions!$H$25)</f>
        <v>411.59819769285713</v>
      </c>
      <c r="L25" s="91">
        <f>K25*(1+Assumptions!$H$25)</f>
        <v>423.94614362364285</v>
      </c>
      <c r="M25" s="91">
        <f>L25*(1+Assumptions!$H$25)</f>
        <v>436.66452793235214</v>
      </c>
      <c r="N25" s="91">
        <f>M25*(1+Assumptions!$H$25)</f>
        <v>449.76446377032272</v>
      </c>
      <c r="O25" s="91">
        <f>N25*(1+Assumptions!$H$25)</f>
        <v>463.25739768343243</v>
      </c>
      <c r="P25" s="91">
        <f>O25*(1+Assumptions!$H$25)</f>
        <v>477.15511961393543</v>
      </c>
      <c r="Q25" s="91">
        <f>P25*(1+Assumptions!$H$25)</f>
        <v>491.46977320235351</v>
      </c>
      <c r="R25" s="91">
        <f>Q25*(1+Assumptions!$H$25)</f>
        <v>506.2138663984241</v>
      </c>
      <c r="S25" s="91">
        <f>R25*(1+Assumptions!$H$25)</f>
        <v>521.40028239037679</v>
      </c>
      <c r="T25" s="91">
        <f>S25*(1+Assumptions!$H$25)</f>
        <v>537.04229086208807</v>
      </c>
      <c r="U25" s="91">
        <f>T25*(1+Assumptions!$H$25)</f>
        <v>553.15355958795067</v>
      </c>
      <c r="W25" s="91">
        <f t="shared" si="5"/>
        <v>8476.4140220434492</v>
      </c>
    </row>
    <row r="26" spans="1:55">
      <c r="A26" s="3" t="s">
        <v>189</v>
      </c>
      <c r="B26" s="456">
        <v>0</v>
      </c>
      <c r="C26" s="456">
        <v>117.98699999999999</v>
      </c>
      <c r="D26" s="456">
        <v>216.84299999999999</v>
      </c>
      <c r="E26" s="456">
        <v>295.98500000000001</v>
      </c>
      <c r="F26" s="456">
        <v>346.25099999999998</v>
      </c>
      <c r="G26" s="456">
        <v>468.65699999999998</v>
      </c>
      <c r="H26" s="456">
        <v>641.05899999999997</v>
      </c>
      <c r="I26" s="456">
        <v>753.23199999999997</v>
      </c>
      <c r="J26" s="456">
        <v>765.3</v>
      </c>
      <c r="K26" s="456">
        <v>699.25800000000004</v>
      </c>
      <c r="L26" s="456">
        <v>854.33299999999997</v>
      </c>
      <c r="M26" s="456">
        <v>854.3</v>
      </c>
      <c r="N26" s="456">
        <v>854.3</v>
      </c>
      <c r="O26" s="456">
        <v>854.3</v>
      </c>
      <c r="P26" s="456">
        <v>854.3</v>
      </c>
      <c r="Q26" s="456">
        <v>854.3</v>
      </c>
      <c r="R26" s="456">
        <v>854.3</v>
      </c>
      <c r="S26" s="456">
        <v>854.3</v>
      </c>
      <c r="T26" s="456">
        <v>854.3</v>
      </c>
      <c r="U26" s="456">
        <v>854.3</v>
      </c>
      <c r="W26" s="91">
        <f t="shared" si="5"/>
        <v>12847.604999999996</v>
      </c>
    </row>
    <row r="27" spans="1:55" s="16" customFormat="1">
      <c r="A27" s="3" t="s">
        <v>185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91"/>
      <c r="W27" s="91">
        <f t="shared" si="5"/>
        <v>0</v>
      </c>
      <c r="AB27" s="17"/>
      <c r="AC27" s="17"/>
    </row>
    <row r="28" spans="1:55" ht="12" customHeight="1">
      <c r="A28" s="3" t="s">
        <v>62</v>
      </c>
      <c r="B28" s="127">
        <f t="shared" ref="B28:U28" si="6">SUM(B22:B27)</f>
        <v>3765.6760505357156</v>
      </c>
      <c r="C28" s="127">
        <f t="shared" si="6"/>
        <v>3996.6333320517879</v>
      </c>
      <c r="D28" s="127">
        <f t="shared" si="6"/>
        <v>4211.8487220133411</v>
      </c>
      <c r="E28" s="127">
        <f t="shared" si="6"/>
        <v>4410.8408936737405</v>
      </c>
      <c r="F28" s="127">
        <f t="shared" si="6"/>
        <v>4584.5525704839529</v>
      </c>
      <c r="G28" s="127">
        <f t="shared" si="6"/>
        <v>4834.1076175984717</v>
      </c>
      <c r="H28" s="127">
        <f t="shared" si="6"/>
        <v>5137.4731361264267</v>
      </c>
      <c r="I28" s="127">
        <f t="shared" si="6"/>
        <v>5384.5385602102187</v>
      </c>
      <c r="J28" s="127">
        <f t="shared" si="6"/>
        <v>5535.5457570165263</v>
      </c>
      <c r="K28" s="127">
        <f t="shared" si="6"/>
        <v>5612.6111297270209</v>
      </c>
      <c r="L28" s="127">
        <f t="shared" si="6"/>
        <v>5915.0867236188315</v>
      </c>
      <c r="M28" s="127">
        <f t="shared" si="6"/>
        <v>6066.8763353273971</v>
      </c>
      <c r="N28" s="127">
        <f t="shared" si="6"/>
        <v>6223.2536253872195</v>
      </c>
      <c r="O28" s="127">
        <f t="shared" si="6"/>
        <v>6384.3222341488372</v>
      </c>
      <c r="P28" s="127">
        <f t="shared" si="6"/>
        <v>6550.2229011733016</v>
      </c>
      <c r="Q28" s="127">
        <f t="shared" si="6"/>
        <v>6721.1005882085001</v>
      </c>
      <c r="R28" s="127">
        <f t="shared" si="6"/>
        <v>6897.1046058547554</v>
      </c>
      <c r="S28" s="127">
        <f t="shared" si="6"/>
        <v>7078.3887440303979</v>
      </c>
      <c r="T28" s="127">
        <f t="shared" si="6"/>
        <v>7265.1114063513096</v>
      </c>
      <c r="U28" s="127">
        <f t="shared" si="6"/>
        <v>7457.4357485418486</v>
      </c>
      <c r="W28" s="91">
        <f t="shared" si="5"/>
        <v>114032.73068207959</v>
      </c>
    </row>
    <row r="29" spans="1:55" s="62" customFormat="1" outlineLevel="1">
      <c r="A29" s="5"/>
      <c r="B29" s="143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7">B19-B28</f>
        <v>30544.641464984619</v>
      </c>
      <c r="C31" s="120">
        <f t="shared" si="7"/>
        <v>30368.174265382113</v>
      </c>
      <c r="D31" s="120">
        <f t="shared" si="7"/>
        <v>30209.367042416539</v>
      </c>
      <c r="E31" s="120">
        <f t="shared" si="7"/>
        <v>35945.517046869412</v>
      </c>
      <c r="F31" s="120">
        <f t="shared" si="7"/>
        <v>37871.983559086526</v>
      </c>
      <c r="G31" s="120">
        <f t="shared" si="7"/>
        <v>38500.283462084706</v>
      </c>
      <c r="H31" s="120">
        <f t="shared" si="7"/>
        <v>39092.517706428007</v>
      </c>
      <c r="I31" s="120">
        <f t="shared" si="7"/>
        <v>39760.563029861332</v>
      </c>
      <c r="J31" s="120">
        <f t="shared" si="7"/>
        <v>40545.072719983669</v>
      </c>
      <c r="K31" s="120">
        <f t="shared" si="7"/>
        <v>41424.060669480037</v>
      </c>
      <c r="L31" s="120">
        <f t="shared" si="7"/>
        <v>41757.739548501224</v>
      </c>
      <c r="M31" s="120">
        <f t="shared" si="7"/>
        <v>42253.269866526629</v>
      </c>
      <c r="N31" s="120">
        <f t="shared" si="7"/>
        <v>42753.588336540386</v>
      </c>
      <c r="O31" s="120">
        <f t="shared" si="7"/>
        <v>43258.744225100672</v>
      </c>
      <c r="P31" s="120">
        <f t="shared" si="7"/>
        <v>43768.752210285464</v>
      </c>
      <c r="Q31" s="120">
        <f t="shared" si="7"/>
        <v>44393.809397209523</v>
      </c>
      <c r="R31" s="120">
        <f t="shared" si="7"/>
        <v>45026.82323209192</v>
      </c>
      <c r="S31" s="120">
        <f t="shared" si="7"/>
        <v>45667.86919186062</v>
      </c>
      <c r="T31" s="120">
        <f t="shared" si="7"/>
        <v>46317.022549810616</v>
      </c>
      <c r="U31" s="120">
        <f t="shared" si="7"/>
        <v>46974.358332179421</v>
      </c>
      <c r="W31" s="91">
        <f>SUM(B31:U31)</f>
        <v>806434.15785668348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Depreciation!C45</f>
        <v>7011.6877311229173</v>
      </c>
      <c r="C33" s="127">
        <f>Depreciation!D45</f>
        <v>7011.6877311229173</v>
      </c>
      <c r="D33" s="127">
        <f>Depreciation!E45</f>
        <v>7011.6877311229173</v>
      </c>
      <c r="E33" s="127">
        <f>Depreciation!F45</f>
        <v>7011.6877311229173</v>
      </c>
      <c r="F33" s="127">
        <f>Depreciation!G45</f>
        <v>7011.6877311229173</v>
      </c>
      <c r="G33" s="127">
        <f>Depreciation!H45</f>
        <v>7011.6877311229173</v>
      </c>
      <c r="H33" s="127">
        <f>Depreciation!I45</f>
        <v>7011.6877311229173</v>
      </c>
      <c r="I33" s="127">
        <f>Depreciation!J45</f>
        <v>7011.6877311229173</v>
      </c>
      <c r="J33" s="127">
        <f>Depreciation!K45</f>
        <v>7011.6877311229173</v>
      </c>
      <c r="K33" s="127">
        <f>Depreciation!L45</f>
        <v>7011.6877311229173</v>
      </c>
      <c r="L33" s="127">
        <f>Depreciation!M45</f>
        <v>7011.6877311229173</v>
      </c>
      <c r="M33" s="127">
        <f>Depreciation!N45</f>
        <v>7011.6877311229173</v>
      </c>
      <c r="N33" s="127">
        <f>Depreciation!O45</f>
        <v>7011.6877311229173</v>
      </c>
      <c r="O33" s="127">
        <f>Depreciation!P45</f>
        <v>7011.6877311229173</v>
      </c>
      <c r="P33" s="127">
        <f>Depreciation!Q45</f>
        <v>7011.6877311229173</v>
      </c>
      <c r="Q33" s="127">
        <f>Depreciation!R45</f>
        <v>7011.6877311229173</v>
      </c>
      <c r="R33" s="127">
        <f>Depreciation!S45</f>
        <v>7011.6877311229173</v>
      </c>
      <c r="S33" s="127">
        <f>Depreciation!T45</f>
        <v>7011.6877311229173</v>
      </c>
      <c r="T33" s="127">
        <f>Depreciation!U45</f>
        <v>7011.6877311229173</v>
      </c>
      <c r="U33" s="127">
        <f>Depreciation!V45</f>
        <v>7011.6877311229173</v>
      </c>
      <c r="W33" s="91">
        <f>SUM(B33:U33)</f>
        <v>140233.75462245833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23532.953733861701</v>
      </c>
      <c r="C35" s="132">
        <f t="shared" si="8"/>
        <v>23356.486534259195</v>
      </c>
      <c r="D35" s="132">
        <f t="shared" si="8"/>
        <v>23197.679311293621</v>
      </c>
      <c r="E35" s="132">
        <f t="shared" si="8"/>
        <v>28933.829315746494</v>
      </c>
      <c r="F35" s="132">
        <f t="shared" si="8"/>
        <v>30860.295827963608</v>
      </c>
      <c r="G35" s="132">
        <f t="shared" si="8"/>
        <v>31488.595730961788</v>
      </c>
      <c r="H35" s="132">
        <f t="shared" si="8"/>
        <v>32080.829975305089</v>
      </c>
      <c r="I35" s="132">
        <f t="shared" si="8"/>
        <v>32748.875298738414</v>
      </c>
      <c r="J35" s="132">
        <f t="shared" si="8"/>
        <v>33533.384988860751</v>
      </c>
      <c r="K35" s="132">
        <f t="shared" si="8"/>
        <v>34412.372938357119</v>
      </c>
      <c r="L35" s="132">
        <f t="shared" si="8"/>
        <v>34746.051817378306</v>
      </c>
      <c r="M35" s="132">
        <f t="shared" si="8"/>
        <v>35241.582135403711</v>
      </c>
      <c r="N35" s="132">
        <f t="shared" si="8"/>
        <v>35741.900605417468</v>
      </c>
      <c r="O35" s="132">
        <f t="shared" si="8"/>
        <v>36247.056493977754</v>
      </c>
      <c r="P35" s="132">
        <f t="shared" si="8"/>
        <v>36757.064479162545</v>
      </c>
      <c r="Q35" s="132">
        <f t="shared" si="8"/>
        <v>37382.121666086605</v>
      </c>
      <c r="R35" s="132">
        <f t="shared" si="8"/>
        <v>38015.135500969001</v>
      </c>
      <c r="S35" s="132">
        <f t="shared" si="8"/>
        <v>38656.181460737702</v>
      </c>
      <c r="T35" s="132">
        <f t="shared" si="8"/>
        <v>39305.334818687697</v>
      </c>
      <c r="U35" s="132">
        <f t="shared" si="8"/>
        <v>39962.670601056503</v>
      </c>
      <c r="W35" s="91">
        <f>SUM(B35:U35)</f>
        <v>666200.40323422512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IS!B38*Allocation!$E$13</f>
        <v>13772.860189426332</v>
      </c>
      <c r="C37" s="127">
        <f>IS!C38*Allocation!$E$13</f>
        <v>13566.203317687863</v>
      </c>
      <c r="D37" s="127">
        <f>IS!D38*Allocation!$E$13</f>
        <v>13274.706811635697</v>
      </c>
      <c r="E37" s="127">
        <f>IS!E38*Allocation!$E$13</f>
        <v>13045.883026678363</v>
      </c>
      <c r="F37" s="127">
        <f>IS!F38*Allocation!$E$13</f>
        <v>12641.04499161461</v>
      </c>
      <c r="G37" s="127">
        <f>IS!G38*Allocation!$E$13</f>
        <v>12161.207168732251</v>
      </c>
      <c r="H37" s="127">
        <f>IS!H38*Allocation!$E$13</f>
        <v>11621.934061271668</v>
      </c>
      <c r="I37" s="127">
        <f>IS!I38*Allocation!$E$13</f>
        <v>11057.75537879854</v>
      </c>
      <c r="J37" s="127">
        <f>IS!J38*Allocation!$E$13</f>
        <v>10356.957432516312</v>
      </c>
      <c r="K37" s="127">
        <f>IS!K38*Allocation!$E$13</f>
        <v>9580.4211020427956</v>
      </c>
      <c r="L37" s="127">
        <f>IS!L38*Allocation!$E$13</f>
        <v>8763.3274704826836</v>
      </c>
      <c r="M37" s="127">
        <f>IS!M38*Allocation!$E$13</f>
        <v>7872.4235730695937</v>
      </c>
      <c r="N37" s="127">
        <f>IS!N38*Allocation!$E$13</f>
        <v>6937.243390427775</v>
      </c>
      <c r="O37" s="127">
        <f>IS!O38*Allocation!$E$13</f>
        <v>6024.2013504003198</v>
      </c>
      <c r="P37" s="127">
        <f>IS!P38*Allocation!$E$13</f>
        <v>5099.65247918348</v>
      </c>
      <c r="Q37" s="127">
        <f>IS!Q38*Allocation!$E$13</f>
        <v>4141.4586341628865</v>
      </c>
      <c r="R37" s="127">
        <f>IS!R38*Allocation!$E$13</f>
        <v>3125.1052619350653</v>
      </c>
      <c r="S37" s="127">
        <f>IS!S38*Allocation!$E$13</f>
        <v>2166.786342662414</v>
      </c>
      <c r="T37" s="127">
        <f>IS!T38*Allocation!$E$13</f>
        <v>1345.0485066377048</v>
      </c>
      <c r="U37" s="127">
        <f>IS!U38*Allocation!$E$13</f>
        <v>525.3118586459326</v>
      </c>
      <c r="W37" s="91">
        <f>SUM(B37:U37)</f>
        <v>167079.53234801226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9760.093544435369</v>
      </c>
      <c r="C39" s="132">
        <f t="shared" si="9"/>
        <v>9790.2832165713316</v>
      </c>
      <c r="D39" s="132">
        <f t="shared" si="9"/>
        <v>9922.9724996579243</v>
      </c>
      <c r="E39" s="132">
        <f t="shared" si="9"/>
        <v>15887.946289068132</v>
      </c>
      <c r="F39" s="132">
        <f t="shared" si="9"/>
        <v>18219.250836348998</v>
      </c>
      <c r="G39" s="132">
        <f t="shared" si="9"/>
        <v>19327.388562229535</v>
      </c>
      <c r="H39" s="132">
        <f t="shared" si="9"/>
        <v>20458.895914033419</v>
      </c>
      <c r="I39" s="132">
        <f t="shared" si="9"/>
        <v>21691.119919939876</v>
      </c>
      <c r="J39" s="132">
        <f t="shared" si="9"/>
        <v>23176.427556344439</v>
      </c>
      <c r="K39" s="132">
        <f t="shared" si="9"/>
        <v>24831.951836314322</v>
      </c>
      <c r="L39" s="132">
        <f t="shared" si="9"/>
        <v>25982.724346895622</v>
      </c>
      <c r="M39" s="132">
        <f t="shared" si="9"/>
        <v>27369.158562334116</v>
      </c>
      <c r="N39" s="132">
        <f t="shared" si="9"/>
        <v>28804.657214989693</v>
      </c>
      <c r="O39" s="132">
        <f t="shared" si="9"/>
        <v>30222.855143577435</v>
      </c>
      <c r="P39" s="132">
        <f t="shared" si="9"/>
        <v>31657.411999979064</v>
      </c>
      <c r="Q39" s="132">
        <f t="shared" si="9"/>
        <v>33240.663031923716</v>
      </c>
      <c r="R39" s="132">
        <f t="shared" si="9"/>
        <v>34890.030239033935</v>
      </c>
      <c r="S39" s="132">
        <f t="shared" si="9"/>
        <v>36489.395118075285</v>
      </c>
      <c r="T39" s="132">
        <f t="shared" si="9"/>
        <v>37960.28631204999</v>
      </c>
      <c r="U39" s="132">
        <f t="shared" si="9"/>
        <v>39437.358742410572</v>
      </c>
      <c r="W39" s="91">
        <f>SUM(B39:U39)</f>
        <v>499120.87088621274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B39*-Assumptions!$H$38</f>
        <v>-439.20420949959157</v>
      </c>
      <c r="C41" s="127">
        <f>C39*-Assumptions!$H$38</f>
        <v>-440.56274474570989</v>
      </c>
      <c r="D41" s="127">
        <f>D39*-Assumptions!$H$38</f>
        <v>-446.5337624846066</v>
      </c>
      <c r="E41" s="127">
        <f>E39*-Assumptions!$H$38</f>
        <v>-714.95758300806585</v>
      </c>
      <c r="F41" s="127">
        <f>F39*-Assumptions!$H$38</f>
        <v>-819.86628763570491</v>
      </c>
      <c r="G41" s="127">
        <f>G39*-Assumptions!$H$38</f>
        <v>-869.73248530032902</v>
      </c>
      <c r="H41" s="127">
        <f>H39*-Assumptions!$H$38</f>
        <v>-920.65031613150381</v>
      </c>
      <c r="I41" s="127">
        <f>I39*-Assumptions!$H$38</f>
        <v>-976.10039639729439</v>
      </c>
      <c r="J41" s="127">
        <f>J39*-Assumptions!$H$38</f>
        <v>-1042.9392400354998</v>
      </c>
      <c r="K41" s="127">
        <f>K39*-Assumptions!$H$38</f>
        <v>-1117.4378326341443</v>
      </c>
      <c r="L41" s="127">
        <f>L39*-Assumptions!$H$38</f>
        <v>-1169.222595610303</v>
      </c>
      <c r="M41" s="127">
        <f>M39*-Assumptions!$H$38</f>
        <v>-1231.6121353050353</v>
      </c>
      <c r="N41" s="127">
        <f>N39*-Assumptions!$H$38</f>
        <v>-1296.209574674536</v>
      </c>
      <c r="O41" s="127">
        <f>O39*-Assumptions!$H$38</f>
        <v>-1360.0284814609845</v>
      </c>
      <c r="P41" s="127">
        <f>P39*-Assumptions!$H$38</f>
        <v>-1424.5835399990578</v>
      </c>
      <c r="Q41" s="127">
        <f>Q39*-Assumptions!$H$38</f>
        <v>-1495.8298364365671</v>
      </c>
      <c r="R41" s="127">
        <f>R39*-Assumptions!$H$38</f>
        <v>-1570.0513607565269</v>
      </c>
      <c r="S41" s="127">
        <f>S39*-Assumptions!$H$38</f>
        <v>-1642.0227803133878</v>
      </c>
      <c r="T41" s="127">
        <f>T39*-Assumptions!$H$38</f>
        <v>-1708.2128840422495</v>
      </c>
      <c r="U41" s="127">
        <f>U39*-Assumptions!$H$38</f>
        <v>-1774.6811434084757</v>
      </c>
      <c r="W41" s="91">
        <f>SUM(B41:U41)</f>
        <v>-22460.439189879573</v>
      </c>
    </row>
    <row r="42" spans="1:23">
      <c r="A42" s="3" t="s">
        <v>69</v>
      </c>
      <c r="B42" s="121">
        <f>(B39+B41)*-Assumptions!$H$37</f>
        <v>-3262.3112672275215</v>
      </c>
      <c r="C42" s="121">
        <f>(C39+C41)*-Assumptions!$H$37</f>
        <v>-3272.4021651389676</v>
      </c>
      <c r="D42" s="121">
        <f>(D39+D41)*-Assumptions!$H$37</f>
        <v>-3316.753558010661</v>
      </c>
      <c r="E42" s="121">
        <f>(E39+E41)*-Assumptions!$H$37</f>
        <v>-5310.5460471210226</v>
      </c>
      <c r="F42" s="121">
        <f>(F39+F41)*-Assumptions!$H$37</f>
        <v>-6089.784592049652</v>
      </c>
      <c r="G42" s="121">
        <f>(G39+G41)*-Assumptions!$H$37</f>
        <v>-6460.1796269252209</v>
      </c>
      <c r="H42" s="121">
        <f>(H39+H41)*-Assumptions!$H$37</f>
        <v>-6838.38595926567</v>
      </c>
      <c r="I42" s="121">
        <f>(I39+I41)*-Assumptions!$H$37</f>
        <v>-7250.2568332399032</v>
      </c>
      <c r="J42" s="121">
        <f>(J39+J41)*-Assumptions!$H$37</f>
        <v>-7746.720910708128</v>
      </c>
      <c r="K42" s="121">
        <f>(K39+K41)*-Assumptions!$H$37</f>
        <v>-8300.0799012880616</v>
      </c>
      <c r="L42" s="121">
        <f>(L39+L41)*-Assumptions!$H$37</f>
        <v>-8684.7256129498619</v>
      </c>
      <c r="M42" s="121">
        <f>(M39+M41)*-Assumptions!$H$37</f>
        <v>-9148.1412494601773</v>
      </c>
      <c r="N42" s="121">
        <f>(N39+N41)*-Assumptions!$H$37</f>
        <v>-9627.9566741103044</v>
      </c>
      <c r="O42" s="121">
        <f>(O39+O41)*-Assumptions!$H$37</f>
        <v>-10101.989331740757</v>
      </c>
      <c r="P42" s="121">
        <f>(P39+P41)*-Assumptions!$H$37</f>
        <v>-10581.489960993002</v>
      </c>
      <c r="Q42" s="121">
        <f>(Q39+Q41)*-Assumptions!$H$37</f>
        <v>-11110.691618420502</v>
      </c>
      <c r="R42" s="121">
        <f>(R39+R41)*-Assumptions!$H$37</f>
        <v>-11661.992607397091</v>
      </c>
      <c r="S42" s="121">
        <f>(S39+S41)*-Assumptions!$H$37</f>
        <v>-12196.580318216662</v>
      </c>
      <c r="T42" s="121">
        <f>(T39+T41)*-Assumptions!$H$37</f>
        <v>-12688.225699802708</v>
      </c>
      <c r="U42" s="121">
        <f>(U39+U41)*-Assumptions!$H$37</f>
        <v>-13181.937159650734</v>
      </c>
      <c r="W42" s="91">
        <f>SUM(B42:U42)</f>
        <v>-166831.15109371662</v>
      </c>
    </row>
    <row r="43" spans="1:23" ht="6" customHeight="1">
      <c r="B43" s="127"/>
      <c r="C43" s="91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6058.5780677082548</v>
      </c>
      <c r="C44" s="134">
        <f t="shared" si="10"/>
        <v>6077.3183066866541</v>
      </c>
      <c r="D44" s="134">
        <f t="shared" si="10"/>
        <v>6159.6851791626559</v>
      </c>
      <c r="E44" s="134">
        <f t="shared" si="10"/>
        <v>9862.4426589390423</v>
      </c>
      <c r="F44" s="134">
        <f t="shared" si="10"/>
        <v>11309.599956663642</v>
      </c>
      <c r="G44" s="134">
        <f t="shared" si="10"/>
        <v>11997.476450003984</v>
      </c>
      <c r="H44" s="134">
        <f t="shared" si="10"/>
        <v>12699.859638636244</v>
      </c>
      <c r="I44" s="134">
        <f t="shared" si="10"/>
        <v>13464.762690302679</v>
      </c>
      <c r="J44" s="134">
        <f t="shared" si="10"/>
        <v>14386.767405600811</v>
      </c>
      <c r="K44" s="134">
        <f t="shared" si="10"/>
        <v>15414.434102392117</v>
      </c>
      <c r="L44" s="134">
        <f t="shared" si="10"/>
        <v>16128.776138335457</v>
      </c>
      <c r="M44" s="134">
        <f t="shared" si="10"/>
        <v>16989.4051775689</v>
      </c>
      <c r="N44" s="134">
        <f t="shared" si="10"/>
        <v>17880.490966204852</v>
      </c>
      <c r="O44" s="134">
        <f t="shared" si="10"/>
        <v>18760.837330375696</v>
      </c>
      <c r="P44" s="134">
        <f t="shared" si="10"/>
        <v>19651.338498987003</v>
      </c>
      <c r="Q44" s="134">
        <f t="shared" si="10"/>
        <v>20634.14157706665</v>
      </c>
      <c r="R44" s="134">
        <f t="shared" si="10"/>
        <v>21657.986270880312</v>
      </c>
      <c r="S44" s="134">
        <f t="shared" si="10"/>
        <v>22650.792019545232</v>
      </c>
      <c r="T44" s="134">
        <f t="shared" si="10"/>
        <v>23563.84772820503</v>
      </c>
      <c r="U44" s="134">
        <f t="shared" si="10"/>
        <v>24480.740439351364</v>
      </c>
      <c r="W44" s="91">
        <f>SUM(B44:U44)</f>
        <v>309829.28060261655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86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>D52+1</f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>J52+1</f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5" outlineLevel="1">
      <c r="A54" s="13" t="s">
        <v>270</v>
      </c>
      <c r="B54" s="67">
        <f>B31-B12</f>
        <v>20941.82126325</v>
      </c>
      <c r="C54" s="67">
        <f>C31-C12</f>
        <v>20765.354063647494</v>
      </c>
      <c r="D54" s="67">
        <f>D31-D12</f>
        <v>20606.54684068192</v>
      </c>
      <c r="E54" s="56">
        <f t="shared" ref="E54:U54" si="12">E31</f>
        <v>35945.517046869412</v>
      </c>
      <c r="F54" s="56">
        <f t="shared" si="12"/>
        <v>37871.983559086526</v>
      </c>
      <c r="G54" s="56">
        <f t="shared" si="12"/>
        <v>38500.283462084706</v>
      </c>
      <c r="H54" s="56">
        <f t="shared" si="12"/>
        <v>39092.517706428007</v>
      </c>
      <c r="I54" s="56">
        <f t="shared" si="12"/>
        <v>39760.563029861332</v>
      </c>
      <c r="J54" s="56">
        <f t="shared" si="12"/>
        <v>40545.072719983669</v>
      </c>
      <c r="K54" s="56">
        <f t="shared" si="12"/>
        <v>41424.060669480037</v>
      </c>
      <c r="L54" s="56">
        <f t="shared" si="12"/>
        <v>41757.739548501224</v>
      </c>
      <c r="M54" s="56">
        <f t="shared" si="12"/>
        <v>42253.269866526629</v>
      </c>
      <c r="N54" s="56">
        <f t="shared" si="12"/>
        <v>42753.588336540386</v>
      </c>
      <c r="O54" s="56">
        <f t="shared" si="12"/>
        <v>43258.744225100672</v>
      </c>
      <c r="P54" s="56">
        <f t="shared" si="12"/>
        <v>43768.752210285464</v>
      </c>
      <c r="Q54" s="56">
        <f t="shared" si="12"/>
        <v>44393.809397209523</v>
      </c>
      <c r="R54" s="56">
        <f t="shared" si="12"/>
        <v>45026.82323209192</v>
      </c>
      <c r="S54" s="56">
        <f t="shared" si="12"/>
        <v>45667.86919186062</v>
      </c>
      <c r="T54" s="56">
        <f t="shared" si="12"/>
        <v>46317.022549810616</v>
      </c>
      <c r="U54" s="56">
        <f t="shared" si="12"/>
        <v>46974.358332179421</v>
      </c>
      <c r="W54" s="400">
        <f>SUM(B54:U54)</f>
        <v>777625.69725147972</v>
      </c>
    </row>
    <row r="55" spans="1:55">
      <c r="A55" s="13" t="s">
        <v>168</v>
      </c>
      <c r="B55" s="67">
        <f>B26</f>
        <v>0</v>
      </c>
      <c r="C55" s="67">
        <f t="shared" ref="C55:U55" si="13">C26</f>
        <v>117.98699999999999</v>
      </c>
      <c r="D55" s="67">
        <f t="shared" si="13"/>
        <v>216.84299999999999</v>
      </c>
      <c r="E55" s="67">
        <f t="shared" si="13"/>
        <v>295.98500000000001</v>
      </c>
      <c r="F55" s="67">
        <f t="shared" si="13"/>
        <v>346.25099999999998</v>
      </c>
      <c r="G55" s="67">
        <f t="shared" si="13"/>
        <v>468.65699999999998</v>
      </c>
      <c r="H55" s="67">
        <f t="shared" si="13"/>
        <v>641.05899999999997</v>
      </c>
      <c r="I55" s="67">
        <f t="shared" si="13"/>
        <v>753.23199999999997</v>
      </c>
      <c r="J55" s="67">
        <f t="shared" si="13"/>
        <v>765.3</v>
      </c>
      <c r="K55" s="67">
        <f t="shared" si="13"/>
        <v>699.25800000000004</v>
      </c>
      <c r="L55" s="67">
        <f t="shared" si="13"/>
        <v>854.33299999999997</v>
      </c>
      <c r="M55" s="67">
        <f t="shared" si="13"/>
        <v>854.3</v>
      </c>
      <c r="N55" s="67">
        <f t="shared" si="13"/>
        <v>854.3</v>
      </c>
      <c r="O55" s="67">
        <f t="shared" si="13"/>
        <v>854.3</v>
      </c>
      <c r="P55" s="67">
        <f t="shared" si="13"/>
        <v>854.3</v>
      </c>
      <c r="Q55" s="67">
        <f t="shared" si="13"/>
        <v>854.3</v>
      </c>
      <c r="R55" s="67">
        <f t="shared" si="13"/>
        <v>854.3</v>
      </c>
      <c r="S55" s="67">
        <f t="shared" si="13"/>
        <v>854.3</v>
      </c>
      <c r="T55" s="67">
        <f t="shared" si="13"/>
        <v>854.3</v>
      </c>
      <c r="U55" s="67">
        <f t="shared" si="13"/>
        <v>854.3</v>
      </c>
      <c r="W55" s="400">
        <f>SUM(B55:U55)</f>
        <v>12847.604999999996</v>
      </c>
      <c r="X55" s="16"/>
      <c r="Y55" s="16"/>
      <c r="Z55" s="16"/>
      <c r="AA55" s="16"/>
      <c r="AB55" s="17"/>
      <c r="AC55" s="17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-203.273</v>
      </c>
      <c r="C56" s="67">
        <f>-B55</f>
        <v>0</v>
      </c>
      <c r="D56" s="67">
        <f t="shared" ref="D56:U56" si="14">-C55</f>
        <v>-117.98699999999999</v>
      </c>
      <c r="E56" s="67">
        <f t="shared" si="14"/>
        <v>-216.84299999999999</v>
      </c>
      <c r="F56" s="67">
        <f t="shared" si="14"/>
        <v>-295.98500000000001</v>
      </c>
      <c r="G56" s="67">
        <f t="shared" si="14"/>
        <v>-346.25099999999998</v>
      </c>
      <c r="H56" s="67">
        <f t="shared" si="14"/>
        <v>-468.65699999999998</v>
      </c>
      <c r="I56" s="67">
        <f t="shared" si="14"/>
        <v>-641.05899999999997</v>
      </c>
      <c r="J56" s="67">
        <f t="shared" si="14"/>
        <v>-753.23199999999997</v>
      </c>
      <c r="K56" s="67">
        <f t="shared" si="14"/>
        <v>-765.3</v>
      </c>
      <c r="L56" s="67">
        <f t="shared" si="14"/>
        <v>-699.25800000000004</v>
      </c>
      <c r="M56" s="67">
        <f t="shared" si="14"/>
        <v>-854.33299999999997</v>
      </c>
      <c r="N56" s="67">
        <f t="shared" si="14"/>
        <v>-854.3</v>
      </c>
      <c r="O56" s="67">
        <f t="shared" si="14"/>
        <v>-854.3</v>
      </c>
      <c r="P56" s="67">
        <f t="shared" si="14"/>
        <v>-854.3</v>
      </c>
      <c r="Q56" s="67">
        <f t="shared" si="14"/>
        <v>-854.3</v>
      </c>
      <c r="R56" s="67">
        <f t="shared" si="14"/>
        <v>-854.3</v>
      </c>
      <c r="S56" s="67">
        <f t="shared" si="14"/>
        <v>-854.3</v>
      </c>
      <c r="T56" s="67">
        <f t="shared" si="14"/>
        <v>-854.3</v>
      </c>
      <c r="U56" s="67">
        <f t="shared" si="14"/>
        <v>-854.3</v>
      </c>
      <c r="W56" s="400">
        <f>SUM(B56:U56)</f>
        <v>-12196.577999999996</v>
      </c>
      <c r="X56" s="16"/>
      <c r="Y56" s="16"/>
      <c r="Z56" s="16"/>
      <c r="AA56" s="16"/>
      <c r="AB56" s="17"/>
      <c r="AC56" s="17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-Debt!B77*Allocation!$E$13</f>
        <v>-16434.861105772212</v>
      </c>
      <c r="C57" s="398">
        <f>-Debt!C77*Allocation!$E$13</f>
        <v>-16421.413977962075</v>
      </c>
      <c r="D57" s="398">
        <f>-Debt!D77*Allocation!$E$13</f>
        <v>-16344.594965163607</v>
      </c>
      <c r="E57" s="398">
        <f>-Debt!E77*Allocation!$E$13</f>
        <v>-16111.4776303412</v>
      </c>
      <c r="F57" s="398">
        <f>-Debt!F77*Allocation!$E$13</f>
        <v>-16860.745799009339</v>
      </c>
      <c r="G57" s="398">
        <f>-Debt!G77*Allocation!$E$13</f>
        <v>-16957.961077992924</v>
      </c>
      <c r="H57" s="398">
        <f>-Debt!H77*Allocation!$E$13</f>
        <v>-16851.477796931798</v>
      </c>
      <c r="I57" s="398">
        <f>-Debt!I77*Allocation!$E$13</f>
        <v>-17008.615491791101</v>
      </c>
      <c r="J57" s="398">
        <f>-Debt!J77*Allocation!$E$13</f>
        <v>-16884.870647374821</v>
      </c>
      <c r="K57" s="398">
        <f>-Debt!K77*Allocation!$E$13</f>
        <v>-17079.535296381044</v>
      </c>
      <c r="L57" s="398">
        <f>-Debt!L77*Allocation!$E$13</f>
        <v>-16921.072214123284</v>
      </c>
      <c r="M57" s="398">
        <f>-Debt!M77*Allocation!$E$13</f>
        <v>-16030.168316710193</v>
      </c>
      <c r="N57" s="398">
        <f>-Debt!N77*Allocation!$E$13</f>
        <v>-15094.988134068375</v>
      </c>
      <c r="O57" s="398">
        <f>-Debt!O77*Allocation!$E$13</f>
        <v>-14181.946094040921</v>
      </c>
      <c r="P57" s="398">
        <f>-Debt!P77*Allocation!$E$13</f>
        <v>-13665.284460006109</v>
      </c>
      <c r="Q57" s="398">
        <f>-Debt!Q77*Allocation!$E$13</f>
        <v>-13114.977852167545</v>
      </c>
      <c r="R57" s="398">
        <f>-Debt!R77*Allocation!$E$13</f>
        <v>-12098.624479939726</v>
      </c>
      <c r="S57" s="398">
        <f>-Debt!S77*Allocation!$E$13</f>
        <v>-9508.7566119389539</v>
      </c>
      <c r="T57" s="398">
        <f>-Debt!T77*Allocation!$E$13</f>
        <v>-8687.0187759142445</v>
      </c>
      <c r="U57" s="398">
        <f>-Debt!U77*Allocation!$E$13</f>
        <v>-7051.5076535584194</v>
      </c>
      <c r="W57" s="400">
        <f>SUM(B57:U57)</f>
        <v>-293309.89838118787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65">
        <f t="shared" ref="B59:U59" si="15">SUM(B54:B57)</f>
        <v>4303.687157477787</v>
      </c>
      <c r="C59" s="65">
        <f t="shared" si="15"/>
        <v>4461.92708568542</v>
      </c>
      <c r="D59" s="65">
        <f t="shared" si="15"/>
        <v>4360.8078755183124</v>
      </c>
      <c r="E59" s="65">
        <f t="shared" si="15"/>
        <v>19913.181416528212</v>
      </c>
      <c r="F59" s="65">
        <f t="shared" si="15"/>
        <v>21061.503760077183</v>
      </c>
      <c r="G59" s="65">
        <f t="shared" si="15"/>
        <v>21664.728384091784</v>
      </c>
      <c r="H59" s="65">
        <f t="shared" si="15"/>
        <v>22413.44190949621</v>
      </c>
      <c r="I59" s="65">
        <f t="shared" si="15"/>
        <v>22864.120538070227</v>
      </c>
      <c r="J59" s="65">
        <f t="shared" si="15"/>
        <v>23672.270072608848</v>
      </c>
      <c r="K59" s="65">
        <f t="shared" si="15"/>
        <v>24278.483373098992</v>
      </c>
      <c r="L59" s="65">
        <f t="shared" si="15"/>
        <v>24991.742334377937</v>
      </c>
      <c r="M59" s="65">
        <f t="shared" si="15"/>
        <v>26223.068549816438</v>
      </c>
      <c r="N59" s="65">
        <f t="shared" si="15"/>
        <v>27658.600202472011</v>
      </c>
      <c r="O59" s="65">
        <f t="shared" si="15"/>
        <v>29076.798131059753</v>
      </c>
      <c r="P59" s="65">
        <f t="shared" si="15"/>
        <v>30103.467750279357</v>
      </c>
      <c r="Q59" s="65">
        <f t="shared" si="15"/>
        <v>31278.831545041976</v>
      </c>
      <c r="R59" s="65">
        <f t="shared" si="15"/>
        <v>32928.198752152195</v>
      </c>
      <c r="S59" s="65">
        <f t="shared" si="15"/>
        <v>36159.112579921668</v>
      </c>
      <c r="T59" s="65">
        <f t="shared" si="15"/>
        <v>37630.003773896373</v>
      </c>
      <c r="U59" s="65">
        <f t="shared" si="15"/>
        <v>39922.850678621005</v>
      </c>
      <c r="W59" s="400">
        <f>SUM(B59:U59)</f>
        <v>484966.82587029168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-B106</f>
        <v>-296.48996776542862</v>
      </c>
      <c r="C61" s="223">
        <f t="shared" ref="C61:U61" si="16">-C106</f>
        <v>-297.14384874839141</v>
      </c>
      <c r="D61" s="223">
        <f t="shared" si="16"/>
        <v>-297.8207467523431</v>
      </c>
      <c r="E61" s="223">
        <f t="shared" si="16"/>
        <v>-540.19017382831646</v>
      </c>
      <c r="F61" s="223">
        <f t="shared" si="16"/>
        <v>-619.454528435866</v>
      </c>
      <c r="G61" s="223">
        <f t="shared" si="16"/>
        <v>-935.75589718324295</v>
      </c>
      <c r="H61" s="223">
        <f t="shared" si="16"/>
        <v>-1387.7308238116098</v>
      </c>
      <c r="I61" s="223">
        <f t="shared" si="16"/>
        <v>-1484.1544051912747</v>
      </c>
      <c r="J61" s="223">
        <f t="shared" si="16"/>
        <v>-1602.41582355418</v>
      </c>
      <c r="K61" s="223">
        <f t="shared" si="16"/>
        <v>-1732.2801265848559</v>
      </c>
      <c r="L61" s="223">
        <f t="shared" si="16"/>
        <v>-1824.1132700077237</v>
      </c>
      <c r="M61" s="223">
        <f t="shared" si="16"/>
        <v>-1932.7194579404195</v>
      </c>
      <c r="N61" s="223">
        <f t="shared" si="16"/>
        <v>-2047.0459665871551</v>
      </c>
      <c r="O61" s="223">
        <f t="shared" si="16"/>
        <v>-2158.1614878586415</v>
      </c>
      <c r="P61" s="223">
        <f t="shared" si="16"/>
        <v>-2272.4135946013157</v>
      </c>
      <c r="Q61" s="223">
        <f t="shared" si="16"/>
        <v>-2669.5143767737236</v>
      </c>
      <c r="R61" s="223">
        <f t="shared" si="16"/>
        <v>-3071.8383367842121</v>
      </c>
      <c r="S61" s="223">
        <f t="shared" si="16"/>
        <v>-3198.1881622284791</v>
      </c>
      <c r="T61" s="223">
        <f t="shared" si="16"/>
        <v>-3314.3885665524804</v>
      </c>
      <c r="U61" s="223">
        <f t="shared" si="16"/>
        <v>-3431.0772885509664</v>
      </c>
      <c r="W61" s="400">
        <f>SUM(B61:U61)</f>
        <v>-35112.896849740624</v>
      </c>
    </row>
    <row r="62" spans="1:55" outlineLevel="1">
      <c r="A62" s="13" t="s">
        <v>100</v>
      </c>
      <c r="B62" s="128">
        <f>-Allocation!$E$13*Tax!B24</f>
        <v>0</v>
      </c>
      <c r="C62" s="128">
        <f>-Allocation!$E$13*Tax!C24</f>
        <v>0</v>
      </c>
      <c r="D62" s="128">
        <f>-Allocation!$E$13*Tax!D24</f>
        <v>0</v>
      </c>
      <c r="E62" s="128">
        <f>-Allocation!$E$13*Tax!E24</f>
        <v>0</v>
      </c>
      <c r="F62" s="128">
        <f>-Allocation!$E$13*Tax!F24</f>
        <v>0</v>
      </c>
      <c r="G62" s="128">
        <f>-Allocation!$E$13*Tax!G24</f>
        <v>0</v>
      </c>
      <c r="H62" s="128">
        <f>-Allocation!$E$13*Tax!H24</f>
        <v>-3681.8597830694607</v>
      </c>
      <c r="I62" s="128">
        <f>-Allocation!$E$13*Tax!I24</f>
        <v>-4983.9665108527333</v>
      </c>
      <c r="J62" s="128">
        <f>-Allocation!$E$13*Tax!J24</f>
        <v>-5369.0853523280848</v>
      </c>
      <c r="K62" s="128">
        <f>-Allocation!$E$13*Tax!K24</f>
        <v>-5768.1400831381534</v>
      </c>
      <c r="L62" s="128">
        <f>-Allocation!$E$13*Tax!L24</f>
        <v>-6293.1735900604745</v>
      </c>
      <c r="M62" s="128">
        <f>-Allocation!$E$13*Tax!M24</f>
        <v>-6842.2848681642927</v>
      </c>
      <c r="N62" s="128">
        <f>-Allocation!$E$13*Tax!N24</f>
        <v>-7396.3739263373045</v>
      </c>
      <c r="O62" s="128">
        <f>-Allocation!$E$13*Tax!O24</f>
        <v>-7937.5825918155915</v>
      </c>
      <c r="P62" s="128">
        <f>-Allocation!$E$13*Tax!P24</f>
        <v>-8473.5811353512163</v>
      </c>
      <c r="Q62" s="128">
        <f>-Allocation!$E$13*Tax!Q24</f>
        <v>-11214.187721674427</v>
      </c>
      <c r="R62" s="128">
        <f>-Allocation!$E$13*Tax!R24</f>
        <v>-13942.479598575803</v>
      </c>
      <c r="S62" s="128">
        <f>-Allocation!$E$13*Tax!S24</f>
        <v>-14461.752368048614</v>
      </c>
      <c r="T62" s="128">
        <f>-Allocation!$E$13*Tax!T24</f>
        <v>-14938.611430198553</v>
      </c>
      <c r="U62" s="128">
        <f>-Allocation!$E$13*Tax!U24</f>
        <v>-15417.732281011144</v>
      </c>
      <c r="W62" s="400">
        <f>SUM(B62:U62)</f>
        <v>-126720.81124062586</v>
      </c>
    </row>
    <row r="63" spans="1:55" ht="15" outlineLevel="1">
      <c r="A63" s="1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4007.1971897123585</v>
      </c>
      <c r="C64" s="137">
        <f t="shared" si="17"/>
        <v>4164.783236937029</v>
      </c>
      <c r="D64" s="137">
        <f t="shared" si="17"/>
        <v>4062.9871287659694</v>
      </c>
      <c r="E64" s="137">
        <f t="shared" si="17"/>
        <v>19372.991242699896</v>
      </c>
      <c r="F64" s="137">
        <f t="shared" si="17"/>
        <v>20442.049231641318</v>
      </c>
      <c r="G64" s="137">
        <f t="shared" si="17"/>
        <v>20728.97248690854</v>
      </c>
      <c r="H64" s="137">
        <f t="shared" si="17"/>
        <v>17343.851302615141</v>
      </c>
      <c r="I64" s="137">
        <f t="shared" si="17"/>
        <v>16395.999622026218</v>
      </c>
      <c r="J64" s="137">
        <f t="shared" si="17"/>
        <v>16700.768896726582</v>
      </c>
      <c r="K64" s="137">
        <f t="shared" si="17"/>
        <v>16778.06316337598</v>
      </c>
      <c r="L64" s="137">
        <f t="shared" si="17"/>
        <v>16874.455474309736</v>
      </c>
      <c r="M64" s="137">
        <f t="shared" si="17"/>
        <v>17448.064223711724</v>
      </c>
      <c r="N64" s="137">
        <f t="shared" si="17"/>
        <v>18215.180309547552</v>
      </c>
      <c r="O64" s="137">
        <f t="shared" si="17"/>
        <v>18981.054051385523</v>
      </c>
      <c r="P64" s="137">
        <f t="shared" si="17"/>
        <v>19357.473020326823</v>
      </c>
      <c r="Q64" s="137">
        <f t="shared" si="17"/>
        <v>17395.129446593826</v>
      </c>
      <c r="R64" s="137">
        <f t="shared" si="17"/>
        <v>15913.88081679218</v>
      </c>
      <c r="S64" s="137">
        <f t="shared" si="17"/>
        <v>18499.172049644578</v>
      </c>
      <c r="T64" s="137">
        <f t="shared" si="17"/>
        <v>19377.003777145343</v>
      </c>
      <c r="U64" s="137">
        <f t="shared" si="17"/>
        <v>21074.041109058897</v>
      </c>
      <c r="W64" s="400">
        <f>SUM(B64:U64)</f>
        <v>323133.11777992523</v>
      </c>
    </row>
    <row r="65" spans="1:256" outlineLevel="1">
      <c r="A65" s="7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56" ht="14.25" outlineLevel="1">
      <c r="A66" s="75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6" outlineLevel="1">
      <c r="A67" s="7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8.75" outlineLevel="1">
      <c r="A68" s="55" t="s">
        <v>218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6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6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6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6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6" outlineLevel="1">
      <c r="A73" s="225" t="s">
        <v>181</v>
      </c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56" outlineLevel="1">
      <c r="A74" s="224"/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s="428" customFormat="1" ht="12" customHeight="1">
      <c r="A75" s="225" t="s">
        <v>87</v>
      </c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424"/>
      <c r="AD75" s="424"/>
      <c r="AE75" s="426"/>
      <c r="AF75" s="426"/>
      <c r="AG75" s="426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  <c r="IS75" s="427"/>
      <c r="IT75" s="427"/>
      <c r="IU75" s="427"/>
      <c r="IV75" s="427"/>
    </row>
    <row r="76" spans="1:256" s="428" customFormat="1" ht="12" customHeight="1">
      <c r="A76" s="21" t="s">
        <v>271</v>
      </c>
      <c r="B76" s="145">
        <f>B39-B12</f>
        <v>157.27334270075153</v>
      </c>
      <c r="C76" s="145">
        <f>C39-C12</f>
        <v>187.46301483671414</v>
      </c>
      <c r="D76" s="145">
        <f>D39-D12</f>
        <v>320.15229792330683</v>
      </c>
      <c r="E76" s="145">
        <f t="shared" ref="E76:U76" si="18">E39</f>
        <v>15887.946289068132</v>
      </c>
      <c r="F76" s="145">
        <f t="shared" si="18"/>
        <v>18219.250836348998</v>
      </c>
      <c r="G76" s="145">
        <f t="shared" si="18"/>
        <v>19327.388562229535</v>
      </c>
      <c r="H76" s="145">
        <f t="shared" si="18"/>
        <v>20458.895914033419</v>
      </c>
      <c r="I76" s="145">
        <f t="shared" si="18"/>
        <v>21691.119919939876</v>
      </c>
      <c r="J76" s="145">
        <f t="shared" si="18"/>
        <v>23176.427556344439</v>
      </c>
      <c r="K76" s="145">
        <f t="shared" si="18"/>
        <v>24831.951836314322</v>
      </c>
      <c r="L76" s="145">
        <f t="shared" si="18"/>
        <v>25982.724346895622</v>
      </c>
      <c r="M76" s="145">
        <f t="shared" si="18"/>
        <v>27369.158562334116</v>
      </c>
      <c r="N76" s="145">
        <f t="shared" si="18"/>
        <v>28804.657214989693</v>
      </c>
      <c r="O76" s="145">
        <f t="shared" si="18"/>
        <v>30222.855143577435</v>
      </c>
      <c r="P76" s="145">
        <f t="shared" si="18"/>
        <v>31657.411999979064</v>
      </c>
      <c r="Q76" s="145">
        <f t="shared" si="18"/>
        <v>33240.663031923716</v>
      </c>
      <c r="R76" s="145">
        <f t="shared" si="18"/>
        <v>34890.030239033935</v>
      </c>
      <c r="S76" s="145">
        <f t="shared" si="18"/>
        <v>36489.395118075285</v>
      </c>
      <c r="T76" s="145">
        <f t="shared" si="18"/>
        <v>37960.28631204999</v>
      </c>
      <c r="U76" s="145">
        <f t="shared" si="18"/>
        <v>39437.358742410572</v>
      </c>
      <c r="V76" s="433"/>
      <c r="W76" s="433"/>
      <c r="X76" s="433"/>
      <c r="Y76" s="433"/>
      <c r="Z76" s="433"/>
      <c r="AA76" s="433"/>
      <c r="AB76" s="433"/>
      <c r="AC76" s="424"/>
      <c r="AD76" s="424"/>
      <c r="AE76" s="426"/>
      <c r="AF76" s="426"/>
      <c r="AG76" s="426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  <c r="IS76" s="427"/>
      <c r="IT76" s="427"/>
      <c r="IU76" s="427"/>
      <c r="IV76" s="427"/>
    </row>
    <row r="77" spans="1:256" s="429" customFormat="1" ht="12" customHeight="1">
      <c r="A77" s="21" t="s">
        <v>173</v>
      </c>
      <c r="B77" s="434">
        <f>Assumptions!$H$39</f>
        <v>3.4000000000000002E-2</v>
      </c>
      <c r="C77" s="434">
        <f>Assumptions!$H$39</f>
        <v>3.4000000000000002E-2</v>
      </c>
      <c r="D77" s="434">
        <f>Assumptions!$H$39</f>
        <v>3.4000000000000002E-2</v>
      </c>
      <c r="E77" s="434">
        <f>Assumptions!$H$39</f>
        <v>3.4000000000000002E-2</v>
      </c>
      <c r="F77" s="434">
        <f>Assumptions!$H$39</f>
        <v>3.4000000000000002E-2</v>
      </c>
      <c r="G77" s="434">
        <f>Assumptions!$H$39</f>
        <v>3.4000000000000002E-2</v>
      </c>
      <c r="H77" s="434">
        <f>Assumptions!$H$39</f>
        <v>3.4000000000000002E-2</v>
      </c>
      <c r="I77" s="434">
        <f>Assumptions!$H$39</f>
        <v>3.4000000000000002E-2</v>
      </c>
      <c r="J77" s="434">
        <f>Assumptions!$H$39</f>
        <v>3.4000000000000002E-2</v>
      </c>
      <c r="K77" s="434">
        <f>Assumptions!$H$39</f>
        <v>3.4000000000000002E-2</v>
      </c>
      <c r="L77" s="434">
        <f>Assumptions!$H$39</f>
        <v>3.4000000000000002E-2</v>
      </c>
      <c r="M77" s="434">
        <f>Assumptions!$H$39</f>
        <v>3.4000000000000002E-2</v>
      </c>
      <c r="N77" s="434">
        <f>Assumptions!$H$39</f>
        <v>3.4000000000000002E-2</v>
      </c>
      <c r="O77" s="434">
        <f>Assumptions!$H$39</f>
        <v>3.4000000000000002E-2</v>
      </c>
      <c r="P77" s="434">
        <f>Assumptions!$H$39</f>
        <v>3.4000000000000002E-2</v>
      </c>
      <c r="Q77" s="434">
        <f>Assumptions!$H$39</f>
        <v>3.4000000000000002E-2</v>
      </c>
      <c r="R77" s="434">
        <f>Assumptions!$H$39</f>
        <v>3.4000000000000002E-2</v>
      </c>
      <c r="S77" s="434">
        <f>Assumptions!$H$39</f>
        <v>3.4000000000000002E-2</v>
      </c>
      <c r="T77" s="434">
        <f>Assumptions!$H$39</f>
        <v>3.4000000000000002E-2</v>
      </c>
      <c r="U77" s="434">
        <f>Assumptions!$H$39</f>
        <v>3.4000000000000002E-2</v>
      </c>
      <c r="V77" s="434"/>
      <c r="W77" s="434"/>
      <c r="X77" s="434"/>
      <c r="Y77" s="434"/>
      <c r="Z77" s="434"/>
      <c r="AA77" s="434"/>
      <c r="AB77" s="434"/>
      <c r="AC77" s="426"/>
      <c r="AD77" s="426"/>
      <c r="AE77" s="426"/>
      <c r="AF77" s="426"/>
      <c r="AG77" s="426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  <c r="IP77" s="427"/>
      <c r="IQ77" s="427"/>
      <c r="IR77" s="427"/>
      <c r="IS77" s="427"/>
    </row>
    <row r="78" spans="1:256" s="429" customFormat="1" ht="12" customHeight="1">
      <c r="A78" s="21" t="s">
        <v>174</v>
      </c>
      <c r="B78" s="22">
        <f>B76*B77</f>
        <v>5.3472936518255523</v>
      </c>
      <c r="C78" s="22">
        <f t="shared" ref="C78:U78" si="19">C76*C77</f>
        <v>6.3737425044482814</v>
      </c>
      <c r="D78" s="22">
        <f t="shared" si="19"/>
        <v>10.885178129392433</v>
      </c>
      <c r="E78" s="22">
        <f t="shared" si="19"/>
        <v>540.19017382831646</v>
      </c>
      <c r="F78" s="22">
        <f t="shared" si="19"/>
        <v>619.454528435866</v>
      </c>
      <c r="G78" s="22">
        <f t="shared" si="19"/>
        <v>657.13121111580426</v>
      </c>
      <c r="H78" s="22">
        <f t="shared" si="19"/>
        <v>695.60246107713635</v>
      </c>
      <c r="I78" s="22">
        <f t="shared" si="19"/>
        <v>737.49807727795587</v>
      </c>
      <c r="J78" s="22">
        <f t="shared" si="19"/>
        <v>787.99853691571093</v>
      </c>
      <c r="K78" s="22">
        <f t="shared" si="19"/>
        <v>844.28636243468702</v>
      </c>
      <c r="L78" s="22">
        <f t="shared" si="19"/>
        <v>883.41262779445117</v>
      </c>
      <c r="M78" s="22">
        <f t="shared" si="19"/>
        <v>930.55139111936001</v>
      </c>
      <c r="N78" s="22">
        <f t="shared" si="19"/>
        <v>979.35834530964962</v>
      </c>
      <c r="O78" s="22">
        <f t="shared" si="19"/>
        <v>1027.5770748816328</v>
      </c>
      <c r="P78" s="22">
        <f t="shared" si="19"/>
        <v>1076.3520079992882</v>
      </c>
      <c r="Q78" s="22">
        <f t="shared" si="19"/>
        <v>1130.1825430854065</v>
      </c>
      <c r="R78" s="22">
        <f t="shared" si="19"/>
        <v>1186.2610281271538</v>
      </c>
      <c r="S78" s="22">
        <f t="shared" si="19"/>
        <v>1240.6394340145598</v>
      </c>
      <c r="T78" s="22">
        <f t="shared" si="19"/>
        <v>1290.6497346096996</v>
      </c>
      <c r="U78" s="22">
        <f t="shared" si="19"/>
        <v>1340.8701972419594</v>
      </c>
      <c r="V78" s="435"/>
      <c r="W78" s="435"/>
      <c r="X78" s="435"/>
      <c r="Y78" s="435"/>
      <c r="Z78" s="435"/>
      <c r="AA78" s="435"/>
      <c r="AB78" s="435"/>
      <c r="AC78" s="424"/>
      <c r="AD78" s="426"/>
      <c r="AE78" s="426"/>
      <c r="AF78" s="426"/>
      <c r="AG78" s="426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  <c r="IR78" s="427"/>
      <c r="IS78" s="427"/>
      <c r="IT78" s="427"/>
      <c r="IU78" s="427"/>
    </row>
    <row r="79" spans="1:256" s="429" customFormat="1" ht="12" customHeight="1">
      <c r="A79" s="424"/>
      <c r="B79" s="17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432"/>
      <c r="AD79" s="432"/>
      <c r="AE79" s="424"/>
      <c r="AF79" s="424"/>
      <c r="AG79" s="424"/>
    </row>
    <row r="80" spans="1:256" s="428" customFormat="1" ht="12" customHeight="1">
      <c r="A80" s="225" t="s">
        <v>88</v>
      </c>
      <c r="B80" s="17"/>
      <c r="C80" s="17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/>
      <c r="X80" s="436"/>
      <c r="Y80" s="436"/>
      <c r="Z80" s="436"/>
      <c r="AA80" s="436"/>
      <c r="AB80" s="436"/>
      <c r="AC80" s="424"/>
      <c r="AD80" s="424"/>
      <c r="AE80" s="426"/>
      <c r="AF80" s="426"/>
      <c r="AG80" s="426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  <c r="IR80" s="427"/>
      <c r="IS80" s="427"/>
      <c r="IT80" s="427"/>
      <c r="IU80" s="427"/>
      <c r="IV80" s="427"/>
    </row>
    <row r="81" spans="1:256" s="428" customFormat="1" ht="12" customHeight="1">
      <c r="A81" s="21" t="s">
        <v>276</v>
      </c>
      <c r="B81" s="437">
        <f>B19-B12</f>
        <v>24707.497313785716</v>
      </c>
      <c r="C81" s="437">
        <f>C19-C12</f>
        <v>24761.987395699281</v>
      </c>
      <c r="D81" s="437">
        <f>D19-D12</f>
        <v>24818.395562695259</v>
      </c>
      <c r="E81" s="437">
        <f t="shared" ref="E81:U81" si="20">E19</f>
        <v>40356.357940543152</v>
      </c>
      <c r="F81" s="437">
        <f t="shared" si="20"/>
        <v>42456.536129570479</v>
      </c>
      <c r="G81" s="437">
        <f t="shared" si="20"/>
        <v>43334.391079683177</v>
      </c>
      <c r="H81" s="437">
        <f t="shared" si="20"/>
        <v>44229.990842554434</v>
      </c>
      <c r="I81" s="437">
        <f t="shared" si="20"/>
        <v>45145.10159007155</v>
      </c>
      <c r="J81" s="437">
        <f t="shared" si="20"/>
        <v>46080.618477000193</v>
      </c>
      <c r="K81" s="437">
        <f t="shared" si="20"/>
        <v>47036.671799207055</v>
      </c>
      <c r="L81" s="437">
        <f t="shared" si="20"/>
        <v>47672.826272120059</v>
      </c>
      <c r="M81" s="437">
        <f t="shared" si="20"/>
        <v>48320.146201854026</v>
      </c>
      <c r="N81" s="437">
        <f t="shared" si="20"/>
        <v>48976.841961927603</v>
      </c>
      <c r="O81" s="437">
        <f t="shared" si="20"/>
        <v>49643.066459249509</v>
      </c>
      <c r="P81" s="437">
        <f t="shared" si="20"/>
        <v>50318.975111458763</v>
      </c>
      <c r="Q81" s="437">
        <f t="shared" si="20"/>
        <v>51114.909985418024</v>
      </c>
      <c r="R81" s="437">
        <f t="shared" si="20"/>
        <v>51923.927837946678</v>
      </c>
      <c r="S81" s="437">
        <f t="shared" si="20"/>
        <v>52746.257935891015</v>
      </c>
      <c r="T81" s="437">
        <f t="shared" si="20"/>
        <v>53582.133956161924</v>
      </c>
      <c r="U81" s="437">
        <f t="shared" si="20"/>
        <v>54431.794080721273</v>
      </c>
      <c r="V81" s="433"/>
      <c r="W81" s="433"/>
      <c r="X81" s="433"/>
      <c r="Y81" s="433"/>
      <c r="Z81" s="433"/>
      <c r="AA81" s="433"/>
      <c r="AB81" s="433"/>
      <c r="AC81" s="424"/>
      <c r="AD81" s="424"/>
      <c r="AE81" s="426"/>
      <c r="AF81" s="426"/>
      <c r="AG81" s="426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  <c r="IR81" s="427"/>
      <c r="IS81" s="427"/>
      <c r="IT81" s="427"/>
      <c r="IU81" s="427"/>
      <c r="IV81" s="427"/>
    </row>
    <row r="82" spans="1:256" s="428" customFormat="1" ht="12" customHeight="1">
      <c r="A82" s="21" t="s">
        <v>175</v>
      </c>
      <c r="B82" s="434">
        <f>Assumptions!$H$40</f>
        <v>1.2E-2</v>
      </c>
      <c r="C82" s="434">
        <f>Assumptions!$H$40</f>
        <v>1.2E-2</v>
      </c>
      <c r="D82" s="434">
        <f>Assumptions!$H$40</f>
        <v>1.2E-2</v>
      </c>
      <c r="E82" s="434">
        <f>Assumptions!$H$40</f>
        <v>1.2E-2</v>
      </c>
      <c r="F82" s="434">
        <f>Assumptions!$H$40</f>
        <v>1.2E-2</v>
      </c>
      <c r="G82" s="434">
        <f>Assumptions!$H$40</f>
        <v>1.2E-2</v>
      </c>
      <c r="H82" s="434">
        <f>Assumptions!$H$40</f>
        <v>1.2E-2</v>
      </c>
      <c r="I82" s="434">
        <f>Assumptions!$H$40</f>
        <v>1.2E-2</v>
      </c>
      <c r="J82" s="434">
        <f>Assumptions!$H$40</f>
        <v>1.2E-2</v>
      </c>
      <c r="K82" s="434">
        <f>Assumptions!$H$40</f>
        <v>1.2E-2</v>
      </c>
      <c r="L82" s="434">
        <f>Assumptions!$H$40</f>
        <v>1.2E-2</v>
      </c>
      <c r="M82" s="434">
        <f>Assumptions!$H$40</f>
        <v>1.2E-2</v>
      </c>
      <c r="N82" s="434">
        <f>Assumptions!$H$40</f>
        <v>1.2E-2</v>
      </c>
      <c r="O82" s="434">
        <f>Assumptions!$H$40</f>
        <v>1.2E-2</v>
      </c>
      <c r="P82" s="434">
        <f>Assumptions!$H$40</f>
        <v>1.2E-2</v>
      </c>
      <c r="Q82" s="434">
        <f>Assumptions!$H$40</f>
        <v>1.2E-2</v>
      </c>
      <c r="R82" s="434">
        <f>Assumptions!$H$40</f>
        <v>1.2E-2</v>
      </c>
      <c r="S82" s="434">
        <f>Assumptions!$H$40</f>
        <v>1.2E-2</v>
      </c>
      <c r="T82" s="434">
        <f>Assumptions!$H$40</f>
        <v>1.2E-2</v>
      </c>
      <c r="U82" s="434">
        <f>Assumptions!$H$40</f>
        <v>1.2E-2</v>
      </c>
      <c r="V82" s="434"/>
      <c r="W82" s="434"/>
      <c r="X82" s="434"/>
      <c r="Y82" s="434"/>
      <c r="Z82" s="434"/>
      <c r="AA82" s="434"/>
      <c r="AB82" s="434"/>
      <c r="AC82" s="424"/>
      <c r="AD82" s="424"/>
      <c r="AE82" s="426"/>
      <c r="AF82" s="426"/>
      <c r="AG82" s="426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  <c r="IR82" s="427"/>
      <c r="IS82" s="427"/>
      <c r="IT82" s="427"/>
      <c r="IU82" s="427"/>
      <c r="IV82" s="427"/>
    </row>
    <row r="83" spans="1:256" s="428" customFormat="1" ht="12" customHeight="1">
      <c r="A83" s="21" t="s">
        <v>176</v>
      </c>
      <c r="B83" s="22">
        <f>B81*B82</f>
        <v>296.48996776542862</v>
      </c>
      <c r="C83" s="22">
        <f t="shared" ref="C83:U83" si="21">C81*C82</f>
        <v>297.14384874839141</v>
      </c>
      <c r="D83" s="22">
        <f t="shared" si="21"/>
        <v>297.8207467523431</v>
      </c>
      <c r="E83" s="22">
        <f t="shared" si="21"/>
        <v>484.27629528651784</v>
      </c>
      <c r="F83" s="22">
        <f t="shared" si="21"/>
        <v>509.47843355484576</v>
      </c>
      <c r="G83" s="22">
        <f t="shared" si="21"/>
        <v>520.01269295619818</v>
      </c>
      <c r="H83" s="22">
        <f t="shared" si="21"/>
        <v>530.75989011065326</v>
      </c>
      <c r="I83" s="22">
        <f t="shared" si="21"/>
        <v>541.74121908085863</v>
      </c>
      <c r="J83" s="22">
        <f t="shared" si="21"/>
        <v>552.96742172400229</v>
      </c>
      <c r="K83" s="22">
        <f t="shared" si="21"/>
        <v>564.44006159048467</v>
      </c>
      <c r="L83" s="22">
        <f t="shared" si="21"/>
        <v>572.07391526544075</v>
      </c>
      <c r="M83" s="22">
        <f t="shared" si="21"/>
        <v>579.8417544222483</v>
      </c>
      <c r="N83" s="22">
        <f t="shared" si="21"/>
        <v>587.7221035431312</v>
      </c>
      <c r="O83" s="22">
        <f t="shared" si="21"/>
        <v>595.71679751099407</v>
      </c>
      <c r="P83" s="22">
        <f t="shared" si="21"/>
        <v>603.82770133750512</v>
      </c>
      <c r="Q83" s="22">
        <f t="shared" si="21"/>
        <v>613.37891982501628</v>
      </c>
      <c r="R83" s="22">
        <f t="shared" si="21"/>
        <v>623.08713405536014</v>
      </c>
      <c r="S83" s="22">
        <f t="shared" si="21"/>
        <v>632.95509523069222</v>
      </c>
      <c r="T83" s="22">
        <f t="shared" si="21"/>
        <v>642.98560747394311</v>
      </c>
      <c r="U83" s="22">
        <f t="shared" si="21"/>
        <v>653.18152896865524</v>
      </c>
      <c r="V83" s="435"/>
      <c r="W83" s="435"/>
      <c r="X83" s="435"/>
      <c r="Y83" s="435"/>
      <c r="Z83" s="435"/>
      <c r="AA83" s="435"/>
      <c r="AB83" s="435"/>
      <c r="AC83" s="424"/>
      <c r="AD83" s="424"/>
      <c r="AE83" s="426"/>
      <c r="AF83" s="426"/>
      <c r="AG83" s="426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27"/>
      <c r="AX83" s="427"/>
      <c r="AY83" s="427"/>
      <c r="AZ83" s="427"/>
      <c r="BA83" s="427"/>
      <c r="BB83" s="427"/>
      <c r="BC83" s="427"/>
      <c r="BD83" s="427"/>
      <c r="BE83" s="427"/>
      <c r="BF83" s="427"/>
      <c r="BG83" s="427"/>
      <c r="BH83" s="427"/>
      <c r="BI83" s="427"/>
      <c r="BJ83" s="427"/>
      <c r="BK83" s="427"/>
      <c r="BL83" s="427"/>
      <c r="BM83" s="427"/>
      <c r="BN83" s="427"/>
      <c r="BO83" s="427"/>
      <c r="BP83" s="427"/>
      <c r="BQ83" s="427"/>
      <c r="BR83" s="427"/>
      <c r="BS83" s="427"/>
      <c r="BT83" s="427"/>
      <c r="BU83" s="427"/>
      <c r="BV83" s="427"/>
      <c r="BW83" s="427"/>
      <c r="BX83" s="427"/>
      <c r="BY83" s="427"/>
      <c r="BZ83" s="427"/>
      <c r="CA83" s="427"/>
      <c r="CB83" s="427"/>
      <c r="CC83" s="427"/>
      <c r="CD83" s="427"/>
      <c r="CE83" s="427"/>
      <c r="CF83" s="427"/>
      <c r="CG83" s="427"/>
      <c r="CH83" s="427"/>
      <c r="CI83" s="427"/>
      <c r="CJ83" s="427"/>
      <c r="CK83" s="427"/>
      <c r="CL83" s="427"/>
      <c r="CM83" s="427"/>
      <c r="CN83" s="427"/>
      <c r="CO83" s="427"/>
      <c r="CP83" s="427"/>
      <c r="CQ83" s="427"/>
      <c r="CR83" s="427"/>
      <c r="CS83" s="427"/>
      <c r="CT83" s="427"/>
      <c r="CU83" s="427"/>
      <c r="CV83" s="427"/>
      <c r="CW83" s="427"/>
      <c r="CX83" s="427"/>
      <c r="CY83" s="427"/>
      <c r="CZ83" s="427"/>
      <c r="DA83" s="427"/>
      <c r="DB83" s="427"/>
      <c r="DC83" s="427"/>
      <c r="DD83" s="427"/>
      <c r="DE83" s="427"/>
      <c r="DF83" s="427"/>
      <c r="DG83" s="427"/>
      <c r="DH83" s="427"/>
      <c r="DI83" s="427"/>
      <c r="DJ83" s="427"/>
      <c r="DK83" s="427"/>
      <c r="DL83" s="427"/>
      <c r="DM83" s="427"/>
      <c r="DN83" s="427"/>
      <c r="DO83" s="427"/>
      <c r="DP83" s="427"/>
      <c r="DQ83" s="427"/>
      <c r="DR83" s="427"/>
      <c r="DS83" s="427"/>
      <c r="DT83" s="427"/>
      <c r="DU83" s="427"/>
      <c r="DV83" s="427"/>
      <c r="DW83" s="427"/>
      <c r="DX83" s="427"/>
      <c r="DY83" s="427"/>
      <c r="DZ83" s="427"/>
      <c r="EA83" s="427"/>
      <c r="EB83" s="427"/>
      <c r="EC83" s="427"/>
      <c r="ED83" s="427"/>
      <c r="EE83" s="427"/>
      <c r="EF83" s="427"/>
      <c r="EG83" s="427"/>
      <c r="EH83" s="427"/>
      <c r="EI83" s="427"/>
      <c r="EJ83" s="427"/>
      <c r="EK83" s="427"/>
      <c r="EL83" s="427"/>
      <c r="EM83" s="427"/>
      <c r="EN83" s="427"/>
      <c r="EO83" s="427"/>
      <c r="EP83" s="427"/>
      <c r="EQ83" s="427"/>
      <c r="ER83" s="427"/>
      <c r="ES83" s="427"/>
      <c r="ET83" s="427"/>
      <c r="EU83" s="427"/>
      <c r="EV83" s="427"/>
      <c r="EW83" s="427"/>
      <c r="EX83" s="427"/>
      <c r="EY83" s="427"/>
      <c r="EZ83" s="427"/>
      <c r="FA83" s="427"/>
      <c r="FB83" s="427"/>
      <c r="FC83" s="427"/>
      <c r="FD83" s="427"/>
      <c r="FE83" s="427"/>
      <c r="FF83" s="427"/>
      <c r="FG83" s="427"/>
      <c r="FH83" s="427"/>
      <c r="FI83" s="427"/>
      <c r="FJ83" s="427"/>
      <c r="FK83" s="427"/>
      <c r="FL83" s="427"/>
      <c r="FM83" s="427"/>
      <c r="FN83" s="427"/>
      <c r="FO83" s="427"/>
      <c r="FP83" s="427"/>
      <c r="FQ83" s="427"/>
      <c r="FR83" s="427"/>
      <c r="FS83" s="427"/>
      <c r="FT83" s="427"/>
      <c r="FU83" s="427"/>
      <c r="FV83" s="427"/>
      <c r="FW83" s="427"/>
      <c r="FX83" s="427"/>
      <c r="FY83" s="427"/>
      <c r="FZ83" s="427"/>
      <c r="GA83" s="427"/>
      <c r="GB83" s="427"/>
      <c r="GC83" s="427"/>
      <c r="GD83" s="427"/>
      <c r="GE83" s="427"/>
      <c r="GF83" s="427"/>
      <c r="GG83" s="427"/>
      <c r="GH83" s="427"/>
      <c r="GI83" s="427"/>
      <c r="GJ83" s="427"/>
      <c r="GK83" s="427"/>
      <c r="GL83" s="427"/>
      <c r="GM83" s="427"/>
      <c r="GN83" s="427"/>
      <c r="GO83" s="427"/>
      <c r="GP83" s="427"/>
      <c r="GQ83" s="427"/>
      <c r="GR83" s="427"/>
      <c r="GS83" s="427"/>
      <c r="GT83" s="427"/>
      <c r="GU83" s="427"/>
      <c r="GV83" s="427"/>
      <c r="GW83" s="427"/>
      <c r="GX83" s="427"/>
      <c r="GY83" s="427"/>
      <c r="GZ83" s="427"/>
      <c r="HA83" s="427"/>
      <c r="HB83" s="427"/>
      <c r="HC83" s="427"/>
      <c r="HD83" s="427"/>
      <c r="HE83" s="427"/>
      <c r="HF83" s="427"/>
      <c r="HG83" s="427"/>
      <c r="HH83" s="427"/>
      <c r="HI83" s="427"/>
      <c r="HJ83" s="427"/>
      <c r="HK83" s="427"/>
      <c r="HL83" s="427"/>
      <c r="HM83" s="427"/>
      <c r="HN83" s="427"/>
      <c r="HO83" s="427"/>
      <c r="HP83" s="427"/>
      <c r="HQ83" s="427"/>
      <c r="HR83" s="427"/>
      <c r="HS83" s="427"/>
      <c r="HT83" s="427"/>
      <c r="HU83" s="427"/>
      <c r="HV83" s="427"/>
      <c r="HW83" s="427"/>
      <c r="HX83" s="427"/>
      <c r="HY83" s="427"/>
      <c r="HZ83" s="427"/>
      <c r="IA83" s="427"/>
      <c r="IB83" s="427"/>
      <c r="IC83" s="427"/>
      <c r="ID83" s="427"/>
      <c r="IE83" s="427"/>
      <c r="IF83" s="427"/>
      <c r="IG83" s="427"/>
      <c r="IH83" s="427"/>
      <c r="II83" s="427"/>
      <c r="IJ83" s="427"/>
      <c r="IK83" s="427"/>
      <c r="IL83" s="427"/>
      <c r="IM83" s="427"/>
      <c r="IN83" s="427"/>
      <c r="IO83" s="427"/>
      <c r="IP83" s="427"/>
      <c r="IQ83" s="427"/>
      <c r="IR83" s="427"/>
      <c r="IS83" s="427"/>
      <c r="IT83" s="427"/>
      <c r="IU83" s="427"/>
      <c r="IV83" s="427"/>
    </row>
    <row r="84" spans="1:256" s="428" customFormat="1" ht="12" customHeight="1">
      <c r="A84" s="21"/>
      <c r="B84" s="32"/>
      <c r="C84" s="32"/>
      <c r="D84" s="435"/>
      <c r="E84" s="435"/>
      <c r="F84" s="435"/>
      <c r="G84" s="435"/>
      <c r="H84" s="435"/>
      <c r="I84" s="435"/>
      <c r="J84" s="435"/>
      <c r="K84" s="435"/>
      <c r="L84" s="435"/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435"/>
      <c r="Z84" s="435"/>
      <c r="AA84" s="435"/>
      <c r="AB84" s="435"/>
      <c r="AC84" s="424"/>
      <c r="AD84" s="424"/>
      <c r="AE84" s="426"/>
      <c r="AF84" s="426"/>
      <c r="AG84" s="426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27"/>
      <c r="AX84" s="427"/>
      <c r="AY84" s="427"/>
      <c r="AZ84" s="427"/>
      <c r="BA84" s="427"/>
      <c r="BB84" s="427"/>
      <c r="BC84" s="427"/>
      <c r="BD84" s="427"/>
      <c r="BE84" s="427"/>
      <c r="BF84" s="427"/>
      <c r="BG84" s="427"/>
      <c r="BH84" s="427"/>
      <c r="BI84" s="427"/>
      <c r="BJ84" s="427"/>
      <c r="BK84" s="427"/>
      <c r="BL84" s="427"/>
      <c r="BM84" s="427"/>
      <c r="BN84" s="427"/>
      <c r="BO84" s="427"/>
      <c r="BP84" s="427"/>
      <c r="BQ84" s="427"/>
      <c r="BR84" s="427"/>
      <c r="BS84" s="427"/>
      <c r="BT84" s="427"/>
      <c r="BU84" s="427"/>
      <c r="BV84" s="427"/>
      <c r="BW84" s="427"/>
      <c r="BX84" s="427"/>
      <c r="BY84" s="427"/>
      <c r="BZ84" s="427"/>
      <c r="CA84" s="427"/>
      <c r="CB84" s="427"/>
      <c r="CC84" s="427"/>
      <c r="CD84" s="427"/>
      <c r="CE84" s="427"/>
      <c r="CF84" s="427"/>
      <c r="CG84" s="427"/>
      <c r="CH84" s="427"/>
      <c r="CI84" s="427"/>
      <c r="CJ84" s="427"/>
      <c r="CK84" s="427"/>
      <c r="CL84" s="427"/>
      <c r="CM84" s="427"/>
      <c r="CN84" s="427"/>
      <c r="CO84" s="427"/>
      <c r="CP84" s="427"/>
      <c r="CQ84" s="427"/>
      <c r="CR84" s="427"/>
      <c r="CS84" s="427"/>
      <c r="CT84" s="427"/>
      <c r="CU84" s="427"/>
      <c r="CV84" s="427"/>
      <c r="CW84" s="427"/>
      <c r="CX84" s="427"/>
      <c r="CY84" s="427"/>
      <c r="CZ84" s="427"/>
      <c r="DA84" s="427"/>
      <c r="DB84" s="427"/>
      <c r="DC84" s="427"/>
      <c r="DD84" s="427"/>
      <c r="DE84" s="427"/>
      <c r="DF84" s="427"/>
      <c r="DG84" s="427"/>
      <c r="DH84" s="427"/>
      <c r="DI84" s="427"/>
      <c r="DJ84" s="427"/>
      <c r="DK84" s="427"/>
      <c r="DL84" s="427"/>
      <c r="DM84" s="427"/>
      <c r="DN84" s="427"/>
      <c r="DO84" s="427"/>
      <c r="DP84" s="427"/>
      <c r="DQ84" s="427"/>
      <c r="DR84" s="427"/>
      <c r="DS84" s="427"/>
      <c r="DT84" s="427"/>
      <c r="DU84" s="427"/>
      <c r="DV84" s="427"/>
      <c r="DW84" s="427"/>
      <c r="DX84" s="427"/>
      <c r="DY84" s="427"/>
      <c r="DZ84" s="427"/>
      <c r="EA84" s="427"/>
      <c r="EB84" s="427"/>
      <c r="EC84" s="427"/>
      <c r="ED84" s="427"/>
      <c r="EE84" s="427"/>
      <c r="EF84" s="427"/>
      <c r="EG84" s="427"/>
      <c r="EH84" s="427"/>
      <c r="EI84" s="427"/>
      <c r="EJ84" s="427"/>
      <c r="EK84" s="427"/>
      <c r="EL84" s="427"/>
      <c r="EM84" s="427"/>
      <c r="EN84" s="427"/>
      <c r="EO84" s="427"/>
      <c r="EP84" s="427"/>
      <c r="EQ84" s="427"/>
      <c r="ER84" s="427"/>
      <c r="ES84" s="427"/>
      <c r="ET84" s="427"/>
      <c r="EU84" s="427"/>
      <c r="EV84" s="427"/>
      <c r="EW84" s="427"/>
      <c r="EX84" s="427"/>
      <c r="EY84" s="427"/>
      <c r="EZ84" s="427"/>
      <c r="FA84" s="427"/>
      <c r="FB84" s="427"/>
      <c r="FC84" s="427"/>
      <c r="FD84" s="427"/>
      <c r="FE84" s="427"/>
      <c r="FF84" s="427"/>
      <c r="FG84" s="427"/>
      <c r="FH84" s="427"/>
      <c r="FI84" s="427"/>
      <c r="FJ84" s="427"/>
      <c r="FK84" s="427"/>
      <c r="FL84" s="427"/>
      <c r="FM84" s="427"/>
      <c r="FN84" s="427"/>
      <c r="FO84" s="427"/>
      <c r="FP84" s="427"/>
      <c r="FQ84" s="427"/>
      <c r="FR84" s="427"/>
      <c r="FS84" s="427"/>
      <c r="FT84" s="427"/>
      <c r="FU84" s="427"/>
      <c r="FV84" s="427"/>
      <c r="FW84" s="427"/>
      <c r="FX84" s="427"/>
      <c r="FY84" s="427"/>
      <c r="FZ84" s="427"/>
      <c r="GA84" s="427"/>
      <c r="GB84" s="427"/>
      <c r="GC84" s="427"/>
      <c r="GD84" s="427"/>
      <c r="GE84" s="427"/>
      <c r="GF84" s="427"/>
      <c r="GG84" s="427"/>
      <c r="GH84" s="427"/>
      <c r="GI84" s="427"/>
      <c r="GJ84" s="427"/>
      <c r="GK84" s="427"/>
      <c r="GL84" s="427"/>
      <c r="GM84" s="427"/>
      <c r="GN84" s="427"/>
      <c r="GO84" s="427"/>
      <c r="GP84" s="427"/>
      <c r="GQ84" s="427"/>
      <c r="GR84" s="427"/>
      <c r="GS84" s="427"/>
      <c r="GT84" s="427"/>
      <c r="GU84" s="427"/>
      <c r="GV84" s="427"/>
      <c r="GW84" s="427"/>
      <c r="GX84" s="427"/>
      <c r="GY84" s="427"/>
      <c r="GZ84" s="427"/>
      <c r="HA84" s="427"/>
      <c r="HB84" s="427"/>
      <c r="HC84" s="427"/>
      <c r="HD84" s="427"/>
      <c r="HE84" s="427"/>
      <c r="HF84" s="427"/>
      <c r="HG84" s="427"/>
      <c r="HH84" s="427"/>
      <c r="HI84" s="427"/>
      <c r="HJ84" s="427"/>
      <c r="HK84" s="427"/>
      <c r="HL84" s="427"/>
      <c r="HM84" s="427"/>
      <c r="HN84" s="427"/>
      <c r="HO84" s="427"/>
      <c r="HP84" s="427"/>
      <c r="HQ84" s="427"/>
      <c r="HR84" s="427"/>
      <c r="HS84" s="427"/>
      <c r="HT84" s="427"/>
      <c r="HU84" s="427"/>
      <c r="HV84" s="427"/>
      <c r="HW84" s="427"/>
      <c r="HX84" s="427"/>
      <c r="HY84" s="427"/>
      <c r="HZ84" s="427"/>
      <c r="IA84" s="427"/>
      <c r="IB84" s="427"/>
      <c r="IC84" s="427"/>
      <c r="ID84" s="427"/>
      <c r="IE84" s="427"/>
      <c r="IF84" s="427"/>
      <c r="IG84" s="427"/>
      <c r="IH84" s="427"/>
      <c r="II84" s="427"/>
      <c r="IJ84" s="427"/>
      <c r="IK84" s="427"/>
      <c r="IL84" s="427"/>
      <c r="IM84" s="427"/>
      <c r="IN84" s="427"/>
      <c r="IO84" s="427"/>
      <c r="IP84" s="427"/>
      <c r="IQ84" s="427"/>
      <c r="IR84" s="427"/>
      <c r="IS84" s="427"/>
      <c r="IT84" s="427"/>
      <c r="IU84" s="427"/>
      <c r="IV84" s="427"/>
    </row>
    <row r="85" spans="1:256" s="428" customFormat="1" ht="12" customHeight="1">
      <c r="A85" s="227" t="s">
        <v>177</v>
      </c>
      <c r="B85" s="477">
        <f>MAX(B83,B78)</f>
        <v>296.48996776542862</v>
      </c>
      <c r="C85" s="477">
        <f t="shared" ref="C85:U85" si="22">MAX(C83,C78)</f>
        <v>297.14384874839141</v>
      </c>
      <c r="D85" s="477">
        <f t="shared" si="22"/>
        <v>297.8207467523431</v>
      </c>
      <c r="E85" s="477">
        <f t="shared" si="22"/>
        <v>540.19017382831646</v>
      </c>
      <c r="F85" s="477">
        <f t="shared" si="22"/>
        <v>619.454528435866</v>
      </c>
      <c r="G85" s="477">
        <f t="shared" si="22"/>
        <v>657.13121111580426</v>
      </c>
      <c r="H85" s="477">
        <f t="shared" si="22"/>
        <v>695.60246107713635</v>
      </c>
      <c r="I85" s="477">
        <f t="shared" si="22"/>
        <v>737.49807727795587</v>
      </c>
      <c r="J85" s="477">
        <f t="shared" si="22"/>
        <v>787.99853691571093</v>
      </c>
      <c r="K85" s="477">
        <f t="shared" si="22"/>
        <v>844.28636243468702</v>
      </c>
      <c r="L85" s="477">
        <f t="shared" si="22"/>
        <v>883.41262779445117</v>
      </c>
      <c r="M85" s="477">
        <f t="shared" si="22"/>
        <v>930.55139111936001</v>
      </c>
      <c r="N85" s="477">
        <f t="shared" si="22"/>
        <v>979.35834530964962</v>
      </c>
      <c r="O85" s="477">
        <f t="shared" si="22"/>
        <v>1027.5770748816328</v>
      </c>
      <c r="P85" s="477">
        <f t="shared" si="22"/>
        <v>1076.3520079992882</v>
      </c>
      <c r="Q85" s="477">
        <f t="shared" si="22"/>
        <v>1130.1825430854065</v>
      </c>
      <c r="R85" s="477">
        <f t="shared" si="22"/>
        <v>1186.2610281271538</v>
      </c>
      <c r="S85" s="477">
        <f t="shared" si="22"/>
        <v>1240.6394340145598</v>
      </c>
      <c r="T85" s="477">
        <f t="shared" si="22"/>
        <v>1290.6497346096996</v>
      </c>
      <c r="U85" s="477">
        <f t="shared" si="22"/>
        <v>1340.8701972419594</v>
      </c>
      <c r="V85" s="435"/>
      <c r="W85" s="435"/>
      <c r="X85" s="477">
        <f>MAX(X83,X78)</f>
        <v>0</v>
      </c>
      <c r="Y85" s="477">
        <f t="shared" ref="Y85:AQ85" si="23">MAX(Y83,Y78)</f>
        <v>0</v>
      </c>
      <c r="Z85" s="477">
        <f t="shared" si="23"/>
        <v>0</v>
      </c>
      <c r="AA85" s="477">
        <f t="shared" si="23"/>
        <v>0</v>
      </c>
      <c r="AB85" s="477">
        <f t="shared" si="23"/>
        <v>0</v>
      </c>
      <c r="AC85" s="477">
        <f t="shared" si="23"/>
        <v>0</v>
      </c>
      <c r="AD85" s="477">
        <f t="shared" si="23"/>
        <v>0</v>
      </c>
      <c r="AE85" s="477">
        <f t="shared" si="23"/>
        <v>0</v>
      </c>
      <c r="AF85" s="477">
        <f t="shared" si="23"/>
        <v>0</v>
      </c>
      <c r="AG85" s="477">
        <f t="shared" si="23"/>
        <v>0</v>
      </c>
      <c r="AH85" s="477">
        <f t="shared" si="23"/>
        <v>0</v>
      </c>
      <c r="AI85" s="477">
        <f t="shared" si="23"/>
        <v>0</v>
      </c>
      <c r="AJ85" s="477">
        <f t="shared" si="23"/>
        <v>0</v>
      </c>
      <c r="AK85" s="477">
        <f t="shared" si="23"/>
        <v>0</v>
      </c>
      <c r="AL85" s="477">
        <f t="shared" si="23"/>
        <v>0</v>
      </c>
      <c r="AM85" s="477">
        <f t="shared" si="23"/>
        <v>0</v>
      </c>
      <c r="AN85" s="477">
        <f t="shared" si="23"/>
        <v>0</v>
      </c>
      <c r="AO85" s="477">
        <f t="shared" si="23"/>
        <v>0</v>
      </c>
      <c r="AP85" s="477">
        <f t="shared" si="23"/>
        <v>0</v>
      </c>
      <c r="AQ85" s="477">
        <f t="shared" si="23"/>
        <v>0</v>
      </c>
      <c r="AR85" s="427"/>
      <c r="AS85" s="427"/>
      <c r="AT85" s="427"/>
      <c r="AU85" s="427"/>
      <c r="AV85" s="427"/>
      <c r="AW85" s="427"/>
      <c r="AX85" s="427"/>
      <c r="AY85" s="427"/>
      <c r="AZ85" s="427"/>
      <c r="BA85" s="427"/>
      <c r="BB85" s="427"/>
      <c r="BC85" s="427"/>
      <c r="BD85" s="427"/>
      <c r="BE85" s="427"/>
      <c r="BF85" s="427"/>
      <c r="BG85" s="427"/>
      <c r="BH85" s="427"/>
      <c r="BI85" s="427"/>
      <c r="BJ85" s="427"/>
      <c r="BK85" s="427"/>
      <c r="BL85" s="427"/>
      <c r="BM85" s="427"/>
      <c r="BN85" s="427"/>
      <c r="BO85" s="427"/>
      <c r="BP85" s="427"/>
      <c r="BQ85" s="427"/>
      <c r="BR85" s="427"/>
      <c r="BS85" s="427"/>
      <c r="BT85" s="427"/>
      <c r="BU85" s="427"/>
      <c r="BV85" s="427"/>
      <c r="BW85" s="427"/>
      <c r="BX85" s="427"/>
      <c r="BY85" s="427"/>
      <c r="BZ85" s="427"/>
      <c r="CA85" s="427"/>
      <c r="CB85" s="427"/>
      <c r="CC85" s="427"/>
      <c r="CD85" s="427"/>
      <c r="CE85" s="427"/>
      <c r="CF85" s="427"/>
      <c r="CG85" s="427"/>
      <c r="CH85" s="427"/>
      <c r="CI85" s="427"/>
      <c r="CJ85" s="427"/>
      <c r="CK85" s="427"/>
      <c r="CL85" s="427"/>
      <c r="CM85" s="427"/>
      <c r="CN85" s="427"/>
      <c r="CO85" s="427"/>
      <c r="CP85" s="427"/>
      <c r="CQ85" s="427"/>
      <c r="CR85" s="427"/>
      <c r="CS85" s="427"/>
      <c r="CT85" s="427"/>
      <c r="CU85" s="427"/>
      <c r="CV85" s="427"/>
      <c r="CW85" s="427"/>
      <c r="CX85" s="427"/>
      <c r="CY85" s="427"/>
      <c r="CZ85" s="427"/>
      <c r="DA85" s="427"/>
      <c r="DB85" s="427"/>
      <c r="DC85" s="427"/>
      <c r="DD85" s="427"/>
      <c r="DE85" s="427"/>
      <c r="DF85" s="427"/>
      <c r="DG85" s="427"/>
      <c r="DH85" s="427"/>
      <c r="DI85" s="427"/>
      <c r="DJ85" s="427"/>
      <c r="DK85" s="427"/>
      <c r="DL85" s="427"/>
      <c r="DM85" s="427"/>
      <c r="DN85" s="427"/>
      <c r="DO85" s="427"/>
      <c r="DP85" s="427"/>
      <c r="DQ85" s="427"/>
      <c r="DR85" s="427"/>
      <c r="DS85" s="427"/>
      <c r="DT85" s="427"/>
      <c r="DU85" s="427"/>
      <c r="DV85" s="427"/>
      <c r="DW85" s="427"/>
      <c r="DX85" s="427"/>
      <c r="DY85" s="427"/>
      <c r="DZ85" s="427"/>
      <c r="EA85" s="427"/>
      <c r="EB85" s="427"/>
      <c r="EC85" s="427"/>
      <c r="ED85" s="427"/>
      <c r="EE85" s="427"/>
      <c r="EF85" s="427"/>
      <c r="EG85" s="427"/>
      <c r="EH85" s="427"/>
      <c r="EI85" s="427"/>
      <c r="EJ85" s="427"/>
      <c r="EK85" s="427"/>
      <c r="EL85" s="427"/>
      <c r="EM85" s="427"/>
      <c r="EN85" s="427"/>
      <c r="EO85" s="427"/>
      <c r="EP85" s="427"/>
      <c r="EQ85" s="427"/>
      <c r="ER85" s="427"/>
      <c r="ES85" s="427"/>
      <c r="ET85" s="427"/>
      <c r="EU85" s="427"/>
      <c r="EV85" s="427"/>
      <c r="EW85" s="427"/>
      <c r="EX85" s="427"/>
      <c r="EY85" s="427"/>
      <c r="EZ85" s="427"/>
      <c r="FA85" s="427"/>
      <c r="FB85" s="427"/>
      <c r="FC85" s="427"/>
      <c r="FD85" s="427"/>
      <c r="FE85" s="427"/>
      <c r="FF85" s="427"/>
      <c r="FG85" s="427"/>
      <c r="FH85" s="427"/>
      <c r="FI85" s="427"/>
      <c r="FJ85" s="427"/>
      <c r="FK85" s="427"/>
      <c r="FL85" s="427"/>
      <c r="FM85" s="427"/>
      <c r="FN85" s="427"/>
      <c r="FO85" s="427"/>
      <c r="FP85" s="427"/>
      <c r="FQ85" s="427"/>
      <c r="FR85" s="427"/>
      <c r="FS85" s="427"/>
      <c r="FT85" s="427"/>
      <c r="FU85" s="427"/>
      <c r="FV85" s="427"/>
      <c r="FW85" s="427"/>
      <c r="FX85" s="427"/>
      <c r="FY85" s="427"/>
      <c r="FZ85" s="427"/>
      <c r="GA85" s="427"/>
      <c r="GB85" s="427"/>
      <c r="GC85" s="427"/>
      <c r="GD85" s="427"/>
      <c r="GE85" s="427"/>
      <c r="GF85" s="427"/>
      <c r="GG85" s="427"/>
      <c r="GH85" s="427"/>
      <c r="GI85" s="427"/>
      <c r="GJ85" s="427"/>
      <c r="GK85" s="427"/>
      <c r="GL85" s="427"/>
      <c r="GM85" s="427"/>
      <c r="GN85" s="427"/>
      <c r="GO85" s="427"/>
      <c r="GP85" s="427"/>
      <c r="GQ85" s="427"/>
      <c r="GR85" s="427"/>
      <c r="GS85" s="427"/>
      <c r="GT85" s="427"/>
      <c r="GU85" s="427"/>
      <c r="GV85" s="427"/>
      <c r="GW85" s="427"/>
      <c r="GX85" s="427"/>
      <c r="GY85" s="427"/>
      <c r="GZ85" s="427"/>
      <c r="HA85" s="427"/>
      <c r="HB85" s="427"/>
      <c r="HC85" s="427"/>
      <c r="HD85" s="427"/>
      <c r="HE85" s="427"/>
      <c r="HF85" s="427"/>
      <c r="HG85" s="427"/>
      <c r="HH85" s="427"/>
      <c r="HI85" s="427"/>
      <c r="HJ85" s="427"/>
      <c r="HK85" s="427"/>
      <c r="HL85" s="427"/>
      <c r="HM85" s="427"/>
      <c r="HN85" s="427"/>
      <c r="HO85" s="427"/>
      <c r="HP85" s="427"/>
      <c r="HQ85" s="427"/>
      <c r="HR85" s="427"/>
      <c r="HS85" s="427"/>
      <c r="HT85" s="427"/>
      <c r="HU85" s="427"/>
      <c r="HV85" s="427"/>
      <c r="HW85" s="427"/>
      <c r="HX85" s="427"/>
      <c r="HY85" s="427"/>
      <c r="HZ85" s="427"/>
      <c r="IA85" s="427"/>
      <c r="IB85" s="427"/>
      <c r="IC85" s="427"/>
      <c r="ID85" s="427"/>
      <c r="IE85" s="427"/>
      <c r="IF85" s="427"/>
      <c r="IG85" s="427"/>
      <c r="IH85" s="427"/>
      <c r="II85" s="427"/>
      <c r="IJ85" s="427"/>
      <c r="IK85" s="427"/>
      <c r="IL85" s="427"/>
      <c r="IM85" s="427"/>
      <c r="IN85" s="427"/>
      <c r="IO85" s="427"/>
      <c r="IP85" s="427"/>
      <c r="IQ85" s="427"/>
      <c r="IR85" s="427"/>
      <c r="IS85" s="427"/>
      <c r="IT85" s="427"/>
      <c r="IU85" s="427"/>
      <c r="IV85" s="427"/>
    </row>
    <row r="86" spans="1:256" s="428" customFormat="1" ht="12" customHeight="1">
      <c r="A86" s="516"/>
      <c r="B86" s="32"/>
      <c r="C86" s="32"/>
      <c r="D86" s="435"/>
      <c r="E86" s="435"/>
      <c r="F86" s="435"/>
      <c r="G86" s="435"/>
      <c r="H86" s="435"/>
      <c r="I86" s="435"/>
      <c r="J86" s="435"/>
      <c r="K86" s="435"/>
      <c r="L86" s="435"/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435"/>
      <c r="Z86" s="435"/>
      <c r="AA86" s="435"/>
      <c r="AB86" s="435"/>
      <c r="AC86" s="424"/>
      <c r="AD86" s="424"/>
      <c r="AE86" s="426"/>
      <c r="AF86" s="426"/>
      <c r="AG86" s="426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27"/>
      <c r="AX86" s="427"/>
      <c r="AY86" s="427"/>
      <c r="AZ86" s="427"/>
      <c r="BA86" s="427"/>
      <c r="BB86" s="427"/>
      <c r="BC86" s="427"/>
      <c r="BD86" s="427"/>
      <c r="BE86" s="427"/>
      <c r="BF86" s="427"/>
      <c r="BG86" s="427"/>
      <c r="BH86" s="427"/>
      <c r="BI86" s="427"/>
      <c r="BJ86" s="427"/>
      <c r="BK86" s="427"/>
      <c r="BL86" s="427"/>
      <c r="BM86" s="427"/>
      <c r="BN86" s="427"/>
      <c r="BO86" s="427"/>
      <c r="BP86" s="427"/>
      <c r="BQ86" s="427"/>
      <c r="BR86" s="427"/>
      <c r="BS86" s="427"/>
      <c r="BT86" s="427"/>
      <c r="BU86" s="427"/>
      <c r="BV86" s="427"/>
      <c r="BW86" s="427"/>
      <c r="BX86" s="427"/>
      <c r="BY86" s="427"/>
      <c r="BZ86" s="427"/>
      <c r="CA86" s="427"/>
      <c r="CB86" s="427"/>
      <c r="CC86" s="427"/>
      <c r="CD86" s="427"/>
      <c r="CE86" s="427"/>
      <c r="CF86" s="427"/>
      <c r="CG86" s="427"/>
      <c r="CH86" s="427"/>
      <c r="CI86" s="427"/>
      <c r="CJ86" s="427"/>
      <c r="CK86" s="427"/>
      <c r="CL86" s="427"/>
      <c r="CM86" s="427"/>
      <c r="CN86" s="427"/>
      <c r="CO86" s="427"/>
      <c r="CP86" s="427"/>
      <c r="CQ86" s="427"/>
      <c r="CR86" s="427"/>
      <c r="CS86" s="427"/>
      <c r="CT86" s="427"/>
      <c r="CU86" s="427"/>
      <c r="CV86" s="427"/>
      <c r="CW86" s="427"/>
      <c r="CX86" s="427"/>
      <c r="CY86" s="427"/>
      <c r="CZ86" s="427"/>
      <c r="DA86" s="427"/>
      <c r="DB86" s="427"/>
      <c r="DC86" s="427"/>
      <c r="DD86" s="427"/>
      <c r="DE86" s="427"/>
      <c r="DF86" s="427"/>
      <c r="DG86" s="427"/>
      <c r="DH86" s="427"/>
      <c r="DI86" s="427"/>
      <c r="DJ86" s="427"/>
      <c r="DK86" s="427"/>
      <c r="DL86" s="427"/>
      <c r="DM86" s="427"/>
      <c r="DN86" s="427"/>
      <c r="DO86" s="427"/>
      <c r="DP86" s="427"/>
      <c r="DQ86" s="427"/>
      <c r="DR86" s="427"/>
      <c r="DS86" s="427"/>
      <c r="DT86" s="427"/>
      <c r="DU86" s="427"/>
      <c r="DV86" s="427"/>
      <c r="DW86" s="427"/>
      <c r="DX86" s="427"/>
      <c r="DY86" s="427"/>
      <c r="DZ86" s="427"/>
      <c r="EA86" s="427"/>
      <c r="EB86" s="427"/>
      <c r="EC86" s="427"/>
      <c r="ED86" s="427"/>
      <c r="EE86" s="427"/>
      <c r="EF86" s="427"/>
      <c r="EG86" s="427"/>
      <c r="EH86" s="427"/>
      <c r="EI86" s="427"/>
      <c r="EJ86" s="427"/>
      <c r="EK86" s="427"/>
      <c r="EL86" s="427"/>
      <c r="EM86" s="427"/>
      <c r="EN86" s="427"/>
      <c r="EO86" s="427"/>
      <c r="EP86" s="427"/>
      <c r="EQ86" s="427"/>
      <c r="ER86" s="427"/>
      <c r="ES86" s="427"/>
      <c r="ET86" s="427"/>
      <c r="EU86" s="427"/>
      <c r="EV86" s="427"/>
      <c r="EW86" s="427"/>
      <c r="EX86" s="427"/>
      <c r="EY86" s="427"/>
      <c r="EZ86" s="427"/>
      <c r="FA86" s="427"/>
      <c r="FB86" s="427"/>
      <c r="FC86" s="427"/>
      <c r="FD86" s="427"/>
      <c r="FE86" s="427"/>
      <c r="FF86" s="427"/>
      <c r="FG86" s="427"/>
      <c r="FH86" s="427"/>
      <c r="FI86" s="427"/>
      <c r="FJ86" s="427"/>
      <c r="FK86" s="427"/>
      <c r="FL86" s="427"/>
      <c r="FM86" s="427"/>
      <c r="FN86" s="427"/>
      <c r="FO86" s="427"/>
      <c r="FP86" s="427"/>
      <c r="FQ86" s="427"/>
      <c r="FR86" s="427"/>
      <c r="FS86" s="427"/>
      <c r="FT86" s="427"/>
      <c r="FU86" s="427"/>
      <c r="FV86" s="427"/>
      <c r="FW86" s="427"/>
      <c r="FX86" s="427"/>
      <c r="FY86" s="427"/>
      <c r="FZ86" s="427"/>
      <c r="GA86" s="427"/>
      <c r="GB86" s="427"/>
      <c r="GC86" s="427"/>
      <c r="GD86" s="427"/>
      <c r="GE86" s="427"/>
      <c r="GF86" s="427"/>
      <c r="GG86" s="427"/>
      <c r="GH86" s="427"/>
      <c r="GI86" s="427"/>
      <c r="GJ86" s="427"/>
      <c r="GK86" s="427"/>
      <c r="GL86" s="427"/>
      <c r="GM86" s="427"/>
      <c r="GN86" s="427"/>
      <c r="GO86" s="427"/>
      <c r="GP86" s="427"/>
      <c r="GQ86" s="427"/>
      <c r="GR86" s="427"/>
      <c r="GS86" s="427"/>
      <c r="GT86" s="427"/>
      <c r="GU86" s="427"/>
      <c r="GV86" s="427"/>
      <c r="GW86" s="427"/>
      <c r="GX86" s="427"/>
      <c r="GY86" s="427"/>
      <c r="GZ86" s="427"/>
      <c r="HA86" s="427"/>
      <c r="HB86" s="427"/>
      <c r="HC86" s="427"/>
      <c r="HD86" s="427"/>
      <c r="HE86" s="427"/>
      <c r="HF86" s="427"/>
      <c r="HG86" s="427"/>
      <c r="HH86" s="427"/>
      <c r="HI86" s="427"/>
      <c r="HJ86" s="427"/>
      <c r="HK86" s="427"/>
      <c r="HL86" s="427"/>
      <c r="HM86" s="427"/>
      <c r="HN86" s="427"/>
      <c r="HO86" s="427"/>
      <c r="HP86" s="427"/>
      <c r="HQ86" s="427"/>
      <c r="HR86" s="427"/>
      <c r="HS86" s="427"/>
      <c r="HT86" s="427"/>
      <c r="HU86" s="427"/>
      <c r="HV86" s="427"/>
      <c r="HW86" s="427"/>
      <c r="HX86" s="427"/>
      <c r="HY86" s="427"/>
      <c r="HZ86" s="427"/>
      <c r="IA86" s="427"/>
      <c r="IB86" s="427"/>
      <c r="IC86" s="427"/>
      <c r="ID86" s="427"/>
      <c r="IE86" s="427"/>
      <c r="IF86" s="427"/>
      <c r="IG86" s="427"/>
      <c r="IH86" s="427"/>
      <c r="II86" s="427"/>
      <c r="IJ86" s="427"/>
      <c r="IK86" s="427"/>
      <c r="IL86" s="427"/>
      <c r="IM86" s="427"/>
      <c r="IN86" s="427"/>
      <c r="IO86" s="427"/>
      <c r="IP86" s="427"/>
      <c r="IQ86" s="427"/>
      <c r="IR86" s="427"/>
      <c r="IS86" s="427"/>
      <c r="IT86" s="427"/>
      <c r="IU86" s="427"/>
      <c r="IV86" s="427"/>
    </row>
    <row r="87" spans="1:256" s="425" customFormat="1" ht="12" customHeight="1">
      <c r="A87" s="517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424"/>
      <c r="AB87" s="424"/>
      <c r="AC87" s="424"/>
      <c r="AD87" s="424"/>
      <c r="AE87" s="14"/>
      <c r="AF87" s="14"/>
      <c r="AG87" s="14"/>
    </row>
    <row r="88" spans="1:256" s="425" customFormat="1" ht="12" customHeight="1">
      <c r="A88" s="225" t="s">
        <v>83</v>
      </c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  <c r="AA88" s="424"/>
      <c r="AB88" s="424"/>
      <c r="AC88" s="424"/>
      <c r="AD88" s="424"/>
      <c r="AE88" s="14"/>
      <c r="AF88" s="14"/>
      <c r="AG88" s="14"/>
    </row>
    <row r="89" spans="1:256" s="425" customFormat="1" ht="12" customHeight="1">
      <c r="A89" s="225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  <c r="AA89" s="424"/>
      <c r="AB89" s="424"/>
      <c r="AC89" s="424"/>
      <c r="AD89" s="424"/>
      <c r="AE89" s="14"/>
      <c r="AF89" s="14"/>
      <c r="AG89" s="14"/>
    </row>
    <row r="90" spans="1:256" outlineLevel="1">
      <c r="A90" s="21" t="s">
        <v>271</v>
      </c>
      <c r="B90" s="20">
        <f>B39-B12</f>
        <v>157.27334270075153</v>
      </c>
      <c r="C90" s="20">
        <f>C39-C12</f>
        <v>187.46301483671414</v>
      </c>
      <c r="D90" s="20">
        <f>D39-D12</f>
        <v>320.15229792330683</v>
      </c>
      <c r="E90" s="20">
        <f t="shared" ref="E90:U90" si="24">E39</f>
        <v>15887.946289068132</v>
      </c>
      <c r="F90" s="20">
        <f t="shared" si="24"/>
        <v>18219.250836348998</v>
      </c>
      <c r="G90" s="20">
        <f t="shared" si="24"/>
        <v>19327.388562229535</v>
      </c>
      <c r="H90" s="20">
        <f t="shared" si="24"/>
        <v>20458.895914033419</v>
      </c>
      <c r="I90" s="20">
        <f t="shared" si="24"/>
        <v>21691.119919939876</v>
      </c>
      <c r="J90" s="20">
        <f t="shared" si="24"/>
        <v>23176.427556344439</v>
      </c>
      <c r="K90" s="20">
        <f t="shared" si="24"/>
        <v>24831.951836314322</v>
      </c>
      <c r="L90" s="20">
        <f t="shared" si="24"/>
        <v>25982.724346895622</v>
      </c>
      <c r="M90" s="20">
        <f t="shared" si="24"/>
        <v>27369.158562334116</v>
      </c>
      <c r="N90" s="20">
        <f t="shared" si="24"/>
        <v>28804.657214989693</v>
      </c>
      <c r="O90" s="20">
        <f t="shared" si="24"/>
        <v>30222.855143577435</v>
      </c>
      <c r="P90" s="20">
        <f t="shared" si="24"/>
        <v>31657.411999979064</v>
      </c>
      <c r="Q90" s="20">
        <f t="shared" si="24"/>
        <v>33240.663031923716</v>
      </c>
      <c r="R90" s="20">
        <f t="shared" si="24"/>
        <v>34890.030239033935</v>
      </c>
      <c r="S90" s="20">
        <f t="shared" si="24"/>
        <v>36489.395118075285</v>
      </c>
      <c r="T90" s="20">
        <f t="shared" si="24"/>
        <v>37960.28631204999</v>
      </c>
      <c r="U90" s="20">
        <f t="shared" si="24"/>
        <v>39437.358742410572</v>
      </c>
      <c r="W90" s="420">
        <f>SUM(B90:U90)</f>
        <v>470312.41028100892</v>
      </c>
    </row>
    <row r="91" spans="1:256" outlineLevel="1">
      <c r="A91" s="21" t="s">
        <v>132</v>
      </c>
      <c r="B91" s="20">
        <f>B33</f>
        <v>7011.6877311229173</v>
      </c>
      <c r="C91" s="20">
        <f t="shared" ref="C91:U91" si="25">C33</f>
        <v>7011.6877311229173</v>
      </c>
      <c r="D91" s="20">
        <f t="shared" si="25"/>
        <v>7011.6877311229173</v>
      </c>
      <c r="E91" s="20">
        <f t="shared" si="25"/>
        <v>7011.6877311229173</v>
      </c>
      <c r="F91" s="20">
        <f t="shared" si="25"/>
        <v>7011.6877311229173</v>
      </c>
      <c r="G91" s="20">
        <f t="shared" si="25"/>
        <v>7011.6877311229173</v>
      </c>
      <c r="H91" s="20">
        <f t="shared" si="25"/>
        <v>7011.6877311229173</v>
      </c>
      <c r="I91" s="20">
        <f t="shared" si="25"/>
        <v>7011.6877311229173</v>
      </c>
      <c r="J91" s="20">
        <f t="shared" si="25"/>
        <v>7011.6877311229173</v>
      </c>
      <c r="K91" s="20">
        <f t="shared" si="25"/>
        <v>7011.6877311229173</v>
      </c>
      <c r="L91" s="20">
        <f t="shared" si="25"/>
        <v>7011.6877311229173</v>
      </c>
      <c r="M91" s="20">
        <f t="shared" si="25"/>
        <v>7011.6877311229173</v>
      </c>
      <c r="N91" s="20">
        <f t="shared" si="25"/>
        <v>7011.6877311229173</v>
      </c>
      <c r="O91" s="20">
        <f t="shared" si="25"/>
        <v>7011.6877311229173</v>
      </c>
      <c r="P91" s="20">
        <f t="shared" si="25"/>
        <v>7011.6877311229173</v>
      </c>
      <c r="Q91" s="20">
        <f t="shared" si="25"/>
        <v>7011.6877311229173</v>
      </c>
      <c r="R91" s="20">
        <f t="shared" si="25"/>
        <v>7011.6877311229173</v>
      </c>
      <c r="S91" s="20">
        <f t="shared" si="25"/>
        <v>7011.6877311229173</v>
      </c>
      <c r="T91" s="20">
        <f t="shared" si="25"/>
        <v>7011.6877311229173</v>
      </c>
      <c r="U91" s="20">
        <f t="shared" si="25"/>
        <v>7011.6877311229173</v>
      </c>
      <c r="W91" s="420">
        <f>SUM(B91:U91)</f>
        <v>140233.75462245833</v>
      </c>
    </row>
    <row r="92" spans="1:256" ht="15" outlineLevel="1">
      <c r="A92" s="21" t="s">
        <v>200</v>
      </c>
      <c r="B92" s="228">
        <f>-Depreciation!C93</f>
        <v>-10245.723188278003</v>
      </c>
      <c r="C92" s="228">
        <f>-Depreciation!D93</f>
        <v>-19466.874057728204</v>
      </c>
      <c r="D92" s="228">
        <f>-Depreciation!E93</f>
        <v>-17520.186651955384</v>
      </c>
      <c r="E92" s="228">
        <f>-Depreciation!F93</f>
        <v>-15778.413709948123</v>
      </c>
      <c r="F92" s="228">
        <f>-Depreciation!G93</f>
        <v>-14200.57233895331</v>
      </c>
      <c r="G92" s="228">
        <f>-Depreciation!H93</f>
        <v>-12766.17109259439</v>
      </c>
      <c r="H92" s="228">
        <f>-Depreciation!I93</f>
        <v>-12089.953362168042</v>
      </c>
      <c r="I92" s="228">
        <f>-Depreciation!J93</f>
        <v>-12110.444808544598</v>
      </c>
      <c r="J92" s="228">
        <f>-Depreciation!K93</f>
        <v>-12089.953362168042</v>
      </c>
      <c r="K92" s="228">
        <f>-Depreciation!L93</f>
        <v>-12110.444808544598</v>
      </c>
      <c r="L92" s="228">
        <f>-Depreciation!M93</f>
        <v>-12089.953362168042</v>
      </c>
      <c r="M92" s="228">
        <f>-Depreciation!N93</f>
        <v>-12110.444808544598</v>
      </c>
      <c r="N92" s="228">
        <f>-Depreciation!O93</f>
        <v>-12089.953362168042</v>
      </c>
      <c r="O92" s="228">
        <f>-Depreciation!P93</f>
        <v>-12110.444808544598</v>
      </c>
      <c r="P92" s="228">
        <f>-Depreciation!Q93</f>
        <v>-12089.953362168042</v>
      </c>
      <c r="Q92" s="228">
        <f>-Depreciation!R93</f>
        <v>-6044.976681084021</v>
      </c>
      <c r="R92" s="228">
        <f>-Depreciation!S93</f>
        <v>0</v>
      </c>
      <c r="S92" s="228">
        <f>-Depreciation!T93</f>
        <v>0</v>
      </c>
      <c r="T92" s="228">
        <f>-Depreciation!U93</f>
        <v>0</v>
      </c>
      <c r="U92" s="228">
        <f>-Depreciation!V93</f>
        <v>0</v>
      </c>
      <c r="W92" s="421">
        <f>SUM(B92:U92)</f>
        <v>-204914.46376556004</v>
      </c>
    </row>
    <row r="93" spans="1:256" outlineLevel="1">
      <c r="A93" s="227" t="s">
        <v>131</v>
      </c>
      <c r="B93" s="22">
        <f t="shared" ref="B93:U93" si="26">SUM(B90:B92)</f>
        <v>-3076.7621144543346</v>
      </c>
      <c r="C93" s="22">
        <f t="shared" si="26"/>
        <v>-12267.723311768572</v>
      </c>
      <c r="D93" s="22">
        <f t="shared" si="26"/>
        <v>-10188.346622909161</v>
      </c>
      <c r="E93" s="22">
        <f t="shared" si="26"/>
        <v>7121.2203102429266</v>
      </c>
      <c r="F93" s="22">
        <f t="shared" si="26"/>
        <v>11030.366228518606</v>
      </c>
      <c r="G93" s="22">
        <f t="shared" si="26"/>
        <v>13572.905200758063</v>
      </c>
      <c r="H93" s="22">
        <f t="shared" si="26"/>
        <v>15380.630282988295</v>
      </c>
      <c r="I93" s="22">
        <f t="shared" si="26"/>
        <v>16592.362842518196</v>
      </c>
      <c r="J93" s="22">
        <f t="shared" si="26"/>
        <v>18098.161925299315</v>
      </c>
      <c r="K93" s="22">
        <f t="shared" si="26"/>
        <v>19733.194758892641</v>
      </c>
      <c r="L93" s="22">
        <f t="shared" si="26"/>
        <v>20904.458715850498</v>
      </c>
      <c r="M93" s="22">
        <f t="shared" si="26"/>
        <v>22270.401484912436</v>
      </c>
      <c r="N93" s="22">
        <f t="shared" si="26"/>
        <v>23726.391583944565</v>
      </c>
      <c r="O93" s="22">
        <f t="shared" si="26"/>
        <v>25124.098066155755</v>
      </c>
      <c r="P93" s="22">
        <f t="shared" si="26"/>
        <v>26579.14636893394</v>
      </c>
      <c r="Q93" s="22">
        <f t="shared" si="26"/>
        <v>34207.374081962611</v>
      </c>
      <c r="R93" s="22">
        <f t="shared" si="26"/>
        <v>41901.717970156853</v>
      </c>
      <c r="S93" s="22">
        <f t="shared" si="26"/>
        <v>43501.082849198203</v>
      </c>
      <c r="T93" s="22">
        <f t="shared" si="26"/>
        <v>44971.974043172908</v>
      </c>
      <c r="U93" s="22">
        <f t="shared" si="26"/>
        <v>46449.04647353349</v>
      </c>
      <c r="W93" s="420">
        <f>SUM(B93:U93)</f>
        <v>405631.70113790722</v>
      </c>
    </row>
    <row r="94" spans="1:256" outlineLevel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56" outlineLevel="1">
      <c r="A95" s="21" t="s">
        <v>39</v>
      </c>
      <c r="B95" s="418">
        <f>Assumptions!$H$38</f>
        <v>4.4999999999999998E-2</v>
      </c>
      <c r="C95" s="418">
        <f>Assumptions!$H$38</f>
        <v>4.4999999999999998E-2</v>
      </c>
      <c r="D95" s="418">
        <f>Assumptions!$H$38</f>
        <v>4.4999999999999998E-2</v>
      </c>
      <c r="E95" s="418">
        <f>Assumptions!$H$38</f>
        <v>4.4999999999999998E-2</v>
      </c>
      <c r="F95" s="418">
        <f>Assumptions!$H$38</f>
        <v>4.4999999999999998E-2</v>
      </c>
      <c r="G95" s="418">
        <f>Assumptions!$H$38</f>
        <v>4.4999999999999998E-2</v>
      </c>
      <c r="H95" s="418">
        <f>Assumptions!$H$38</f>
        <v>4.4999999999999998E-2</v>
      </c>
      <c r="I95" s="418">
        <f>Assumptions!$H$38</f>
        <v>4.4999999999999998E-2</v>
      </c>
      <c r="J95" s="418">
        <f>Assumptions!$H$38</f>
        <v>4.4999999999999998E-2</v>
      </c>
      <c r="K95" s="418">
        <f>Assumptions!$H$38</f>
        <v>4.4999999999999998E-2</v>
      </c>
      <c r="L95" s="418">
        <f>Assumptions!$H$38</f>
        <v>4.4999999999999998E-2</v>
      </c>
      <c r="M95" s="418">
        <f>Assumptions!$H$38</f>
        <v>4.4999999999999998E-2</v>
      </c>
      <c r="N95" s="418">
        <f>Assumptions!$H$38</f>
        <v>4.4999999999999998E-2</v>
      </c>
      <c r="O95" s="418">
        <f>Assumptions!$H$38</f>
        <v>4.4999999999999998E-2</v>
      </c>
      <c r="P95" s="418">
        <f>Assumptions!$H$38</f>
        <v>4.4999999999999998E-2</v>
      </c>
      <c r="Q95" s="418">
        <f>Assumptions!$H$38</f>
        <v>4.4999999999999998E-2</v>
      </c>
      <c r="R95" s="418">
        <f>Assumptions!$H$38</f>
        <v>4.4999999999999998E-2</v>
      </c>
      <c r="S95" s="418">
        <f>Assumptions!$H$38</f>
        <v>4.4999999999999998E-2</v>
      </c>
      <c r="T95" s="418">
        <f>Assumptions!$H$38</f>
        <v>4.4999999999999998E-2</v>
      </c>
      <c r="U95" s="418">
        <f>Assumptions!$H$38</f>
        <v>4.4999999999999998E-2</v>
      </c>
    </row>
    <row r="96" spans="1:256" outlineLevel="1">
      <c r="A96" s="21" t="s">
        <v>133</v>
      </c>
      <c r="B96" s="20">
        <f>B93*B95</f>
        <v>-138.45429515044506</v>
      </c>
      <c r="C96" s="20">
        <f t="shared" ref="C96:U96" si="27">C93*C95</f>
        <v>-552.04754902958575</v>
      </c>
      <c r="D96" s="20">
        <f t="shared" si="27"/>
        <v>-458.47559803091224</v>
      </c>
      <c r="E96" s="20">
        <f t="shared" si="27"/>
        <v>320.45491396093166</v>
      </c>
      <c r="F96" s="20">
        <f t="shared" si="27"/>
        <v>496.36648028333724</v>
      </c>
      <c r="G96" s="20">
        <f t="shared" si="27"/>
        <v>610.78073403411281</v>
      </c>
      <c r="H96" s="20">
        <f t="shared" si="27"/>
        <v>692.12836273447328</v>
      </c>
      <c r="I96" s="20">
        <f t="shared" si="27"/>
        <v>746.65632791331882</v>
      </c>
      <c r="J96" s="20">
        <f t="shared" si="27"/>
        <v>814.41728663846914</v>
      </c>
      <c r="K96" s="20">
        <f t="shared" si="27"/>
        <v>887.99376415016889</v>
      </c>
      <c r="L96" s="20">
        <f t="shared" si="27"/>
        <v>940.70064221327243</v>
      </c>
      <c r="M96" s="20">
        <f t="shared" si="27"/>
        <v>1002.1680668210596</v>
      </c>
      <c r="N96" s="20">
        <f t="shared" si="27"/>
        <v>1067.6876212775055</v>
      </c>
      <c r="O96" s="20">
        <f t="shared" si="27"/>
        <v>1130.5844129770089</v>
      </c>
      <c r="P96" s="20">
        <f t="shared" si="27"/>
        <v>1196.0615866020273</v>
      </c>
      <c r="Q96" s="20">
        <f t="shared" si="27"/>
        <v>1539.3318336883174</v>
      </c>
      <c r="R96" s="20">
        <f t="shared" si="27"/>
        <v>1885.5773086570582</v>
      </c>
      <c r="S96" s="20">
        <f t="shared" si="27"/>
        <v>1957.548728213919</v>
      </c>
      <c r="T96" s="20">
        <f t="shared" si="27"/>
        <v>2023.7388319427807</v>
      </c>
      <c r="U96" s="20">
        <f t="shared" si="27"/>
        <v>2090.207091309007</v>
      </c>
    </row>
    <row r="97" spans="1:23" outlineLevel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3" outlineLevel="1">
      <c r="A98" s="21" t="s">
        <v>134</v>
      </c>
      <c r="B98" s="20">
        <v>0</v>
      </c>
      <c r="C98" s="20">
        <f t="shared" ref="C98:U98" si="28">B102</f>
        <v>138.45429515044506</v>
      </c>
      <c r="D98" s="20">
        <f t="shared" si="28"/>
        <v>690.50184418003084</v>
      </c>
      <c r="E98" s="20">
        <f t="shared" si="28"/>
        <v>1148.9774422109431</v>
      </c>
      <c r="F98" s="20">
        <f t="shared" si="28"/>
        <v>828.52252825001142</v>
      </c>
      <c r="G98" s="20">
        <f t="shared" si="28"/>
        <v>332.15604796667418</v>
      </c>
      <c r="H98" s="20">
        <f t="shared" si="28"/>
        <v>0</v>
      </c>
      <c r="I98" s="20">
        <f t="shared" si="28"/>
        <v>0</v>
      </c>
      <c r="J98" s="20">
        <f t="shared" si="28"/>
        <v>0</v>
      </c>
      <c r="K98" s="20">
        <f t="shared" si="28"/>
        <v>0</v>
      </c>
      <c r="L98" s="20">
        <f t="shared" si="28"/>
        <v>0</v>
      </c>
      <c r="M98" s="20">
        <f t="shared" si="28"/>
        <v>0</v>
      </c>
      <c r="N98" s="20">
        <f>M102</f>
        <v>0</v>
      </c>
      <c r="O98" s="20">
        <f t="shared" si="28"/>
        <v>0</v>
      </c>
      <c r="P98" s="20">
        <f t="shared" si="28"/>
        <v>0</v>
      </c>
      <c r="Q98" s="20">
        <f t="shared" si="28"/>
        <v>0</v>
      </c>
      <c r="R98" s="20">
        <v>0</v>
      </c>
      <c r="S98" s="20">
        <f t="shared" si="28"/>
        <v>0</v>
      </c>
      <c r="T98" s="20">
        <f t="shared" si="28"/>
        <v>0</v>
      </c>
      <c r="U98" s="20">
        <f t="shared" si="28"/>
        <v>0</v>
      </c>
    </row>
    <row r="99" spans="1:23" outlineLevel="1">
      <c r="A99" s="21" t="s">
        <v>135</v>
      </c>
      <c r="B99" s="239">
        <f t="shared" ref="B99:U99" si="29">IF(B68&gt;2020,0,IF(B96&lt;0,-B96,0))</f>
        <v>138.45429515044506</v>
      </c>
      <c r="C99" s="239">
        <f t="shared" si="29"/>
        <v>552.04754902958575</v>
      </c>
      <c r="D99" s="239">
        <f t="shared" si="29"/>
        <v>458.47559803091224</v>
      </c>
      <c r="E99" s="239">
        <f t="shared" si="29"/>
        <v>0</v>
      </c>
      <c r="F99" s="239">
        <f t="shared" si="29"/>
        <v>0</v>
      </c>
      <c r="G99" s="239">
        <f t="shared" si="29"/>
        <v>0</v>
      </c>
      <c r="H99" s="239">
        <f t="shared" si="29"/>
        <v>0</v>
      </c>
      <c r="I99" s="239">
        <f t="shared" si="29"/>
        <v>0</v>
      </c>
      <c r="J99" s="239">
        <f t="shared" si="29"/>
        <v>0</v>
      </c>
      <c r="K99" s="239">
        <f t="shared" si="29"/>
        <v>0</v>
      </c>
      <c r="L99" s="239">
        <f t="shared" si="29"/>
        <v>0</v>
      </c>
      <c r="M99" s="239">
        <f t="shared" si="29"/>
        <v>0</v>
      </c>
      <c r="N99" s="239">
        <f t="shared" si="29"/>
        <v>0</v>
      </c>
      <c r="O99" s="239">
        <f t="shared" si="29"/>
        <v>0</v>
      </c>
      <c r="P99" s="239">
        <f t="shared" si="29"/>
        <v>0</v>
      </c>
      <c r="Q99" s="239">
        <f t="shared" si="29"/>
        <v>0</v>
      </c>
      <c r="R99" s="239">
        <f t="shared" si="29"/>
        <v>0</v>
      </c>
      <c r="S99" s="239">
        <f t="shared" si="29"/>
        <v>0</v>
      </c>
      <c r="T99" s="239">
        <f t="shared" si="29"/>
        <v>0</v>
      </c>
      <c r="U99" s="239">
        <f t="shared" si="29"/>
        <v>0</v>
      </c>
    </row>
    <row r="100" spans="1:23" outlineLevel="1">
      <c r="A100" s="21" t="s">
        <v>136</v>
      </c>
      <c r="B100" s="229">
        <v>0</v>
      </c>
      <c r="C100" s="229">
        <v>0</v>
      </c>
      <c r="D100" s="229">
        <v>0</v>
      </c>
      <c r="E100" s="229">
        <v>0</v>
      </c>
      <c r="F100" s="229">
        <v>0</v>
      </c>
      <c r="G100" s="229">
        <v>0</v>
      </c>
      <c r="H100" s="229">
        <v>0</v>
      </c>
      <c r="I100" s="229">
        <v>0</v>
      </c>
      <c r="J100" s="229">
        <v>0</v>
      </c>
      <c r="K100" s="229">
        <v>0</v>
      </c>
      <c r="L100" s="229">
        <v>0</v>
      </c>
      <c r="M100" s="229">
        <v>0</v>
      </c>
      <c r="N100" s="229">
        <v>0</v>
      </c>
      <c r="O100" s="229">
        <v>0</v>
      </c>
      <c r="P100" s="229">
        <v>0</v>
      </c>
      <c r="Q100" s="229">
        <v>0</v>
      </c>
      <c r="R100" s="229">
        <v>0</v>
      </c>
      <c r="S100" s="229">
        <v>0</v>
      </c>
      <c r="T100" s="20">
        <f>IF(L99&gt;(SUM(M101:S101)+SUM(L100:S100))*-1,L99-(SUM(L101:S101)+SUM(L100:S100))*-1,0)</f>
        <v>0</v>
      </c>
      <c r="U100" s="20">
        <f>IF(M99&gt;(SUM(N101:T101)+SUM(M100:T100))*-1,M99-(SUM(M101:T101)+SUM(M100:T100))*-1,0)</f>
        <v>0</v>
      </c>
    </row>
    <row r="101" spans="1:23" outlineLevel="1">
      <c r="A101" s="17" t="s">
        <v>137</v>
      </c>
      <c r="B101" s="230">
        <f t="shared" ref="B101:T101" si="30">IF(B96&lt;0,0,IF(B98&gt;B96,-B96,-B98))</f>
        <v>0</v>
      </c>
      <c r="C101" s="230">
        <f t="shared" si="30"/>
        <v>0</v>
      </c>
      <c r="D101" s="230">
        <f t="shared" si="30"/>
        <v>0</v>
      </c>
      <c r="E101" s="230">
        <f t="shared" si="30"/>
        <v>-320.45491396093166</v>
      </c>
      <c r="F101" s="230">
        <f t="shared" si="30"/>
        <v>-496.36648028333724</v>
      </c>
      <c r="G101" s="230">
        <f t="shared" si="30"/>
        <v>-332.15604796667418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>IF(U96&lt;0,0,IF(U98&gt;U96,-U96,-U98))</f>
        <v>0</v>
      </c>
    </row>
    <row r="102" spans="1:23" outlineLevel="1">
      <c r="A102" s="17" t="s">
        <v>138</v>
      </c>
      <c r="B102" s="230">
        <f t="shared" ref="B102:U102" si="31">SUM(B98:B101)</f>
        <v>138.45429515044506</v>
      </c>
      <c r="C102" s="230">
        <f t="shared" si="31"/>
        <v>690.50184418003084</v>
      </c>
      <c r="D102" s="230">
        <f t="shared" si="31"/>
        <v>1148.9774422109431</v>
      </c>
      <c r="E102" s="230">
        <f t="shared" si="31"/>
        <v>828.52252825001142</v>
      </c>
      <c r="F102" s="230">
        <f t="shared" si="31"/>
        <v>332.15604796667418</v>
      </c>
      <c r="G102" s="230">
        <f t="shared" si="31"/>
        <v>0</v>
      </c>
      <c r="H102" s="230">
        <f t="shared" si="31"/>
        <v>0</v>
      </c>
      <c r="I102" s="230">
        <f t="shared" si="31"/>
        <v>0</v>
      </c>
      <c r="J102" s="230">
        <f t="shared" si="31"/>
        <v>0</v>
      </c>
      <c r="K102" s="230">
        <f t="shared" si="31"/>
        <v>0</v>
      </c>
      <c r="L102" s="230">
        <f t="shared" si="31"/>
        <v>0</v>
      </c>
      <c r="M102" s="230">
        <f t="shared" si="31"/>
        <v>0</v>
      </c>
      <c r="N102" s="230">
        <f t="shared" si="31"/>
        <v>0</v>
      </c>
      <c r="O102" s="230">
        <f t="shared" si="31"/>
        <v>0</v>
      </c>
      <c r="P102" s="230">
        <f t="shared" si="31"/>
        <v>0</v>
      </c>
      <c r="Q102" s="230">
        <f t="shared" si="31"/>
        <v>0</v>
      </c>
      <c r="R102" s="230">
        <f t="shared" si="31"/>
        <v>0</v>
      </c>
      <c r="S102" s="230">
        <f t="shared" si="31"/>
        <v>0</v>
      </c>
      <c r="T102" s="230">
        <f t="shared" si="31"/>
        <v>0</v>
      </c>
      <c r="U102" s="230">
        <f t="shared" si="31"/>
        <v>0</v>
      </c>
    </row>
    <row r="103" spans="1:23" outlineLevel="1">
      <c r="A103" s="1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3" ht="13.5" outlineLevel="1" thickBot="1">
      <c r="A104" s="32" t="s">
        <v>130</v>
      </c>
      <c r="B104" s="408">
        <f>IF(B96&lt;0,0,B96+B101)</f>
        <v>0</v>
      </c>
      <c r="C104" s="408">
        <f t="shared" ref="C104:U104" si="32">IF(C96&lt;0,0,C96+C101)</f>
        <v>0</v>
      </c>
      <c r="D104" s="408">
        <f t="shared" si="32"/>
        <v>0</v>
      </c>
      <c r="E104" s="408">
        <f t="shared" si="32"/>
        <v>0</v>
      </c>
      <c r="F104" s="408">
        <f t="shared" si="32"/>
        <v>0</v>
      </c>
      <c r="G104" s="408">
        <f t="shared" si="32"/>
        <v>278.62468606743863</v>
      </c>
      <c r="H104" s="408">
        <f t="shared" si="32"/>
        <v>692.12836273447328</v>
      </c>
      <c r="I104" s="408">
        <f t="shared" si="32"/>
        <v>746.65632791331882</v>
      </c>
      <c r="J104" s="408">
        <f t="shared" si="32"/>
        <v>814.41728663846914</v>
      </c>
      <c r="K104" s="408">
        <f t="shared" si="32"/>
        <v>887.99376415016889</v>
      </c>
      <c r="L104" s="408">
        <f t="shared" si="32"/>
        <v>940.70064221327243</v>
      </c>
      <c r="M104" s="408">
        <f t="shared" si="32"/>
        <v>1002.1680668210596</v>
      </c>
      <c r="N104" s="408">
        <f t="shared" si="32"/>
        <v>1067.6876212775055</v>
      </c>
      <c r="O104" s="408">
        <f t="shared" si="32"/>
        <v>1130.5844129770089</v>
      </c>
      <c r="P104" s="408">
        <f t="shared" si="32"/>
        <v>1196.0615866020273</v>
      </c>
      <c r="Q104" s="408">
        <f t="shared" si="32"/>
        <v>1539.3318336883174</v>
      </c>
      <c r="R104" s="408">
        <f t="shared" si="32"/>
        <v>1885.5773086570582</v>
      </c>
      <c r="S104" s="408">
        <f t="shared" si="32"/>
        <v>1957.548728213919</v>
      </c>
      <c r="T104" s="408">
        <f t="shared" si="32"/>
        <v>2023.7388319427807</v>
      </c>
      <c r="U104" s="408">
        <f t="shared" si="32"/>
        <v>2090.207091309007</v>
      </c>
      <c r="W104" s="400">
        <f>SUM(B104:U104)</f>
        <v>18253.426551205823</v>
      </c>
    </row>
    <row r="105" spans="1:23" ht="14.25" customHeight="1" outlineLevel="1" thickTop="1">
      <c r="A105" s="80"/>
      <c r="B105" s="69"/>
      <c r="C105" s="6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3.5" outlineLevel="1" thickBot="1">
      <c r="A106" s="32" t="s">
        <v>243</v>
      </c>
      <c r="B106" s="408">
        <f>B85+B104</f>
        <v>296.48996776542862</v>
      </c>
      <c r="C106" s="408">
        <f t="shared" ref="C106:U106" si="33">C85+C104</f>
        <v>297.14384874839141</v>
      </c>
      <c r="D106" s="408">
        <f t="shared" si="33"/>
        <v>297.8207467523431</v>
      </c>
      <c r="E106" s="408">
        <f t="shared" si="33"/>
        <v>540.19017382831646</v>
      </c>
      <c r="F106" s="408">
        <f t="shared" si="33"/>
        <v>619.454528435866</v>
      </c>
      <c r="G106" s="408">
        <f t="shared" si="33"/>
        <v>935.75589718324295</v>
      </c>
      <c r="H106" s="408">
        <f t="shared" si="33"/>
        <v>1387.7308238116098</v>
      </c>
      <c r="I106" s="408">
        <f t="shared" si="33"/>
        <v>1484.1544051912747</v>
      </c>
      <c r="J106" s="408">
        <f t="shared" si="33"/>
        <v>1602.41582355418</v>
      </c>
      <c r="K106" s="408">
        <f t="shared" si="33"/>
        <v>1732.2801265848559</v>
      </c>
      <c r="L106" s="408">
        <f t="shared" si="33"/>
        <v>1824.1132700077237</v>
      </c>
      <c r="M106" s="408">
        <f t="shared" si="33"/>
        <v>1932.7194579404195</v>
      </c>
      <c r="N106" s="408">
        <f t="shared" si="33"/>
        <v>2047.0459665871551</v>
      </c>
      <c r="O106" s="408">
        <f t="shared" si="33"/>
        <v>2158.1614878586415</v>
      </c>
      <c r="P106" s="408">
        <f t="shared" si="33"/>
        <v>2272.4135946013157</v>
      </c>
      <c r="Q106" s="408">
        <f t="shared" si="33"/>
        <v>2669.5143767737236</v>
      </c>
      <c r="R106" s="408">
        <f t="shared" si="33"/>
        <v>3071.8383367842121</v>
      </c>
      <c r="S106" s="408">
        <f t="shared" si="33"/>
        <v>3198.1881622284791</v>
      </c>
      <c r="T106" s="408">
        <f t="shared" si="33"/>
        <v>3314.3885665524804</v>
      </c>
      <c r="U106" s="408">
        <f t="shared" si="33"/>
        <v>3431.0772885509664</v>
      </c>
      <c r="W106" s="400">
        <f>SUM(B106:U106)</f>
        <v>35112.896849740624</v>
      </c>
    </row>
    <row r="107" spans="1:23" ht="13.5" outlineLevel="1" thickTop="1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83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83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19"/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1:23" outlineLevel="1">
      <c r="A111" s="7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2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523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8.75" outlineLevel="1">
      <c r="A115" s="84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5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outlineLevel="1">
      <c r="A117" s="57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8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6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6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2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8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1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2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2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8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outlineLevel="1">
      <c r="A164" s="7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outlineLevel="1">
      <c r="A165" s="7"/>
      <c r="B165" s="7"/>
      <c r="C165" s="7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8.75" outlineLevel="1">
      <c r="A166" s="8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5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5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2"/>
      <c r="B170" s="9"/>
      <c r="C170" s="9"/>
      <c r="D170" s="9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7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7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6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5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7"/>
      <c r="C214" s="59"/>
      <c r="D214" s="59"/>
      <c r="E214" s="59"/>
      <c r="F214" s="59"/>
      <c r="G214" s="59"/>
      <c r="H214" s="5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59"/>
      <c r="D215" s="59"/>
      <c r="E215" s="59"/>
      <c r="F215" s="59"/>
      <c r="G215" s="59"/>
      <c r="H215" s="5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8.75" outlineLevel="1">
      <c r="A219" s="8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s="90" customFormat="1" outlineLevel="1">
      <c r="A223" s="89"/>
    </row>
    <row r="224" spans="1:21" outlineLevel="1">
      <c r="A224" s="5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7"/>
      <c r="B225" s="7"/>
      <c r="C225" s="91"/>
      <c r="D225" s="91"/>
      <c r="E225" s="91"/>
      <c r="F225" s="91"/>
      <c r="G225" s="91"/>
      <c r="H225" s="9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7"/>
      <c r="C226" s="91"/>
      <c r="D226" s="91"/>
      <c r="E226" s="91"/>
      <c r="F226" s="91"/>
      <c r="G226" s="91"/>
      <c r="H226" s="9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59"/>
      <c r="D230" s="59"/>
      <c r="E230" s="59"/>
      <c r="F230" s="59"/>
      <c r="G230" s="59"/>
      <c r="H230" s="5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59"/>
      <c r="D231" s="59"/>
      <c r="E231" s="59"/>
      <c r="F231" s="59"/>
      <c r="G231" s="59"/>
      <c r="H231" s="5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1"/>
      <c r="D234" s="91"/>
      <c r="E234" s="91"/>
      <c r="F234" s="91"/>
      <c r="G234" s="91"/>
      <c r="H234" s="9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6"/>
      <c r="D236" s="96"/>
      <c r="E236" s="96"/>
      <c r="F236" s="96"/>
      <c r="G236" s="96"/>
      <c r="H236" s="9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94"/>
      <c r="B237" s="7"/>
      <c r="C237" s="96"/>
      <c r="D237" s="96"/>
      <c r="E237" s="96"/>
      <c r="F237" s="96"/>
      <c r="G237" s="96"/>
      <c r="H237" s="9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5"/>
      <c r="D240" s="95"/>
      <c r="E240" s="95"/>
      <c r="F240" s="95"/>
      <c r="G240" s="95"/>
      <c r="H240" s="9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9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4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4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9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98"/>
      <c r="C259" s="98"/>
      <c r="D259" s="98"/>
      <c r="E259" s="98"/>
      <c r="F259" s="98"/>
      <c r="G259" s="98"/>
      <c r="H259" s="9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97"/>
      <c r="C260" s="98"/>
      <c r="D260" s="98"/>
      <c r="E260" s="98"/>
      <c r="F260" s="98"/>
      <c r="G260" s="98"/>
      <c r="H260" s="9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5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87"/>
      <c r="D267" s="87"/>
      <c r="E267" s="87"/>
      <c r="F267" s="87"/>
      <c r="G267" s="87"/>
      <c r="H267" s="8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99"/>
      <c r="D269" s="99"/>
      <c r="E269" s="99"/>
      <c r="F269" s="99"/>
      <c r="G269" s="99"/>
      <c r="H269" s="9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87"/>
      <c r="D270" s="87"/>
      <c r="E270" s="87"/>
      <c r="F270" s="87"/>
      <c r="G270" s="87"/>
      <c r="H270" s="8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ht="18.75" hidden="1" outlineLevel="2">
      <c r="A274" s="84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hidden="1" outlineLevel="2">
      <c r="A275" s="5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idden="1" outlineLevel="2">
      <c r="A276" s="7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11"/>
      <c r="C277" s="11"/>
      <c r="D277" s="10"/>
      <c r="E277" s="10"/>
      <c r="F277" s="11"/>
      <c r="G277" s="11"/>
      <c r="H277" s="10"/>
      <c r="I277" s="11"/>
      <c r="J277" s="11"/>
      <c r="K277" s="11"/>
      <c r="L277" s="10"/>
      <c r="M277" s="11"/>
      <c r="N277" s="11"/>
      <c r="O277" s="7"/>
      <c r="P277" s="7"/>
      <c r="Q277" s="7"/>
      <c r="R277" s="7"/>
      <c r="S277" s="7"/>
      <c r="T277" s="11"/>
      <c r="U277" s="7"/>
    </row>
    <row r="278" spans="1:26" hidden="1" outlineLevel="2">
      <c r="A278" s="5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6" hidden="1" outlineLevel="2">
      <c r="A280" s="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7"/>
      <c r="P280" s="7"/>
      <c r="Q280" s="7"/>
      <c r="R280" s="7"/>
      <c r="S280" s="7"/>
      <c r="T280" s="8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98"/>
      <c r="C282" s="98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87"/>
      <c r="V284" s="87"/>
      <c r="W284" s="87"/>
      <c r="X284" s="87"/>
      <c r="Y284" s="87"/>
      <c r="Z284" s="8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8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 collapsed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8.75" outlineLevel="1">
      <c r="A295" s="8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5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5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2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5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8.75" outlineLevel="1">
      <c r="A345" s="8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5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outlineLevel="1">
      <c r="A347" s="5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57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86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5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5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2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8.75" outlineLevel="1">
      <c r="A408" s="8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outlineLevel="1">
      <c r="A413" s="7"/>
      <c r="B413" s="7"/>
      <c r="C413" s="7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7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"/>
      <c r="P418" s="7"/>
      <c r="Q418" s="7"/>
      <c r="R418" s="7"/>
      <c r="S418" s="7"/>
      <c r="T418" s="7"/>
      <c r="U418" s="7"/>
    </row>
    <row r="419" spans="1:21" outlineLevel="1">
      <c r="A419" s="94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94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102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57"/>
      <c r="B424" s="7"/>
      <c r="C424" s="73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s="106" customFormat="1" ht="18.75" outlineLevel="1">
      <c r="A429" s="104"/>
      <c r="B429" s="105"/>
      <c r="C429" s="105"/>
    </row>
    <row r="430" spans="1:21" s="106" customFormat="1" outlineLevel="1">
      <c r="A430" s="105"/>
      <c r="B430" s="107"/>
      <c r="C430" s="108"/>
      <c r="D430" s="105"/>
      <c r="E430" s="109"/>
    </row>
    <row r="431" spans="1:21" s="106" customFormat="1" outlineLevel="1">
      <c r="A431" s="105"/>
      <c r="B431" s="110"/>
      <c r="C431" s="88"/>
      <c r="D431" s="88"/>
      <c r="E431" s="109"/>
    </row>
    <row r="432" spans="1:21" s="106" customFormat="1" outlineLevel="1">
      <c r="A432" s="105"/>
      <c r="B432" s="88"/>
      <c r="C432" s="109"/>
      <c r="D432" s="88"/>
      <c r="E432" s="110"/>
    </row>
    <row r="433" spans="1:21" s="106" customFormat="1" outlineLevel="1">
      <c r="A433" s="111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</row>
    <row r="434" spans="1:21" s="106" customFormat="1" outlineLevel="1">
      <c r="A434" s="80"/>
      <c r="B434" s="105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79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79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8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6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80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11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0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9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80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82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ht="13.9" customHeigh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5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80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16" customFormat="1" outlineLevel="1">
      <c r="A469" s="117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8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9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16" customFormat="1" outlineLevel="1">
      <c r="A475" s="115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8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16" customFormat="1" outlineLevel="1">
      <c r="A479" s="117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outlineLevel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8.75" outlineLevel="1">
      <c r="A488" s="8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5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outlineLevel="1">
      <c r="A490" s="118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5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119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5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6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 collapsed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</sheetData>
  <pageMargins left="0.75" right="0.75" top="1" bottom="1" header="0.5" footer="0.5"/>
  <pageSetup scale="34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3"/>
  <sheetViews>
    <sheetView zoomScale="75" zoomScaleNormal="75" workbookViewId="0"/>
  </sheetViews>
  <sheetFormatPr defaultRowHeight="12.75" outlineLevelRow="2" outlineLevelCol="1"/>
  <cols>
    <col min="1" max="1" width="47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95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4" t="s">
        <v>56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4742.12</v>
      </c>
      <c r="AA7" s="470">
        <f>C10+C11</f>
        <v>4884.3836000000001</v>
      </c>
      <c r="AB7" s="470">
        <f>D10+D11</f>
        <v>5030.9151080000001</v>
      </c>
      <c r="AC7" s="470">
        <f t="shared" ref="AC7:AS7" si="1">E16</f>
        <v>4731.6390372399992</v>
      </c>
      <c r="AD7" s="470">
        <f t="shared" si="1"/>
        <v>4873.5882083571996</v>
      </c>
      <c r="AE7" s="470">
        <f t="shared" si="1"/>
        <v>5019.7958546079153</v>
      </c>
      <c r="AF7" s="470">
        <f t="shared" si="1"/>
        <v>5170.3897302461537</v>
      </c>
      <c r="AG7" s="470">
        <f t="shared" si="1"/>
        <v>5325.5014221535375</v>
      </c>
      <c r="AH7" s="470">
        <f t="shared" si="1"/>
        <v>5485.2664648181426</v>
      </c>
      <c r="AI7" s="470">
        <f t="shared" si="1"/>
        <v>5649.8244587626887</v>
      </c>
      <c r="AJ7" s="470">
        <f t="shared" si="1"/>
        <v>5819.3191925255687</v>
      </c>
      <c r="AK7" s="470">
        <f t="shared" si="1"/>
        <v>5993.8987683013347</v>
      </c>
      <c r="AL7" s="470">
        <f t="shared" si="1"/>
        <v>6173.7157313503749</v>
      </c>
      <c r="AM7" s="470">
        <f t="shared" si="1"/>
        <v>6358.9272032908866</v>
      </c>
      <c r="AN7" s="470">
        <f t="shared" si="1"/>
        <v>6549.6950193896137</v>
      </c>
      <c r="AO7" s="470">
        <f t="shared" si="1"/>
        <v>6746.1858699713002</v>
      </c>
      <c r="AP7" s="470">
        <f t="shared" si="1"/>
        <v>6948.5714460704403</v>
      </c>
      <c r="AQ7" s="470">
        <f t="shared" si="1"/>
        <v>7157.0285894525532</v>
      </c>
      <c r="AR7" s="470">
        <f t="shared" si="1"/>
        <v>7371.7394471361295</v>
      </c>
      <c r="AS7" s="470">
        <f t="shared" si="1"/>
        <v>7592.8916305502144</v>
      </c>
    </row>
    <row r="8" spans="1:51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4742.12</v>
      </c>
      <c r="AA8" s="491">
        <f>C23+C24</f>
        <v>4884.3836000000001</v>
      </c>
      <c r="AB8" s="491">
        <f>D23+D24</f>
        <v>5030.9151080000001</v>
      </c>
      <c r="AC8" s="491">
        <f t="shared" ref="AC8:AS8" si="2">E23+1/3*E24</f>
        <v>4731.6390372399992</v>
      </c>
      <c r="AD8" s="491">
        <f t="shared" si="2"/>
        <v>4873.5882083571996</v>
      </c>
      <c r="AE8" s="491">
        <f t="shared" si="2"/>
        <v>5019.7958546079153</v>
      </c>
      <c r="AF8" s="491">
        <f t="shared" si="2"/>
        <v>5170.3897302461537</v>
      </c>
      <c r="AG8" s="491">
        <f t="shared" si="2"/>
        <v>5325.5014221535375</v>
      </c>
      <c r="AH8" s="491">
        <f t="shared" si="2"/>
        <v>5485.2664648181426</v>
      </c>
      <c r="AI8" s="491">
        <f t="shared" si="2"/>
        <v>5649.8244587626887</v>
      </c>
      <c r="AJ8" s="491">
        <f t="shared" si="2"/>
        <v>5819.3191925255687</v>
      </c>
      <c r="AK8" s="491">
        <f t="shared" si="2"/>
        <v>5993.8987683013347</v>
      </c>
      <c r="AL8" s="491">
        <f t="shared" si="2"/>
        <v>6173.7157313503749</v>
      </c>
      <c r="AM8" s="491">
        <f t="shared" si="2"/>
        <v>6358.9272032908866</v>
      </c>
      <c r="AN8" s="491">
        <f t="shared" si="2"/>
        <v>6549.6950193896137</v>
      </c>
      <c r="AO8" s="491">
        <f t="shared" si="2"/>
        <v>6746.1858699713002</v>
      </c>
      <c r="AP8" s="491">
        <f t="shared" si="2"/>
        <v>6948.5714460704403</v>
      </c>
      <c r="AQ8" s="491">
        <f t="shared" si="2"/>
        <v>7157.0285894525532</v>
      </c>
      <c r="AR8" s="491">
        <f t="shared" si="2"/>
        <v>7371.7394471361295</v>
      </c>
      <c r="AS8" s="491">
        <f t="shared" si="2"/>
        <v>7592.8916305502144</v>
      </c>
      <c r="AT8" s="16"/>
      <c r="AU8" s="16"/>
      <c r="AV8" s="16"/>
      <c r="AW8" s="16"/>
      <c r="AX8" s="16"/>
      <c r="AY8" s="16"/>
    </row>
    <row r="9" spans="1:51">
      <c r="A9" s="3" t="s">
        <v>58</v>
      </c>
      <c r="B9" s="56">
        <f>'Power Price Assumption'!C53*12*Assumptions!$I$9</f>
        <v>29184</v>
      </c>
      <c r="C9" s="56">
        <f>'Power Price Assumption'!D53*12*Assumptions!$I$9</f>
        <v>29184</v>
      </c>
      <c r="D9" s="56">
        <f>'Power Price Assumption'!E53*12*Assumptions!$I$9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204</v>
      </c>
      <c r="B10" s="56">
        <f>Assumptions!I19*Assumptions!I17/1000*(1+Assumptions!$I$25)</f>
        <v>4124.12</v>
      </c>
      <c r="C10" s="56">
        <f>B10*(1+Assumptions!$I$25)</f>
        <v>4247.8436000000002</v>
      </c>
      <c r="D10" s="56">
        <f>C10*(1+Assumptions!$I$25)</f>
        <v>4375.2789080000002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12747.242507999999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249</v>
      </c>
      <c r="B11" s="127">
        <f>Assumptions!$I$18*Assumptions!$I$11*Assumptions!$I$8/1000*(1+Assumptions!$I$25)</f>
        <v>618</v>
      </c>
      <c r="C11" s="91">
        <f>B11*(1+Assumptions!$I$25)</f>
        <v>636.54</v>
      </c>
      <c r="D11" s="91">
        <f>C11*(1+Assumptions!$I$25)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269</v>
      </c>
      <c r="B12" s="127">
        <f>'Amortization of Power Contract'!$C$41/3</f>
        <v>12464.127487981823</v>
      </c>
      <c r="C12" s="127">
        <f>'Amortization of Power Contract'!$C$41/3</f>
        <v>12464.127487981823</v>
      </c>
      <c r="D12" s="127">
        <f>'Amortization of Power Contract'!$C$41/3</f>
        <v>12464.127487981823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37392.382463945469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Assumption'!F53*Assumptions!$I$9*12</f>
        <v>48870.984327150094</v>
      </c>
      <c r="F15" s="19">
        <f>'Power Price Assumption'!G53*Assumptions!$I$9*12</f>
        <v>51162.7528016746</v>
      </c>
      <c r="G15" s="19">
        <f>'Power Price Assumption'!H53*Assumptions!$I$9*12</f>
        <v>52194.062403645206</v>
      </c>
      <c r="H15" s="19">
        <f>'Power Price Assumption'!I53*Assumptions!$I$9*12</f>
        <v>53246.160556600138</v>
      </c>
      <c r="I15" s="19">
        <f>'Power Price Assumption'!J53*Assumptions!$I$9*12</f>
        <v>54319.46630429817</v>
      </c>
      <c r="J15" s="19">
        <f>'Power Price Assumption'!K53*Assumptions!$I$9*12</f>
        <v>55414.40713734318</v>
      </c>
      <c r="K15" s="19">
        <f>'Power Price Assumption'!L53*Assumptions!$I$9*12</f>
        <v>56531.419163450977</v>
      </c>
      <c r="L15" s="19">
        <f>'Power Price Assumption'!M53*Assumptions!$I$9*12</f>
        <v>57643.022453635509</v>
      </c>
      <c r="M15" s="19">
        <f>'Power Price Assumption'!N53*Assumptions!$I$9*12</f>
        <v>58776.483710469969</v>
      </c>
      <c r="N15" s="19">
        <f>'Power Price Assumption'!O53*Assumptions!$I$9*12</f>
        <v>59932.232737203711</v>
      </c>
      <c r="O15" s="19">
        <f>'Power Price Assumption'!P53*Assumptions!$I$9*12</f>
        <v>61110.707788504937</v>
      </c>
      <c r="P15" s="19">
        <f>'Power Price Assumption'!Q53*Assumptions!$I$9*12</f>
        <v>62312.355736644997</v>
      </c>
      <c r="Q15" s="19">
        <f>'Power Price Assumption'!R53*Assumptions!$I$9*12</f>
        <v>63270.978088780772</v>
      </c>
      <c r="R15" s="19">
        <f>'Power Price Assumption'!S53*Assumptions!$I$9*12</f>
        <v>64244.348026738808</v>
      </c>
      <c r="S15" s="19">
        <f>'Power Price Assumption'!T53*Assumptions!$I$9*12</f>
        <v>65232.692429526382</v>
      </c>
      <c r="T15" s="19">
        <f>'Power Price Assumption'!U53*Assumptions!$I$9*12</f>
        <v>66236.241666490401</v>
      </c>
      <c r="U15" s="19">
        <f>'Power Price Assumption'!V53*Assumptions!$I$9*12</f>
        <v>67255.229651013404</v>
      </c>
      <c r="W15" s="91">
        <f>SUM(B15:U15)</f>
        <v>997753.54498317116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1/3*Assumptions!$I$18*Assumptions!$I$11*Assumptions!$I$8/1000*(1+Assumptions!$I$25)^(E5-2000)+Assumptions!$I$19*Assumptions!$I$17*(1+Assumptions!$I$25)^(E5-2000)/1000</f>
        <v>4731.6390372399992</v>
      </c>
      <c r="F16" s="127">
        <f>1/3*Assumptions!$I$18*Assumptions!$I$11*Assumptions!$I$8/1000*(1+Assumptions!$I$25)^(F5-2000)+Assumptions!$I$19*Assumptions!$I$17*(1+Assumptions!$I$25)^(F5-2000)/1000</f>
        <v>4873.5882083571996</v>
      </c>
      <c r="G16" s="127">
        <f>1/3*Assumptions!$I$18*Assumptions!$I$11*Assumptions!$I$8/1000*(1+Assumptions!$I$25)^(G5-2000)+Assumptions!$I$19*Assumptions!$I$17*(1+Assumptions!$I$25)^(G5-2000)/1000</f>
        <v>5019.7958546079153</v>
      </c>
      <c r="H16" s="127">
        <f>1/3*Assumptions!$I$18*Assumptions!$I$11*Assumptions!$I$8/1000*(1+Assumptions!$I$25)^(H5-2000)+Assumptions!$I$19*Assumptions!$I$17*(1+Assumptions!$I$25)^(H5-2000)/1000</f>
        <v>5170.3897302461537</v>
      </c>
      <c r="I16" s="127">
        <f>1/3*Assumptions!$I$18*Assumptions!$I$11*Assumptions!$I$8/1000*(1+Assumptions!$I$25)^(I5-2000)+Assumptions!$I$19*Assumptions!$I$17*(1+Assumptions!$I$25)^(I5-2000)/1000</f>
        <v>5325.5014221535375</v>
      </c>
      <c r="J16" s="127">
        <f>1/3*Assumptions!$I$18*Assumptions!$I$11*Assumptions!$I$8/1000*(1+Assumptions!$I$25)^(J5-2000)+Assumptions!$I$19*Assumptions!$I$17*(1+Assumptions!$I$25)^(J5-2000)/1000</f>
        <v>5485.2664648181426</v>
      </c>
      <c r="K16" s="127">
        <f>1/3*Assumptions!$I$18*Assumptions!$I$11*Assumptions!$I$8/1000*(1+Assumptions!$I$25)^(K5-2000)+Assumptions!$I$19*Assumptions!$I$17*(1+Assumptions!$I$25)^(K5-2000)/1000</f>
        <v>5649.8244587626887</v>
      </c>
      <c r="L16" s="127">
        <f>1/3*Assumptions!$I$18*Assumptions!$I$11*Assumptions!$I$8/1000*(1+Assumptions!$I$25)^(L5-2000)+Assumptions!$I$19*Assumptions!$I$17*(1+Assumptions!$I$25)^(L5-2000)/1000</f>
        <v>5819.3191925255687</v>
      </c>
      <c r="M16" s="127">
        <f>1/3*Assumptions!$I$18*Assumptions!$I$11*Assumptions!$I$8/1000*(1+Assumptions!$I$25)^(M5-2000)+Assumptions!$I$19*Assumptions!$I$17*(1+Assumptions!$I$25)^(M5-2000)/1000</f>
        <v>5993.8987683013347</v>
      </c>
      <c r="N16" s="127">
        <f>1/3*Assumptions!$I$18*Assumptions!$I$11*Assumptions!$I$8/1000*(1+Assumptions!$I$25)^(N5-2000)+Assumptions!$I$19*Assumptions!$I$17*(1+Assumptions!$I$25)^(N5-2000)/1000</f>
        <v>6173.7157313503749</v>
      </c>
      <c r="O16" s="127">
        <f>1/3*Assumptions!$I$18*Assumptions!$I$11*Assumptions!$I$8/1000*(1+Assumptions!$I$25)^(O5-2000)+Assumptions!$I$19*Assumptions!$I$17*(1+Assumptions!$I$25)^(O5-2000)/1000</f>
        <v>6358.9272032908866</v>
      </c>
      <c r="P16" s="127">
        <f>1/3*Assumptions!$I$18*Assumptions!$I$11*Assumptions!$I$8/1000*(1+Assumptions!$I$25)^(P5-2000)+Assumptions!$I$19*Assumptions!$I$17*(1+Assumptions!$I$25)^(P5-2000)/1000</f>
        <v>6549.6950193896137</v>
      </c>
      <c r="Q16" s="127">
        <f>1/3*Assumptions!$I$18*Assumptions!$I$11*Assumptions!$I$8/1000*(1+Assumptions!$I$25)^(Q5-2000)+Assumptions!$I$19*Assumptions!$I$17*(1+Assumptions!$I$25)^(Q5-2000)/1000</f>
        <v>6746.1858699713002</v>
      </c>
      <c r="R16" s="127">
        <f>1/3*Assumptions!$I$18*Assumptions!$I$11*Assumptions!$I$8/1000*(1+Assumptions!$I$25)^(R5-2000)+Assumptions!$I$19*Assumptions!$I$17*(1+Assumptions!$I$25)^(R5-2000)/1000</f>
        <v>6948.5714460704403</v>
      </c>
      <c r="S16" s="127">
        <f>1/3*Assumptions!$I$18*Assumptions!$I$11*Assumptions!$I$8/1000*(1+Assumptions!$I$25)^(S5-2000)+Assumptions!$I$19*Assumptions!$I$17*(1+Assumptions!$I$25)^(S5-2000)/1000</f>
        <v>7157.0285894525532</v>
      </c>
      <c r="T16" s="127">
        <f>1/3*Assumptions!$I$18*Assumptions!$I$11*Assumptions!$I$8/1000*(1+Assumptions!$I$25)^(T5-2000)+Assumptions!$I$19*Assumptions!$I$17*(1+Assumptions!$I$25)^(T5-2000)/1000</f>
        <v>7371.7394471361295</v>
      </c>
      <c r="U16" s="127">
        <f>1/3*Assumptions!$I$18*Assumptions!$I$11*Assumptions!$I$8/1000*(1+Assumptions!$I$25)^(U5-2000)+Assumptions!$I$19*Assumptions!$I$17*(1+Assumptions!$I$25)^(U5-2000)/1000</f>
        <v>7592.8916305502144</v>
      </c>
      <c r="W16" s="91">
        <f>SUM(B16:U16)</f>
        <v>102967.97807422408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 t="s">
        <v>167</v>
      </c>
      <c r="B18" s="198">
        <f>(SUM(B9:B11)-SUM(B22:B27))*'Summary Output'!$B$29/4</f>
        <v>331.12124700534935</v>
      </c>
      <c r="C18" s="198">
        <f>(SUM(C9:C11)-SUM(C22:C27))*'Summary Output'!$B$29/4</f>
        <v>331.17131864178054</v>
      </c>
      <c r="D18" s="198">
        <f>(SUM(D9:D11)-SUM(D22:D27))*'Summary Output'!$B$29/4</f>
        <v>330.28939242449837</v>
      </c>
      <c r="E18" s="198">
        <f>(SUM(E9:E16)-SUM(E22:E27))*'Summary Output'!$B$29/4</f>
        <v>569.8426559600739</v>
      </c>
      <c r="F18" s="198">
        <f>(SUM(F9:F16)-SUM(F22:F27))*'Summary Output'!$B$29/4</f>
        <v>597.38920667121567</v>
      </c>
      <c r="G18" s="198">
        <f>(SUM(G9:G16)-SUM(G22:G27))*'Summary Output'!$B$29/4</f>
        <v>609.14779231882119</v>
      </c>
      <c r="H18" s="198">
        <f>(SUM(H9:H16)-SUM(H22:H27))*'Summary Output'!$B$29/4</f>
        <v>621.29190132242002</v>
      </c>
      <c r="I18" s="198">
        <f>(SUM(I9:I16)-SUM(I22:I27))*'Summary Output'!$B$29/4</f>
        <v>633.67089172305737</v>
      </c>
      <c r="J18" s="198">
        <f>(SUM(J9:J16)-SUM(J22:J27))*'Summary Output'!$B$29/4</f>
        <v>646.28920074716427</v>
      </c>
      <c r="K18" s="198">
        <f>(SUM(K9:K16)-SUM(K22:K27))*'Summary Output'!$B$29/4</f>
        <v>659.15134614288752</v>
      </c>
      <c r="L18" s="198">
        <f>(SUM(L9:L16)-SUM(L22:L27))*'Summary Output'!$B$29/4</f>
        <v>671.912867191651</v>
      </c>
      <c r="M18" s="198">
        <f>(SUM(M9:M16)-SUM(M22:M27))*'Summary Output'!$B$29/4</f>
        <v>684.91360722118247</v>
      </c>
      <c r="N18" s="198">
        <f>(SUM(N9:N16)-SUM(N22:N27))*'Summary Output'!$B$29/4</f>
        <v>698.15791860402783</v>
      </c>
      <c r="O18" s="198">
        <f>(SUM(O9:O16)-SUM(O22:O27))*'Summary Output'!$B$29/4</f>
        <v>711.65022875042723</v>
      </c>
      <c r="P18" s="198">
        <f>(SUM(P9:P16)-SUM(P22:P27))*'Summary Output'!$B$29/4</f>
        <v>725.39504126746579</v>
      </c>
      <c r="Q18" s="198">
        <f>(SUM(Q9:Q16)-SUM(Q22:Q27))*'Summary Output'!$B$29/4</f>
        <v>736.06376022940958</v>
      </c>
      <c r="R18" s="198">
        <f>(SUM(R9:R16)-SUM(R22:R27))*'Summary Output'!$B$29/4</f>
        <v>746.87740220093883</v>
      </c>
      <c r="S18" s="198">
        <f>(SUM(S9:S16)-SUM(S22:S27))*'Summary Output'!$B$29/4</f>
        <v>757.837620515249</v>
      </c>
      <c r="T18" s="198">
        <f>(SUM(T9:T16)-SUM(T22:T27))*'Summary Output'!$B$29/4</f>
        <v>768.94607665514889</v>
      </c>
      <c r="U18" s="198">
        <f>(SUM(U9:U16)-SUM(U22:U27))*'Summary Output'!$B$29/4</f>
        <v>780.2044398598714</v>
      </c>
      <c r="W18" s="91">
        <f>SUM(B18:U18)</f>
        <v>12611.323915452642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60</v>
      </c>
      <c r="B19" s="56">
        <f>SUM(B9:B18)</f>
        <v>46721.368734987176</v>
      </c>
      <c r="C19" s="56">
        <f t="shared" ref="C19:U19" si="4">SUM(C9:C18)</f>
        <v>46863.682406623608</v>
      </c>
      <c r="D19" s="56">
        <f t="shared" si="4"/>
        <v>47009.331988406324</v>
      </c>
      <c r="E19" s="56">
        <f t="shared" si="4"/>
        <v>54172.46602035017</v>
      </c>
      <c r="F19" s="56">
        <f t="shared" si="4"/>
        <v>56633.730216703014</v>
      </c>
      <c r="G19" s="56">
        <f t="shared" si="4"/>
        <v>57823.006050571945</v>
      </c>
      <c r="H19" s="56">
        <f t="shared" si="4"/>
        <v>59037.84218816871</v>
      </c>
      <c r="I19" s="56">
        <f t="shared" si="4"/>
        <v>60278.638618174766</v>
      </c>
      <c r="J19" s="56">
        <f t="shared" si="4"/>
        <v>61545.962802908492</v>
      </c>
      <c r="K19" s="56">
        <f t="shared" si="4"/>
        <v>62840.394968356552</v>
      </c>
      <c r="L19" s="56">
        <f t="shared" si="4"/>
        <v>64134.254513352724</v>
      </c>
      <c r="M19" s="56">
        <f t="shared" si="4"/>
        <v>65455.296085992486</v>
      </c>
      <c r="N19" s="56">
        <f t="shared" si="4"/>
        <v>66804.106387158114</v>
      </c>
      <c r="O19" s="56">
        <f t="shared" si="4"/>
        <v>68181.285220546255</v>
      </c>
      <c r="P19" s="56">
        <f t="shared" si="4"/>
        <v>69587.445797302076</v>
      </c>
      <c r="Q19" s="56">
        <f t="shared" si="4"/>
        <v>70753.227718981492</v>
      </c>
      <c r="R19" s="56">
        <f t="shared" si="4"/>
        <v>71939.796875010186</v>
      </c>
      <c r="S19" s="56">
        <f t="shared" si="4"/>
        <v>73147.558639494178</v>
      </c>
      <c r="T19" s="56">
        <f t="shared" si="4"/>
        <v>74376.927190281684</v>
      </c>
      <c r="U19" s="56">
        <f t="shared" si="4"/>
        <v>75628.325721423491</v>
      </c>
      <c r="W19" s="91">
        <f>SUM(B19:U19)</f>
        <v>1252934.6481447937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1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3" t="s">
        <v>48</v>
      </c>
      <c r="B22" s="127">
        <f>Assumptions!I28*(1+Assumptions!$I$25)</f>
        <v>1491.9967885714286</v>
      </c>
      <c r="C22" s="91">
        <f>B22*(1+Assumptions!$I$25)</f>
        <v>1536.7566922285714</v>
      </c>
      <c r="D22" s="91">
        <f>C22*(1+Assumptions!$I$25)</f>
        <v>1582.8593929954286</v>
      </c>
      <c r="E22" s="91">
        <f>D22*(1+Assumptions!$I$25)</f>
        <v>1630.3451747852914</v>
      </c>
      <c r="F22" s="91">
        <f>E22*(1+Assumptions!$I$25)</f>
        <v>1679.2555300288502</v>
      </c>
      <c r="G22" s="91">
        <f>F22*(1+Assumptions!$I$25)</f>
        <v>1729.6331959297158</v>
      </c>
      <c r="H22" s="91">
        <f>G22*(1+Assumptions!$I$25)</f>
        <v>1781.5221918076074</v>
      </c>
      <c r="I22" s="91">
        <f>H22*(1+Assumptions!$I$25)</f>
        <v>1834.9678575618357</v>
      </c>
      <c r="J22" s="91">
        <f>I22*(1+Assumptions!$I$25)</f>
        <v>1890.0168932886909</v>
      </c>
      <c r="K22" s="91">
        <f>J22*(1+Assumptions!$I$25)</f>
        <v>1946.7174000873517</v>
      </c>
      <c r="L22" s="91">
        <f>K22*(1+Assumptions!$I$25)</f>
        <v>2005.1189220899723</v>
      </c>
      <c r="M22" s="91">
        <f>L22*(1+Assumptions!$I$25)</f>
        <v>2065.2724897526714</v>
      </c>
      <c r="N22" s="91">
        <f>M22*(1+Assumptions!$I$25)</f>
        <v>2127.2306644452515</v>
      </c>
      <c r="O22" s="91">
        <f>N22*(1+Assumptions!$I$25)</f>
        <v>2191.0475843786089</v>
      </c>
      <c r="P22" s="91">
        <f>O22*(1+Assumptions!$I$25)</f>
        <v>2256.7790119099673</v>
      </c>
      <c r="Q22" s="91">
        <f>P22*(1+Assumptions!$I$25)</f>
        <v>2324.4823822672665</v>
      </c>
      <c r="R22" s="91">
        <f>Q22*(1+Assumptions!$I$25)</f>
        <v>2394.2168537352845</v>
      </c>
      <c r="S22" s="91">
        <f>R22*(1+Assumptions!$I$25)</f>
        <v>2466.0433593473431</v>
      </c>
      <c r="T22" s="91">
        <f>S22*(1+Assumptions!$I$25)</f>
        <v>2540.0246601277636</v>
      </c>
      <c r="U22" s="91">
        <f>T22*(1+Assumptions!$I$25)</f>
        <v>2616.2253999315967</v>
      </c>
      <c r="W22" s="91">
        <f t="shared" ref="W22:W28" si="5">SUM(B22:U22)</f>
        <v>40090.512445270491</v>
      </c>
    </row>
    <row r="23" spans="1:51">
      <c r="A23" s="3" t="s">
        <v>49</v>
      </c>
      <c r="B23" s="127">
        <f>Assumptions!$I$29*(1+Assumptions!$I$25)</f>
        <v>4124.12</v>
      </c>
      <c r="C23" s="56">
        <f>B23*(1+Assumptions!$I$25)</f>
        <v>4247.8436000000002</v>
      </c>
      <c r="D23" s="56">
        <f>C23*(1+Assumptions!$I$25)</f>
        <v>4375.2789080000002</v>
      </c>
      <c r="E23" s="127">
        <f>Assumptions!$I$19*Assumptions!$I$23*(1+Assumptions!$I$25)^(E5-2000)/1000</f>
        <v>4506.537275239999</v>
      </c>
      <c r="F23" s="127">
        <f>Assumptions!$I$19*Assumptions!$I$23*(1+Assumptions!$I$25)^(F5-2000)/1000</f>
        <v>4641.7333934971994</v>
      </c>
      <c r="G23" s="127">
        <f>Assumptions!$I$19*Assumptions!$I$23*(1+Assumptions!$I$25)^(G5-2000)/1000</f>
        <v>4780.9853953021156</v>
      </c>
      <c r="H23" s="127">
        <f>Assumptions!$I$19*Assumptions!$I$23*(1+Assumptions!$I$25)^(H5-2000)/1000</f>
        <v>4924.4149571611797</v>
      </c>
      <c r="I23" s="127">
        <f>Assumptions!$I$19*Assumptions!$I$23*(1+Assumptions!$I$25)^(I5-2000)/1000</f>
        <v>5072.1474058760141</v>
      </c>
      <c r="J23" s="127">
        <f>Assumptions!$I$19*Assumptions!$I$23*(1+Assumptions!$I$25)^(J5-2000)/1000</f>
        <v>5224.311828052294</v>
      </c>
      <c r="K23" s="127">
        <f>Assumptions!$I$19*Assumptions!$I$23*(1+Assumptions!$I$25)^(K5-2000)/1000</f>
        <v>5381.0411828938641</v>
      </c>
      <c r="L23" s="127">
        <f>Assumptions!$I$19*Assumptions!$I$23*(1+Assumptions!$I$25)^(L5-2000)/1000</f>
        <v>5542.4724183806793</v>
      </c>
      <c r="M23" s="127">
        <f>Assumptions!$I$19*Assumptions!$I$23*(1+Assumptions!$I$25)^(M5-2000)/1000</f>
        <v>5708.746590932099</v>
      </c>
      <c r="N23" s="127">
        <f>Assumptions!$I$19*Assumptions!$I$23*(1+Assumptions!$I$25)^(N5-2000)/1000</f>
        <v>5880.0089886600617</v>
      </c>
      <c r="O23" s="127">
        <f>Assumptions!$I$19*Assumptions!$I$23*(1+Assumptions!$I$25)^(O5-2000)/1000</f>
        <v>6056.4092583198644</v>
      </c>
      <c r="P23" s="127">
        <f>Assumptions!$I$19*Assumptions!$I$23*(1+Assumptions!$I$25)^(P5-2000)/1000</f>
        <v>6238.101536069461</v>
      </c>
      <c r="Q23" s="127">
        <f>Assumptions!$I$19*Assumptions!$I$23*(1+Assumptions!$I$25)^(Q5-2000)/1000</f>
        <v>6425.244582151543</v>
      </c>
      <c r="R23" s="127">
        <f>Assumptions!$I$19*Assumptions!$I$23*(1+Assumptions!$I$25)^(R5-2000)/1000</f>
        <v>6618.0019196160902</v>
      </c>
      <c r="S23" s="127">
        <f>Assumptions!$I$19*Assumptions!$I$23*(1+Assumptions!$I$25)^(S5-2000)/1000</f>
        <v>6816.5419772045725</v>
      </c>
      <c r="T23" s="127">
        <f>Assumptions!$I$19*Assumptions!$I$23*(1+Assumptions!$I$25)^(T5-2000)/1000</f>
        <v>7021.0382365207097</v>
      </c>
      <c r="U23" s="127">
        <f>Assumptions!$I$19*Assumptions!$I$23*(1+Assumptions!$I$25)^(U5-2000)/1000</f>
        <v>7231.6693836163313</v>
      </c>
      <c r="W23" s="91">
        <f t="shared" si="5"/>
        <v>110816.64883749407</v>
      </c>
    </row>
    <row r="24" spans="1:51">
      <c r="A24" s="3" t="s">
        <v>256</v>
      </c>
      <c r="B24" s="127">
        <f>Assumptions!$I$24*Assumptions!$I$11*Assumptions!$I$8/1000*(1+Assumptions!$I$25)</f>
        <v>618</v>
      </c>
      <c r="C24" s="91">
        <f>B24*(1+Assumptions!$I$25)</f>
        <v>636.54</v>
      </c>
      <c r="D24" s="91">
        <f>C24*(1+Assumptions!$I$25)</f>
        <v>655.63620000000003</v>
      </c>
      <c r="E24" s="91">
        <f>D24*(1+Assumptions!$I$25)</f>
        <v>675.30528600000002</v>
      </c>
      <c r="F24" s="91">
        <f>E24*(1+Assumptions!$I$25)</f>
        <v>695.56444457999999</v>
      </c>
      <c r="G24" s="91">
        <f>F24*(1+Assumptions!$I$25)</f>
        <v>716.43137791740003</v>
      </c>
      <c r="H24" s="91">
        <f>G24*(1+Assumptions!$I$25)</f>
        <v>737.92431925492201</v>
      </c>
      <c r="I24" s="91">
        <f>H24*(1+Assumptions!$I$25)</f>
        <v>760.06204883256964</v>
      </c>
      <c r="J24" s="91">
        <f>I24*(1+Assumptions!$I$25)</f>
        <v>782.86391029754679</v>
      </c>
      <c r="K24" s="91">
        <f>J24*(1+Assumptions!$I$25)</f>
        <v>806.34982760647324</v>
      </c>
      <c r="L24" s="91">
        <f>K24*(1+Assumptions!$I$25)</f>
        <v>830.54032243466747</v>
      </c>
      <c r="M24" s="91">
        <f>L24*(1+Assumptions!$I$25)</f>
        <v>855.45653210770752</v>
      </c>
      <c r="N24" s="91">
        <f>M24*(1+Assumptions!$I$25)</f>
        <v>881.12022807093877</v>
      </c>
      <c r="O24" s="91">
        <f>N24*(1+Assumptions!$I$25)</f>
        <v>907.55383491306691</v>
      </c>
      <c r="P24" s="91">
        <f>O24*(1+Assumptions!$I$25)</f>
        <v>934.7804499604589</v>
      </c>
      <c r="Q24" s="91">
        <f>P24*(1+Assumptions!$I$25)</f>
        <v>962.82386345927273</v>
      </c>
      <c r="R24" s="91">
        <f>Q24*(1+Assumptions!$I$25)</f>
        <v>991.70857936305094</v>
      </c>
      <c r="S24" s="91">
        <f>R24*(1+Assumptions!$I$25)</f>
        <v>1021.4598367439424</v>
      </c>
      <c r="T24" s="91">
        <f>S24*(1+Assumptions!$I$25)</f>
        <v>1052.1036318462607</v>
      </c>
      <c r="U24" s="91">
        <f>T24*(1+Assumptions!$I$25)</f>
        <v>1083.6667408016485</v>
      </c>
      <c r="W24" s="91">
        <f t="shared" si="5"/>
        <v>16605.891434189925</v>
      </c>
    </row>
    <row r="25" spans="1:51">
      <c r="A25" s="3" t="s">
        <v>112</v>
      </c>
      <c r="B25" s="127">
        <f>Assumptions!I31*(1+Assumptions!$I$25)</f>
        <v>412.66655714285713</v>
      </c>
      <c r="C25" s="91">
        <f>B25*(1+Assumptions!$I$25)</f>
        <v>425.04655385714284</v>
      </c>
      <c r="D25" s="91">
        <f>C25*(1+Assumptions!$I$25)</f>
        <v>437.79795047285711</v>
      </c>
      <c r="E25" s="91">
        <f>D25*(1+Assumptions!$I$25)</f>
        <v>450.93188898704284</v>
      </c>
      <c r="F25" s="91">
        <f>E25*(1+Assumptions!$I$25)</f>
        <v>464.45984565665412</v>
      </c>
      <c r="G25" s="91">
        <f>F25*(1+Assumptions!$I$25)</f>
        <v>478.39364102635375</v>
      </c>
      <c r="H25" s="91">
        <f>G25*(1+Assumptions!$I$25)</f>
        <v>492.7454502571444</v>
      </c>
      <c r="I25" s="91">
        <f>H25*(1+Assumptions!$I$25)</f>
        <v>507.52781376485876</v>
      </c>
      <c r="J25" s="91">
        <f>I25*(1+Assumptions!$I$25)</f>
        <v>522.75364817780451</v>
      </c>
      <c r="K25" s="91">
        <f>J25*(1+Assumptions!$I$25)</f>
        <v>538.43625762313866</v>
      </c>
      <c r="L25" s="91">
        <f>K25*(1+Assumptions!$I$25)</f>
        <v>554.58934535183278</v>
      </c>
      <c r="M25" s="91">
        <f>L25*(1+Assumptions!$I$25)</f>
        <v>571.22702571238779</v>
      </c>
      <c r="N25" s="91">
        <f>M25*(1+Assumptions!$I$25)</f>
        <v>588.36383648375943</v>
      </c>
      <c r="O25" s="91">
        <f>N25*(1+Assumptions!$I$25)</f>
        <v>606.01475157827224</v>
      </c>
      <c r="P25" s="91">
        <f>O25*(1+Assumptions!$I$25)</f>
        <v>624.19519412562045</v>
      </c>
      <c r="Q25" s="91">
        <f>P25*(1+Assumptions!$I$25)</f>
        <v>642.92104994938904</v>
      </c>
      <c r="R25" s="91">
        <f>Q25*(1+Assumptions!$I$25)</f>
        <v>662.20868144787073</v>
      </c>
      <c r="S25" s="91">
        <f>R25*(1+Assumptions!$I$25)</f>
        <v>682.07494189130682</v>
      </c>
      <c r="T25" s="91">
        <f>S25*(1+Assumptions!$I$25)</f>
        <v>702.53719014804608</v>
      </c>
      <c r="U25" s="91">
        <f>T25*(1+Assumptions!$I$25)</f>
        <v>723.61330585248743</v>
      </c>
      <c r="W25" s="91">
        <f t="shared" si="5"/>
        <v>11088.504929506827</v>
      </c>
    </row>
    <row r="26" spans="1:51">
      <c r="A26" s="3" t="s">
        <v>189</v>
      </c>
      <c r="B26" s="456">
        <v>572</v>
      </c>
      <c r="C26" s="456">
        <v>583.4</v>
      </c>
      <c r="D26" s="456">
        <v>595.1</v>
      </c>
      <c r="E26" s="456">
        <v>607</v>
      </c>
      <c r="F26" s="456">
        <v>619.1</v>
      </c>
      <c r="G26" s="456">
        <v>631.5</v>
      </c>
      <c r="H26" s="456">
        <v>631.5</v>
      </c>
      <c r="I26" s="456">
        <v>631.5</v>
      </c>
      <c r="J26" s="456">
        <v>631.5</v>
      </c>
      <c r="K26" s="456">
        <v>631.5</v>
      </c>
      <c r="L26" s="456">
        <v>631.5</v>
      </c>
      <c r="M26" s="456">
        <v>631.5</v>
      </c>
      <c r="N26" s="456">
        <v>631.5</v>
      </c>
      <c r="O26" s="456">
        <v>631.5</v>
      </c>
      <c r="P26" s="456">
        <v>631.5</v>
      </c>
      <c r="Q26" s="456">
        <v>631.5</v>
      </c>
      <c r="R26" s="456">
        <v>631.5</v>
      </c>
      <c r="S26" s="456">
        <v>631.5</v>
      </c>
      <c r="T26" s="456">
        <v>631.5</v>
      </c>
      <c r="U26" s="456">
        <v>631.5</v>
      </c>
      <c r="W26" s="91">
        <f t="shared" si="5"/>
        <v>12449.1</v>
      </c>
    </row>
    <row r="27" spans="1:51" s="16" customFormat="1">
      <c r="A27" s="438" t="s">
        <v>185</v>
      </c>
      <c r="B27" s="146">
        <f>B78</f>
        <v>217.63689385776883</v>
      </c>
      <c r="C27" s="146">
        <f t="shared" ref="C27:U27" si="6">C78</f>
        <v>145.09126257184587</v>
      </c>
      <c r="D27" s="146">
        <f t="shared" si="6"/>
        <v>145.09126257184587</v>
      </c>
      <c r="E27" s="146">
        <f t="shared" si="6"/>
        <v>145.09126257184587</v>
      </c>
      <c r="F27" s="146">
        <f t="shared" si="6"/>
        <v>145.09126257184587</v>
      </c>
      <c r="G27" s="146">
        <f t="shared" si="6"/>
        <v>145.09126257184587</v>
      </c>
      <c r="H27" s="146">
        <f t="shared" si="6"/>
        <v>145.09126257184587</v>
      </c>
      <c r="I27" s="146">
        <f t="shared" si="6"/>
        <v>145.09126257184587</v>
      </c>
      <c r="J27" s="146">
        <f t="shared" si="6"/>
        <v>145.09126257184587</v>
      </c>
      <c r="K27" s="146">
        <f t="shared" si="6"/>
        <v>145.09126257184587</v>
      </c>
      <c r="L27" s="146">
        <f t="shared" si="6"/>
        <v>145.09126257184587</v>
      </c>
      <c r="M27" s="146">
        <f t="shared" si="6"/>
        <v>145.09126257184587</v>
      </c>
      <c r="N27" s="146">
        <f t="shared" si="6"/>
        <v>145.09126257184587</v>
      </c>
      <c r="O27" s="146">
        <f t="shared" si="6"/>
        <v>145.09126257184587</v>
      </c>
      <c r="P27" s="146">
        <f t="shared" si="6"/>
        <v>145.09126257184587</v>
      </c>
      <c r="Q27" s="146">
        <f t="shared" si="6"/>
        <v>145.09126257184587</v>
      </c>
      <c r="R27" s="146">
        <f t="shared" si="6"/>
        <v>145.09126257184587</v>
      </c>
      <c r="S27" s="146">
        <f t="shared" si="6"/>
        <v>145.09126257184587</v>
      </c>
      <c r="T27" s="146">
        <f t="shared" si="6"/>
        <v>145.09126257184587</v>
      </c>
      <c r="U27" s="146">
        <f t="shared" si="6"/>
        <v>145.09126257184587</v>
      </c>
      <c r="V27" s="91"/>
      <c r="W27" s="91">
        <f t="shared" si="5"/>
        <v>2974.3708827228415</v>
      </c>
    </row>
    <row r="28" spans="1:51">
      <c r="A28" s="3" t="s">
        <v>62</v>
      </c>
      <c r="B28" s="127">
        <f t="shared" ref="B28:U28" si="7">SUM(B22:B27)</f>
        <v>7436.4202395720549</v>
      </c>
      <c r="C28" s="127">
        <f t="shared" si="7"/>
        <v>7574.6781086575593</v>
      </c>
      <c r="D28" s="127">
        <f t="shared" si="7"/>
        <v>7791.7637140401321</v>
      </c>
      <c r="E28" s="127">
        <f t="shared" si="7"/>
        <v>8015.2108875841786</v>
      </c>
      <c r="F28" s="127">
        <f t="shared" si="7"/>
        <v>8245.2044763345511</v>
      </c>
      <c r="G28" s="127">
        <f t="shared" si="7"/>
        <v>8482.034872747432</v>
      </c>
      <c r="H28" s="127">
        <f t="shared" si="7"/>
        <v>8713.1981810527013</v>
      </c>
      <c r="I28" s="127">
        <f t="shared" si="7"/>
        <v>8951.2963886071248</v>
      </c>
      <c r="J28" s="127">
        <f t="shared" si="7"/>
        <v>9196.5375423881833</v>
      </c>
      <c r="K28" s="127">
        <f t="shared" si="7"/>
        <v>9449.1359307826733</v>
      </c>
      <c r="L28" s="127">
        <f t="shared" si="7"/>
        <v>9709.3122708289993</v>
      </c>
      <c r="M28" s="127">
        <f t="shared" si="7"/>
        <v>9977.2939010767113</v>
      </c>
      <c r="N28" s="127">
        <f t="shared" si="7"/>
        <v>10253.314980231857</v>
      </c>
      <c r="O28" s="127">
        <f t="shared" si="7"/>
        <v>10537.616691761659</v>
      </c>
      <c r="P28" s="127">
        <f t="shared" si="7"/>
        <v>10830.447454637355</v>
      </c>
      <c r="Q28" s="127">
        <f t="shared" si="7"/>
        <v>11132.063140399317</v>
      </c>
      <c r="R28" s="127">
        <f t="shared" si="7"/>
        <v>11442.727296734143</v>
      </c>
      <c r="S28" s="127">
        <f t="shared" si="7"/>
        <v>11762.711377759013</v>
      </c>
      <c r="T28" s="127">
        <f t="shared" si="7"/>
        <v>12092.294981214627</v>
      </c>
      <c r="U28" s="127">
        <f t="shared" si="7"/>
        <v>12431.766092773911</v>
      </c>
      <c r="W28" s="91">
        <f t="shared" si="5"/>
        <v>194025.0285291842</v>
      </c>
    </row>
    <row r="29" spans="1:51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1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1" s="57" customFormat="1" ht="18.75" customHeight="1">
      <c r="A31" s="1" t="s">
        <v>63</v>
      </c>
      <c r="B31" s="120">
        <f t="shared" ref="B31:U31" si="8">B19-B28</f>
        <v>39284.948495415119</v>
      </c>
      <c r="C31" s="120">
        <f t="shared" si="8"/>
        <v>39289.00429796605</v>
      </c>
      <c r="D31" s="120">
        <f t="shared" si="8"/>
        <v>39217.568274366189</v>
      </c>
      <c r="E31" s="120">
        <f t="shared" si="8"/>
        <v>46157.255132765989</v>
      </c>
      <c r="F31" s="120">
        <f t="shared" si="8"/>
        <v>48388.525740368466</v>
      </c>
      <c r="G31" s="120">
        <f t="shared" si="8"/>
        <v>49340.971177824511</v>
      </c>
      <c r="H31" s="120">
        <f t="shared" si="8"/>
        <v>50324.64400711601</v>
      </c>
      <c r="I31" s="120">
        <f t="shared" si="8"/>
        <v>51327.342229567643</v>
      </c>
      <c r="J31" s="120">
        <f t="shared" si="8"/>
        <v>52349.425260520307</v>
      </c>
      <c r="K31" s="120">
        <f t="shared" si="8"/>
        <v>53391.25903757388</v>
      </c>
      <c r="L31" s="120">
        <f t="shared" si="8"/>
        <v>54424.942242523728</v>
      </c>
      <c r="M31" s="120">
        <f t="shared" si="8"/>
        <v>55478.002184915778</v>
      </c>
      <c r="N31" s="120">
        <f t="shared" si="8"/>
        <v>56550.791406926255</v>
      </c>
      <c r="O31" s="120">
        <f t="shared" si="8"/>
        <v>57643.668528784598</v>
      </c>
      <c r="P31" s="120">
        <f t="shared" si="8"/>
        <v>58756.998342664723</v>
      </c>
      <c r="Q31" s="120">
        <f t="shared" si="8"/>
        <v>59621.164578582175</v>
      </c>
      <c r="R31" s="120">
        <f t="shared" si="8"/>
        <v>60497.069578276045</v>
      </c>
      <c r="S31" s="120">
        <f t="shared" si="8"/>
        <v>61384.847261735165</v>
      </c>
      <c r="T31" s="120">
        <f t="shared" si="8"/>
        <v>62284.632209067058</v>
      </c>
      <c r="U31" s="120">
        <f t="shared" si="8"/>
        <v>63196.559628649578</v>
      </c>
      <c r="W31" s="91">
        <f>SUM(B31:U31)</f>
        <v>1058909.6196156093</v>
      </c>
    </row>
    <row r="32" spans="1:51" s="57" customFormat="1" ht="18.75" customHeigh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Depreciation!C53</f>
        <v>11019.158120067157</v>
      </c>
      <c r="C33" s="127">
        <f>Depreciation!D53</f>
        <v>11019.158120067157</v>
      </c>
      <c r="D33" s="127">
        <f>Depreciation!E53</f>
        <v>11019.158120067157</v>
      </c>
      <c r="E33" s="127">
        <f>Depreciation!F53</f>
        <v>11019.158120067157</v>
      </c>
      <c r="F33" s="127">
        <f>Depreciation!G53</f>
        <v>11019.158120067157</v>
      </c>
      <c r="G33" s="127">
        <f>Depreciation!H53</f>
        <v>11019.158120067157</v>
      </c>
      <c r="H33" s="127">
        <f>Depreciation!I53</f>
        <v>11019.158120067157</v>
      </c>
      <c r="I33" s="127">
        <f>Depreciation!J53</f>
        <v>11019.158120067157</v>
      </c>
      <c r="J33" s="127">
        <f>Depreciation!K53</f>
        <v>11019.158120067157</v>
      </c>
      <c r="K33" s="127">
        <f>Depreciation!L53</f>
        <v>11019.158120067157</v>
      </c>
      <c r="L33" s="127">
        <f>Depreciation!M53</f>
        <v>11019.158120067157</v>
      </c>
      <c r="M33" s="127">
        <f>Depreciation!N53</f>
        <v>11019.158120067157</v>
      </c>
      <c r="N33" s="127">
        <f>Depreciation!O53</f>
        <v>11019.158120067157</v>
      </c>
      <c r="O33" s="127">
        <f>Depreciation!P53</f>
        <v>11019.158120067157</v>
      </c>
      <c r="P33" s="127">
        <f>Depreciation!Q53</f>
        <v>11019.158120067157</v>
      </c>
      <c r="Q33" s="127">
        <f>Depreciation!R53</f>
        <v>11019.158120067157</v>
      </c>
      <c r="R33" s="127">
        <f>Depreciation!S53</f>
        <v>11019.158120067157</v>
      </c>
      <c r="S33" s="127">
        <f>Depreciation!T53</f>
        <v>11019.158120067157</v>
      </c>
      <c r="T33" s="127">
        <f>Depreciation!U53</f>
        <v>11019.158120067157</v>
      </c>
      <c r="U33" s="127">
        <f>Depreciation!V53</f>
        <v>11019.158120067157</v>
      </c>
      <c r="W33" s="91">
        <f>SUM(B33:U33)</f>
        <v>220383.16240134306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28265.790375347962</v>
      </c>
      <c r="C35" s="132">
        <f t="shared" si="9"/>
        <v>28269.846177898893</v>
      </c>
      <c r="D35" s="132">
        <f t="shared" si="9"/>
        <v>28198.410154299032</v>
      </c>
      <c r="E35" s="132">
        <f t="shared" si="9"/>
        <v>35138.097012698832</v>
      </c>
      <c r="F35" s="132">
        <f t="shared" si="9"/>
        <v>37369.367620301309</v>
      </c>
      <c r="G35" s="132">
        <f t="shared" si="9"/>
        <v>38321.813057757354</v>
      </c>
      <c r="H35" s="132">
        <f t="shared" si="9"/>
        <v>39305.485887048853</v>
      </c>
      <c r="I35" s="132">
        <f t="shared" si="9"/>
        <v>40308.184109500486</v>
      </c>
      <c r="J35" s="132">
        <f t="shared" si="9"/>
        <v>41330.26714045315</v>
      </c>
      <c r="K35" s="132">
        <f t="shared" si="9"/>
        <v>42372.100917506723</v>
      </c>
      <c r="L35" s="132">
        <f t="shared" si="9"/>
        <v>43405.784122456571</v>
      </c>
      <c r="M35" s="132">
        <f t="shared" si="9"/>
        <v>44458.844064848621</v>
      </c>
      <c r="N35" s="132">
        <f t="shared" si="9"/>
        <v>45531.633286859098</v>
      </c>
      <c r="O35" s="132">
        <f t="shared" si="9"/>
        <v>46624.51040871744</v>
      </c>
      <c r="P35" s="132">
        <f t="shared" si="9"/>
        <v>47737.840222597566</v>
      </c>
      <c r="Q35" s="132">
        <f t="shared" si="9"/>
        <v>48602.006458515018</v>
      </c>
      <c r="R35" s="132">
        <f t="shared" si="9"/>
        <v>49477.911458208888</v>
      </c>
      <c r="S35" s="132">
        <f t="shared" si="9"/>
        <v>50365.689141668008</v>
      </c>
      <c r="T35" s="132">
        <f t="shared" si="9"/>
        <v>51265.474088999901</v>
      </c>
      <c r="U35" s="132">
        <f t="shared" si="9"/>
        <v>52177.401508582421</v>
      </c>
      <c r="W35" s="91">
        <f>SUM(B35:U35)</f>
        <v>838526.45721426629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IS!B38*Allocation!$E$14</f>
        <v>17898.660959956007</v>
      </c>
      <c r="C37" s="127">
        <f>IS!C38*Allocation!$E$14</f>
        <v>17630.097914123908</v>
      </c>
      <c r="D37" s="127">
        <f>IS!D38*Allocation!$E$14</f>
        <v>17251.280656046682</v>
      </c>
      <c r="E37" s="127">
        <f>IS!E38*Allocation!$E$14</f>
        <v>16953.910372010145</v>
      </c>
      <c r="F37" s="127">
        <f>IS!F38*Allocation!$E$14</f>
        <v>16427.798973677371</v>
      </c>
      <c r="G37" s="127">
        <f>IS!G38*Allocation!$E$14</f>
        <v>15804.22083599118</v>
      </c>
      <c r="H37" s="127">
        <f>IS!H38*Allocation!$E$14</f>
        <v>15103.402967915445</v>
      </c>
      <c r="I37" s="127">
        <f>IS!I38*Allocation!$E$14</f>
        <v>14370.218805763445</v>
      </c>
      <c r="J37" s="127">
        <f>IS!J38*Allocation!$E$14</f>
        <v>13459.489685637125</v>
      </c>
      <c r="K37" s="127">
        <f>IS!K38*Allocation!$E$14</f>
        <v>12450.333975706642</v>
      </c>
      <c r="L37" s="127">
        <f>IS!L38*Allocation!$E$14</f>
        <v>11388.471611412735</v>
      </c>
      <c r="M37" s="127">
        <f>IS!M38*Allocation!$E$14</f>
        <v>10230.68836317049</v>
      </c>
      <c r="N37" s="127">
        <f>IS!N38*Allocation!$E$14</f>
        <v>9015.3654167845198</v>
      </c>
      <c r="O37" s="127">
        <f>IS!O38*Allocation!$E$14</f>
        <v>7828.8123194704112</v>
      </c>
      <c r="P37" s="127">
        <f>IS!P38*Allocation!$E$14</f>
        <v>6627.305402299743</v>
      </c>
      <c r="Q37" s="127">
        <f>IS!Q38*Allocation!$E$14</f>
        <v>5382.0748162006494</v>
      </c>
      <c r="R37" s="127">
        <f>IS!R38*Allocation!$E$14</f>
        <v>4061.2624232178496</v>
      </c>
      <c r="S37" s="127">
        <f>IS!S38*Allocation!$E$14</f>
        <v>2815.8692955985766</v>
      </c>
      <c r="T37" s="127">
        <f>IS!T38*Allocation!$E$14</f>
        <v>1747.971508015879</v>
      </c>
      <c r="U37" s="127">
        <f>IS!U38*Allocation!$E$14</f>
        <v>682.67438475606207</v>
      </c>
      <c r="W37" s="91">
        <f>SUM(B37:U37)</f>
        <v>217129.91068775486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10367.129415391955</v>
      </c>
      <c r="C39" s="132">
        <f t="shared" si="10"/>
        <v>10639.748263774985</v>
      </c>
      <c r="D39" s="132">
        <f t="shared" si="10"/>
        <v>10947.12949825235</v>
      </c>
      <c r="E39" s="132">
        <f t="shared" si="10"/>
        <v>18184.186640688687</v>
      </c>
      <c r="F39" s="132">
        <f t="shared" si="10"/>
        <v>20941.568646623939</v>
      </c>
      <c r="G39" s="132">
        <f t="shared" si="10"/>
        <v>22517.592221766172</v>
      </c>
      <c r="H39" s="132">
        <f t="shared" si="10"/>
        <v>24202.082919133409</v>
      </c>
      <c r="I39" s="132">
        <f t="shared" si="10"/>
        <v>25937.965303737041</v>
      </c>
      <c r="J39" s="132">
        <f t="shared" si="10"/>
        <v>27870.777454816023</v>
      </c>
      <c r="K39" s="132">
        <f t="shared" si="10"/>
        <v>29921.766941800081</v>
      </c>
      <c r="L39" s="132">
        <f t="shared" si="10"/>
        <v>32017.312511043834</v>
      </c>
      <c r="M39" s="132">
        <f t="shared" si="10"/>
        <v>34228.15570167813</v>
      </c>
      <c r="N39" s="132">
        <f t="shared" si="10"/>
        <v>36516.267870074575</v>
      </c>
      <c r="O39" s="132">
        <f t="shared" si="10"/>
        <v>38795.698089247031</v>
      </c>
      <c r="P39" s="132">
        <f t="shared" si="10"/>
        <v>41110.53482029782</v>
      </c>
      <c r="Q39" s="132">
        <f t="shared" si="10"/>
        <v>43219.931642314368</v>
      </c>
      <c r="R39" s="132">
        <f t="shared" si="10"/>
        <v>45416.649034991038</v>
      </c>
      <c r="S39" s="132">
        <f t="shared" si="10"/>
        <v>47549.819846069433</v>
      </c>
      <c r="T39" s="132">
        <f t="shared" si="10"/>
        <v>49517.502580984023</v>
      </c>
      <c r="U39" s="132">
        <f t="shared" si="10"/>
        <v>51494.727123826357</v>
      </c>
      <c r="W39" s="91">
        <f>SUM(B39:U39)</f>
        <v>621396.5465265112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B39*-Assumptions!$I$38</f>
        <v>-744.35989202514247</v>
      </c>
      <c r="C41" s="127">
        <f>C39*-Assumptions!$I$38</f>
        <v>-763.93392533904398</v>
      </c>
      <c r="D41" s="127">
        <f>D39*-Assumptions!$I$38</f>
        <v>-786.00389797451874</v>
      </c>
      <c r="E41" s="127">
        <f>E39*-Assumptions!$I$38</f>
        <v>-1305.6246008014477</v>
      </c>
      <c r="F41" s="127">
        <f>F39*-Assumptions!$I$38</f>
        <v>-1503.6046288275988</v>
      </c>
      <c r="G41" s="127">
        <f>G39*-Assumptions!$I$38</f>
        <v>-1616.7631215228112</v>
      </c>
      <c r="H41" s="127">
        <f>H39*-Assumptions!$I$38</f>
        <v>-1737.7095535937788</v>
      </c>
      <c r="I41" s="127">
        <f>I39*-Assumptions!$I$38</f>
        <v>-1862.3459088083196</v>
      </c>
      <c r="J41" s="127">
        <f>J39*-Assumptions!$I$38</f>
        <v>-2001.1218212557906</v>
      </c>
      <c r="K41" s="127">
        <f>K39*-Assumptions!$I$38</f>
        <v>-2148.382866421246</v>
      </c>
      <c r="L41" s="127">
        <f>L39*-Assumptions!$I$38</f>
        <v>-2298.8430382929473</v>
      </c>
      <c r="M41" s="127">
        <f>M39*-Assumptions!$I$38</f>
        <v>-2457.58157938049</v>
      </c>
      <c r="N41" s="127">
        <f>N39*-Assumptions!$I$38</f>
        <v>-2621.8680330713546</v>
      </c>
      <c r="O41" s="127">
        <f>O39*-Assumptions!$I$38</f>
        <v>-2785.5311228079368</v>
      </c>
      <c r="P41" s="127">
        <f>P39*-Assumptions!$I$38</f>
        <v>-2951.7364000973835</v>
      </c>
      <c r="Q41" s="127">
        <f>Q39*-Assumptions!$I$38</f>
        <v>-3103.1910919181719</v>
      </c>
      <c r="R41" s="127">
        <f>R39*-Assumptions!$I$38</f>
        <v>-3260.9154007123566</v>
      </c>
      <c r="S41" s="127">
        <f>S39*-Assumptions!$I$38</f>
        <v>-3414.0770649477854</v>
      </c>
      <c r="T41" s="127">
        <f>T39*-Assumptions!$I$38</f>
        <v>-3555.3566853146531</v>
      </c>
      <c r="U41" s="127">
        <f>U39*-Assumptions!$I$38</f>
        <v>-3697.3214074907323</v>
      </c>
      <c r="W41" s="91">
        <f>SUM(B41:U41)</f>
        <v>-44616.272040603508</v>
      </c>
    </row>
    <row r="42" spans="1:23">
      <c r="A42" s="3" t="s">
        <v>69</v>
      </c>
      <c r="B42" s="121">
        <f>(B39+B41)*-Assumptions!$I$37</f>
        <v>-3367.9693331783842</v>
      </c>
      <c r="C42" s="121">
        <f>(C39+C41)*-Assumptions!$I$37</f>
        <v>-3456.5350184525792</v>
      </c>
      <c r="D42" s="121">
        <f>(D39+D41)*-Assumptions!$I$37</f>
        <v>-3556.3939600972408</v>
      </c>
      <c r="E42" s="121">
        <f>(E39+E41)*-Assumptions!$I$37</f>
        <v>-5907.4967139605342</v>
      </c>
      <c r="F42" s="121">
        <f>(F39+F41)*-Assumptions!$I$37</f>
        <v>-6803.2874062287192</v>
      </c>
      <c r="G42" s="121">
        <f>(G39+G41)*-Assumptions!$I$37</f>
        <v>-7315.2901850851758</v>
      </c>
      <c r="H42" s="121">
        <f>(H39+H41)*-Assumptions!$I$37</f>
        <v>-7862.5306779388693</v>
      </c>
      <c r="I42" s="121">
        <f>(I39+I41)*-Assumptions!$I$37</f>
        <v>-8426.4667882250524</v>
      </c>
      <c r="J42" s="121">
        <f>(J39+J41)*-Assumptions!$I$37</f>
        <v>-9054.3794717460805</v>
      </c>
      <c r="K42" s="121">
        <f>(K39+K41)*-Assumptions!$I$37</f>
        <v>-9720.6844263825915</v>
      </c>
      <c r="L42" s="121">
        <f>(L39+L41)*-Assumptions!$I$37</f>
        <v>-10401.46431546281</v>
      </c>
      <c r="M42" s="121">
        <f>(M39+M41)*-Assumptions!$I$37</f>
        <v>-11119.700942804173</v>
      </c>
      <c r="N42" s="121">
        <f>(N39+N41)*-Assumptions!$I$37</f>
        <v>-11863.039942951127</v>
      </c>
      <c r="O42" s="121">
        <f>(O39+O41)*-Assumptions!$I$37</f>
        <v>-12603.558438253682</v>
      </c>
      <c r="P42" s="121">
        <f>(P39+P41)*-Assumptions!$I$37</f>
        <v>-13355.579447070153</v>
      </c>
      <c r="Q42" s="121">
        <f>(Q39+Q41)*-Assumptions!$I$37</f>
        <v>-14040.859192638667</v>
      </c>
      <c r="R42" s="121">
        <f>(R39+R41)*-Assumptions!$I$37</f>
        <v>-14754.506771997538</v>
      </c>
      <c r="S42" s="121">
        <f>(S39+S41)*-Assumptions!$I$37</f>
        <v>-15447.509973392576</v>
      </c>
      <c r="T42" s="121">
        <f>(T39+T41)*-Assumptions!$I$37</f>
        <v>-16086.751063484278</v>
      </c>
      <c r="U42" s="121">
        <f>(U39+U41)*-Assumptions!$I$37</f>
        <v>-16729.092000717468</v>
      </c>
      <c r="W42" s="91">
        <f>SUM(B42:U42)</f>
        <v>-201873.09607006775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6254.800190188429</v>
      </c>
      <c r="C44" s="134">
        <f t="shared" si="11"/>
        <v>6419.2793199833613</v>
      </c>
      <c r="D44" s="134">
        <f t="shared" si="11"/>
        <v>6604.7316401805911</v>
      </c>
      <c r="E44" s="134">
        <f t="shared" si="11"/>
        <v>10971.065325926707</v>
      </c>
      <c r="F44" s="134">
        <f t="shared" si="11"/>
        <v>12634.676611567622</v>
      </c>
      <c r="G44" s="134">
        <f t="shared" si="11"/>
        <v>13585.538915158186</v>
      </c>
      <c r="H44" s="134">
        <f t="shared" si="11"/>
        <v>14601.842687600758</v>
      </c>
      <c r="I44" s="134">
        <f t="shared" si="11"/>
        <v>15649.15260670367</v>
      </c>
      <c r="J44" s="134">
        <f t="shared" si="11"/>
        <v>16815.276161814152</v>
      </c>
      <c r="K44" s="134">
        <f t="shared" si="11"/>
        <v>18052.699648996244</v>
      </c>
      <c r="L44" s="134">
        <f t="shared" si="11"/>
        <v>19317.005157288077</v>
      </c>
      <c r="M44" s="134">
        <f t="shared" si="11"/>
        <v>20650.873179493465</v>
      </c>
      <c r="N44" s="134">
        <f t="shared" si="11"/>
        <v>22031.359894052093</v>
      </c>
      <c r="O44" s="134">
        <f t="shared" si="11"/>
        <v>23406.60852818541</v>
      </c>
      <c r="P44" s="134">
        <f t="shared" si="11"/>
        <v>24803.218973130286</v>
      </c>
      <c r="Q44" s="134">
        <f t="shared" si="11"/>
        <v>26075.881357757527</v>
      </c>
      <c r="R44" s="134">
        <f t="shared" si="11"/>
        <v>27401.226862281143</v>
      </c>
      <c r="S44" s="134">
        <f t="shared" si="11"/>
        <v>28688.232807729073</v>
      </c>
      <c r="T44" s="134">
        <f t="shared" si="11"/>
        <v>29875.394832185091</v>
      </c>
      <c r="U44" s="134">
        <f t="shared" si="11"/>
        <v>31068.313715618158</v>
      </c>
      <c r="W44" s="91">
        <f>SUM(B44:U44)</f>
        <v>374907.17841584008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 s="62" customFormat="1" ht="9" outlineLevel="1">
      <c r="A46" s="4"/>
      <c r="B46" s="60"/>
      <c r="C46" s="61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1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3.5" outlineLevel="1" thickBot="1">
      <c r="A52" s="194" t="s">
        <v>56</v>
      </c>
      <c r="B52" s="8">
        <v>2001</v>
      </c>
      <c r="C52" s="8">
        <f>B52+1</f>
        <v>2002</v>
      </c>
      <c r="D52" s="8">
        <f t="shared" ref="D52:U52" si="12">C52+1</f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1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1" outlineLevel="1">
      <c r="A54" s="13" t="s">
        <v>270</v>
      </c>
      <c r="B54" s="67">
        <f>B31-B12</f>
        <v>26820.821007433296</v>
      </c>
      <c r="C54" s="67">
        <f>C31-C12</f>
        <v>26824.876809984227</v>
      </c>
      <c r="D54" s="67">
        <f>D31-D12</f>
        <v>26753.440786384366</v>
      </c>
      <c r="E54" s="67">
        <f t="shared" ref="E54:U54" si="13">E31</f>
        <v>46157.255132765989</v>
      </c>
      <c r="F54" s="67">
        <f t="shared" si="13"/>
        <v>48388.525740368466</v>
      </c>
      <c r="G54" s="67">
        <f t="shared" si="13"/>
        <v>49340.971177824511</v>
      </c>
      <c r="H54" s="67">
        <f t="shared" si="13"/>
        <v>50324.64400711601</v>
      </c>
      <c r="I54" s="67">
        <f t="shared" si="13"/>
        <v>51327.342229567643</v>
      </c>
      <c r="J54" s="67">
        <f t="shared" si="13"/>
        <v>52349.425260520307</v>
      </c>
      <c r="K54" s="67">
        <f t="shared" si="13"/>
        <v>53391.25903757388</v>
      </c>
      <c r="L54" s="67">
        <f t="shared" si="13"/>
        <v>54424.942242523728</v>
      </c>
      <c r="M54" s="67">
        <f t="shared" si="13"/>
        <v>55478.002184915778</v>
      </c>
      <c r="N54" s="67">
        <f t="shared" si="13"/>
        <v>56550.791406926255</v>
      </c>
      <c r="O54" s="67">
        <f t="shared" si="13"/>
        <v>57643.668528784598</v>
      </c>
      <c r="P54" s="67">
        <f t="shared" si="13"/>
        <v>58756.998342664723</v>
      </c>
      <c r="Q54" s="67">
        <f t="shared" si="13"/>
        <v>59621.164578582175</v>
      </c>
      <c r="R54" s="67">
        <f t="shared" si="13"/>
        <v>60497.069578276045</v>
      </c>
      <c r="S54" s="67">
        <f t="shared" si="13"/>
        <v>61384.847261735165</v>
      </c>
      <c r="T54" s="67">
        <f t="shared" si="13"/>
        <v>62284.632209067058</v>
      </c>
      <c r="U54" s="67">
        <f t="shared" si="13"/>
        <v>63196.559628649578</v>
      </c>
      <c r="W54" s="400">
        <f>SUM(B54:U54)</f>
        <v>1021517.2371516638</v>
      </c>
    </row>
    <row r="55" spans="1:51">
      <c r="A55" s="13" t="s">
        <v>168</v>
      </c>
      <c r="B55" s="67">
        <f>B26</f>
        <v>572</v>
      </c>
      <c r="C55" s="67">
        <f t="shared" ref="C55:U55" si="14">C26</f>
        <v>583.4</v>
      </c>
      <c r="D55" s="67">
        <f t="shared" si="14"/>
        <v>595.1</v>
      </c>
      <c r="E55" s="67">
        <f t="shared" si="14"/>
        <v>607</v>
      </c>
      <c r="F55" s="67">
        <f t="shared" si="14"/>
        <v>619.1</v>
      </c>
      <c r="G55" s="67">
        <f t="shared" si="14"/>
        <v>631.5</v>
      </c>
      <c r="H55" s="67">
        <f t="shared" si="14"/>
        <v>631.5</v>
      </c>
      <c r="I55" s="67">
        <f t="shared" si="14"/>
        <v>631.5</v>
      </c>
      <c r="J55" s="67">
        <f t="shared" si="14"/>
        <v>631.5</v>
      </c>
      <c r="K55" s="67">
        <f t="shared" si="14"/>
        <v>631.5</v>
      </c>
      <c r="L55" s="67">
        <f t="shared" si="14"/>
        <v>631.5</v>
      </c>
      <c r="M55" s="67">
        <f t="shared" si="14"/>
        <v>631.5</v>
      </c>
      <c r="N55" s="67">
        <f t="shared" si="14"/>
        <v>631.5</v>
      </c>
      <c r="O55" s="67">
        <f t="shared" si="14"/>
        <v>631.5</v>
      </c>
      <c r="P55" s="67">
        <f t="shared" si="14"/>
        <v>631.5</v>
      </c>
      <c r="Q55" s="67">
        <f t="shared" si="14"/>
        <v>631.5</v>
      </c>
      <c r="R55" s="67">
        <f t="shared" si="14"/>
        <v>631.5</v>
      </c>
      <c r="S55" s="67">
        <f t="shared" si="14"/>
        <v>631.5</v>
      </c>
      <c r="T55" s="67">
        <f t="shared" si="14"/>
        <v>631.5</v>
      </c>
      <c r="U55" s="67">
        <f t="shared" si="14"/>
        <v>631.5</v>
      </c>
      <c r="W55" s="400">
        <f>SUM(B55:U55)</f>
        <v>12449.1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>
      <c r="A56" s="13" t="s">
        <v>169</v>
      </c>
      <c r="B56" s="462">
        <v>-333.7</v>
      </c>
      <c r="C56" s="67">
        <f>-B55</f>
        <v>-572</v>
      </c>
      <c r="D56" s="67">
        <f t="shared" ref="D56:U56" si="15">-C55</f>
        <v>-583.4</v>
      </c>
      <c r="E56" s="67">
        <f t="shared" si="15"/>
        <v>-595.1</v>
      </c>
      <c r="F56" s="67">
        <f t="shared" si="15"/>
        <v>-607</v>
      </c>
      <c r="G56" s="67">
        <f t="shared" si="15"/>
        <v>-619.1</v>
      </c>
      <c r="H56" s="67">
        <f t="shared" si="15"/>
        <v>-631.5</v>
      </c>
      <c r="I56" s="67">
        <f t="shared" si="15"/>
        <v>-631.5</v>
      </c>
      <c r="J56" s="67">
        <f t="shared" si="15"/>
        <v>-631.5</v>
      </c>
      <c r="K56" s="67">
        <f t="shared" si="15"/>
        <v>-631.5</v>
      </c>
      <c r="L56" s="67">
        <f t="shared" si="15"/>
        <v>-631.5</v>
      </c>
      <c r="M56" s="67">
        <f t="shared" si="15"/>
        <v>-631.5</v>
      </c>
      <c r="N56" s="67">
        <f t="shared" si="15"/>
        <v>-631.5</v>
      </c>
      <c r="O56" s="67">
        <f t="shared" si="15"/>
        <v>-631.5</v>
      </c>
      <c r="P56" s="67">
        <f t="shared" si="15"/>
        <v>-631.5</v>
      </c>
      <c r="Q56" s="67">
        <f t="shared" si="15"/>
        <v>-631.5</v>
      </c>
      <c r="R56" s="67">
        <f t="shared" si="15"/>
        <v>-631.5</v>
      </c>
      <c r="S56" s="67">
        <f t="shared" si="15"/>
        <v>-631.5</v>
      </c>
      <c r="T56" s="67">
        <f t="shared" si="15"/>
        <v>-631.5</v>
      </c>
      <c r="U56" s="67">
        <f t="shared" si="15"/>
        <v>-631.5</v>
      </c>
      <c r="W56" s="400">
        <f>SUM(B56:U56)</f>
        <v>-12151.3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outlineLevel="1">
      <c r="A57" s="13" t="s">
        <v>71</v>
      </c>
      <c r="B57" s="398">
        <f>-Debt!B77*Allocation!$E$14</f>
        <v>-21358.091406606876</v>
      </c>
      <c r="C57" s="398">
        <f>-Debt!C77*Allocation!$E$14</f>
        <v>-21340.616054483311</v>
      </c>
      <c r="D57" s="398">
        <f>-Debt!D77*Allocation!$E$14</f>
        <v>-21240.785122748894</v>
      </c>
      <c r="E57" s="398">
        <f>-Debt!E77*Allocation!$E$14</f>
        <v>-20937.835112185501</v>
      </c>
      <c r="F57" s="398">
        <f>-Debt!F77*Allocation!$E$14</f>
        <v>-21911.554204271684</v>
      </c>
      <c r="G57" s="398">
        <f>-Debt!G77*Allocation!$E$14</f>
        <v>-22037.891311794971</v>
      </c>
      <c r="H57" s="398">
        <f>-Debt!H77*Allocation!$E$14</f>
        <v>-21899.509877626344</v>
      </c>
      <c r="I57" s="398">
        <f>-Debt!I77*Allocation!$E$14</f>
        <v>-22103.719771986191</v>
      </c>
      <c r="J57" s="398">
        <f>-Debt!J77*Allocation!$E$14</f>
        <v>-21942.905897069351</v>
      </c>
      <c r="K57" s="398">
        <f>-Debt!K77*Allocation!$E$14</f>
        <v>-22195.884327513748</v>
      </c>
      <c r="L57" s="398">
        <f>-Debt!L77*Allocation!$E$14</f>
        <v>-21989.952012439593</v>
      </c>
      <c r="M57" s="398">
        <f>-Debt!M77*Allocation!$E$14</f>
        <v>-20832.168764197348</v>
      </c>
      <c r="N57" s="398">
        <f>-Debt!N77*Allocation!$E$14</f>
        <v>-19616.845817811376</v>
      </c>
      <c r="O57" s="398">
        <f>-Debt!O77*Allocation!$E$14</f>
        <v>-18430.292720497269</v>
      </c>
      <c r="P57" s="398">
        <f>-Debt!P77*Allocation!$E$14</f>
        <v>-17758.859823377945</v>
      </c>
      <c r="Q57" s="398">
        <f>-Debt!Q77*Allocation!$E$14</f>
        <v>-17043.703257330191</v>
      </c>
      <c r="R57" s="398">
        <f>-Debt!R77*Allocation!$E$14</f>
        <v>-15722.890864347395</v>
      </c>
      <c r="S57" s="398">
        <f>-Debt!S77*Allocation!$E$14</f>
        <v>-12357.201656522748</v>
      </c>
      <c r="T57" s="398">
        <f>-Debt!T77*Allocation!$E$14</f>
        <v>-11289.303868940051</v>
      </c>
      <c r="U57" s="398">
        <f>-Debt!U77*Allocation!$E$14</f>
        <v>-9163.858705577557</v>
      </c>
      <c r="W57" s="400">
        <f>SUM(B57:U57)</f>
        <v>-381173.87057732831</v>
      </c>
    </row>
    <row r="58" spans="1:51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1" s="57" customFormat="1" outlineLevel="1">
      <c r="A59" s="12" t="s">
        <v>72</v>
      </c>
      <c r="B59" s="136">
        <f t="shared" ref="B59:U59" si="16">SUM(B54:B57)</f>
        <v>5701.0296008264195</v>
      </c>
      <c r="C59" s="136">
        <f t="shared" si="16"/>
        <v>5495.6607555009177</v>
      </c>
      <c r="D59" s="136">
        <f t="shared" si="16"/>
        <v>5524.3556636354697</v>
      </c>
      <c r="E59" s="136">
        <f t="shared" si="16"/>
        <v>25231.32002058049</v>
      </c>
      <c r="F59" s="136">
        <f t="shared" si="16"/>
        <v>26489.071536096781</v>
      </c>
      <c r="G59" s="136">
        <f t="shared" si="16"/>
        <v>27315.479866029542</v>
      </c>
      <c r="H59" s="136">
        <f t="shared" si="16"/>
        <v>28425.134129489667</v>
      </c>
      <c r="I59" s="136">
        <f t="shared" si="16"/>
        <v>29223.622457581452</v>
      </c>
      <c r="J59" s="136">
        <f t="shared" si="16"/>
        <v>30406.519363450956</v>
      </c>
      <c r="K59" s="136">
        <f t="shared" si="16"/>
        <v>31195.374710060132</v>
      </c>
      <c r="L59" s="136">
        <f t="shared" si="16"/>
        <v>32434.990230084135</v>
      </c>
      <c r="M59" s="136">
        <f t="shared" si="16"/>
        <v>34645.833420718431</v>
      </c>
      <c r="N59" s="136">
        <f t="shared" si="16"/>
        <v>36933.945589114883</v>
      </c>
      <c r="O59" s="136">
        <f t="shared" si="16"/>
        <v>39213.375808287325</v>
      </c>
      <c r="P59" s="136">
        <f t="shared" si="16"/>
        <v>40998.138519286775</v>
      </c>
      <c r="Q59" s="136">
        <f t="shared" si="16"/>
        <v>42577.461321251983</v>
      </c>
      <c r="R59" s="136">
        <f t="shared" si="16"/>
        <v>44774.178713928646</v>
      </c>
      <c r="S59" s="136">
        <f t="shared" si="16"/>
        <v>49027.645605212419</v>
      </c>
      <c r="T59" s="136">
        <f t="shared" si="16"/>
        <v>50995.328340127009</v>
      </c>
      <c r="U59" s="136">
        <f t="shared" si="16"/>
        <v>54032.700923072021</v>
      </c>
      <c r="W59" s="400">
        <f>SUM(B59:U59)</f>
        <v>640641.16657433542</v>
      </c>
    </row>
    <row r="60" spans="1:51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1" ht="15" outlineLevel="1">
      <c r="A61" s="13" t="s">
        <v>99</v>
      </c>
      <c r="B61" s="223">
        <f>-B97</f>
        <v>0</v>
      </c>
      <c r="C61" s="223">
        <f t="shared" ref="C61:U61" si="17">-C97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-766.16517024765517</v>
      </c>
      <c r="J61" s="223">
        <f t="shared" si="17"/>
        <v>-1394.7203972627619</v>
      </c>
      <c r="K61" s="223">
        <f t="shared" si="17"/>
        <v>-1539.6126678909056</v>
      </c>
      <c r="L61" s="223">
        <f t="shared" si="17"/>
        <v>-1692.4416142999187</v>
      </c>
      <c r="M61" s="223">
        <f t="shared" si="17"/>
        <v>-1848.8113808501496</v>
      </c>
      <c r="N61" s="223">
        <f t="shared" si="17"/>
        <v>-2015.466609078326</v>
      </c>
      <c r="O61" s="223">
        <f t="shared" si="17"/>
        <v>-2176.7609242775966</v>
      </c>
      <c r="P61" s="223">
        <f t="shared" si="17"/>
        <v>-2345.3349761043551</v>
      </c>
      <c r="Q61" s="223">
        <f t="shared" si="17"/>
        <v>-3195.5781564320682</v>
      </c>
      <c r="R61" s="223">
        <f t="shared" si="17"/>
        <v>-4052.0909537331786</v>
      </c>
      <c r="S61" s="223">
        <f t="shared" si="17"/>
        <v>-4205.2526179686074</v>
      </c>
      <c r="T61" s="223">
        <f t="shared" si="17"/>
        <v>-4346.5322383354751</v>
      </c>
      <c r="U61" s="223">
        <f t="shared" si="17"/>
        <v>-4488.4969605115548</v>
      </c>
      <c r="W61" s="400">
        <f>SUM(B61:U61)</f>
        <v>-34067.264666992553</v>
      </c>
    </row>
    <row r="62" spans="1:51" outlineLevel="1">
      <c r="A62" s="13" t="s">
        <v>100</v>
      </c>
      <c r="B62" s="128">
        <f>-Allocation!$E$14*Tax!B24</f>
        <v>0</v>
      </c>
      <c r="C62" s="128">
        <f>-Allocation!$E$14*Tax!C24</f>
        <v>0</v>
      </c>
      <c r="D62" s="128">
        <f>-Allocation!$E$14*Tax!D24</f>
        <v>0</v>
      </c>
      <c r="E62" s="128">
        <f>-Allocation!$E$14*Tax!E24</f>
        <v>0</v>
      </c>
      <c r="F62" s="128">
        <f>-Allocation!$E$14*Tax!F24</f>
        <v>0</v>
      </c>
      <c r="G62" s="128">
        <f>-Allocation!$E$14*Tax!G24</f>
        <v>0</v>
      </c>
      <c r="H62" s="128">
        <f>-Allocation!$E$14*Tax!H24</f>
        <v>-4784.7984407661606</v>
      </c>
      <c r="I62" s="128">
        <f>-Allocation!$E$14*Tax!I24</f>
        <v>-6476.9645220107031</v>
      </c>
      <c r="J62" s="128">
        <f>-Allocation!$E$14*Tax!J24</f>
        <v>-6977.4496411546788</v>
      </c>
      <c r="K62" s="128">
        <f>-Allocation!$E$14*Tax!K24</f>
        <v>-7496.0452874474795</v>
      </c>
      <c r="L62" s="128">
        <f>-Allocation!$E$14*Tax!L24</f>
        <v>-8178.3579373815774</v>
      </c>
      <c r="M62" s="128">
        <f>-Allocation!$E$14*Tax!M24</f>
        <v>-8891.9611004786493</v>
      </c>
      <c r="N62" s="128">
        <f>-Allocation!$E$14*Tax!N24</f>
        <v>-9612.033188444364</v>
      </c>
      <c r="O62" s="128">
        <f>-Allocation!$E$14*Tax!O24</f>
        <v>-10315.366430687171</v>
      </c>
      <c r="P62" s="128">
        <f>-Allocation!$E$14*Tax!P24</f>
        <v>-11011.928805809484</v>
      </c>
      <c r="Q62" s="128">
        <f>-Allocation!$E$14*Tax!Q24</f>
        <v>-14573.512052757751</v>
      </c>
      <c r="R62" s="128">
        <f>-Allocation!$E$14*Tax!R24</f>
        <v>-18119.091593451085</v>
      </c>
      <c r="S62" s="128">
        <f>-Allocation!$E$14*Tax!S24</f>
        <v>-18793.917818265785</v>
      </c>
      <c r="T62" s="128">
        <f>-Allocation!$E$14*Tax!T24</f>
        <v>-19413.624877054994</v>
      </c>
      <c r="U62" s="128">
        <f>-Allocation!$E$14*Tax!U24</f>
        <v>-20036.271266373886</v>
      </c>
      <c r="W62" s="400">
        <f>SUM(B62:U62)</f>
        <v>-164681.3229620838</v>
      </c>
    </row>
    <row r="63" spans="1:51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1" s="64" customFormat="1" ht="15.75" outlineLevel="1">
      <c r="A64" s="46" t="s">
        <v>73</v>
      </c>
      <c r="B64" s="137">
        <f t="shared" ref="B64:U64" si="18">B59+B62+B61</f>
        <v>5701.0296008264195</v>
      </c>
      <c r="C64" s="137">
        <f t="shared" si="18"/>
        <v>5495.6607555009177</v>
      </c>
      <c r="D64" s="137">
        <f t="shared" si="18"/>
        <v>5524.3556636354697</v>
      </c>
      <c r="E64" s="137">
        <f t="shared" si="18"/>
        <v>25231.32002058049</v>
      </c>
      <c r="F64" s="137">
        <f t="shared" si="18"/>
        <v>26489.071536096781</v>
      </c>
      <c r="G64" s="137">
        <f t="shared" si="18"/>
        <v>27315.479866029542</v>
      </c>
      <c r="H64" s="137">
        <f t="shared" si="18"/>
        <v>23640.335688723506</v>
      </c>
      <c r="I64" s="137">
        <f t="shared" si="18"/>
        <v>21980.492765323095</v>
      </c>
      <c r="J64" s="137">
        <f t="shared" si="18"/>
        <v>22034.349325033516</v>
      </c>
      <c r="K64" s="137">
        <f t="shared" si="18"/>
        <v>22159.716754721747</v>
      </c>
      <c r="L64" s="137">
        <f t="shared" si="18"/>
        <v>22564.19067840264</v>
      </c>
      <c r="M64" s="137">
        <f t="shared" si="18"/>
        <v>23905.06093938963</v>
      </c>
      <c r="N64" s="137">
        <f t="shared" si="18"/>
        <v>25306.445791592192</v>
      </c>
      <c r="O64" s="137">
        <f t="shared" si="18"/>
        <v>26721.248453322554</v>
      </c>
      <c r="P64" s="137">
        <f t="shared" si="18"/>
        <v>27640.874737372938</v>
      </c>
      <c r="Q64" s="137">
        <f t="shared" si="18"/>
        <v>24808.371112062163</v>
      </c>
      <c r="R64" s="137">
        <f t="shared" si="18"/>
        <v>22602.996166744382</v>
      </c>
      <c r="S64" s="137">
        <f t="shared" si="18"/>
        <v>26028.475168978028</v>
      </c>
      <c r="T64" s="137">
        <f t="shared" si="18"/>
        <v>27235.171224736539</v>
      </c>
      <c r="U64" s="137">
        <f t="shared" si="18"/>
        <v>29507.932696186581</v>
      </c>
      <c r="W64" s="400">
        <f>SUM(B64:U64)</f>
        <v>441892.57894525916</v>
      </c>
    </row>
    <row r="65" spans="1:252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52" outlineLevel="1">
      <c r="A66" s="6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2" outlineLevel="1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2" ht="18.75" outlineLevel="1">
      <c r="A68" s="55" t="s">
        <v>219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2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2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2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2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52" outlineLevel="1">
      <c r="A74" s="225" t="s">
        <v>182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52" s="428" customFormat="1" ht="12" customHeight="1">
      <c r="A75" s="518"/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424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</row>
    <row r="76" spans="1:252" s="428" customFormat="1" ht="12" customHeight="1">
      <c r="A76" s="21" t="s">
        <v>180</v>
      </c>
      <c r="B76" s="433">
        <f>Allocation!$C$14*'Summary Output'!$C$8</f>
        <v>145091.26257184587</v>
      </c>
      <c r="C76" s="433">
        <f>Allocation!$C$14*'Summary Output'!$C$8</f>
        <v>145091.26257184587</v>
      </c>
      <c r="D76" s="433">
        <f>Allocation!$C$14*'Summary Output'!$C$8</f>
        <v>145091.26257184587</v>
      </c>
      <c r="E76" s="433">
        <f>Allocation!$C$14*'Summary Output'!$C$8</f>
        <v>145091.26257184587</v>
      </c>
      <c r="F76" s="433">
        <f>Allocation!$C$14*'Summary Output'!$C$8</f>
        <v>145091.26257184587</v>
      </c>
      <c r="G76" s="433">
        <f>Allocation!$C$14*'Summary Output'!$C$8</f>
        <v>145091.26257184587</v>
      </c>
      <c r="H76" s="433">
        <f>Allocation!$C$14*'Summary Output'!$C$8</f>
        <v>145091.26257184587</v>
      </c>
      <c r="I76" s="433">
        <f>Allocation!$C$14*'Summary Output'!$C$8</f>
        <v>145091.26257184587</v>
      </c>
      <c r="J76" s="433">
        <f>Allocation!$C$14*'Summary Output'!$C$8</f>
        <v>145091.26257184587</v>
      </c>
      <c r="K76" s="433">
        <f>Allocation!$C$14*'Summary Output'!$C$8</f>
        <v>145091.26257184587</v>
      </c>
      <c r="L76" s="433">
        <f>Allocation!$C$14*'Summary Output'!$C$8</f>
        <v>145091.26257184587</v>
      </c>
      <c r="M76" s="433">
        <f>Allocation!$C$14*'Summary Output'!$C$8</f>
        <v>145091.26257184587</v>
      </c>
      <c r="N76" s="433">
        <f>Allocation!$C$14*'Summary Output'!$C$8</f>
        <v>145091.26257184587</v>
      </c>
      <c r="O76" s="433">
        <f>Allocation!$C$14*'Summary Output'!$C$8</f>
        <v>145091.26257184587</v>
      </c>
      <c r="P76" s="433">
        <f>Allocation!$C$14*'Summary Output'!$C$8</f>
        <v>145091.26257184587</v>
      </c>
      <c r="Q76" s="433">
        <f>Allocation!$C$14*'Summary Output'!$C$8</f>
        <v>145091.26257184587</v>
      </c>
      <c r="R76" s="433">
        <f>Allocation!$C$14*'Summary Output'!$C$8</f>
        <v>145091.26257184587</v>
      </c>
      <c r="S76" s="433">
        <f>Allocation!$C$14*'Summary Output'!$C$8</f>
        <v>145091.26257184587</v>
      </c>
      <c r="T76" s="433">
        <f>Allocation!$C$14*'Summary Output'!$C$8</f>
        <v>145091.26257184587</v>
      </c>
      <c r="U76" s="433">
        <f>Allocation!$C$14*'Summary Output'!$C$8</f>
        <v>145091.26257184587</v>
      </c>
      <c r="V76" s="433"/>
      <c r="W76" s="433"/>
      <c r="X76" s="433"/>
      <c r="Y76" s="433"/>
      <c r="Z76" s="424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</row>
    <row r="77" spans="1:252" s="429" customFormat="1" ht="12" customHeight="1">
      <c r="A77" s="21" t="s">
        <v>183</v>
      </c>
      <c r="B77" s="434">
        <f>Assumptions!I41</f>
        <v>1.5E-3</v>
      </c>
      <c r="C77" s="434">
        <f>Assumptions!$I$42</f>
        <v>1E-3</v>
      </c>
      <c r="D77" s="434">
        <f>Assumptions!$I$42</f>
        <v>1E-3</v>
      </c>
      <c r="E77" s="434">
        <f>Assumptions!$I$42</f>
        <v>1E-3</v>
      </c>
      <c r="F77" s="434">
        <f>Assumptions!$I$42</f>
        <v>1E-3</v>
      </c>
      <c r="G77" s="434">
        <f>Assumptions!$I$42</f>
        <v>1E-3</v>
      </c>
      <c r="H77" s="434">
        <f>Assumptions!$I$42</f>
        <v>1E-3</v>
      </c>
      <c r="I77" s="434">
        <f>Assumptions!$I$42</f>
        <v>1E-3</v>
      </c>
      <c r="J77" s="434">
        <f>Assumptions!$I$42</f>
        <v>1E-3</v>
      </c>
      <c r="K77" s="434">
        <f>Assumptions!$I$42</f>
        <v>1E-3</v>
      </c>
      <c r="L77" s="434">
        <f>Assumptions!$I$42</f>
        <v>1E-3</v>
      </c>
      <c r="M77" s="434">
        <f>Assumptions!$I$42</f>
        <v>1E-3</v>
      </c>
      <c r="N77" s="434">
        <f>Assumptions!$I$42</f>
        <v>1E-3</v>
      </c>
      <c r="O77" s="434">
        <f>Assumptions!$I$42</f>
        <v>1E-3</v>
      </c>
      <c r="P77" s="434">
        <f>Assumptions!$I$42</f>
        <v>1E-3</v>
      </c>
      <c r="Q77" s="434">
        <f>Assumptions!$I$42</f>
        <v>1E-3</v>
      </c>
      <c r="R77" s="434">
        <f>Assumptions!$I$42</f>
        <v>1E-3</v>
      </c>
      <c r="S77" s="434">
        <f>Assumptions!$I$42</f>
        <v>1E-3</v>
      </c>
      <c r="T77" s="434">
        <f>Assumptions!$I$42</f>
        <v>1E-3</v>
      </c>
      <c r="U77" s="434">
        <f>Assumptions!$I$42</f>
        <v>1E-3</v>
      </c>
      <c r="V77" s="434"/>
      <c r="W77" s="434"/>
      <c r="X77" s="434"/>
      <c r="Y77" s="434"/>
      <c r="Z77" s="426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</row>
    <row r="78" spans="1:252" s="429" customFormat="1" ht="12" customHeight="1">
      <c r="A78" s="32" t="s">
        <v>184</v>
      </c>
      <c r="B78" s="435">
        <f>B76*B77</f>
        <v>217.63689385776883</v>
      </c>
      <c r="C78" s="435">
        <f t="shared" ref="C78:U78" si="19">C76*C77</f>
        <v>145.09126257184587</v>
      </c>
      <c r="D78" s="435">
        <f t="shared" si="19"/>
        <v>145.09126257184587</v>
      </c>
      <c r="E78" s="435">
        <f t="shared" si="19"/>
        <v>145.09126257184587</v>
      </c>
      <c r="F78" s="435">
        <f t="shared" si="19"/>
        <v>145.09126257184587</v>
      </c>
      <c r="G78" s="435">
        <f t="shared" si="19"/>
        <v>145.09126257184587</v>
      </c>
      <c r="H78" s="435">
        <f t="shared" si="19"/>
        <v>145.09126257184587</v>
      </c>
      <c r="I78" s="435">
        <f t="shared" si="19"/>
        <v>145.09126257184587</v>
      </c>
      <c r="J78" s="435">
        <f t="shared" si="19"/>
        <v>145.09126257184587</v>
      </c>
      <c r="K78" s="435">
        <f t="shared" si="19"/>
        <v>145.09126257184587</v>
      </c>
      <c r="L78" s="435">
        <f t="shared" si="19"/>
        <v>145.09126257184587</v>
      </c>
      <c r="M78" s="435">
        <f t="shared" si="19"/>
        <v>145.09126257184587</v>
      </c>
      <c r="N78" s="435">
        <f t="shared" si="19"/>
        <v>145.09126257184587</v>
      </c>
      <c r="O78" s="435">
        <f t="shared" si="19"/>
        <v>145.09126257184587</v>
      </c>
      <c r="P78" s="435">
        <f t="shared" si="19"/>
        <v>145.09126257184587</v>
      </c>
      <c r="Q78" s="435">
        <f t="shared" si="19"/>
        <v>145.09126257184587</v>
      </c>
      <c r="R78" s="435">
        <f t="shared" si="19"/>
        <v>145.09126257184587</v>
      </c>
      <c r="S78" s="435">
        <f t="shared" si="19"/>
        <v>145.09126257184587</v>
      </c>
      <c r="T78" s="435">
        <f t="shared" si="19"/>
        <v>145.09126257184587</v>
      </c>
      <c r="U78" s="435">
        <f t="shared" si="19"/>
        <v>145.09126257184587</v>
      </c>
      <c r="V78" s="435"/>
      <c r="W78" s="435"/>
      <c r="X78" s="435"/>
      <c r="Y78" s="435"/>
      <c r="Z78" s="426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</row>
    <row r="79" spans="1:252" s="429" customFormat="1" ht="12" customHeight="1">
      <c r="A79" s="430"/>
      <c r="B79" s="430"/>
      <c r="C79" s="430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26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  <c r="EC79" s="427"/>
      <c r="ED79" s="427"/>
      <c r="EE79" s="427"/>
      <c r="EF79" s="427"/>
      <c r="EG79" s="427"/>
      <c r="EH79" s="427"/>
      <c r="EI79" s="427"/>
      <c r="EJ79" s="427"/>
      <c r="EK79" s="427"/>
      <c r="EL79" s="427"/>
      <c r="EM79" s="427"/>
      <c r="EN79" s="427"/>
      <c r="EO79" s="427"/>
      <c r="EP79" s="427"/>
      <c r="EQ79" s="427"/>
      <c r="ER79" s="427"/>
      <c r="ES79" s="427"/>
      <c r="ET79" s="427"/>
      <c r="EU79" s="427"/>
      <c r="EV79" s="427"/>
      <c r="EW79" s="427"/>
      <c r="EX79" s="427"/>
      <c r="EY79" s="427"/>
      <c r="EZ79" s="427"/>
      <c r="FA79" s="427"/>
      <c r="FB79" s="427"/>
      <c r="FC79" s="427"/>
      <c r="FD79" s="427"/>
      <c r="FE79" s="427"/>
      <c r="FF79" s="427"/>
      <c r="FG79" s="427"/>
      <c r="FH79" s="427"/>
      <c r="FI79" s="427"/>
      <c r="FJ79" s="427"/>
      <c r="FK79" s="427"/>
      <c r="FL79" s="427"/>
      <c r="FM79" s="427"/>
      <c r="FN79" s="427"/>
      <c r="FO79" s="427"/>
      <c r="FP79" s="427"/>
      <c r="FQ79" s="427"/>
      <c r="FR79" s="427"/>
      <c r="FS79" s="427"/>
      <c r="FT79" s="427"/>
      <c r="FU79" s="427"/>
      <c r="FV79" s="427"/>
      <c r="FW79" s="427"/>
      <c r="FX79" s="427"/>
      <c r="FY79" s="427"/>
      <c r="FZ79" s="427"/>
      <c r="GA79" s="427"/>
      <c r="GB79" s="427"/>
      <c r="GC79" s="427"/>
      <c r="GD79" s="427"/>
      <c r="GE79" s="427"/>
      <c r="GF79" s="427"/>
      <c r="GG79" s="427"/>
      <c r="GH79" s="427"/>
      <c r="GI79" s="427"/>
      <c r="GJ79" s="427"/>
      <c r="GK79" s="427"/>
      <c r="GL79" s="427"/>
      <c r="GM79" s="427"/>
      <c r="GN79" s="427"/>
      <c r="GO79" s="427"/>
      <c r="GP79" s="427"/>
      <c r="GQ79" s="427"/>
      <c r="GR79" s="427"/>
      <c r="GS79" s="427"/>
      <c r="GT79" s="427"/>
      <c r="GU79" s="427"/>
      <c r="GV79" s="427"/>
      <c r="GW79" s="427"/>
      <c r="GX79" s="427"/>
      <c r="GY79" s="427"/>
      <c r="GZ79" s="427"/>
      <c r="HA79" s="427"/>
      <c r="HB79" s="427"/>
      <c r="HC79" s="427"/>
      <c r="HD79" s="427"/>
      <c r="HE79" s="427"/>
      <c r="HF79" s="427"/>
      <c r="HG79" s="427"/>
      <c r="HH79" s="427"/>
      <c r="HI79" s="427"/>
      <c r="HJ79" s="427"/>
      <c r="HK79" s="427"/>
      <c r="HL79" s="427"/>
      <c r="HM79" s="427"/>
      <c r="HN79" s="427"/>
      <c r="HO79" s="427"/>
      <c r="HP79" s="427"/>
      <c r="HQ79" s="427"/>
      <c r="HR79" s="427"/>
      <c r="HS79" s="427"/>
      <c r="HT79" s="427"/>
      <c r="HU79" s="427"/>
      <c r="HV79" s="427"/>
      <c r="HW79" s="427"/>
      <c r="HX79" s="427"/>
      <c r="HY79" s="427"/>
      <c r="HZ79" s="427"/>
      <c r="IA79" s="427"/>
      <c r="IB79" s="427"/>
      <c r="IC79" s="427"/>
      <c r="ID79" s="427"/>
      <c r="IE79" s="427"/>
      <c r="IF79" s="427"/>
      <c r="IG79" s="427"/>
      <c r="IH79" s="427"/>
      <c r="II79" s="427"/>
      <c r="IJ79" s="427"/>
      <c r="IK79" s="427"/>
      <c r="IL79" s="427"/>
      <c r="IM79" s="427"/>
      <c r="IN79" s="427"/>
      <c r="IO79" s="427"/>
      <c r="IP79" s="427"/>
      <c r="IQ79" s="427"/>
    </row>
    <row r="80" spans="1:252" s="429" customFormat="1" ht="12" customHeight="1">
      <c r="A80" s="430"/>
      <c r="B80" s="430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26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</row>
    <row r="81" spans="1:251" s="429" customFormat="1" ht="12" customHeight="1">
      <c r="A81" s="225" t="s">
        <v>83</v>
      </c>
      <c r="B81" s="430"/>
      <c r="C81" s="430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  <c r="V81" s="431"/>
      <c r="W81" s="431"/>
      <c r="X81" s="431"/>
      <c r="Y81" s="431"/>
      <c r="Z81" s="426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</row>
    <row r="82" spans="1:251" s="429" customFormat="1" ht="12" customHeight="1">
      <c r="A82" s="225"/>
      <c r="B82" s="430"/>
      <c r="C82" s="430"/>
      <c r="D82" s="431"/>
      <c r="E82" s="431"/>
      <c r="F82" s="431"/>
      <c r="G82" s="431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  <c r="V82" s="431"/>
      <c r="W82" s="431"/>
      <c r="X82" s="431"/>
      <c r="Y82" s="431"/>
      <c r="Z82" s="426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</row>
    <row r="83" spans="1:251" outlineLevel="1">
      <c r="A83" s="21" t="s">
        <v>271</v>
      </c>
      <c r="B83" s="20">
        <f>B39-B12</f>
        <v>-2096.9980725898677</v>
      </c>
      <c r="C83" s="20">
        <f>C39-C12</f>
        <v>-1824.3792242068375</v>
      </c>
      <c r="D83" s="20">
        <f>D39-D12</f>
        <v>-1516.9979897294725</v>
      </c>
      <c r="E83" s="20">
        <f t="shared" ref="E83:U83" si="20">E39</f>
        <v>18184.186640688687</v>
      </c>
      <c r="F83" s="20">
        <f t="shared" si="20"/>
        <v>20941.568646623939</v>
      </c>
      <c r="G83" s="20">
        <f t="shared" si="20"/>
        <v>22517.592221766172</v>
      </c>
      <c r="H83" s="20">
        <f t="shared" si="20"/>
        <v>24202.082919133409</v>
      </c>
      <c r="I83" s="20">
        <f t="shared" si="20"/>
        <v>25937.965303737041</v>
      </c>
      <c r="J83" s="20">
        <f t="shared" si="20"/>
        <v>27870.777454816023</v>
      </c>
      <c r="K83" s="20">
        <f t="shared" si="20"/>
        <v>29921.766941800081</v>
      </c>
      <c r="L83" s="20">
        <f t="shared" si="20"/>
        <v>32017.312511043834</v>
      </c>
      <c r="M83" s="20">
        <f t="shared" si="20"/>
        <v>34228.15570167813</v>
      </c>
      <c r="N83" s="20">
        <f t="shared" si="20"/>
        <v>36516.267870074575</v>
      </c>
      <c r="O83" s="20">
        <f t="shared" si="20"/>
        <v>38795.698089247031</v>
      </c>
      <c r="P83" s="20">
        <f t="shared" si="20"/>
        <v>41110.53482029782</v>
      </c>
      <c r="Q83" s="20">
        <f t="shared" si="20"/>
        <v>43219.931642314368</v>
      </c>
      <c r="R83" s="20">
        <f t="shared" si="20"/>
        <v>45416.649034991038</v>
      </c>
      <c r="S83" s="20">
        <f t="shared" si="20"/>
        <v>47549.819846069433</v>
      </c>
      <c r="T83" s="20">
        <f t="shared" si="20"/>
        <v>49517.502580984023</v>
      </c>
      <c r="U83" s="20">
        <f t="shared" si="20"/>
        <v>51494.727123826357</v>
      </c>
      <c r="W83" s="420">
        <f>SUM(B83:U83)</f>
        <v>584004.16406256577</v>
      </c>
    </row>
    <row r="84" spans="1:251" outlineLevel="1">
      <c r="A84" s="21" t="s">
        <v>132</v>
      </c>
      <c r="B84" s="20">
        <f>B33</f>
        <v>11019.158120067157</v>
      </c>
      <c r="C84" s="20">
        <f t="shared" ref="C84:U84" si="21">C33</f>
        <v>11019.158120067157</v>
      </c>
      <c r="D84" s="20">
        <f t="shared" si="21"/>
        <v>11019.158120067157</v>
      </c>
      <c r="E84" s="20">
        <f t="shared" si="21"/>
        <v>11019.158120067157</v>
      </c>
      <c r="F84" s="20">
        <f t="shared" si="21"/>
        <v>11019.158120067157</v>
      </c>
      <c r="G84" s="20">
        <f t="shared" si="21"/>
        <v>11019.158120067157</v>
      </c>
      <c r="H84" s="20">
        <f t="shared" si="21"/>
        <v>11019.158120067157</v>
      </c>
      <c r="I84" s="20">
        <f t="shared" si="21"/>
        <v>11019.158120067157</v>
      </c>
      <c r="J84" s="20">
        <f t="shared" si="21"/>
        <v>11019.158120067157</v>
      </c>
      <c r="K84" s="20">
        <f t="shared" si="21"/>
        <v>11019.158120067157</v>
      </c>
      <c r="L84" s="20">
        <f t="shared" si="21"/>
        <v>11019.158120067157</v>
      </c>
      <c r="M84" s="20">
        <f t="shared" si="21"/>
        <v>11019.158120067157</v>
      </c>
      <c r="N84" s="20">
        <f t="shared" si="21"/>
        <v>11019.158120067157</v>
      </c>
      <c r="O84" s="20">
        <f t="shared" si="21"/>
        <v>11019.158120067157</v>
      </c>
      <c r="P84" s="20">
        <f t="shared" si="21"/>
        <v>11019.158120067157</v>
      </c>
      <c r="Q84" s="20">
        <f t="shared" si="21"/>
        <v>11019.158120067157</v>
      </c>
      <c r="R84" s="20">
        <f t="shared" si="21"/>
        <v>11019.158120067157</v>
      </c>
      <c r="S84" s="20">
        <f t="shared" si="21"/>
        <v>11019.158120067157</v>
      </c>
      <c r="T84" s="20">
        <f t="shared" si="21"/>
        <v>11019.158120067157</v>
      </c>
      <c r="U84" s="20">
        <f t="shared" si="21"/>
        <v>11019.158120067157</v>
      </c>
      <c r="W84" s="420">
        <f>SUM(B84:U84)</f>
        <v>220383.16240134306</v>
      </c>
    </row>
    <row r="85" spans="1:251" ht="15" outlineLevel="1">
      <c r="A85" s="21" t="s">
        <v>200</v>
      </c>
      <c r="B85" s="228">
        <f>-Depreciation!C99</f>
        <v>-16495.644410247987</v>
      </c>
      <c r="C85" s="228">
        <f>-Depreciation!D99</f>
        <v>-31341.724379471176</v>
      </c>
      <c r="D85" s="228">
        <f>-Depreciation!E99</f>
        <v>-28207.55194152406</v>
      </c>
      <c r="E85" s="228">
        <f>-Depreciation!F99</f>
        <v>-25403.292391781899</v>
      </c>
      <c r="F85" s="228">
        <f>-Depreciation!G99</f>
        <v>-22862.963152603712</v>
      </c>
      <c r="G85" s="228">
        <f>-Depreciation!H99</f>
        <v>-20553.572935168992</v>
      </c>
      <c r="H85" s="228">
        <f>-Depreciation!I99</f>
        <v>-19464.860404092626</v>
      </c>
      <c r="I85" s="228">
        <f>-Depreciation!J99</f>
        <v>-19497.851692913122</v>
      </c>
      <c r="J85" s="228">
        <f>-Depreciation!K99</f>
        <v>-19464.860404092626</v>
      </c>
      <c r="K85" s="228">
        <f>-Depreciation!L99</f>
        <v>-19497.851692913122</v>
      </c>
      <c r="L85" s="228">
        <f>-Depreciation!M99</f>
        <v>-19464.860404092626</v>
      </c>
      <c r="M85" s="228">
        <f>-Depreciation!N99</f>
        <v>-19497.851692913122</v>
      </c>
      <c r="N85" s="228">
        <f>-Depreciation!O99</f>
        <v>-19464.860404092626</v>
      </c>
      <c r="O85" s="228">
        <f>-Depreciation!P99</f>
        <v>-19497.851692913122</v>
      </c>
      <c r="P85" s="228">
        <f>-Depreciation!Q99</f>
        <v>-19464.860404092626</v>
      </c>
      <c r="Q85" s="228">
        <f>-Depreciation!R99</f>
        <v>-9732.4302020463128</v>
      </c>
      <c r="R85" s="228">
        <f>-Depreciation!S99</f>
        <v>0</v>
      </c>
      <c r="S85" s="228">
        <f>-Depreciation!T99</f>
        <v>0</v>
      </c>
      <c r="T85" s="228">
        <f>-Depreciation!U99</f>
        <v>0</v>
      </c>
      <c r="U85" s="228">
        <f>-Depreciation!V99</f>
        <v>0</v>
      </c>
      <c r="W85" s="421">
        <f>SUM(B85:U85)</f>
        <v>-329912.88820495975</v>
      </c>
    </row>
    <row r="86" spans="1:251" outlineLevel="1">
      <c r="A86" s="227" t="s">
        <v>131</v>
      </c>
      <c r="B86" s="22">
        <f t="shared" ref="B86:U86" si="22">SUM(B83:B85)</f>
        <v>-7573.4843627706978</v>
      </c>
      <c r="C86" s="22">
        <f t="shared" si="22"/>
        <v>-22146.945483610856</v>
      </c>
      <c r="D86" s="22">
        <f t="shared" si="22"/>
        <v>-18705.391811186375</v>
      </c>
      <c r="E86" s="22">
        <f t="shared" si="22"/>
        <v>3800.0523689739457</v>
      </c>
      <c r="F86" s="22">
        <f t="shared" si="22"/>
        <v>9097.7636140873838</v>
      </c>
      <c r="G86" s="22">
        <f t="shared" si="22"/>
        <v>12983.177406664337</v>
      </c>
      <c r="H86" s="22">
        <f t="shared" si="22"/>
        <v>15756.380635107944</v>
      </c>
      <c r="I86" s="22">
        <f t="shared" si="22"/>
        <v>17459.271730891072</v>
      </c>
      <c r="J86" s="22">
        <f t="shared" si="22"/>
        <v>19425.075170790555</v>
      </c>
      <c r="K86" s="22">
        <f t="shared" si="22"/>
        <v>21443.073368954116</v>
      </c>
      <c r="L86" s="22">
        <f t="shared" si="22"/>
        <v>23571.610227018366</v>
      </c>
      <c r="M86" s="22">
        <f t="shared" si="22"/>
        <v>25749.462128832165</v>
      </c>
      <c r="N86" s="22">
        <f t="shared" si="22"/>
        <v>28070.565586049106</v>
      </c>
      <c r="O86" s="22">
        <f t="shared" si="22"/>
        <v>30317.004516401066</v>
      </c>
      <c r="P86" s="22">
        <f t="shared" si="22"/>
        <v>32664.832536272352</v>
      </c>
      <c r="Q86" s="22">
        <f t="shared" si="22"/>
        <v>44506.659560335211</v>
      </c>
      <c r="R86" s="22">
        <f t="shared" si="22"/>
        <v>56435.807155058195</v>
      </c>
      <c r="S86" s="22">
        <f t="shared" si="22"/>
        <v>58568.97796613659</v>
      </c>
      <c r="T86" s="22">
        <f t="shared" si="22"/>
        <v>60536.66070105118</v>
      </c>
      <c r="U86" s="22">
        <f t="shared" si="22"/>
        <v>62513.885243893514</v>
      </c>
      <c r="W86" s="420">
        <f>SUM(B86:U86)</f>
        <v>474474.4382589492</v>
      </c>
    </row>
    <row r="87" spans="1:251" outlineLevel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51" outlineLevel="1">
      <c r="A88" s="21" t="s">
        <v>39</v>
      </c>
      <c r="B88" s="418">
        <f>Assumptions!$I$38</f>
        <v>7.1800000000000003E-2</v>
      </c>
      <c r="C88" s="418">
        <f>Assumptions!$I$38</f>
        <v>7.1800000000000003E-2</v>
      </c>
      <c r="D88" s="418">
        <f>Assumptions!$I$38</f>
        <v>7.1800000000000003E-2</v>
      </c>
      <c r="E88" s="418">
        <f>Assumptions!$I$38</f>
        <v>7.1800000000000003E-2</v>
      </c>
      <c r="F88" s="418">
        <f>Assumptions!$I$38</f>
        <v>7.1800000000000003E-2</v>
      </c>
      <c r="G88" s="418">
        <f>Assumptions!$I$38</f>
        <v>7.1800000000000003E-2</v>
      </c>
      <c r="H88" s="418">
        <f>Assumptions!$I$38</f>
        <v>7.1800000000000003E-2</v>
      </c>
      <c r="I88" s="418">
        <f>Assumptions!$I$38</f>
        <v>7.1800000000000003E-2</v>
      </c>
      <c r="J88" s="418">
        <f>Assumptions!$I$38</f>
        <v>7.1800000000000003E-2</v>
      </c>
      <c r="K88" s="418">
        <f>Assumptions!$I$38</f>
        <v>7.1800000000000003E-2</v>
      </c>
      <c r="L88" s="418">
        <f>Assumptions!$I$38</f>
        <v>7.1800000000000003E-2</v>
      </c>
      <c r="M88" s="418">
        <f>Assumptions!$I$38</f>
        <v>7.1800000000000003E-2</v>
      </c>
      <c r="N88" s="418">
        <f>Assumptions!$I$38</f>
        <v>7.1800000000000003E-2</v>
      </c>
      <c r="O88" s="418">
        <f>Assumptions!$I$38</f>
        <v>7.1800000000000003E-2</v>
      </c>
      <c r="P88" s="418">
        <f>Assumptions!$I$38</f>
        <v>7.1800000000000003E-2</v>
      </c>
      <c r="Q88" s="418">
        <f>Assumptions!$I$38</f>
        <v>7.1800000000000003E-2</v>
      </c>
      <c r="R88" s="418">
        <f>Assumptions!$I$38</f>
        <v>7.1800000000000003E-2</v>
      </c>
      <c r="S88" s="418">
        <f>Assumptions!$I$38</f>
        <v>7.1800000000000003E-2</v>
      </c>
      <c r="T88" s="418">
        <f>Assumptions!$I$38</f>
        <v>7.1800000000000003E-2</v>
      </c>
      <c r="U88" s="418">
        <f>Assumptions!$I$38</f>
        <v>7.1800000000000003E-2</v>
      </c>
    </row>
    <row r="89" spans="1:251" outlineLevel="1">
      <c r="A89" s="21" t="s">
        <v>133</v>
      </c>
      <c r="B89" s="20">
        <f>B86*B88</f>
        <v>-543.77617724693607</v>
      </c>
      <c r="C89" s="20">
        <f t="shared" ref="C89:U89" si="23">C86*C88</f>
        <v>-1590.1506857232596</v>
      </c>
      <c r="D89" s="20">
        <f t="shared" si="23"/>
        <v>-1343.0471320431818</v>
      </c>
      <c r="E89" s="20">
        <f t="shared" si="23"/>
        <v>272.84376009232932</v>
      </c>
      <c r="F89" s="20">
        <f t="shared" si="23"/>
        <v>653.21942749147422</v>
      </c>
      <c r="G89" s="20">
        <f t="shared" si="23"/>
        <v>932.19213779849952</v>
      </c>
      <c r="H89" s="20">
        <f t="shared" si="23"/>
        <v>1131.3081296007504</v>
      </c>
      <c r="I89" s="20">
        <f t="shared" si="23"/>
        <v>1253.5757102779789</v>
      </c>
      <c r="J89" s="20">
        <f t="shared" si="23"/>
        <v>1394.7203972627619</v>
      </c>
      <c r="K89" s="20">
        <f t="shared" si="23"/>
        <v>1539.6126678909056</v>
      </c>
      <c r="L89" s="20">
        <f t="shared" si="23"/>
        <v>1692.4416142999187</v>
      </c>
      <c r="M89" s="20">
        <f t="shared" si="23"/>
        <v>1848.8113808501496</v>
      </c>
      <c r="N89" s="20">
        <f t="shared" si="23"/>
        <v>2015.466609078326</v>
      </c>
      <c r="O89" s="20">
        <f t="shared" si="23"/>
        <v>2176.7609242775966</v>
      </c>
      <c r="P89" s="20">
        <f t="shared" si="23"/>
        <v>2345.3349761043551</v>
      </c>
      <c r="Q89" s="20">
        <f t="shared" si="23"/>
        <v>3195.5781564320682</v>
      </c>
      <c r="R89" s="20">
        <f t="shared" si="23"/>
        <v>4052.0909537331786</v>
      </c>
      <c r="S89" s="20">
        <f t="shared" si="23"/>
        <v>4205.2526179686074</v>
      </c>
      <c r="T89" s="20">
        <f t="shared" si="23"/>
        <v>4346.5322383354751</v>
      </c>
      <c r="U89" s="20">
        <f t="shared" si="23"/>
        <v>4488.4969605115548</v>
      </c>
    </row>
    <row r="90" spans="1:251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51" outlineLevel="1">
      <c r="A91" s="21" t="s">
        <v>134</v>
      </c>
      <c r="B91" s="20">
        <v>0</v>
      </c>
      <c r="C91" s="20">
        <f t="shared" ref="C91:U91" si="24">B95</f>
        <v>543.77617724693607</v>
      </c>
      <c r="D91" s="20">
        <f t="shared" si="24"/>
        <v>2133.9268629701955</v>
      </c>
      <c r="E91" s="20">
        <f t="shared" si="24"/>
        <v>3476.9739950133771</v>
      </c>
      <c r="F91" s="20">
        <f t="shared" si="24"/>
        <v>3204.1302349210478</v>
      </c>
      <c r="G91" s="20">
        <f t="shared" si="24"/>
        <v>2550.9108074295737</v>
      </c>
      <c r="H91" s="20">
        <f t="shared" si="24"/>
        <v>1618.7186696310741</v>
      </c>
      <c r="I91" s="20">
        <f t="shared" si="24"/>
        <v>487.41054003032377</v>
      </c>
      <c r="J91" s="20">
        <f t="shared" si="24"/>
        <v>0</v>
      </c>
      <c r="K91" s="20">
        <f t="shared" si="24"/>
        <v>0</v>
      </c>
      <c r="L91" s="20">
        <f t="shared" si="24"/>
        <v>0</v>
      </c>
      <c r="M91" s="20">
        <f t="shared" si="24"/>
        <v>0</v>
      </c>
      <c r="N91" s="20">
        <f>M95</f>
        <v>0</v>
      </c>
      <c r="O91" s="20">
        <f t="shared" si="24"/>
        <v>0</v>
      </c>
      <c r="P91" s="20">
        <f t="shared" si="24"/>
        <v>0</v>
      </c>
      <c r="Q91" s="20">
        <f t="shared" si="24"/>
        <v>0</v>
      </c>
      <c r="R91" s="20">
        <v>0</v>
      </c>
      <c r="S91" s="20">
        <f t="shared" si="24"/>
        <v>0</v>
      </c>
      <c r="T91" s="20">
        <f t="shared" si="24"/>
        <v>0</v>
      </c>
      <c r="U91" s="20">
        <f t="shared" si="24"/>
        <v>0</v>
      </c>
    </row>
    <row r="92" spans="1:251" outlineLevel="1">
      <c r="A92" s="21" t="s">
        <v>135</v>
      </c>
      <c r="B92" s="239">
        <f t="shared" ref="B92:U92" si="25">IF(B68&gt;2020,0,IF(B89&lt;0,-B89,0))</f>
        <v>543.77617724693607</v>
      </c>
      <c r="C92" s="239">
        <f t="shared" si="25"/>
        <v>1590.1506857232596</v>
      </c>
      <c r="D92" s="239">
        <f t="shared" si="25"/>
        <v>1343.0471320431818</v>
      </c>
      <c r="E92" s="239">
        <f t="shared" si="25"/>
        <v>0</v>
      </c>
      <c r="F92" s="239">
        <f t="shared" si="25"/>
        <v>0</v>
      </c>
      <c r="G92" s="239">
        <f t="shared" si="25"/>
        <v>0</v>
      </c>
      <c r="H92" s="239">
        <f t="shared" si="25"/>
        <v>0</v>
      </c>
      <c r="I92" s="239">
        <f t="shared" si="25"/>
        <v>0</v>
      </c>
      <c r="J92" s="239">
        <f t="shared" si="25"/>
        <v>0</v>
      </c>
      <c r="K92" s="239">
        <f t="shared" si="25"/>
        <v>0</v>
      </c>
      <c r="L92" s="239">
        <f t="shared" si="25"/>
        <v>0</v>
      </c>
      <c r="M92" s="239">
        <f t="shared" si="25"/>
        <v>0</v>
      </c>
      <c r="N92" s="239">
        <f t="shared" si="25"/>
        <v>0</v>
      </c>
      <c r="O92" s="239">
        <f t="shared" si="25"/>
        <v>0</v>
      </c>
      <c r="P92" s="239">
        <f t="shared" si="25"/>
        <v>0</v>
      </c>
      <c r="Q92" s="239">
        <f t="shared" si="25"/>
        <v>0</v>
      </c>
      <c r="R92" s="239">
        <f t="shared" si="25"/>
        <v>0</v>
      </c>
      <c r="S92" s="239">
        <f t="shared" si="25"/>
        <v>0</v>
      </c>
      <c r="T92" s="239">
        <f t="shared" si="25"/>
        <v>0</v>
      </c>
      <c r="U92" s="239">
        <f t="shared" si="25"/>
        <v>0</v>
      </c>
    </row>
    <row r="93" spans="1:251" outlineLevel="1">
      <c r="A93" s="21" t="s">
        <v>136</v>
      </c>
      <c r="B93" s="229">
        <v>0</v>
      </c>
      <c r="C93" s="229">
        <v>0</v>
      </c>
      <c r="D93" s="229">
        <v>0</v>
      </c>
      <c r="E93" s="229">
        <v>0</v>
      </c>
      <c r="F93" s="229">
        <v>0</v>
      </c>
      <c r="G93" s="229">
        <v>0</v>
      </c>
      <c r="H93" s="229">
        <v>0</v>
      </c>
      <c r="I93" s="229">
        <v>0</v>
      </c>
      <c r="J93" s="229">
        <v>0</v>
      </c>
      <c r="K93" s="229">
        <v>0</v>
      </c>
      <c r="L93" s="229">
        <v>0</v>
      </c>
      <c r="M93" s="229">
        <v>0</v>
      </c>
      <c r="N93" s="229">
        <v>0</v>
      </c>
      <c r="O93" s="229">
        <v>0</v>
      </c>
      <c r="P93" s="229">
        <v>0</v>
      </c>
      <c r="Q93" s="229">
        <v>0</v>
      </c>
      <c r="R93" s="229">
        <v>0</v>
      </c>
      <c r="S93" s="229">
        <v>0</v>
      </c>
      <c r="T93" s="20">
        <f>IF(L92&gt;(SUM(M94:S94)+SUM(L93:S93))*-1,L92-(SUM(L94:S94)+SUM(L93:S93))*-1,0)</f>
        <v>0</v>
      </c>
      <c r="U93" s="20">
        <f>IF(M92&gt;(SUM(N94:T94)+SUM(M93:T93))*-1,M92-(SUM(M94:T94)+SUM(M93:T93))*-1,0)</f>
        <v>0</v>
      </c>
    </row>
    <row r="94" spans="1:251" outlineLevel="1">
      <c r="A94" s="17" t="s">
        <v>137</v>
      </c>
      <c r="B94" s="230">
        <f t="shared" ref="B94:T94" si="26">IF(B89&lt;0,0,IF(B91&gt;B89,-B89,-B91))</f>
        <v>0</v>
      </c>
      <c r="C94" s="230">
        <f t="shared" si="26"/>
        <v>0</v>
      </c>
      <c r="D94" s="230">
        <f t="shared" si="26"/>
        <v>0</v>
      </c>
      <c r="E94" s="230">
        <f t="shared" si="26"/>
        <v>-272.84376009232932</v>
      </c>
      <c r="F94" s="230">
        <f t="shared" si="26"/>
        <v>-653.21942749147422</v>
      </c>
      <c r="G94" s="230">
        <f t="shared" si="26"/>
        <v>-932.19213779849952</v>
      </c>
      <c r="H94" s="230">
        <f t="shared" si="26"/>
        <v>-1131.3081296007504</v>
      </c>
      <c r="I94" s="230">
        <f t="shared" si="26"/>
        <v>-487.41054003032377</v>
      </c>
      <c r="J94" s="230">
        <f t="shared" si="26"/>
        <v>0</v>
      </c>
      <c r="K94" s="230">
        <f t="shared" si="26"/>
        <v>0</v>
      </c>
      <c r="L94" s="230">
        <f t="shared" si="26"/>
        <v>0</v>
      </c>
      <c r="M94" s="230">
        <f t="shared" si="26"/>
        <v>0</v>
      </c>
      <c r="N94" s="230">
        <f t="shared" si="26"/>
        <v>0</v>
      </c>
      <c r="O94" s="230">
        <f t="shared" si="26"/>
        <v>0</v>
      </c>
      <c r="P94" s="230">
        <f t="shared" si="26"/>
        <v>0</v>
      </c>
      <c r="Q94" s="230">
        <f t="shared" si="26"/>
        <v>0</v>
      </c>
      <c r="R94" s="230">
        <f t="shared" si="26"/>
        <v>0</v>
      </c>
      <c r="S94" s="230">
        <f t="shared" si="26"/>
        <v>0</v>
      </c>
      <c r="T94" s="230">
        <f t="shared" si="26"/>
        <v>0</v>
      </c>
      <c r="U94" s="230">
        <f>IF(U89&lt;0,0,IF(U91&gt;U89,-U89,-U91))</f>
        <v>0</v>
      </c>
    </row>
    <row r="95" spans="1:251" outlineLevel="1">
      <c r="A95" s="17" t="s">
        <v>138</v>
      </c>
      <c r="B95" s="230">
        <f t="shared" ref="B95:U95" si="27">SUM(B91:B94)</f>
        <v>543.77617724693607</v>
      </c>
      <c r="C95" s="230">
        <f t="shared" si="27"/>
        <v>2133.9268629701955</v>
      </c>
      <c r="D95" s="230">
        <f t="shared" si="27"/>
        <v>3476.9739950133771</v>
      </c>
      <c r="E95" s="230">
        <f t="shared" si="27"/>
        <v>3204.1302349210478</v>
      </c>
      <c r="F95" s="230">
        <f t="shared" si="27"/>
        <v>2550.9108074295737</v>
      </c>
      <c r="G95" s="230">
        <f t="shared" si="27"/>
        <v>1618.7186696310741</v>
      </c>
      <c r="H95" s="230">
        <f t="shared" si="27"/>
        <v>487.41054003032377</v>
      </c>
      <c r="I95" s="230">
        <f t="shared" si="27"/>
        <v>0</v>
      </c>
      <c r="J95" s="230">
        <f t="shared" si="27"/>
        <v>0</v>
      </c>
      <c r="K95" s="230">
        <f t="shared" si="27"/>
        <v>0</v>
      </c>
      <c r="L95" s="230">
        <f t="shared" si="27"/>
        <v>0</v>
      </c>
      <c r="M95" s="230">
        <f t="shared" si="27"/>
        <v>0</v>
      </c>
      <c r="N95" s="230">
        <f t="shared" si="27"/>
        <v>0</v>
      </c>
      <c r="O95" s="230">
        <f t="shared" si="27"/>
        <v>0</v>
      </c>
      <c r="P95" s="230">
        <f t="shared" si="27"/>
        <v>0</v>
      </c>
      <c r="Q95" s="230">
        <f t="shared" si="27"/>
        <v>0</v>
      </c>
      <c r="R95" s="230">
        <f t="shared" si="27"/>
        <v>0</v>
      </c>
      <c r="S95" s="230">
        <f t="shared" si="27"/>
        <v>0</v>
      </c>
      <c r="T95" s="230">
        <f t="shared" si="27"/>
        <v>0</v>
      </c>
      <c r="U95" s="230">
        <f t="shared" si="27"/>
        <v>0</v>
      </c>
    </row>
    <row r="96" spans="1:251" outlineLevel="1">
      <c r="A96" s="17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ht="13.5" outlineLevel="1" thickBot="1">
      <c r="A97" s="32" t="s">
        <v>130</v>
      </c>
      <c r="B97" s="327">
        <f t="shared" ref="B97:U97" si="28">IF(B89&lt;0,0,B89+B94)</f>
        <v>0</v>
      </c>
      <c r="C97" s="327">
        <f t="shared" si="28"/>
        <v>0</v>
      </c>
      <c r="D97" s="327">
        <f t="shared" si="28"/>
        <v>0</v>
      </c>
      <c r="E97" s="327">
        <f t="shared" si="28"/>
        <v>0</v>
      </c>
      <c r="F97" s="327">
        <f t="shared" si="28"/>
        <v>0</v>
      </c>
      <c r="G97" s="327">
        <f t="shared" si="28"/>
        <v>0</v>
      </c>
      <c r="H97" s="327">
        <f t="shared" si="28"/>
        <v>0</v>
      </c>
      <c r="I97" s="327">
        <f t="shared" si="28"/>
        <v>766.16517024765517</v>
      </c>
      <c r="J97" s="327">
        <f t="shared" si="28"/>
        <v>1394.7203972627619</v>
      </c>
      <c r="K97" s="327">
        <f t="shared" si="28"/>
        <v>1539.6126678909056</v>
      </c>
      <c r="L97" s="327">
        <f t="shared" si="28"/>
        <v>1692.4416142999187</v>
      </c>
      <c r="M97" s="327">
        <f t="shared" si="28"/>
        <v>1848.8113808501496</v>
      </c>
      <c r="N97" s="327">
        <f t="shared" si="28"/>
        <v>2015.466609078326</v>
      </c>
      <c r="O97" s="327">
        <f t="shared" si="28"/>
        <v>2176.7609242775966</v>
      </c>
      <c r="P97" s="327">
        <f t="shared" si="28"/>
        <v>2345.3349761043551</v>
      </c>
      <c r="Q97" s="327">
        <f t="shared" si="28"/>
        <v>3195.5781564320682</v>
      </c>
      <c r="R97" s="327">
        <f t="shared" si="28"/>
        <v>4052.0909537331786</v>
      </c>
      <c r="S97" s="327">
        <f t="shared" si="28"/>
        <v>4205.2526179686074</v>
      </c>
      <c r="T97" s="327">
        <f t="shared" si="28"/>
        <v>4346.5322383354751</v>
      </c>
      <c r="U97" s="327">
        <f t="shared" si="28"/>
        <v>4488.4969605115548</v>
      </c>
      <c r="W97" s="420">
        <f>SUM(B97:U97)</f>
        <v>34067.264666992553</v>
      </c>
    </row>
    <row r="98" spans="1:23" ht="15.75" outlineLevel="1">
      <c r="A98" s="72"/>
      <c r="B98" s="7"/>
      <c r="C98" s="73"/>
      <c r="D98" s="7"/>
      <c r="E98" s="7"/>
      <c r="F98" s="7"/>
      <c r="G98" s="7"/>
      <c r="H98" s="7"/>
      <c r="I98" s="7"/>
      <c r="J98" s="7"/>
      <c r="K98" s="7"/>
      <c r="L98" s="59"/>
      <c r="M98" s="59"/>
      <c r="N98" s="59"/>
      <c r="O98" s="59"/>
      <c r="P98" s="59"/>
      <c r="Q98" s="59"/>
      <c r="R98" s="59"/>
      <c r="S98" s="59"/>
      <c r="T98" s="59"/>
      <c r="U98" s="59"/>
    </row>
    <row r="99" spans="1:23" outlineLevel="1">
      <c r="A99" s="57"/>
      <c r="B99" s="73"/>
      <c r="C99" s="76"/>
      <c r="D99" s="77"/>
      <c r="E99" s="77"/>
      <c r="F99" s="77"/>
      <c r="G99" s="77"/>
      <c r="H99" s="77"/>
      <c r="I99" s="77"/>
      <c r="J99" s="77"/>
      <c r="K99" s="77"/>
      <c r="L99" s="59"/>
      <c r="M99" s="59"/>
      <c r="N99" s="59"/>
      <c r="O99" s="59"/>
      <c r="P99" s="59"/>
      <c r="Q99" s="59"/>
      <c r="R99" s="59"/>
      <c r="S99" s="59"/>
      <c r="T99" s="59"/>
      <c r="U99" s="59"/>
    </row>
    <row r="100" spans="1:23" outlineLevel="1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3" outlineLevel="1">
      <c r="A101" s="519"/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1:23" outlineLevel="1">
      <c r="A102" s="7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2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23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7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ht="18.75" outlineLevel="1">
      <c r="A108" s="84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5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7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outlineLevel="1">
      <c r="A114" s="80"/>
      <c r="B114" s="69"/>
      <c r="C114" s="6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69"/>
      <c r="C115" s="6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8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6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80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6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2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8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9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1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2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82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8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outlineLevel="1">
      <c r="A157" s="7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outlineLevel="1">
      <c r="A158" s="7"/>
      <c r="B158" s="7"/>
      <c r="C158" s="7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8.75" outlineLevel="1">
      <c r="A159" s="8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outlineLevel="1">
      <c r="A160" s="5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outlineLevel="1">
      <c r="A161" s="5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5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86"/>
      <c r="B165" s="87"/>
      <c r="C165" s="87"/>
      <c r="D165" s="87"/>
      <c r="E165" s="87"/>
      <c r="F165" s="87"/>
      <c r="G165" s="87"/>
      <c r="H165" s="87"/>
      <c r="I165" s="7"/>
      <c r="J165" s="8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86"/>
      <c r="B166" s="87"/>
      <c r="C166" s="87"/>
      <c r="D166" s="87"/>
      <c r="E166" s="87"/>
      <c r="F166" s="87"/>
      <c r="G166" s="87"/>
      <c r="H166" s="87"/>
      <c r="I166" s="7"/>
      <c r="J166" s="8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7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57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57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57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59"/>
      <c r="D207" s="59"/>
      <c r="E207" s="59"/>
      <c r="F207" s="59"/>
      <c r="G207" s="59"/>
      <c r="H207" s="5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7"/>
      <c r="C208" s="59"/>
      <c r="D208" s="59"/>
      <c r="E208" s="59"/>
      <c r="F208" s="59"/>
      <c r="G208" s="59"/>
      <c r="H208" s="5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8.75" outlineLevel="1">
      <c r="A212" s="8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s="90" customFormat="1" outlineLevel="1">
      <c r="A216" s="89"/>
    </row>
    <row r="217" spans="1:21" outlineLevel="1">
      <c r="A217" s="5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91"/>
      <c r="D218" s="91"/>
      <c r="E218" s="91"/>
      <c r="F218" s="91"/>
      <c r="G218" s="91"/>
      <c r="H218" s="9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91"/>
      <c r="D219" s="91"/>
      <c r="E219" s="91"/>
      <c r="F219" s="91"/>
      <c r="G219" s="91"/>
      <c r="H219" s="9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93"/>
      <c r="D220" s="93"/>
      <c r="E220" s="93"/>
      <c r="F220" s="93"/>
      <c r="G220" s="93"/>
      <c r="H220" s="9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94"/>
      <c r="B223" s="7"/>
      <c r="C223" s="59"/>
      <c r="D223" s="59"/>
      <c r="E223" s="59"/>
      <c r="F223" s="59"/>
      <c r="G223" s="59"/>
      <c r="H223" s="5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94"/>
      <c r="B224" s="7"/>
      <c r="C224" s="59"/>
      <c r="D224" s="59"/>
      <c r="E224" s="59"/>
      <c r="F224" s="59"/>
      <c r="G224" s="59"/>
      <c r="H224" s="5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5"/>
      <c r="D228" s="95"/>
      <c r="E228" s="95"/>
      <c r="F228" s="95"/>
      <c r="G228" s="95"/>
      <c r="H228" s="9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6"/>
      <c r="D229" s="96"/>
      <c r="E229" s="96"/>
      <c r="F229" s="96"/>
      <c r="G229" s="96"/>
      <c r="H229" s="9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96"/>
      <c r="D230" s="96"/>
      <c r="E230" s="96"/>
      <c r="F230" s="96"/>
      <c r="G230" s="96"/>
      <c r="H230" s="9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5"/>
      <c r="D233" s="95"/>
      <c r="E233" s="95"/>
      <c r="F233" s="95"/>
      <c r="G233" s="95"/>
      <c r="H233" s="9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59"/>
      <c r="D236" s="59"/>
      <c r="E236" s="59"/>
      <c r="F236" s="59"/>
      <c r="G236" s="59"/>
      <c r="H236" s="5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9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91"/>
      <c r="D241" s="91"/>
      <c r="E241" s="91"/>
      <c r="F241" s="91"/>
      <c r="G241" s="91"/>
      <c r="H241" s="9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1"/>
      <c r="D242" s="91"/>
      <c r="E242" s="91"/>
      <c r="F242" s="91"/>
      <c r="G242" s="91"/>
      <c r="H242" s="9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4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9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98"/>
      <c r="C252" s="98"/>
      <c r="D252" s="98"/>
      <c r="E252" s="98"/>
      <c r="F252" s="98"/>
      <c r="G252" s="98"/>
      <c r="H252" s="9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97"/>
      <c r="C253" s="98"/>
      <c r="D253" s="98"/>
      <c r="E253" s="98"/>
      <c r="F253" s="98"/>
      <c r="G253" s="98"/>
      <c r="H253" s="9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87"/>
      <c r="D260" s="87"/>
      <c r="E260" s="87"/>
      <c r="F260" s="87"/>
      <c r="G260" s="87"/>
      <c r="H260" s="8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99"/>
      <c r="D262" s="99"/>
      <c r="E262" s="99"/>
      <c r="F262" s="99"/>
      <c r="G262" s="99"/>
      <c r="H262" s="9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87"/>
      <c r="D263" s="87"/>
      <c r="E263" s="87"/>
      <c r="F263" s="87"/>
      <c r="G263" s="87"/>
      <c r="H263" s="8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100"/>
      <c r="D265" s="100"/>
      <c r="E265" s="100"/>
      <c r="F265" s="100"/>
      <c r="G265" s="100"/>
      <c r="H265" s="10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100"/>
      <c r="D266" s="100"/>
      <c r="E266" s="100"/>
      <c r="F266" s="100"/>
      <c r="G266" s="100"/>
      <c r="H266" s="10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8.75" hidden="1" outlineLevel="2">
      <c r="A267" s="84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idden="1" outlineLevel="2">
      <c r="A268" s="5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idden="1" outlineLevel="2">
      <c r="A269" s="7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11"/>
      <c r="C270" s="11"/>
      <c r="D270" s="10"/>
      <c r="E270" s="10"/>
      <c r="F270" s="11"/>
      <c r="G270" s="11"/>
      <c r="H270" s="10"/>
      <c r="I270" s="11"/>
      <c r="J270" s="11"/>
      <c r="K270" s="11"/>
      <c r="L270" s="10"/>
      <c r="M270" s="11"/>
      <c r="N270" s="11"/>
      <c r="O270" s="7"/>
      <c r="P270" s="7"/>
      <c r="Q270" s="7"/>
      <c r="R270" s="7"/>
      <c r="S270" s="7"/>
      <c r="T270" s="11"/>
      <c r="U270" s="7"/>
    </row>
    <row r="271" spans="1:21" hidden="1" outlineLevel="2">
      <c r="A271" s="5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hidden="1" outlineLevel="2">
      <c r="A273" s="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7"/>
      <c r="P273" s="7"/>
      <c r="Q273" s="7"/>
      <c r="R273" s="7"/>
      <c r="S273" s="7"/>
      <c r="T273" s="8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98"/>
      <c r="C275" s="98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87"/>
      <c r="V277" s="87"/>
      <c r="W277" s="87"/>
      <c r="X277" s="87"/>
      <c r="Y277" s="8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8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outlineLevel="1" collapsed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t="18.75" outlineLevel="1">
      <c r="A288" s="8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outlineLevel="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86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</row>
    <row r="295" spans="1:21" outlineLevel="1">
      <c r="A295" s="86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5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5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5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2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8.75" outlineLevel="1">
      <c r="A338" s="8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5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5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7"/>
      <c r="P342" s="7"/>
      <c r="Q342" s="7"/>
      <c r="R342" s="7"/>
      <c r="S342" s="7"/>
      <c r="T342" s="7"/>
      <c r="U342" s="7"/>
    </row>
    <row r="343" spans="1:21" outlineLevel="1">
      <c r="A343" s="5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86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7"/>
      <c r="P344" s="7"/>
      <c r="Q344" s="7"/>
      <c r="R344" s="7"/>
      <c r="S344" s="7"/>
      <c r="T344" s="7"/>
      <c r="U344" s="7"/>
    </row>
    <row r="345" spans="1:21" outlineLevel="1">
      <c r="A345" s="86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57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7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5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/>
      <c r="D371"/>
      <c r="E371"/>
      <c r="F371"/>
      <c r="G371"/>
      <c r="H371"/>
      <c r="I37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/>
      <c r="D372"/>
      <c r="E372"/>
      <c r="F372"/>
      <c r="G372"/>
      <c r="H372"/>
      <c r="I372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</row>
    <row r="377" spans="1:21" outlineLevel="1">
      <c r="A377" s="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5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5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5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2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7"/>
      <c r="P399" s="7"/>
      <c r="Q399" s="7"/>
      <c r="R399" s="7"/>
      <c r="S399" s="7"/>
      <c r="T399" s="7"/>
      <c r="U399" s="7"/>
    </row>
    <row r="400" spans="1:21" outlineLevel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8.75" outlineLevel="1">
      <c r="A401" s="8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outlineLevel="1">
      <c r="A406" s="7"/>
      <c r="B406" s="7"/>
      <c r="C406" s="7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7"/>
      <c r="C407" s="73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7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"/>
      <c r="P411" s="7"/>
      <c r="Q411" s="7"/>
      <c r="R411" s="7"/>
      <c r="S411" s="7"/>
      <c r="T411" s="7"/>
      <c r="U411" s="7"/>
    </row>
    <row r="412" spans="1:21" outlineLevel="1">
      <c r="A412" s="94"/>
      <c r="B412" s="7"/>
      <c r="C412" s="73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7"/>
      <c r="P412" s="7"/>
      <c r="Q412" s="7"/>
      <c r="R412" s="7"/>
      <c r="S412" s="7"/>
      <c r="T412" s="7"/>
      <c r="U412" s="7"/>
    </row>
    <row r="413" spans="1:21" outlineLevel="1">
      <c r="A413" s="94"/>
      <c r="B413" s="7"/>
      <c r="C413" s="73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7"/>
      <c r="C417" s="73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s="106" customFormat="1" ht="18.75" outlineLevel="1">
      <c r="A422" s="104"/>
      <c r="B422" s="105"/>
      <c r="C422" s="105"/>
    </row>
    <row r="423" spans="1:21" s="106" customFormat="1" outlineLevel="1">
      <c r="A423" s="105"/>
      <c r="B423" s="107"/>
      <c r="C423" s="108"/>
      <c r="D423" s="105"/>
      <c r="E423" s="109"/>
    </row>
    <row r="424" spans="1:21" s="106" customFormat="1" outlineLevel="1">
      <c r="A424" s="105"/>
      <c r="B424" s="110"/>
      <c r="C424" s="88"/>
      <c r="D424" s="88"/>
      <c r="E424" s="109"/>
    </row>
    <row r="425" spans="1:21" s="106" customFormat="1" outlineLevel="1">
      <c r="A425" s="105"/>
      <c r="B425" s="88"/>
      <c r="C425" s="109"/>
      <c r="D425" s="88"/>
      <c r="E425" s="110"/>
    </row>
    <row r="426" spans="1:21" s="106" customFormat="1" outlineLevel="1">
      <c r="A426" s="111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</row>
    <row r="427" spans="1:21" s="106" customFormat="1" outlineLevel="1">
      <c r="A427" s="80"/>
      <c r="B427" s="105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s="106" customFormat="1" outlineLevel="1">
      <c r="A428" s="79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s="106" customFormat="1" outlineLevel="1">
      <c r="A429" s="79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8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6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80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113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113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8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80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0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79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79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80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2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6" customFormat="1" outlineLevel="1">
      <c r="A453" s="79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ht="13.9" customHeight="1" outlineLevel="1">
      <c r="A454" s="78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16" customFormat="1" outlineLevel="1">
      <c r="A455" s="115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0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7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/>
      <c r="B463"/>
      <c r="C463"/>
      <c r="D463"/>
      <c r="E463"/>
      <c r="F463"/>
      <c r="G463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/>
      <c r="B464"/>
      <c r="C464"/>
      <c r="D464"/>
      <c r="E464"/>
      <c r="F464"/>
      <c r="G464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1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1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outlineLevel="1">
      <c r="A478"/>
      <c r="B478"/>
      <c r="C478"/>
      <c r="D478"/>
      <c r="E478"/>
      <c r="F478"/>
      <c r="G47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outlineLevel="1">
      <c r="A479"/>
      <c r="B479"/>
      <c r="C479"/>
      <c r="D479"/>
      <c r="E479"/>
      <c r="F479"/>
      <c r="G47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8.75" outlineLevel="1">
      <c r="A481" s="8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 s="5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outlineLevel="1">
      <c r="A483" s="118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idden="1" outlineLevel="2">
      <c r="A486" s="5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idden="1" outlineLevel="2">
      <c r="A487" s="86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86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119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5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86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5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 collapsed="1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5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2.28515625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272</v>
      </c>
      <c r="B2" s="55"/>
      <c r="C2" s="55"/>
      <c r="D2" s="23"/>
      <c r="E2" s="419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4" t="s">
        <v>56</v>
      </c>
      <c r="B4" s="194"/>
      <c r="C4" s="482">
        <v>36892</v>
      </c>
      <c r="D4" s="258">
        <v>37256</v>
      </c>
      <c r="E4" s="258">
        <v>37621</v>
      </c>
      <c r="F4" s="258">
        <v>37986</v>
      </c>
    </row>
    <row r="5" spans="1:11">
      <c r="A5" s="16"/>
      <c r="B5" s="16"/>
      <c r="C5" s="16"/>
      <c r="D5" s="301"/>
      <c r="E5" s="301"/>
      <c r="F5" s="301"/>
    </row>
    <row r="6" spans="1:11">
      <c r="A6" s="14"/>
      <c r="B6" s="14"/>
      <c r="C6" s="14"/>
      <c r="D6" s="23"/>
      <c r="E6" s="23"/>
      <c r="F6" s="23"/>
    </row>
    <row r="7" spans="1:11">
      <c r="A7" s="39" t="s">
        <v>9</v>
      </c>
      <c r="B7" s="39"/>
      <c r="C7" s="39"/>
      <c r="D7" s="16"/>
      <c r="E7" s="16"/>
      <c r="F7" s="16"/>
    </row>
    <row r="8" spans="1:11">
      <c r="A8" s="21" t="s">
        <v>244</v>
      </c>
      <c r="B8" s="21"/>
      <c r="C8" s="21"/>
      <c r="D8" s="304">
        <f>'Power Price Assumption'!C25-4</f>
        <v>1.5521731295013845</v>
      </c>
      <c r="E8" s="304">
        <f>'Power Price Assumption'!D25-4</f>
        <v>1.8274852891362618</v>
      </c>
      <c r="F8" s="304">
        <f>'Power Price Assumption'!E25-4</f>
        <v>2.1164491817907853</v>
      </c>
    </row>
    <row r="9" spans="1:11">
      <c r="A9" s="16" t="s">
        <v>229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</row>
    <row r="10" spans="1:11">
      <c r="A10" s="16" t="s">
        <v>238</v>
      </c>
      <c r="B10" s="16"/>
      <c r="C10" s="16">
        <v>0</v>
      </c>
      <c r="D10" s="19">
        <f>D8*D9*12</f>
        <v>8530.743519739608</v>
      </c>
      <c r="E10" s="19">
        <f>E8*E9*12</f>
        <v>10043.859149092896</v>
      </c>
      <c r="F10" s="19">
        <f>F8*F9*12</f>
        <v>11632.004703122157</v>
      </c>
    </row>
    <row r="11" spans="1:11">
      <c r="A11" t="s">
        <v>239</v>
      </c>
      <c r="B11" s="487">
        <f>'Summary Output'!$E$27</f>
        <v>0.10996598639455782</v>
      </c>
      <c r="C11" s="488">
        <f>XNPV(B11,C10:F10,C4:F4)</f>
        <v>24350.87386460862</v>
      </c>
      <c r="J11" s="486"/>
      <c r="K11" s="486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244</v>
      </c>
      <c r="B14" s="21"/>
      <c r="C14" s="21"/>
      <c r="D14" s="304">
        <f>D8</f>
        <v>1.5521731295013845</v>
      </c>
      <c r="E14" s="304">
        <f>E8</f>
        <v>1.8274852891362618</v>
      </c>
      <c r="F14" s="304">
        <f>F8</f>
        <v>2.1164491817907853</v>
      </c>
    </row>
    <row r="15" spans="1:11">
      <c r="A15" s="16" t="s">
        <v>229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238</v>
      </c>
      <c r="B16" s="16"/>
      <c r="C16" s="16">
        <v>0</v>
      </c>
      <c r="D16" s="19">
        <f>D14*D15*12</f>
        <v>8679.7521401717422</v>
      </c>
      <c r="E16" s="19">
        <f>E14*E15*12</f>
        <v>10219.297736849976</v>
      </c>
      <c r="F16" s="19">
        <f>F14*F15*12</f>
        <v>11835.183824574071</v>
      </c>
    </row>
    <row r="17" spans="1:6">
      <c r="A17" t="s">
        <v>239</v>
      </c>
      <c r="B17" s="487">
        <f>'Summary Output'!$E$27</f>
        <v>0.10996598639455782</v>
      </c>
      <c r="C17" s="488">
        <f>XNPV(B17,C16:F16,C4:F4)</f>
        <v>24776.216639536284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244</v>
      </c>
      <c r="B20" s="21"/>
      <c r="C20" s="21"/>
      <c r="D20" s="304">
        <f>D8</f>
        <v>1.5521731295013845</v>
      </c>
      <c r="E20" s="304">
        <f>E8</f>
        <v>1.8274852891362618</v>
      </c>
      <c r="F20" s="304">
        <f>F8</f>
        <v>2.1164491817907853</v>
      </c>
    </row>
    <row r="21" spans="1:6">
      <c r="A21" s="16" t="s">
        <v>229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238</v>
      </c>
      <c r="B22" s="16"/>
      <c r="C22" s="16">
        <v>0</v>
      </c>
      <c r="D22" s="19">
        <f>D20*D21*12</f>
        <v>6910.2747725401641</v>
      </c>
      <c r="E22" s="19">
        <f>E20*E21*12</f>
        <v>8135.9645072346375</v>
      </c>
      <c r="F22" s="19">
        <f>F20*F21*12</f>
        <v>9422.4317573325752</v>
      </c>
    </row>
    <row r="23" spans="1:6">
      <c r="A23" t="s">
        <v>239</v>
      </c>
      <c r="B23" s="487">
        <f>'Summary Output'!$E$27</f>
        <v>0.10996598639455782</v>
      </c>
      <c r="C23" s="488">
        <f>XNPV(B23,C22:F22,$C$4:$F$4)</f>
        <v>19725.271187270304</v>
      </c>
    </row>
    <row r="25" spans="1:6">
      <c r="A25" s="39" t="s">
        <v>103</v>
      </c>
      <c r="B25" s="39"/>
      <c r="C25" s="39"/>
      <c r="D25" s="16"/>
      <c r="E25" s="16"/>
      <c r="F25" s="16"/>
    </row>
    <row r="26" spans="1:6">
      <c r="A26" s="21" t="s">
        <v>244</v>
      </c>
      <c r="B26" s="21"/>
      <c r="C26" s="21"/>
      <c r="D26" s="304">
        <f>D8</f>
        <v>1.5521731295013845</v>
      </c>
      <c r="E26" s="304">
        <f>E8</f>
        <v>1.8274852891362618</v>
      </c>
      <c r="F26" s="304">
        <f>F8</f>
        <v>2.1164491817907853</v>
      </c>
    </row>
    <row r="27" spans="1:6">
      <c r="A27" s="16" t="s">
        <v>229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238</v>
      </c>
      <c r="B28" s="16"/>
      <c r="C28" s="16">
        <v>0</v>
      </c>
      <c r="D28" s="19">
        <f>D26*D27*12</f>
        <v>9499.299552548473</v>
      </c>
      <c r="E28" s="19">
        <f>E26*E27*12</f>
        <v>11184.209969513922</v>
      </c>
      <c r="F28" s="19">
        <f>F26*F27*12</f>
        <v>12952.668992559606</v>
      </c>
    </row>
    <row r="29" spans="1:6">
      <c r="A29" t="s">
        <v>239</v>
      </c>
      <c r="B29" s="487">
        <f>'Summary Output'!$E$27</f>
        <v>0.10996598639455782</v>
      </c>
      <c r="C29" s="488">
        <f>XNPV(B29,C28:F28,$C$4:$F$4)</f>
        <v>27115.601901638423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244</v>
      </c>
      <c r="B32" s="21"/>
      <c r="C32" s="21"/>
      <c r="D32" s="304">
        <f>'Power Price Assumption'!C38-4</f>
        <v>1.7985248261524829</v>
      </c>
      <c r="E32" s="304">
        <f>'Power Price Assumption'!D38-4</f>
        <v>2.1059584314016009</v>
      </c>
      <c r="F32" s="304">
        <f>'Power Price Assumption'!E38-4</f>
        <v>2.4296919447256471</v>
      </c>
    </row>
    <row r="33" spans="1:6">
      <c r="A33" s="16" t="s">
        <v>229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238</v>
      </c>
      <c r="B34" s="16"/>
      <c r="C34" s="16">
        <v>0</v>
      </c>
      <c r="D34" s="19">
        <f>D32*D33*12</f>
        <v>10143.680019500003</v>
      </c>
      <c r="E34" s="19">
        <f>E32*E33*12</f>
        <v>11877.605553105028</v>
      </c>
      <c r="F34" s="19">
        <f>F32*F33*12</f>
        <v>13703.462568252649</v>
      </c>
    </row>
    <row r="35" spans="1:6">
      <c r="A35" t="s">
        <v>239</v>
      </c>
      <c r="B35" s="487">
        <f>'Summary Output'!$E$27</f>
        <v>0.10996598639455782</v>
      </c>
      <c r="C35" s="488">
        <f>XNPV(B35,C34:F34,$C$4:$F$4)</f>
        <v>28808.460605203851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244</v>
      </c>
      <c r="B38" s="21"/>
      <c r="C38" s="21"/>
      <c r="D38" s="304">
        <f>'Power Price Assumption'!C51-4</f>
        <v>1.8379155669285749</v>
      </c>
      <c r="E38" s="304">
        <f>'Power Price Assumption'!D51-4</f>
        <v>2.1116802769589782</v>
      </c>
      <c r="F38" s="304">
        <f>'Power Price Assumption'!E51-4</f>
        <v>2.3982829795226435</v>
      </c>
    </row>
    <row r="39" spans="1:6">
      <c r="A39" s="16" t="s">
        <v>229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238</v>
      </c>
      <c r="B40" s="16"/>
      <c r="C40" s="16">
        <v>0</v>
      </c>
      <c r="D40" s="19">
        <f>D38*D39*12</f>
        <v>13409.431976310883</v>
      </c>
      <c r="E40" s="19">
        <f>E38*E39*12</f>
        <v>15406.819300692705</v>
      </c>
      <c r="F40" s="19">
        <f>F38*F39*12</f>
        <v>17497.872618597205</v>
      </c>
    </row>
    <row r="41" spans="1:6">
      <c r="A41" t="s">
        <v>239</v>
      </c>
      <c r="B41" s="487">
        <f>'Summary Output'!$E$27</f>
        <v>0.10996598639455782</v>
      </c>
      <c r="C41" s="488">
        <f>XNPV(B41,C40:F40,$C$4:$F$4)</f>
        <v>37392.382463945469</v>
      </c>
    </row>
    <row r="44" spans="1:6">
      <c r="A44" s="39" t="s">
        <v>232</v>
      </c>
      <c r="B44" s="39"/>
      <c r="C44" s="39"/>
      <c r="D44" s="16"/>
      <c r="E44" s="16"/>
      <c r="F44" s="16"/>
    </row>
    <row r="45" spans="1:6">
      <c r="A45" s="16" t="s">
        <v>238</v>
      </c>
      <c r="B45" s="16"/>
      <c r="C45" s="123">
        <f>SUM(C10,C16,C22)</f>
        <v>0</v>
      </c>
      <c r="D45" s="123">
        <f>SUM(D10,D16,D22)</f>
        <v>24120.770432451514</v>
      </c>
      <c r="E45" s="123">
        <f>SUM(E10,E16,E22)</f>
        <v>28399.121393177513</v>
      </c>
      <c r="F45" s="123">
        <f>SUM(F10,F16,F22)</f>
        <v>32889.620285028803</v>
      </c>
    </row>
    <row r="46" spans="1:6">
      <c r="A46" t="s">
        <v>239</v>
      </c>
      <c r="B46" s="487">
        <f>'Summary Output'!$E$27</f>
        <v>0.10996598639455782</v>
      </c>
      <c r="C46" s="488">
        <f>XNPV(B46,C45:F45,$C$4:$F$4)</f>
        <v>68852.361691415223</v>
      </c>
    </row>
    <row r="48" spans="1:6">
      <c r="A48" s="39" t="s">
        <v>233</v>
      </c>
      <c r="B48" s="39"/>
      <c r="C48" s="39"/>
      <c r="D48" s="16"/>
      <c r="E48" s="16"/>
      <c r="F48" s="16"/>
    </row>
    <row r="49" spans="1:6">
      <c r="A49" s="16" t="s">
        <v>238</v>
      </c>
      <c r="B49" s="16"/>
      <c r="C49" s="16">
        <f>SUM(C28,C34,C40)</f>
        <v>0</v>
      </c>
      <c r="D49" s="19">
        <f>SUM(D28,D34,D40)</f>
        <v>33052.411548359363</v>
      </c>
      <c r="E49" s="19">
        <f>SUM(E28,E34,E40)</f>
        <v>38468.634823311651</v>
      </c>
      <c r="F49" s="19">
        <f>SUM(F28,F34,F40)</f>
        <v>44154.004179409458</v>
      </c>
    </row>
    <row r="50" spans="1:6">
      <c r="A50" t="s">
        <v>239</v>
      </c>
      <c r="B50" s="487">
        <f>'Summary Output'!$E$27</f>
        <v>0.10996598639455782</v>
      </c>
      <c r="C50" s="488">
        <f>XNPV(B50,C49:F49,$C$4:$F$4)</f>
        <v>93316.444970787736</v>
      </c>
    </row>
    <row r="52" spans="1:6">
      <c r="A52" s="39" t="s">
        <v>110</v>
      </c>
      <c r="B52" s="39"/>
      <c r="C52" s="39"/>
      <c r="D52" s="16"/>
      <c r="E52" s="16"/>
      <c r="F52" s="16"/>
    </row>
    <row r="53" spans="1:6">
      <c r="A53" s="16" t="s">
        <v>238</v>
      </c>
      <c r="B53" s="16"/>
      <c r="C53" s="16">
        <f>SUM(C40,C34,C28,C22,C16,C10)</f>
        <v>0</v>
      </c>
      <c r="D53" s="19">
        <f>SUM(D40,D34,D28,D22,D16,D10)</f>
        <v>57173.181980810885</v>
      </c>
      <c r="E53" s="19">
        <f>SUM(E40,E34,E28,E22,E16,E10)</f>
        <v>66867.756216489171</v>
      </c>
      <c r="F53" s="19">
        <f>SUM(F40,F34,F28,F22,F16,F10)</f>
        <v>77043.624464438268</v>
      </c>
    </row>
    <row r="54" spans="1:6">
      <c r="A54" t="s">
        <v>239</v>
      </c>
      <c r="B54" s="487">
        <f>'Summary Output'!$E$27</f>
        <v>0.10996598639455782</v>
      </c>
      <c r="C54" s="488">
        <f>XNPV(B54,C53:F53,$C$4:$F$4)</f>
        <v>162168.80666220299</v>
      </c>
    </row>
    <row r="56" spans="1:6">
      <c r="C56" s="490"/>
    </row>
  </sheetData>
  <pageMargins left="0.75" right="0.75" top="1" bottom="1" header="0.5" footer="0.5"/>
  <pageSetup scale="68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I25"/>
  <sheetViews>
    <sheetView zoomScale="75" zoomScaleNormal="75" workbookViewId="0"/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9" ht="18.75">
      <c r="A2" s="412" t="s">
        <v>89</v>
      </c>
    </row>
    <row r="3" spans="1:9" ht="15.75">
      <c r="A3" s="261"/>
    </row>
    <row r="4" spans="1:9">
      <c r="A4" s="374" t="s">
        <v>90</v>
      </c>
      <c r="B4" s="50"/>
      <c r="C4" s="374" t="s">
        <v>159</v>
      </c>
      <c r="D4" s="50"/>
      <c r="E4" s="374" t="s">
        <v>162</v>
      </c>
    </row>
    <row r="7" spans="1:9">
      <c r="A7" s="15" t="s">
        <v>9</v>
      </c>
      <c r="C7" s="410">
        <v>0.125039438479223</v>
      </c>
      <c r="E7" s="410">
        <v>0.15440554197847384</v>
      </c>
      <c r="G7" s="526"/>
      <c r="H7" s="526"/>
      <c r="I7" s="527"/>
    </row>
    <row r="8" spans="1:9">
      <c r="A8" s="15" t="s">
        <v>10</v>
      </c>
      <c r="C8" s="410">
        <v>0.1511835224699338</v>
      </c>
      <c r="E8" s="410">
        <v>0.1558587124333399</v>
      </c>
      <c r="G8" s="526"/>
      <c r="H8" s="526"/>
      <c r="I8" s="527"/>
    </row>
    <row r="9" spans="1:9">
      <c r="A9" s="39" t="s">
        <v>11</v>
      </c>
      <c r="C9" s="411">
        <v>0.14539217477626698</v>
      </c>
      <c r="E9" s="411">
        <v>0.1197550000844939</v>
      </c>
      <c r="G9" s="526"/>
      <c r="H9" s="526"/>
      <c r="I9" s="527"/>
    </row>
    <row r="10" spans="1:9">
      <c r="A10" s="15" t="s">
        <v>91</v>
      </c>
      <c r="C10" s="410">
        <f>SUM(C7:C9)</f>
        <v>0.42161513572542375</v>
      </c>
      <c r="E10" s="410">
        <f>SUM(E7:E9)</f>
        <v>0.43001925449630762</v>
      </c>
      <c r="G10" s="526"/>
      <c r="H10" s="526"/>
      <c r="I10" s="527"/>
    </row>
    <row r="11" spans="1:9">
      <c r="A11" s="39"/>
      <c r="C11" s="410"/>
      <c r="E11" s="410"/>
      <c r="G11" s="526"/>
      <c r="H11" s="526"/>
      <c r="I11" s="527"/>
    </row>
    <row r="12" spans="1:9">
      <c r="A12" s="15" t="s">
        <v>103</v>
      </c>
      <c r="C12" s="410">
        <v>0.17074206551655802</v>
      </c>
      <c r="E12" s="410">
        <v>0.17504968982648278</v>
      </c>
      <c r="G12" s="526"/>
      <c r="H12" s="526"/>
      <c r="I12" s="527"/>
    </row>
    <row r="13" spans="1:9">
      <c r="A13" s="15" t="s">
        <v>12</v>
      </c>
      <c r="C13" s="410">
        <v>0.1561848046993598</v>
      </c>
      <c r="E13" s="410">
        <v>0.17174199460296</v>
      </c>
    </row>
    <row r="14" spans="1:9">
      <c r="A14" s="39" t="s">
        <v>13</v>
      </c>
      <c r="C14" s="411">
        <v>0.25145799405865837</v>
      </c>
      <c r="E14" s="411">
        <v>0.22318906107424963</v>
      </c>
    </row>
    <row r="15" spans="1:9">
      <c r="A15" s="15" t="s">
        <v>91</v>
      </c>
      <c r="C15" s="410">
        <f>SUM(C12:C14)</f>
        <v>0.57838486427457614</v>
      </c>
      <c r="E15" s="410">
        <f>SUM(E12:E14)</f>
        <v>0.56998074550369238</v>
      </c>
    </row>
    <row r="16" spans="1:9">
      <c r="A16" s="39"/>
      <c r="C16" s="407"/>
      <c r="E16" s="407"/>
    </row>
    <row r="17" spans="1:5" ht="13.5" thickBot="1">
      <c r="A17" s="476" t="s">
        <v>20</v>
      </c>
      <c r="B17" s="406"/>
      <c r="C17" s="409">
        <f>SUM(C10,C15)</f>
        <v>0.99999999999999989</v>
      </c>
      <c r="D17" s="406"/>
      <c r="E17" s="409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75"/>
      <c r="C20" s="376"/>
    </row>
    <row r="25" spans="1:5">
      <c r="A25" s="39"/>
    </row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zoomScale="75" zoomScaleNormal="75" workbookViewId="0">
      <selection activeCell="C18" sqref="C18"/>
    </sheetView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12" t="s">
        <v>163</v>
      </c>
    </row>
    <row r="4" spans="1:33" ht="13.5" thickBot="1"/>
    <row r="5" spans="1:33" ht="15.75">
      <c r="A5" s="164" t="s">
        <v>2</v>
      </c>
      <c r="B5" s="185"/>
      <c r="C5" s="532" t="s">
        <v>3</v>
      </c>
      <c r="D5" s="532"/>
      <c r="E5" s="532"/>
      <c r="F5" s="27"/>
      <c r="G5" s="532" t="s">
        <v>4</v>
      </c>
      <c r="H5" s="532"/>
      <c r="I5" s="532"/>
      <c r="J5" s="186"/>
      <c r="K5" s="415"/>
      <c r="L5" s="145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</row>
    <row r="6" spans="1:33" ht="15.75">
      <c r="A6" s="173"/>
      <c r="B6" s="169"/>
      <c r="C6" s="169"/>
      <c r="D6" s="169"/>
      <c r="E6" s="169"/>
      <c r="F6" s="17"/>
      <c r="G6" s="169"/>
      <c r="H6" s="169"/>
      <c r="I6" s="169"/>
      <c r="J6" s="125"/>
      <c r="K6" s="174"/>
      <c r="L6" s="145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</row>
    <row r="7" spans="1:33" ht="15.75">
      <c r="A7" s="173"/>
      <c r="B7" s="169"/>
      <c r="C7" s="192" t="s">
        <v>9</v>
      </c>
      <c r="D7" s="192" t="s">
        <v>10</v>
      </c>
      <c r="E7" s="192" t="s">
        <v>11</v>
      </c>
      <c r="F7" s="17"/>
      <c r="G7" s="192" t="s">
        <v>103</v>
      </c>
      <c r="H7" s="192" t="s">
        <v>12</v>
      </c>
      <c r="I7" s="192" t="s">
        <v>13</v>
      </c>
      <c r="J7" s="72"/>
      <c r="K7" s="193" t="s">
        <v>166</v>
      </c>
      <c r="L7" s="145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</row>
    <row r="8" spans="1:33" ht="15.75">
      <c r="A8" s="173" t="s">
        <v>16</v>
      </c>
      <c r="B8" s="169"/>
      <c r="C8" s="290">
        <v>4</v>
      </c>
      <c r="D8" s="290">
        <v>6</v>
      </c>
      <c r="E8" s="290">
        <v>6</v>
      </c>
      <c r="F8" s="359"/>
      <c r="G8" s="290">
        <v>3</v>
      </c>
      <c r="H8" s="290">
        <v>4</v>
      </c>
      <c r="I8" s="290">
        <v>8</v>
      </c>
      <c r="J8" s="254"/>
      <c r="K8" s="448">
        <f>SUM(C8:I8)</f>
        <v>31</v>
      </c>
      <c r="L8" s="145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</row>
    <row r="9" spans="1:33" ht="15.75">
      <c r="A9" s="173" t="s">
        <v>207</v>
      </c>
      <c r="B9" s="169"/>
      <c r="C9" s="290">
        <v>458</v>
      </c>
      <c r="D9" s="290">
        <v>466</v>
      </c>
      <c r="E9" s="290">
        <v>371</v>
      </c>
      <c r="F9" s="352"/>
      <c r="G9" s="290">
        <v>510</v>
      </c>
      <c r="H9" s="290">
        <v>470</v>
      </c>
      <c r="I9" s="290">
        <v>608</v>
      </c>
      <c r="J9" s="297"/>
      <c r="K9" s="448">
        <f>SUM(C9:I9)</f>
        <v>2883</v>
      </c>
      <c r="L9" s="145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  <c r="AF9" s="382"/>
      <c r="AG9" s="382"/>
    </row>
    <row r="10" spans="1:33" ht="15.75">
      <c r="A10" s="173" t="s">
        <v>246</v>
      </c>
      <c r="B10" s="169"/>
      <c r="C10" s="290">
        <v>11406</v>
      </c>
      <c r="D10" s="290">
        <v>12064</v>
      </c>
      <c r="E10" s="290">
        <v>12500</v>
      </c>
      <c r="F10" s="351"/>
      <c r="G10" s="290">
        <v>10592</v>
      </c>
      <c r="H10" s="290">
        <v>11734</v>
      </c>
      <c r="I10" s="290">
        <v>11973</v>
      </c>
      <c r="J10" s="254"/>
      <c r="K10" s="448">
        <f>SUMPRODUCT(C10:I10,C9:I9)/K9</f>
        <v>11682.190773499826</v>
      </c>
      <c r="L10" s="145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</row>
    <row r="11" spans="1:33" ht="16.5" thickBot="1">
      <c r="A11" s="175" t="s">
        <v>154</v>
      </c>
      <c r="B11" s="499"/>
      <c r="C11" s="498">
        <v>75</v>
      </c>
      <c r="D11" s="498">
        <v>75</v>
      </c>
      <c r="E11" s="498">
        <v>75</v>
      </c>
      <c r="F11" s="521"/>
      <c r="G11" s="498">
        <v>75</v>
      </c>
      <c r="H11" s="498">
        <v>75</v>
      </c>
      <c r="I11" s="498">
        <v>75</v>
      </c>
      <c r="J11" s="499"/>
      <c r="K11" s="472">
        <f>SUM(C11:I11)</f>
        <v>450</v>
      </c>
      <c r="L11" s="17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</row>
    <row r="12" spans="1:33">
      <c r="L12" s="145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</row>
    <row r="13" spans="1:33" ht="13.5" thickBo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</row>
    <row r="14" spans="1:33" ht="15.75">
      <c r="A14" s="164" t="s">
        <v>257</v>
      </c>
      <c r="B14" s="185"/>
      <c r="C14" s="190"/>
      <c r="D14" s="190"/>
      <c r="E14" s="190"/>
      <c r="F14" s="27"/>
      <c r="G14" s="190"/>
      <c r="H14" s="190"/>
      <c r="I14" s="190"/>
      <c r="J14" s="185"/>
      <c r="K14" s="449"/>
      <c r="L14" s="145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</row>
    <row r="15" spans="1:33">
      <c r="A15" s="30"/>
      <c r="B15" s="17"/>
      <c r="C15" s="17"/>
      <c r="D15" s="17"/>
      <c r="E15" s="17"/>
      <c r="F15" s="17"/>
      <c r="G15" s="17"/>
      <c r="H15" s="17"/>
      <c r="I15" s="17"/>
      <c r="J15" s="7"/>
      <c r="K15" s="450"/>
      <c r="L15" s="17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</row>
    <row r="16" spans="1:33" ht="15.75">
      <c r="A16" s="173" t="s">
        <v>258</v>
      </c>
      <c r="B16" s="169"/>
      <c r="C16" s="354">
        <v>4</v>
      </c>
      <c r="D16" s="367">
        <f>$C$16</f>
        <v>4</v>
      </c>
      <c r="E16" s="367">
        <f>$C$16</f>
        <v>4</v>
      </c>
      <c r="F16" s="368"/>
      <c r="G16" s="367">
        <f>$C$16</f>
        <v>4</v>
      </c>
      <c r="H16" s="367">
        <f>$C$16</f>
        <v>4</v>
      </c>
      <c r="I16" s="367">
        <f>$C$16</f>
        <v>4</v>
      </c>
      <c r="J16" s="358"/>
      <c r="K16" s="451"/>
      <c r="L16" s="17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</row>
    <row r="17" spans="1:33" ht="15.75">
      <c r="A17" s="173" t="s">
        <v>205</v>
      </c>
      <c r="B17" s="17"/>
      <c r="C17" s="467">
        <f t="shared" ref="C17:E18" si="0">C23</f>
        <v>1.5</v>
      </c>
      <c r="D17" s="467">
        <f t="shared" si="0"/>
        <v>1</v>
      </c>
      <c r="E17" s="467">
        <f t="shared" si="0"/>
        <v>1</v>
      </c>
      <c r="F17" s="458"/>
      <c r="G17" s="467">
        <f t="shared" ref="G17:I18" si="1">G23</f>
        <v>1.5</v>
      </c>
      <c r="H17" s="467">
        <f t="shared" si="1"/>
        <v>3</v>
      </c>
      <c r="I17" s="467">
        <f t="shared" si="1"/>
        <v>2</v>
      </c>
      <c r="J17" s="17"/>
      <c r="K17" s="29"/>
      <c r="L17" s="17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</row>
    <row r="18" spans="1:33" ht="15.75">
      <c r="A18" s="173" t="s">
        <v>250</v>
      </c>
      <c r="B18" s="382"/>
      <c r="C18" s="254">
        <f t="shared" si="0"/>
        <v>1500</v>
      </c>
      <c r="D18" s="254">
        <f t="shared" si="0"/>
        <v>1000</v>
      </c>
      <c r="E18" s="254">
        <f t="shared" si="0"/>
        <v>1000</v>
      </c>
      <c r="F18" s="468"/>
      <c r="G18" s="254">
        <f t="shared" si="1"/>
        <v>1500</v>
      </c>
      <c r="H18" s="254">
        <f t="shared" si="1"/>
        <v>1500</v>
      </c>
      <c r="I18" s="254">
        <f t="shared" si="1"/>
        <v>1000</v>
      </c>
      <c r="J18" s="382"/>
      <c r="K18" s="448"/>
      <c r="L18" s="413"/>
      <c r="M18" s="382"/>
      <c r="N18" s="382"/>
      <c r="O18" s="382"/>
      <c r="P18" s="233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</row>
    <row r="19" spans="1:33" ht="16.5" thickBot="1">
      <c r="A19" s="175" t="s">
        <v>153</v>
      </c>
      <c r="B19" s="499"/>
      <c r="C19" s="520">
        <v>624921.70787304931</v>
      </c>
      <c r="D19" s="520">
        <v>544139.6717506632</v>
      </c>
      <c r="E19" s="520">
        <v>410269.84</v>
      </c>
      <c r="F19" s="500"/>
      <c r="G19" s="520">
        <v>532991.61978558963</v>
      </c>
      <c r="H19" s="520">
        <v>461312.72185621865</v>
      </c>
      <c r="I19" s="520">
        <v>2002000</v>
      </c>
      <c r="J19" s="31"/>
      <c r="K19" s="501"/>
      <c r="L19" s="145"/>
      <c r="M19" s="382"/>
      <c r="N19" s="382"/>
      <c r="O19" s="382"/>
      <c r="P19" s="351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</row>
    <row r="20" spans="1:33" ht="15.75">
      <c r="A20" s="382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7"/>
      <c r="M20" s="382"/>
      <c r="N20" s="382"/>
      <c r="O20" s="382"/>
      <c r="P20" s="351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</row>
    <row r="21" spans="1:33" ht="16.5" thickBot="1">
      <c r="L21" s="7"/>
      <c r="M21" s="382"/>
      <c r="N21" s="382"/>
      <c r="O21" s="382"/>
      <c r="P21" s="351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</row>
    <row r="22" spans="1:33" ht="15.75">
      <c r="A22" s="165" t="s">
        <v>42</v>
      </c>
      <c r="B22" s="190"/>
      <c r="C22" s="366"/>
      <c r="D22" s="366"/>
      <c r="E22" s="366"/>
      <c r="F22" s="361"/>
      <c r="G22" s="366"/>
      <c r="H22" s="366"/>
      <c r="I22" s="360"/>
      <c r="J22" s="453"/>
      <c r="K22" s="454"/>
      <c r="L22" s="7"/>
      <c r="M22" s="382"/>
      <c r="N22" s="382"/>
      <c r="O22" s="382"/>
      <c r="P22" s="351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</row>
    <row r="23" spans="1:33" ht="15.75">
      <c r="A23" s="286" t="s">
        <v>278</v>
      </c>
      <c r="B23" s="169"/>
      <c r="C23" s="379">
        <v>1.5</v>
      </c>
      <c r="D23" s="379">
        <v>1</v>
      </c>
      <c r="E23" s="379">
        <v>1</v>
      </c>
      <c r="F23" s="458"/>
      <c r="G23" s="379">
        <v>1.5</v>
      </c>
      <c r="H23" s="379">
        <v>3</v>
      </c>
      <c r="I23" s="379">
        <v>2</v>
      </c>
      <c r="J23" s="355"/>
      <c r="K23" s="452"/>
      <c r="L23" s="7"/>
      <c r="M23" s="382"/>
      <c r="N23" s="382"/>
      <c r="O23" s="382"/>
      <c r="P23" s="414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</row>
    <row r="24" spans="1:33" ht="15.75">
      <c r="A24" s="173" t="s">
        <v>254</v>
      </c>
      <c r="B24" s="382"/>
      <c r="C24" s="290">
        <v>1500</v>
      </c>
      <c r="D24" s="290">
        <v>1000</v>
      </c>
      <c r="E24" s="290">
        <v>1000</v>
      </c>
      <c r="F24" s="382"/>
      <c r="G24" s="290">
        <v>1500</v>
      </c>
      <c r="H24" s="290">
        <v>1500</v>
      </c>
      <c r="I24" s="290">
        <v>1000</v>
      </c>
      <c r="J24" s="356"/>
      <c r="K24" s="357"/>
      <c r="L24" s="7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</row>
    <row r="25" spans="1:33" ht="15.75">
      <c r="A25" s="173" t="s">
        <v>114</v>
      </c>
      <c r="B25" s="169"/>
      <c r="C25" s="287">
        <v>0.03</v>
      </c>
      <c r="D25" s="356">
        <f>$C$25</f>
        <v>0.03</v>
      </c>
      <c r="E25" s="356">
        <f>$C$25</f>
        <v>0.03</v>
      </c>
      <c r="F25" s="370"/>
      <c r="G25" s="356">
        <f>$C$25</f>
        <v>0.03</v>
      </c>
      <c r="H25" s="356">
        <f>$C$25</f>
        <v>0.03</v>
      </c>
      <c r="I25" s="356">
        <f>$C$25</f>
        <v>0.03</v>
      </c>
      <c r="J25" s="255"/>
      <c r="K25" s="293"/>
      <c r="L25" s="145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</row>
    <row r="26" spans="1:33" ht="15.75">
      <c r="A26" s="173"/>
      <c r="B26" s="169"/>
      <c r="C26" s="245"/>
      <c r="D26" s="245"/>
      <c r="E26" s="245"/>
      <c r="F26" s="245"/>
      <c r="G26" s="245"/>
      <c r="H26" s="245"/>
      <c r="I26" s="245"/>
      <c r="J26" s="378"/>
      <c r="K26" s="455"/>
      <c r="L26" s="7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</row>
    <row r="27" spans="1:33" ht="15.75">
      <c r="A27" s="298" t="s">
        <v>113</v>
      </c>
      <c r="B27" s="169"/>
      <c r="C27" s="497"/>
      <c r="D27" s="497"/>
      <c r="E27" s="497"/>
      <c r="F27" s="245"/>
      <c r="G27" s="497"/>
      <c r="H27" s="497"/>
      <c r="I27" s="497"/>
      <c r="J27" s="378"/>
      <c r="K27" s="455"/>
      <c r="L27" s="7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  <c r="AA27" s="382"/>
      <c r="AB27" s="382"/>
      <c r="AC27" s="382"/>
      <c r="AD27" s="382"/>
      <c r="AE27" s="382"/>
      <c r="AF27" s="382"/>
      <c r="AG27" s="382"/>
    </row>
    <row r="28" spans="1:33" ht="15.75">
      <c r="A28" s="173" t="s">
        <v>48</v>
      </c>
      <c r="B28" s="17"/>
      <c r="C28" s="377">
        <v>1563.6314700000003</v>
      </c>
      <c r="D28" s="377">
        <v>1721.30196</v>
      </c>
      <c r="E28" s="377">
        <v>1878.0665900000001</v>
      </c>
      <c r="F28" s="297"/>
      <c r="G28" s="377">
        <v>1242.4817142857141</v>
      </c>
      <c r="H28" s="377">
        <v>1515.7902857142858</v>
      </c>
      <c r="I28" s="377">
        <v>1448.5405714285714</v>
      </c>
      <c r="J28" s="378"/>
      <c r="K28" s="455"/>
      <c r="L28" s="7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  <c r="AA28" s="382"/>
      <c r="AB28" s="382"/>
      <c r="AC28" s="382"/>
      <c r="AD28" s="382"/>
      <c r="AE28" s="382"/>
      <c r="AF28" s="382"/>
      <c r="AG28" s="382"/>
    </row>
    <row r="29" spans="1:33" ht="15.75">
      <c r="A29" s="173" t="s">
        <v>49</v>
      </c>
      <c r="B29" s="17"/>
      <c r="C29" s="296">
        <f>C23*C19/1000</f>
        <v>937.38256180957399</v>
      </c>
      <c r="D29" s="296">
        <f>D23*D19/1000</f>
        <v>544.13967175066318</v>
      </c>
      <c r="E29" s="296">
        <f>E23*E19/1000</f>
        <v>410.26984000000004</v>
      </c>
      <c r="F29" s="297"/>
      <c r="G29" s="296">
        <f>G23*G19/1000</f>
        <v>799.4874296783845</v>
      </c>
      <c r="H29" s="296">
        <f>H23*H19/1000</f>
        <v>1383.9381655686559</v>
      </c>
      <c r="I29" s="296">
        <f>I23*I19/1000</f>
        <v>4004</v>
      </c>
      <c r="J29" s="378"/>
      <c r="K29" s="455"/>
      <c r="L29" s="7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2"/>
    </row>
    <row r="30" spans="1:33" ht="15.75">
      <c r="A30" s="173" t="s">
        <v>255</v>
      </c>
      <c r="B30" s="382"/>
      <c r="C30" s="296">
        <f>C24*C11*C8/1000</f>
        <v>450</v>
      </c>
      <c r="D30" s="296">
        <f>D24*D11*D8/1000</f>
        <v>450</v>
      </c>
      <c r="E30" s="296">
        <f>E24*E11*E8/1000</f>
        <v>450</v>
      </c>
      <c r="F30" s="382"/>
      <c r="G30" s="296">
        <f>G24*G11*G8/1000</f>
        <v>337.5</v>
      </c>
      <c r="H30" s="296">
        <f>H24*H11*H8/1000</f>
        <v>450</v>
      </c>
      <c r="I30" s="296">
        <f>I24*I11*I8/1000</f>
        <v>600</v>
      </c>
      <c r="J30" s="382"/>
      <c r="K30" s="466"/>
      <c r="L30" s="17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</row>
    <row r="31" spans="1:33" ht="15.75">
      <c r="A31" s="173" t="s">
        <v>112</v>
      </c>
      <c r="B31" s="17"/>
      <c r="C31" s="377">
        <v>431.78516666666667</v>
      </c>
      <c r="D31" s="377">
        <v>410.9306666666667</v>
      </c>
      <c r="E31" s="377">
        <v>362.67216666666667</v>
      </c>
      <c r="F31" s="297"/>
      <c r="G31" s="377">
        <v>322.2511428571429</v>
      </c>
      <c r="H31" s="377">
        <v>306.26771428571425</v>
      </c>
      <c r="I31" s="377">
        <v>400.64714285714285</v>
      </c>
      <c r="J31" s="378"/>
      <c r="K31" s="455"/>
      <c r="L31" s="7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  <c r="X31" s="382"/>
      <c r="Y31" s="382"/>
      <c r="Z31" s="382"/>
      <c r="AA31" s="382"/>
      <c r="AB31" s="382"/>
      <c r="AC31" s="382"/>
      <c r="AD31" s="382"/>
      <c r="AE31" s="382"/>
      <c r="AF31" s="382"/>
      <c r="AG31" s="382"/>
    </row>
    <row r="32" spans="1:33" ht="16.5" thickBot="1">
      <c r="A32" s="175" t="s">
        <v>279</v>
      </c>
      <c r="B32" s="31"/>
      <c r="C32" s="475">
        <f>-Brownsville!B56</f>
        <v>250</v>
      </c>
      <c r="D32" s="475">
        <f>-Caledonia!B56</f>
        <v>591.20000000000005</v>
      </c>
      <c r="E32" s="475">
        <f>-'New Albany'!B56</f>
        <v>488.8</v>
      </c>
      <c r="F32" s="475"/>
      <c r="G32" s="475">
        <f>-Gleason!B56</f>
        <v>92.2251014</v>
      </c>
      <c r="H32" s="475">
        <f>-Wheatland!B56</f>
        <v>203.273</v>
      </c>
      <c r="I32" s="475">
        <f>-Wilton!B56</f>
        <v>333.7</v>
      </c>
      <c r="J32" s="31"/>
      <c r="K32" s="142"/>
      <c r="L32" s="7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</row>
    <row r="33" spans="1:33">
      <c r="L33" s="7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382"/>
      <c r="AB33" s="382"/>
      <c r="AC33" s="382"/>
      <c r="AD33" s="382"/>
      <c r="AE33" s="382"/>
      <c r="AF33" s="382"/>
      <c r="AG33" s="382"/>
    </row>
    <row r="34" spans="1:33" ht="13.5" thickBo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7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  <c r="AA34" s="382"/>
      <c r="AB34" s="382"/>
      <c r="AC34" s="382"/>
      <c r="AD34" s="382"/>
      <c r="AE34" s="382"/>
      <c r="AF34" s="382"/>
      <c r="AG34" s="382"/>
    </row>
    <row r="35" spans="1:33" ht="15.75">
      <c r="A35" s="164" t="s">
        <v>36</v>
      </c>
      <c r="B35" s="185"/>
      <c r="C35" s="360"/>
      <c r="D35" s="360"/>
      <c r="E35" s="360"/>
      <c r="F35" s="361"/>
      <c r="G35" s="360"/>
      <c r="H35" s="360"/>
      <c r="I35" s="360"/>
      <c r="J35" s="360"/>
      <c r="K35" s="362"/>
      <c r="L35" s="7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</row>
    <row r="36" spans="1:33" ht="15.75">
      <c r="A36" s="173"/>
      <c r="B36" s="169"/>
      <c r="C36" s="359"/>
      <c r="D36" s="359"/>
      <c r="E36" s="359"/>
      <c r="F36" s="245"/>
      <c r="G36" s="359"/>
      <c r="H36" s="359"/>
      <c r="I36" s="359"/>
      <c r="J36" s="359"/>
      <c r="K36" s="363"/>
      <c r="L36" s="7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  <c r="X36" s="382"/>
      <c r="Y36" s="382"/>
      <c r="Z36" s="382"/>
      <c r="AA36" s="382"/>
      <c r="AB36" s="382"/>
      <c r="AC36" s="382"/>
      <c r="AD36" s="382"/>
      <c r="AE36" s="382"/>
      <c r="AF36" s="382"/>
      <c r="AG36" s="382"/>
    </row>
    <row r="37" spans="1:33" ht="15.75">
      <c r="A37" s="173" t="s">
        <v>38</v>
      </c>
      <c r="B37" s="169"/>
      <c r="C37" s="287">
        <v>0.35</v>
      </c>
      <c r="D37" s="287">
        <v>0.35</v>
      </c>
      <c r="E37" s="287">
        <v>0.35</v>
      </c>
      <c r="F37" s="245"/>
      <c r="G37" s="287">
        <v>0.35</v>
      </c>
      <c r="H37" s="287">
        <v>0.35</v>
      </c>
      <c r="I37" s="287">
        <v>0.35</v>
      </c>
      <c r="J37" s="356"/>
      <c r="K37" s="357">
        <v>0.35</v>
      </c>
      <c r="L37" s="7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</row>
    <row r="38" spans="1:33" ht="15.75">
      <c r="A38" s="173" t="s">
        <v>39</v>
      </c>
      <c r="B38" s="169"/>
      <c r="C38" s="353">
        <v>0.06</v>
      </c>
      <c r="D38" s="353">
        <v>0.05</v>
      </c>
      <c r="E38" s="353">
        <v>0.05</v>
      </c>
      <c r="F38" s="245"/>
      <c r="G38" s="353">
        <v>0.06</v>
      </c>
      <c r="H38" s="353">
        <v>4.4999999999999998E-2</v>
      </c>
      <c r="I38" s="353">
        <v>7.1800000000000003E-2</v>
      </c>
      <c r="J38" s="255"/>
      <c r="K38" s="293"/>
      <c r="L38" s="7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82"/>
      <c r="AB38" s="382"/>
      <c r="AC38" s="382"/>
      <c r="AD38" s="382"/>
      <c r="AE38" s="382"/>
      <c r="AF38" s="382"/>
      <c r="AG38" s="382"/>
    </row>
    <row r="39" spans="1:33" ht="15.75">
      <c r="A39" s="173" t="s">
        <v>87</v>
      </c>
      <c r="B39" s="382"/>
      <c r="C39" s="353" t="s">
        <v>40</v>
      </c>
      <c r="D39" s="353" t="s">
        <v>40</v>
      </c>
      <c r="E39" s="353" t="s">
        <v>40</v>
      </c>
      <c r="F39" s="245"/>
      <c r="G39" s="353" t="s">
        <v>40</v>
      </c>
      <c r="H39" s="353">
        <v>3.4000000000000002E-2</v>
      </c>
      <c r="I39" s="353" t="s">
        <v>40</v>
      </c>
      <c r="J39" s="255"/>
      <c r="K39" s="293"/>
      <c r="L39" s="7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</row>
    <row r="40" spans="1:33" ht="15.75">
      <c r="A40" s="173" t="s">
        <v>175</v>
      </c>
      <c r="B40" s="382"/>
      <c r="C40" s="353" t="s">
        <v>40</v>
      </c>
      <c r="D40" s="353" t="s">
        <v>40</v>
      </c>
      <c r="E40" s="353" t="s">
        <v>40</v>
      </c>
      <c r="F40" s="245"/>
      <c r="G40" s="353" t="s">
        <v>40</v>
      </c>
      <c r="H40" s="353">
        <v>1.2E-2</v>
      </c>
      <c r="I40" s="353" t="s">
        <v>40</v>
      </c>
      <c r="J40" s="355"/>
      <c r="K40" s="452"/>
      <c r="L40" s="7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</row>
    <row r="41" spans="1:33" ht="15.75">
      <c r="A41" s="173" t="s">
        <v>178</v>
      </c>
      <c r="B41" s="169"/>
      <c r="C41" s="353">
        <v>2.5000000000000001E-3</v>
      </c>
      <c r="D41" s="353">
        <v>2.5000000000000001E-3</v>
      </c>
      <c r="E41" s="353">
        <v>2.5000000000000001E-3</v>
      </c>
      <c r="F41" s="245"/>
      <c r="G41" s="353">
        <v>2.5000000000000001E-3</v>
      </c>
      <c r="H41" s="353" t="s">
        <v>40</v>
      </c>
      <c r="I41" s="353">
        <v>1.5E-3</v>
      </c>
      <c r="J41" s="355"/>
      <c r="K41" s="452"/>
      <c r="L41" s="7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  <c r="AA41" s="382"/>
      <c r="AB41" s="382"/>
      <c r="AC41" s="382"/>
      <c r="AD41" s="382"/>
      <c r="AE41" s="382"/>
      <c r="AF41" s="382"/>
      <c r="AG41" s="382"/>
    </row>
    <row r="42" spans="1:33" ht="16.5" thickBot="1">
      <c r="A42" s="175" t="s">
        <v>179</v>
      </c>
      <c r="B42" s="176"/>
      <c r="C42" s="364">
        <v>2.5000000000000001E-3</v>
      </c>
      <c r="D42" s="364">
        <v>2.5000000000000001E-3</v>
      </c>
      <c r="E42" s="364">
        <v>2.5000000000000001E-3</v>
      </c>
      <c r="F42" s="365"/>
      <c r="G42" s="364">
        <v>2.5000000000000001E-3</v>
      </c>
      <c r="H42" s="364" t="s">
        <v>40</v>
      </c>
      <c r="I42" s="364">
        <v>1E-3</v>
      </c>
      <c r="J42" s="31"/>
      <c r="K42" s="142"/>
      <c r="L42" s="17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2"/>
      <c r="AD42" s="382"/>
      <c r="AE42" s="382"/>
      <c r="AF42" s="382"/>
      <c r="AG42" s="382"/>
    </row>
    <row r="43" spans="1:33" ht="15.75">
      <c r="A43" s="169"/>
      <c r="B43" s="17"/>
      <c r="C43" s="297"/>
      <c r="D43" s="297"/>
      <c r="E43" s="297"/>
      <c r="F43" s="297"/>
      <c r="G43" s="297"/>
      <c r="H43" s="297"/>
      <c r="I43" s="297"/>
      <c r="J43" s="378"/>
      <c r="K43" s="378"/>
      <c r="L43" s="7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382"/>
      <c r="AC43" s="382"/>
      <c r="AD43" s="382"/>
      <c r="AE43" s="382"/>
      <c r="AF43" s="382"/>
      <c r="AG43" s="382"/>
    </row>
    <row r="44" spans="1:33" ht="15.75">
      <c r="A44" s="169"/>
      <c r="B44" s="17"/>
      <c r="C44" s="297"/>
      <c r="D44" s="478"/>
      <c r="E44" s="465"/>
      <c r="F44" s="297"/>
      <c r="G44" s="297"/>
      <c r="H44" s="297"/>
      <c r="I44" s="297"/>
      <c r="J44" s="378"/>
      <c r="K44" s="378"/>
      <c r="L44" s="7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  <c r="AA44" s="382"/>
      <c r="AB44" s="382"/>
      <c r="AC44" s="382"/>
      <c r="AD44" s="382"/>
      <c r="AE44" s="382"/>
      <c r="AF44" s="382"/>
      <c r="AG44" s="382"/>
    </row>
    <row r="45" spans="1:33" ht="15.75">
      <c r="A45" s="473"/>
      <c r="B45" s="50"/>
      <c r="C45" s="474"/>
      <c r="D45" s="297"/>
      <c r="E45" s="297"/>
      <c r="F45" s="297"/>
      <c r="G45" s="297"/>
      <c r="H45" s="297"/>
      <c r="I45" s="297"/>
      <c r="J45" s="17"/>
      <c r="K45" s="17"/>
      <c r="L45" s="7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</row>
    <row r="46" spans="1:33" ht="15.75">
      <c r="A46" s="169" t="s">
        <v>208</v>
      </c>
      <c r="B46" s="17"/>
      <c r="C46" s="297"/>
      <c r="D46" s="297"/>
      <c r="E46" s="297"/>
      <c r="F46" s="297"/>
      <c r="G46" s="297"/>
      <c r="H46" s="297"/>
      <c r="I46" s="297"/>
      <c r="J46" s="17"/>
      <c r="K46" s="17"/>
      <c r="L46" s="7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</row>
    <row r="47" spans="1:33">
      <c r="A47" s="17"/>
      <c r="B47" s="17"/>
      <c r="C47" s="378"/>
      <c r="D47" s="378"/>
      <c r="E47" s="378"/>
      <c r="F47" s="378"/>
      <c r="G47" s="378"/>
      <c r="H47" s="378"/>
      <c r="I47" s="378"/>
      <c r="J47" s="378"/>
      <c r="K47" s="378"/>
      <c r="L47" s="7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</row>
    <row r="48" spans="1:33">
      <c r="L48" s="7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</row>
    <row r="49" spans="1:33">
      <c r="A49" s="17"/>
      <c r="B49" s="17"/>
      <c r="C49" s="378"/>
      <c r="D49" s="378"/>
      <c r="E49" s="378"/>
      <c r="F49" s="378"/>
      <c r="G49" s="378"/>
      <c r="H49" s="378"/>
      <c r="I49" s="378"/>
      <c r="J49" s="378"/>
      <c r="K49" s="378"/>
      <c r="L49" s="7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382"/>
      <c r="AB49" s="382"/>
      <c r="AC49" s="382"/>
      <c r="AD49" s="382"/>
      <c r="AE49" s="382"/>
      <c r="AF49" s="382"/>
      <c r="AG49" s="382"/>
    </row>
    <row r="50" spans="1:33">
      <c r="L50" s="7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382"/>
      <c r="AB50" s="382"/>
      <c r="AC50" s="382"/>
      <c r="AD50" s="382"/>
      <c r="AE50" s="382"/>
      <c r="AF50" s="382"/>
      <c r="AG50" s="382"/>
    </row>
    <row r="51" spans="1:33">
      <c r="L51" s="7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</row>
    <row r="52" spans="1:33">
      <c r="L52" s="145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82"/>
      <c r="AB52" s="382"/>
      <c r="AC52" s="382"/>
      <c r="AD52" s="382"/>
      <c r="AE52" s="382"/>
      <c r="AF52" s="382"/>
      <c r="AG52" s="382"/>
    </row>
    <row r="53" spans="1:33">
      <c r="L53" s="447"/>
      <c r="M53" s="382"/>
      <c r="N53" s="382"/>
      <c r="O53" s="382"/>
      <c r="P53" s="382"/>
      <c r="Q53" s="382"/>
      <c r="R53" s="382"/>
      <c r="S53" s="382"/>
      <c r="T53" s="382"/>
      <c r="U53" s="382"/>
      <c r="V53" s="382"/>
      <c r="W53" s="382"/>
      <c r="X53" s="382"/>
      <c r="Y53" s="382"/>
      <c r="Z53" s="382"/>
      <c r="AA53" s="382"/>
      <c r="AB53" s="382"/>
      <c r="AC53" s="382"/>
      <c r="AD53" s="382"/>
      <c r="AE53" s="382"/>
      <c r="AF53" s="382"/>
      <c r="AG53" s="382"/>
    </row>
    <row r="54" spans="1:33">
      <c r="A54" s="86"/>
      <c r="B54" s="17"/>
      <c r="C54" s="378"/>
      <c r="D54" s="378"/>
      <c r="E54" s="378"/>
      <c r="F54" s="378"/>
      <c r="G54" s="378"/>
      <c r="H54" s="378"/>
      <c r="I54" s="378"/>
      <c r="J54" s="378"/>
      <c r="K54" s="378"/>
      <c r="L54" s="447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  <c r="AA54" s="382"/>
      <c r="AB54" s="382"/>
      <c r="AC54" s="382"/>
      <c r="AD54" s="382"/>
      <c r="AE54" s="382"/>
      <c r="AF54" s="382"/>
      <c r="AG54" s="382"/>
    </row>
    <row r="55" spans="1:33">
      <c r="A55" s="382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447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  <c r="AG55" s="382"/>
    </row>
    <row r="56" spans="1:3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447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</row>
    <row r="57" spans="1:33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447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2"/>
      <c r="X57" s="382"/>
      <c r="Y57" s="382"/>
      <c r="Z57" s="382"/>
      <c r="AA57" s="382"/>
      <c r="AB57" s="382"/>
      <c r="AC57" s="382"/>
      <c r="AD57" s="382"/>
      <c r="AE57" s="382"/>
      <c r="AF57" s="382"/>
      <c r="AG57" s="382"/>
    </row>
    <row r="58" spans="1:33">
      <c r="A58" s="382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447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382"/>
      <c r="AB58" s="382"/>
      <c r="AC58" s="382"/>
      <c r="AD58" s="382"/>
      <c r="AE58" s="382"/>
      <c r="AF58" s="382"/>
      <c r="AG58" s="382"/>
    </row>
    <row r="59" spans="1:33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447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2"/>
      <c r="X59" s="382"/>
      <c r="Y59" s="382"/>
      <c r="Z59" s="382"/>
      <c r="AA59" s="382"/>
      <c r="AB59" s="382"/>
      <c r="AC59" s="382"/>
      <c r="AD59" s="382"/>
      <c r="AE59" s="382"/>
      <c r="AF59" s="382"/>
      <c r="AG59" s="382"/>
    </row>
    <row r="60" spans="1:33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2"/>
      <c r="X60" s="382"/>
      <c r="Y60" s="382"/>
      <c r="Z60" s="382"/>
      <c r="AA60" s="382"/>
      <c r="AB60" s="382"/>
      <c r="AC60" s="382"/>
      <c r="AD60" s="382"/>
      <c r="AE60" s="382"/>
      <c r="AF60" s="382"/>
      <c r="AG60" s="382"/>
    </row>
    <row r="61" spans="1:33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82"/>
      <c r="AB61" s="382"/>
      <c r="AC61" s="382"/>
      <c r="AD61" s="382"/>
      <c r="AE61" s="382"/>
      <c r="AF61" s="382"/>
      <c r="AG61" s="382"/>
    </row>
    <row r="62" spans="1:33"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382"/>
      <c r="AB62" s="382"/>
      <c r="AC62" s="382"/>
      <c r="AD62" s="382"/>
      <c r="AE62" s="382"/>
      <c r="AF62" s="382"/>
      <c r="AG62" s="382"/>
    </row>
    <row r="63" spans="1:33"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82"/>
      <c r="Y63" s="382"/>
      <c r="Z63" s="382"/>
      <c r="AA63" s="382"/>
      <c r="AB63" s="382"/>
      <c r="AC63" s="382"/>
      <c r="AD63" s="382"/>
      <c r="AE63" s="382"/>
      <c r="AF63" s="382"/>
      <c r="AG63" s="382"/>
    </row>
    <row r="64" spans="1:33"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382"/>
      <c r="AB64" s="382"/>
      <c r="AC64" s="382"/>
      <c r="AD64" s="382"/>
      <c r="AE64" s="382"/>
      <c r="AF64" s="382"/>
      <c r="AG64" s="382"/>
    </row>
    <row r="65" spans="12:33"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2"/>
    </row>
    <row r="66" spans="12:33"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2"/>
    </row>
    <row r="67" spans="12:33"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</row>
    <row r="68" spans="12:33"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F68" s="382"/>
      <c r="AG68" s="382"/>
    </row>
    <row r="69" spans="12:33"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2"/>
      <c r="AC69" s="382"/>
      <c r="AD69" s="382"/>
      <c r="AE69" s="382"/>
      <c r="AF69" s="382"/>
      <c r="AG69" s="382"/>
    </row>
  </sheetData>
  <mergeCells count="2">
    <mergeCell ref="C5:E5"/>
    <mergeCell ref="G5:I5"/>
  </mergeCells>
  <pageMargins left="0.75" right="0.75" top="1" bottom="1" header="0.5" footer="0.5"/>
  <pageSetup scale="66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2"/>
  <sheetViews>
    <sheetView zoomScale="75" zoomScaleNormal="75" workbookViewId="0"/>
  </sheetViews>
  <sheetFormatPr defaultColWidth="9.28515625" defaultRowHeight="15.75"/>
  <cols>
    <col min="1" max="1" width="52" style="36" bestFit="1" customWidth="1"/>
    <col min="2" max="2" width="6.7109375" style="36" customWidth="1"/>
    <col min="3" max="5" width="9.85546875" style="36" customWidth="1"/>
    <col min="6" max="7" width="11.5703125" style="36" customWidth="1"/>
    <col min="8" max="8" width="10.28515625" style="36" customWidth="1"/>
    <col min="9" max="22" width="9.85546875" style="36" customWidth="1"/>
    <col min="23" max="16384" width="9.28515625" style="36"/>
  </cols>
  <sheetData>
    <row r="1" spans="1:22" ht="12" customHeight="1">
      <c r="A1" s="25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ht="18.75">
      <c r="A2" s="412" t="s">
        <v>237</v>
      </c>
      <c r="B2" s="124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3" spans="1:22"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</row>
    <row r="4" spans="1:22">
      <c r="C4" s="206">
        <v>2001</v>
      </c>
      <c r="D4" s="206">
        <v>2002</v>
      </c>
      <c r="E4" s="206">
        <v>2003</v>
      </c>
      <c r="F4" s="206">
        <v>2004</v>
      </c>
      <c r="G4" s="206">
        <v>2005</v>
      </c>
      <c r="H4" s="206">
        <v>2006</v>
      </c>
      <c r="I4" s="206">
        <v>2007</v>
      </c>
      <c r="J4" s="206">
        <v>2008</v>
      </c>
      <c r="K4" s="206">
        <v>2009</v>
      </c>
      <c r="L4" s="206">
        <v>2010</v>
      </c>
      <c r="M4" s="206">
        <v>2011</v>
      </c>
      <c r="N4" s="206">
        <v>2012</v>
      </c>
      <c r="O4" s="206">
        <v>2013</v>
      </c>
      <c r="P4" s="206">
        <v>2014</v>
      </c>
      <c r="Q4" s="206">
        <v>2015</v>
      </c>
      <c r="R4" s="206">
        <v>2016</v>
      </c>
      <c r="S4" s="206">
        <v>2017</v>
      </c>
      <c r="T4" s="206">
        <v>2018</v>
      </c>
      <c r="U4" s="206">
        <v>2019</v>
      </c>
      <c r="V4" s="206">
        <v>2020</v>
      </c>
    </row>
    <row r="5" spans="1:22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</row>
    <row r="6" spans="1:22">
      <c r="A6" s="233" t="s">
        <v>261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</row>
    <row r="7" spans="1:22">
      <c r="A7" s="233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</row>
    <row r="8" spans="1:22">
      <c r="A8" s="36" t="s">
        <v>258</v>
      </c>
      <c r="C8" s="213">
        <f>Assumptions!$C$16</f>
        <v>4</v>
      </c>
      <c r="D8" s="213">
        <f>Assumptions!$C$16</f>
        <v>4</v>
      </c>
      <c r="E8" s="213">
        <f>Assumptions!$C$16</f>
        <v>4</v>
      </c>
      <c r="F8" s="515">
        <v>0</v>
      </c>
      <c r="G8" s="515">
        <v>0</v>
      </c>
      <c r="H8" s="515">
        <v>0</v>
      </c>
      <c r="I8" s="515">
        <v>0</v>
      </c>
      <c r="J8" s="515">
        <v>0</v>
      </c>
      <c r="K8" s="515">
        <v>0</v>
      </c>
      <c r="L8" s="515">
        <v>0</v>
      </c>
      <c r="M8" s="515">
        <v>0</v>
      </c>
      <c r="N8" s="515">
        <v>0</v>
      </c>
      <c r="O8" s="515">
        <v>0</v>
      </c>
      <c r="P8" s="515">
        <v>0</v>
      </c>
      <c r="Q8" s="515">
        <v>0</v>
      </c>
      <c r="R8" s="515">
        <v>0</v>
      </c>
      <c r="S8" s="515">
        <v>0</v>
      </c>
      <c r="T8" s="515">
        <v>0</v>
      </c>
      <c r="U8" s="515">
        <v>0</v>
      </c>
      <c r="V8" s="515">
        <v>0</v>
      </c>
    </row>
    <row r="9" spans="1:22"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</row>
    <row r="10" spans="1:22"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</row>
    <row r="11" spans="1:22"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</row>
    <row r="12" spans="1:22">
      <c r="A12" s="233" t="s">
        <v>262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</row>
    <row r="13" spans="1:22">
      <c r="A13" s="233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</row>
    <row r="14" spans="1:22">
      <c r="A14" s="215" t="s">
        <v>221</v>
      </c>
      <c r="C14" s="299">
        <f>Assumptions!C25</f>
        <v>0.03</v>
      </c>
      <c r="D14" s="169"/>
      <c r="E14" s="204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</row>
    <row r="15" spans="1:22">
      <c r="A15" s="215"/>
      <c r="B15" s="514"/>
      <c r="C15" s="169"/>
      <c r="D15" s="169"/>
      <c r="E15" s="204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</row>
    <row r="16" spans="1:22">
      <c r="A16" s="169"/>
      <c r="B16" s="203"/>
      <c r="C16" s="169"/>
      <c r="D16" s="169"/>
      <c r="E16" s="204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</row>
    <row r="17" spans="1:28">
      <c r="A17" s="233" t="s">
        <v>50</v>
      </c>
      <c r="B17" s="169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</row>
    <row r="18" spans="1:28">
      <c r="A18" s="169" t="s">
        <v>196</v>
      </c>
      <c r="B18" s="169"/>
    </row>
    <row r="19" spans="1:28">
      <c r="A19" s="169"/>
      <c r="B19" s="169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</row>
    <row r="20" spans="1:28">
      <c r="A20" s="234" t="s">
        <v>51</v>
      </c>
      <c r="B20" s="169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</row>
    <row r="21" spans="1:28">
      <c r="A21" s="169" t="s">
        <v>222</v>
      </c>
      <c r="B21" s="207"/>
      <c r="C21" s="208">
        <v>60.97229916897507</v>
      </c>
      <c r="D21" s="208">
        <v>62.131742415801384</v>
      </c>
      <c r="E21" s="208">
        <v>63.313233521424777</v>
      </c>
      <c r="F21" s="208">
        <v>64.517191745760613</v>
      </c>
      <c r="G21" s="208">
        <v>65.744044321329639</v>
      </c>
      <c r="H21" s="208">
        <v>64.64769576191091</v>
      </c>
      <c r="I21" s="208">
        <v>63.569629925682506</v>
      </c>
      <c r="J21" s="208">
        <v>62.50954192970881</v>
      </c>
      <c r="K21" s="208">
        <v>61.467131975286122</v>
      </c>
      <c r="L21" s="208">
        <v>60.442105263157892</v>
      </c>
      <c r="M21" s="208">
        <v>59.792038989376501</v>
      </c>
      <c r="N21" s="208">
        <v>59.148964301319459</v>
      </c>
      <c r="O21" s="208">
        <v>58.512806003159973</v>
      </c>
      <c r="P21" s="208">
        <v>57.883489707816537</v>
      </c>
      <c r="Q21" s="208">
        <v>57.26094182825485</v>
      </c>
      <c r="R21" s="208">
        <v>56.386317952681878</v>
      </c>
      <c r="S21" s="208">
        <v>55.525053391491426</v>
      </c>
      <c r="T21" s="208">
        <v>54.676944089791142</v>
      </c>
      <c r="U21" s="208">
        <v>53.841789109495259</v>
      </c>
      <c r="V21" s="208">
        <v>53.019390581717452</v>
      </c>
      <c r="W21" s="209"/>
    </row>
    <row r="22" spans="1:28">
      <c r="A22" s="169"/>
      <c r="B22" s="169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10"/>
    </row>
    <row r="23" spans="1:28">
      <c r="A23" s="234" t="s">
        <v>52</v>
      </c>
      <c r="B23" s="169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10"/>
    </row>
    <row r="24" spans="1:28">
      <c r="A24" s="169" t="s">
        <v>223</v>
      </c>
      <c r="B24" s="211"/>
      <c r="C24" s="208">
        <f>C21*(1+'Power Price Assumption'!$C$14)^(C4-1998)</f>
        <v>66.626077554016618</v>
      </c>
      <c r="D24" s="208">
        <f>D21*(1+'Power Price Assumption'!$C$14)^(D4-1998)</f>
        <v>69.929823469635139</v>
      </c>
      <c r="E24" s="208">
        <f>E21*(1+'Power Price Assumption'!$C$14)^(E4-1998)</f>
        <v>73.397390181489428</v>
      </c>
      <c r="F24" s="208">
        <f>F21*(1+'Power Price Assumption'!$C$14)^(F4-1998)</f>
        <v>77.036900969627297</v>
      </c>
      <c r="G24" s="208">
        <f>G21*(1+'Power Price Assumption'!$C$14)^(G4-1998)</f>
        <v>80.85688191813766</v>
      </c>
      <c r="H24" s="208">
        <f>H21*(1+'Power Price Assumption'!$C$14)^(H4-1998)</f>
        <v>81.893766821837715</v>
      </c>
      <c r="I24" s="208">
        <f>I21*(1+'Power Price Assumption'!$C$14)^(I4-1998)</f>
        <v>82.943948432979582</v>
      </c>
      <c r="J24" s="208">
        <f>J21*(1+'Power Price Assumption'!$C$14)^(J4-1998)</f>
        <v>84.00759726463383</v>
      </c>
      <c r="K24" s="208">
        <f>K21*(1+'Power Price Assumption'!$C$14)^(K4-1998)</f>
        <v>85.084886016480638</v>
      </c>
      <c r="L24" s="208">
        <f>L21*(1+'Power Price Assumption'!$C$14)^(L4-1998)</f>
        <v>86.17598960285008</v>
      </c>
      <c r="M24" s="208">
        <f>M21*(1+'Power Price Assumption'!$C$14)^(M4-1998)</f>
        <v>87.806625051909762</v>
      </c>
      <c r="N24" s="208">
        <f>N21*(1+'Power Price Assumption'!$C$14)^(N4-1998)</f>
        <v>89.468115637997585</v>
      </c>
      <c r="O24" s="208">
        <f>O21*(1+'Power Price Assumption'!$C$14)^(O4-1998)</f>
        <v>91.161045206804843</v>
      </c>
      <c r="P24" s="208">
        <f>P21*(1+'Power Price Assumption'!$C$14)^(P4-1998)</f>
        <v>92.886008651641561</v>
      </c>
      <c r="Q24" s="208">
        <f>Q21*(1+'Power Price Assumption'!$C$14)^(Q4-1998)</f>
        <v>94.643612122481485</v>
      </c>
      <c r="R24" s="208">
        <f>R21*(1+'Power Price Assumption'!$C$14)^(R4-1998)</f>
        <v>95.993931884230719</v>
      </c>
      <c r="S24" s="208">
        <f>S21*(1+'Power Price Assumption'!$C$14)^(S4-1998)</f>
        <v>97.363517219409388</v>
      </c>
      <c r="T24" s="208">
        <f>T21*(1+'Power Price Assumption'!$C$14)^(T4-1998)</f>
        <v>98.752642997963164</v>
      </c>
      <c r="U24" s="208">
        <f>U21*(1+'Power Price Assumption'!$C$14)^(U4-1998)</f>
        <v>100.16158801152146</v>
      </c>
      <c r="V24" s="208">
        <f>V21*(1+'Power Price Assumption'!$C$14)^(V4-1998)</f>
        <v>101.59063502934997</v>
      </c>
      <c r="W24" s="210"/>
    </row>
    <row r="25" spans="1:28">
      <c r="A25" s="169" t="s">
        <v>224</v>
      </c>
      <c r="B25" s="169"/>
      <c r="C25" s="212">
        <f t="shared" ref="C25:V25" si="0">C24/12</f>
        <v>5.5521731295013845</v>
      </c>
      <c r="D25" s="212">
        <f t="shared" si="0"/>
        <v>5.8274852891362618</v>
      </c>
      <c r="E25" s="212">
        <f t="shared" si="0"/>
        <v>6.1164491817907853</v>
      </c>
      <c r="F25" s="212">
        <f t="shared" si="0"/>
        <v>6.4197417474689411</v>
      </c>
      <c r="G25" s="212">
        <f t="shared" si="0"/>
        <v>6.7380734931781383</v>
      </c>
      <c r="H25" s="212">
        <f t="shared" si="0"/>
        <v>6.824480568486476</v>
      </c>
      <c r="I25" s="212">
        <f t="shared" si="0"/>
        <v>6.9119957027482988</v>
      </c>
      <c r="J25" s="212">
        <f t="shared" si="0"/>
        <v>7.0006331053861528</v>
      </c>
      <c r="K25" s="212">
        <f t="shared" si="0"/>
        <v>7.0904071680400529</v>
      </c>
      <c r="L25" s="212">
        <f t="shared" si="0"/>
        <v>7.1813324669041734</v>
      </c>
      <c r="M25" s="212">
        <f t="shared" si="0"/>
        <v>7.3172187543258138</v>
      </c>
      <c r="N25" s="212">
        <f t="shared" si="0"/>
        <v>7.4556763031664657</v>
      </c>
      <c r="O25" s="212">
        <f t="shared" si="0"/>
        <v>7.5967537672337366</v>
      </c>
      <c r="P25" s="212">
        <f t="shared" si="0"/>
        <v>7.7405007209701298</v>
      </c>
      <c r="Q25" s="212">
        <f t="shared" si="0"/>
        <v>7.8869676768734571</v>
      </c>
      <c r="R25" s="212">
        <f t="shared" si="0"/>
        <v>7.9994943236858935</v>
      </c>
      <c r="S25" s="212">
        <f t="shared" si="0"/>
        <v>8.113626434950783</v>
      </c>
      <c r="T25" s="212">
        <f t="shared" si="0"/>
        <v>8.2293869164969298</v>
      </c>
      <c r="U25" s="212">
        <f t="shared" si="0"/>
        <v>8.3467990009601216</v>
      </c>
      <c r="V25" s="212">
        <f t="shared" si="0"/>
        <v>8.4658862524458307</v>
      </c>
      <c r="W25" s="210"/>
    </row>
    <row r="26" spans="1:28" ht="16.5" thickBot="1">
      <c r="A26" s="169"/>
      <c r="B26" s="169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2"/>
      <c r="X26" s="124"/>
      <c r="Y26" s="124"/>
      <c r="Z26" s="124"/>
      <c r="AA26" s="124"/>
      <c r="AB26" s="124"/>
    </row>
    <row r="27" spans="1:28" ht="16.5" thickBot="1">
      <c r="A27" s="510" t="s">
        <v>260</v>
      </c>
      <c r="B27" s="511"/>
      <c r="C27" s="512">
        <f>C8</f>
        <v>4</v>
      </c>
      <c r="D27" s="512">
        <f>D8</f>
        <v>4</v>
      </c>
      <c r="E27" s="512">
        <f>E8</f>
        <v>4</v>
      </c>
      <c r="F27" s="512">
        <f>F25</f>
        <v>6.4197417474689411</v>
      </c>
      <c r="G27" s="512">
        <f t="shared" ref="G27:V27" si="1">G25</f>
        <v>6.7380734931781383</v>
      </c>
      <c r="H27" s="512">
        <f t="shared" si="1"/>
        <v>6.824480568486476</v>
      </c>
      <c r="I27" s="512">
        <f t="shared" si="1"/>
        <v>6.9119957027482988</v>
      </c>
      <c r="J27" s="512">
        <f t="shared" si="1"/>
        <v>7.0006331053861528</v>
      </c>
      <c r="K27" s="512">
        <f t="shared" si="1"/>
        <v>7.0904071680400529</v>
      </c>
      <c r="L27" s="512">
        <f t="shared" si="1"/>
        <v>7.1813324669041734</v>
      </c>
      <c r="M27" s="512">
        <f t="shared" si="1"/>
        <v>7.3172187543258138</v>
      </c>
      <c r="N27" s="512">
        <f t="shared" si="1"/>
        <v>7.4556763031664657</v>
      </c>
      <c r="O27" s="512">
        <f t="shared" si="1"/>
        <v>7.5967537672337366</v>
      </c>
      <c r="P27" s="512">
        <f t="shared" si="1"/>
        <v>7.7405007209701298</v>
      </c>
      <c r="Q27" s="512">
        <f t="shared" si="1"/>
        <v>7.8869676768734571</v>
      </c>
      <c r="R27" s="512">
        <f t="shared" si="1"/>
        <v>7.9994943236858935</v>
      </c>
      <c r="S27" s="512">
        <f t="shared" si="1"/>
        <v>8.113626434950783</v>
      </c>
      <c r="T27" s="512">
        <f t="shared" si="1"/>
        <v>8.2293869164969298</v>
      </c>
      <c r="U27" s="512">
        <f t="shared" si="1"/>
        <v>8.3467990009601216</v>
      </c>
      <c r="V27" s="513">
        <f t="shared" si="1"/>
        <v>8.4658862524458307</v>
      </c>
    </row>
    <row r="28" spans="1:28" s="124" customFormat="1">
      <c r="A28" s="215"/>
      <c r="B28" s="38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</row>
    <row r="29" spans="1:28">
      <c r="A29" s="169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09"/>
      <c r="X29" s="218"/>
      <c r="Y29" s="218"/>
    </row>
    <row r="30" spans="1:28">
      <c r="A30" s="233" t="s">
        <v>54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</row>
    <row r="31" spans="1:28">
      <c r="A31" s="169" t="s">
        <v>55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</row>
    <row r="32" spans="1:28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</row>
    <row r="33" spans="1:25">
      <c r="A33" s="234" t="s">
        <v>51</v>
      </c>
      <c r="B33" s="169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</row>
    <row r="34" spans="1:25">
      <c r="A34" s="169" t="s">
        <v>222</v>
      </c>
      <c r="B34" s="216"/>
      <c r="C34" s="208">
        <v>63.677659574468088</v>
      </c>
      <c r="D34" s="208">
        <v>65.100779776943028</v>
      </c>
      <c r="E34" s="208">
        <v>66.555705028853311</v>
      </c>
      <c r="F34" s="208">
        <v>68.043146135349346</v>
      </c>
      <c r="G34" s="208">
        <v>69.563829787234042</v>
      </c>
      <c r="H34" s="208">
        <v>68.90950818778056</v>
      </c>
      <c r="I34" s="208">
        <v>68.261341176951959</v>
      </c>
      <c r="J34" s="208">
        <v>67.619270864314558</v>
      </c>
      <c r="K34" s="208">
        <v>66.983239903955678</v>
      </c>
      <c r="L34" s="208">
        <v>66.353191489361706</v>
      </c>
      <c r="M34" s="208">
        <v>65.246684783649414</v>
      </c>
      <c r="N34" s="208">
        <v>64.158630198510451</v>
      </c>
      <c r="O34" s="208">
        <v>63.088720026136173</v>
      </c>
      <c r="P34" s="208">
        <v>62.036651690057468</v>
      </c>
      <c r="Q34" s="208">
        <v>61.002127659574469</v>
      </c>
      <c r="R34" s="208">
        <v>60.120860172387651</v>
      </c>
      <c r="S34" s="208">
        <v>59.25232391956542</v>
      </c>
      <c r="T34" s="208">
        <v>58.396334979278365</v>
      </c>
      <c r="U34" s="208">
        <v>57.55271208672454</v>
      </c>
      <c r="V34" s="208">
        <v>56.721276595744683</v>
      </c>
    </row>
    <row r="35" spans="1:25">
      <c r="A35" s="169"/>
      <c r="B35" s="216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5">
      <c r="A36" s="234" t="s">
        <v>52</v>
      </c>
      <c r="B36" s="216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</row>
    <row r="37" spans="1:25">
      <c r="A37" s="169" t="s">
        <v>223</v>
      </c>
      <c r="B37" s="216"/>
      <c r="C37" s="219">
        <f>C34*(1+'Power Price Assumption'!$C$14)^(C4-1998)</f>
        <v>69.582297913829791</v>
      </c>
      <c r="D37" s="219">
        <f>D34*(1+'Power Price Assumption'!$C$14)^(D4-1998)</f>
        <v>73.271501176819214</v>
      </c>
      <c r="E37" s="219">
        <f>E34*(1+'Power Price Assumption'!$C$14)^(E4-1998)</f>
        <v>77.156303336707765</v>
      </c>
      <c r="F37" s="219">
        <f>F34*(1+'Power Price Assumption'!$C$14)^(F4-1998)</f>
        <v>81.247074905972227</v>
      </c>
      <c r="G37" s="219">
        <f>G34*(1+'Power Price Assumption'!$C$14)^(G4-1998)</f>
        <v>85.554736234183238</v>
      </c>
      <c r="H37" s="219">
        <f>H34*(1+'Power Price Assumption'!$C$14)^(H4-1998)</f>
        <v>87.292503295415372</v>
      </c>
      <c r="I37" s="219">
        <f>I34*(1+'Power Price Assumption'!$C$14)^(I4-1998)</f>
        <v>89.065567459905907</v>
      </c>
      <c r="J37" s="219">
        <f>J34*(1+'Power Price Assumption'!$C$14)^(J4-1998)</f>
        <v>90.874645673859078</v>
      </c>
      <c r="K37" s="219">
        <f>K34*(1+'Power Price Assumption'!$C$14)^(K4-1998)</f>
        <v>92.720469445916706</v>
      </c>
      <c r="L37" s="219">
        <f>L34*(1+'Power Price Assumption'!$C$14)^(L4-1998)</f>
        <v>94.603785142946663</v>
      </c>
      <c r="M37" s="219">
        <f>M34*(1+'Power Price Assumption'!$C$14)^(M4-1998)</f>
        <v>95.816956295736318</v>
      </c>
      <c r="N37" s="219">
        <f>N34*(1+'Power Price Assumption'!$C$14)^(N4-1998)</f>
        <v>97.045684799045745</v>
      </c>
      <c r="O37" s="219">
        <f>O34*(1+'Power Price Assumption'!$C$14)^(O4-1998)</f>
        <v>98.29017015576828</v>
      </c>
      <c r="P37" s="219">
        <f>P34*(1+'Power Price Assumption'!$C$14)^(P4-1998)</f>
        <v>99.550614427163865</v>
      </c>
      <c r="Q37" s="219">
        <f>Q34*(1+'Power Price Assumption'!$C$14)^(Q4-1998)</f>
        <v>100.82722226566673</v>
      </c>
      <c r="R37" s="219">
        <f>R34*(1+'Power Price Assumption'!$C$14)^(R4-1998)</f>
        <v>102.35174002765409</v>
      </c>
      <c r="S37" s="219">
        <f>S34*(1+'Power Price Assumption'!$C$14)^(S4-1998)</f>
        <v>103.89930865184301</v>
      </c>
      <c r="T37" s="219">
        <f>T34*(1+'Power Price Assumption'!$C$14)^(T4-1998)</f>
        <v>105.47027666959309</v>
      </c>
      <c r="U37" s="219">
        <f>U34*(1+'Power Price Assumption'!$C$14)^(U4-1998)</f>
        <v>107.06499788209312</v>
      </c>
      <c r="V37" s="219">
        <f>V34*(1+'Power Price Assumption'!$C$14)^(V4-1998)</f>
        <v>108.68383144004159</v>
      </c>
    </row>
    <row r="38" spans="1:25">
      <c r="A38" s="169" t="s">
        <v>224</v>
      </c>
      <c r="B38" s="169"/>
      <c r="C38" s="212">
        <f t="shared" ref="C38:V38" si="2">C37/12</f>
        <v>5.7985248261524829</v>
      </c>
      <c r="D38" s="212">
        <f t="shared" si="2"/>
        <v>6.1059584314016009</v>
      </c>
      <c r="E38" s="212">
        <f t="shared" si="2"/>
        <v>6.4296919447256471</v>
      </c>
      <c r="F38" s="212">
        <f t="shared" si="2"/>
        <v>6.7705895754976853</v>
      </c>
      <c r="G38" s="212">
        <f t="shared" si="2"/>
        <v>7.1295613528486035</v>
      </c>
      <c r="H38" s="212">
        <f t="shared" si="2"/>
        <v>7.274375274617948</v>
      </c>
      <c r="I38" s="212">
        <f t="shared" si="2"/>
        <v>7.4221306216588259</v>
      </c>
      <c r="J38" s="212">
        <f t="shared" si="2"/>
        <v>7.5728871394882562</v>
      </c>
      <c r="K38" s="212">
        <f t="shared" si="2"/>
        <v>7.7267057871597258</v>
      </c>
      <c r="L38" s="212">
        <f t="shared" si="2"/>
        <v>7.8836487619122222</v>
      </c>
      <c r="M38" s="212">
        <f t="shared" si="2"/>
        <v>7.9847463579780262</v>
      </c>
      <c r="N38" s="212">
        <f t="shared" si="2"/>
        <v>8.0871403999204787</v>
      </c>
      <c r="O38" s="212">
        <f t="shared" si="2"/>
        <v>8.1908475129806906</v>
      </c>
      <c r="P38" s="212">
        <f t="shared" si="2"/>
        <v>8.2958845355969881</v>
      </c>
      <c r="Q38" s="212">
        <f t="shared" si="2"/>
        <v>8.4022685221388951</v>
      </c>
      <c r="R38" s="212">
        <f t="shared" si="2"/>
        <v>8.5293116689711734</v>
      </c>
      <c r="S38" s="212">
        <f t="shared" si="2"/>
        <v>8.6582757209869179</v>
      </c>
      <c r="T38" s="212">
        <f t="shared" si="2"/>
        <v>8.7891897224660909</v>
      </c>
      <c r="U38" s="212">
        <f t="shared" si="2"/>
        <v>8.9220831568410937</v>
      </c>
      <c r="V38" s="212">
        <f t="shared" si="2"/>
        <v>9.0569859533367989</v>
      </c>
    </row>
    <row r="39" spans="1:25" ht="16.5" thickBot="1">
      <c r="A39" s="169"/>
      <c r="B39" s="169"/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</row>
    <row r="40" spans="1:25" ht="16.5" thickBot="1">
      <c r="A40" s="510" t="s">
        <v>259</v>
      </c>
      <c r="B40" s="511"/>
      <c r="C40" s="512">
        <f>C8</f>
        <v>4</v>
      </c>
      <c r="D40" s="512">
        <f>D8</f>
        <v>4</v>
      </c>
      <c r="E40" s="512">
        <f>E8</f>
        <v>4</v>
      </c>
      <c r="F40" s="512">
        <f>F38</f>
        <v>6.7705895754976853</v>
      </c>
      <c r="G40" s="512">
        <f t="shared" ref="G40:V40" si="3">G38</f>
        <v>7.1295613528486035</v>
      </c>
      <c r="H40" s="512">
        <f t="shared" si="3"/>
        <v>7.274375274617948</v>
      </c>
      <c r="I40" s="512">
        <f t="shared" si="3"/>
        <v>7.4221306216588259</v>
      </c>
      <c r="J40" s="512">
        <f t="shared" si="3"/>
        <v>7.5728871394882562</v>
      </c>
      <c r="K40" s="512">
        <f t="shared" si="3"/>
        <v>7.7267057871597258</v>
      </c>
      <c r="L40" s="512">
        <f t="shared" si="3"/>
        <v>7.8836487619122222</v>
      </c>
      <c r="M40" s="512">
        <f t="shared" si="3"/>
        <v>7.9847463579780262</v>
      </c>
      <c r="N40" s="512">
        <f t="shared" si="3"/>
        <v>8.0871403999204787</v>
      </c>
      <c r="O40" s="512">
        <f t="shared" si="3"/>
        <v>8.1908475129806906</v>
      </c>
      <c r="P40" s="512">
        <f t="shared" si="3"/>
        <v>8.2958845355969881</v>
      </c>
      <c r="Q40" s="512">
        <f t="shared" si="3"/>
        <v>8.4022685221388951</v>
      </c>
      <c r="R40" s="512">
        <f t="shared" si="3"/>
        <v>8.5293116689711734</v>
      </c>
      <c r="S40" s="512">
        <f t="shared" si="3"/>
        <v>8.6582757209869179</v>
      </c>
      <c r="T40" s="512">
        <f t="shared" si="3"/>
        <v>8.7891897224660909</v>
      </c>
      <c r="U40" s="512">
        <f t="shared" si="3"/>
        <v>8.9220831568410937</v>
      </c>
      <c r="V40" s="513">
        <f t="shared" si="3"/>
        <v>9.0569859533367989</v>
      </c>
    </row>
    <row r="41" spans="1:25">
      <c r="A41" s="169"/>
      <c r="B41" s="21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</row>
    <row r="42" spans="1:25">
      <c r="A42" s="169"/>
      <c r="B42" s="21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</row>
    <row r="43" spans="1:25">
      <c r="A43" s="233" t="s">
        <v>220</v>
      </c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09"/>
      <c r="X43" s="218"/>
      <c r="Y43" s="218"/>
    </row>
    <row r="44" spans="1:25">
      <c r="A44" s="169" t="s">
        <v>53</v>
      </c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09"/>
      <c r="X44" s="218"/>
      <c r="Y44" s="218"/>
    </row>
    <row r="45" spans="1:25">
      <c r="A45" s="169"/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09"/>
      <c r="X45" s="218"/>
      <c r="Y45" s="218"/>
    </row>
    <row r="46" spans="1:25">
      <c r="A46" s="234" t="s">
        <v>51</v>
      </c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09"/>
      <c r="X46" s="218"/>
      <c r="Y46" s="218"/>
    </row>
    <row r="47" spans="1:25">
      <c r="A47" s="169" t="s">
        <v>222</v>
      </c>
      <c r="B47" s="216"/>
      <c r="C47" s="208">
        <v>64.11023686899189</v>
      </c>
      <c r="D47" s="208">
        <v>65.16178520495788</v>
      </c>
      <c r="E47" s="208">
        <v>66.230581237342975</v>
      </c>
      <c r="F47" s="208">
        <v>67.31690786615431</v>
      </c>
      <c r="G47" s="208">
        <v>68.421052631578945</v>
      </c>
      <c r="H47" s="208">
        <v>67.767228351637073</v>
      </c>
      <c r="I47" s="208">
        <v>67.119651946765785</v>
      </c>
      <c r="J47" s="208">
        <v>66.478263712937448</v>
      </c>
      <c r="K47" s="208">
        <v>65.843004516649714</v>
      </c>
      <c r="L47" s="208">
        <v>65.213815789473685</v>
      </c>
      <c r="M47" s="208">
        <v>64.559364113585431</v>
      </c>
      <c r="N47" s="208">
        <v>63.911480171710068</v>
      </c>
      <c r="O47" s="208">
        <v>63.270098053511326</v>
      </c>
      <c r="P47" s="208">
        <v>62.63515251009445</v>
      </c>
      <c r="Q47" s="208">
        <v>62.006578947368418</v>
      </c>
      <c r="R47" s="208">
        <v>61.12669629598323</v>
      </c>
      <c r="S47" s="208">
        <v>60.259299311334551</v>
      </c>
      <c r="T47" s="208">
        <v>59.404210819939543</v>
      </c>
      <c r="U47" s="208">
        <v>58.561256162433608</v>
      </c>
      <c r="V47" s="208">
        <v>57.73026315789474</v>
      </c>
      <c r="Y47" s="218"/>
    </row>
    <row r="48" spans="1:25">
      <c r="A48" s="180"/>
      <c r="B48" s="169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Y48" s="218"/>
    </row>
    <row r="49" spans="1:25">
      <c r="A49" s="234" t="s">
        <v>52</v>
      </c>
      <c r="B49" s="169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Y49" s="218"/>
    </row>
    <row r="50" spans="1:25">
      <c r="A50" s="169" t="s">
        <v>223</v>
      </c>
      <c r="B50" s="169"/>
      <c r="C50" s="208">
        <f>C47*(1+'Power Price Assumption'!$C$14)^(C4-1998)</f>
        <v>70.054986803142896</v>
      </c>
      <c r="D50" s="208">
        <f>D47*(1+'Power Price Assumption'!$C$14)^(D4-1998)</f>
        <v>73.340163323507738</v>
      </c>
      <c r="E50" s="208">
        <f>E47*(1+'Power Price Assumption'!$C$14)^(E4-1998)</f>
        <v>76.779395754271718</v>
      </c>
      <c r="F50" s="208">
        <f>F47*(1+'Power Price Assumption'!$C$14)^(F4-1998)</f>
        <v>80.379908432812655</v>
      </c>
      <c r="G50" s="208">
        <f>G47*(1+'Power Price Assumption'!$C$14)^(G4-1998)</f>
        <v>84.149264476438475</v>
      </c>
      <c r="H50" s="208">
        <f>H47*(1+'Power Price Assumption'!$C$14)^(H4-1998)</f>
        <v>85.845497374416453</v>
      </c>
      <c r="I50" s="208">
        <f>I47*(1+'Power Price Assumption'!$C$14)^(I4-1998)</f>
        <v>87.575921968092345</v>
      </c>
      <c r="J50" s="208">
        <f>J47*(1+'Power Price Assumption'!$C$14)^(J4-1998)</f>
        <v>89.341227474174616</v>
      </c>
      <c r="K50" s="208">
        <f>K47*(1+'Power Price Assumption'!$C$14)^(K4-1998)</f>
        <v>91.142117002209176</v>
      </c>
      <c r="L50" s="208">
        <f>L47*(1+'Power Price Assumption'!$C$14)^(L4-1998)</f>
        <v>92.979307834623327</v>
      </c>
      <c r="M50" s="208">
        <f>M47*(1+'Power Price Assumption'!$C$14)^(M4-1998)</f>
        <v>94.807602719795241</v>
      </c>
      <c r="N50" s="208">
        <f>N47*(1+'Power Price Assumption'!$C$14)^(N4-1998)</f>
        <v>96.67184820800982</v>
      </c>
      <c r="O50" s="208">
        <f>O47*(1+'Power Price Assumption'!$C$14)^(O4-1998)</f>
        <v>98.572751212506091</v>
      </c>
      <c r="P50" s="208">
        <f>P47*(1+'Power Price Assumption'!$C$14)^(P4-1998)</f>
        <v>100.51103254688311</v>
      </c>
      <c r="Q50" s="208">
        <f>Q47*(1+'Power Price Assumption'!$C$14)^(Q4-1998)</f>
        <v>102.48742719842927</v>
      </c>
      <c r="R50" s="208">
        <f>R47*(1+'Power Price Assumption'!$C$14)^(R4-1998)</f>
        <v>104.06410869865259</v>
      </c>
      <c r="S50" s="208">
        <f>S47*(1+'Power Price Assumption'!$C$14)^(S4-1998)</f>
        <v>105.66504609660987</v>
      </c>
      <c r="T50" s="208">
        <f>T47*(1+'Power Price Assumption'!$C$14)^(T4-1998)</f>
        <v>107.29061254856313</v>
      </c>
      <c r="U50" s="208">
        <f>U47*(1+'Power Price Assumption'!$C$14)^(U4-1998)</f>
        <v>108.94118695146447</v>
      </c>
      <c r="V50" s="208">
        <f>V47*(1+'Power Price Assumption'!$C$14)^(V4-1998)</f>
        <v>110.61715403127204</v>
      </c>
    </row>
    <row r="51" spans="1:25">
      <c r="A51" s="169" t="s">
        <v>224</v>
      </c>
      <c r="B51" s="169"/>
      <c r="C51" s="212">
        <f t="shared" ref="C51:V51" si="4">C50/12</f>
        <v>5.8379155669285749</v>
      </c>
      <c r="D51" s="212">
        <f t="shared" si="4"/>
        <v>6.1116802769589782</v>
      </c>
      <c r="E51" s="212">
        <f t="shared" si="4"/>
        <v>6.3982829795226435</v>
      </c>
      <c r="F51" s="212">
        <f t="shared" si="4"/>
        <v>6.6983257027343877</v>
      </c>
      <c r="G51" s="212">
        <f t="shared" si="4"/>
        <v>7.0124387063698732</v>
      </c>
      <c r="H51" s="212">
        <f t="shared" si="4"/>
        <v>7.1537914478680378</v>
      </c>
      <c r="I51" s="212">
        <f t="shared" si="4"/>
        <v>7.2979934973410288</v>
      </c>
      <c r="J51" s="212">
        <f t="shared" si="4"/>
        <v>7.4451022895145513</v>
      </c>
      <c r="K51" s="212">
        <f t="shared" si="4"/>
        <v>7.5951764168507649</v>
      </c>
      <c r="L51" s="212">
        <f t="shared" si="4"/>
        <v>7.748275652885277</v>
      </c>
      <c r="M51" s="212">
        <f t="shared" si="4"/>
        <v>7.9006335599829365</v>
      </c>
      <c r="N51" s="212">
        <f t="shared" si="4"/>
        <v>8.0559873506674844</v>
      </c>
      <c r="O51" s="212">
        <f t="shared" si="4"/>
        <v>8.2143959343755082</v>
      </c>
      <c r="P51" s="212">
        <f t="shared" si="4"/>
        <v>8.3759193789069268</v>
      </c>
      <c r="Q51" s="212">
        <f t="shared" si="4"/>
        <v>8.54061893320244</v>
      </c>
      <c r="R51" s="212">
        <f t="shared" si="4"/>
        <v>8.6720090582210485</v>
      </c>
      <c r="S51" s="212">
        <f t="shared" si="4"/>
        <v>8.8054205080508225</v>
      </c>
      <c r="T51" s="212">
        <f t="shared" si="4"/>
        <v>8.9408843790469277</v>
      </c>
      <c r="U51" s="212">
        <f t="shared" si="4"/>
        <v>9.0784322459553728</v>
      </c>
      <c r="V51" s="212">
        <f t="shared" si="4"/>
        <v>9.2180961692726697</v>
      </c>
    </row>
    <row r="52" spans="1:25" ht="16.5" thickBot="1">
      <c r="A52" s="169"/>
      <c r="B52" s="169"/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</row>
    <row r="53" spans="1:25" ht="16.5" thickBot="1">
      <c r="A53" s="510" t="s">
        <v>263</v>
      </c>
      <c r="B53" s="511"/>
      <c r="C53" s="512">
        <v>4</v>
      </c>
      <c r="D53" s="512">
        <v>4</v>
      </c>
      <c r="E53" s="512">
        <v>4</v>
      </c>
      <c r="F53" s="512">
        <f>F51</f>
        <v>6.6983257027343877</v>
      </c>
      <c r="G53" s="512">
        <f t="shared" ref="G53:V53" si="5">G51</f>
        <v>7.0124387063698732</v>
      </c>
      <c r="H53" s="512">
        <f t="shared" si="5"/>
        <v>7.1537914478680378</v>
      </c>
      <c r="I53" s="512">
        <f t="shared" si="5"/>
        <v>7.2979934973410288</v>
      </c>
      <c r="J53" s="512">
        <f t="shared" si="5"/>
        <v>7.4451022895145513</v>
      </c>
      <c r="K53" s="512">
        <f t="shared" si="5"/>
        <v>7.5951764168507649</v>
      </c>
      <c r="L53" s="512">
        <f t="shared" si="5"/>
        <v>7.748275652885277</v>
      </c>
      <c r="M53" s="512">
        <f t="shared" si="5"/>
        <v>7.9006335599829365</v>
      </c>
      <c r="N53" s="512">
        <f t="shared" si="5"/>
        <v>8.0559873506674844</v>
      </c>
      <c r="O53" s="512">
        <f t="shared" si="5"/>
        <v>8.2143959343755082</v>
      </c>
      <c r="P53" s="512">
        <f t="shared" si="5"/>
        <v>8.3759193789069268</v>
      </c>
      <c r="Q53" s="512">
        <f t="shared" si="5"/>
        <v>8.54061893320244</v>
      </c>
      <c r="R53" s="512">
        <f t="shared" si="5"/>
        <v>8.6720090582210485</v>
      </c>
      <c r="S53" s="512">
        <f t="shared" si="5"/>
        <v>8.8054205080508225</v>
      </c>
      <c r="T53" s="512">
        <f t="shared" si="5"/>
        <v>8.9408843790469277</v>
      </c>
      <c r="U53" s="512">
        <f t="shared" si="5"/>
        <v>9.0784322459553728</v>
      </c>
      <c r="V53" s="513">
        <f t="shared" si="5"/>
        <v>9.2180961692726697</v>
      </c>
    </row>
    <row r="54" spans="1:25">
      <c r="A54" s="169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</row>
    <row r="55" spans="1: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</row>
    <row r="56" spans="1: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</row>
    <row r="57" spans="1: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</row>
    <row r="58" spans="1: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</row>
    <row r="59" spans="1: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</row>
    <row r="60" spans="1:25">
      <c r="A60" s="169"/>
      <c r="B60" s="216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</row>
    <row r="61" spans="1:25">
      <c r="A61" s="169"/>
      <c r="B61" s="216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</row>
    <row r="62" spans="1: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</row>
    <row r="63" spans="1: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</row>
    <row r="64" spans="1: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</row>
    <row r="65" spans="1:22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</row>
    <row r="66" spans="1:22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</row>
    <row r="67" spans="1:2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</row>
    <row r="68" spans="1:2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</row>
    <row r="69" spans="1:22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</row>
    <row r="70" spans="1:22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</row>
    <row r="71" spans="1:22">
      <c r="A71" s="169"/>
      <c r="B71" s="169"/>
    </row>
    <row r="72" spans="1:22">
      <c r="A72" s="169"/>
      <c r="B72" s="169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8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151</v>
      </c>
      <c r="B2" s="26"/>
    </row>
    <row r="3" spans="1:45" ht="16.5" customHeight="1">
      <c r="A3" s="460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</row>
    <row r="4" spans="1:45">
      <c r="A4" s="46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469">
        <f>SUM(Z5:AS5)-SUM(Z6:AS6)</f>
        <v>0</v>
      </c>
      <c r="Z5" s="470">
        <f>B11+B12</f>
        <v>11141.219198871495</v>
      </c>
      <c r="AA5" s="470">
        <f>C11+C12</f>
        <v>11475.455774837641</v>
      </c>
      <c r="AB5" s="470">
        <f>D11+D12</f>
        <v>11819.719448082771</v>
      </c>
      <c r="AC5" s="470">
        <f t="shared" ref="AC5:AS5" si="1">E17</f>
        <v>10120.257453275251</v>
      </c>
      <c r="AD5" s="470">
        <f t="shared" si="1"/>
        <v>10423.865176873511</v>
      </c>
      <c r="AE5" s="470">
        <f t="shared" si="1"/>
        <v>10736.581132179715</v>
      </c>
      <c r="AF5" s="470">
        <f t="shared" si="1"/>
        <v>11058.678566145109</v>
      </c>
      <c r="AG5" s="470">
        <f t="shared" si="1"/>
        <v>11390.438923129459</v>
      </c>
      <c r="AH5" s="470">
        <f t="shared" si="1"/>
        <v>11732.152090823341</v>
      </c>
      <c r="AI5" s="470">
        <f t="shared" si="1"/>
        <v>12084.116653548044</v>
      </c>
      <c r="AJ5" s="470">
        <f t="shared" si="1"/>
        <v>12446.640153154485</v>
      </c>
      <c r="AK5" s="470">
        <f t="shared" si="1"/>
        <v>12820.039357749118</v>
      </c>
      <c r="AL5" s="470">
        <f t="shared" si="1"/>
        <v>13204.64053848159</v>
      </c>
      <c r="AM5" s="470">
        <f t="shared" si="1"/>
        <v>13600.779754636038</v>
      </c>
      <c r="AN5" s="470">
        <f t="shared" si="1"/>
        <v>14008.803147275121</v>
      </c>
      <c r="AO5" s="470">
        <f t="shared" si="1"/>
        <v>14429.067241693374</v>
      </c>
      <c r="AP5" s="470">
        <f t="shared" si="1"/>
        <v>14861.939258944176</v>
      </c>
      <c r="AQ5" s="470">
        <f t="shared" si="1"/>
        <v>15307.797436712499</v>
      </c>
      <c r="AR5" s="470">
        <f t="shared" si="1"/>
        <v>15767.031359813875</v>
      </c>
      <c r="AS5" s="470">
        <f t="shared" si="1"/>
        <v>16240.042300608293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469">
        <v>0</v>
      </c>
      <c r="Z6" s="471">
        <f>B24+B25</f>
        <v>11141.219198871495</v>
      </c>
      <c r="AA6" s="471">
        <f>C24+C25</f>
        <v>11475.455774837641</v>
      </c>
      <c r="AB6" s="471">
        <f>D24+D25</f>
        <v>11819.719448082771</v>
      </c>
      <c r="AC6" s="471">
        <f t="shared" ref="AC6:AS6" si="2">E24+1/3*E25</f>
        <v>10120.257453275251</v>
      </c>
      <c r="AD6" s="471">
        <f t="shared" si="2"/>
        <v>10423.865176873511</v>
      </c>
      <c r="AE6" s="471">
        <f t="shared" si="2"/>
        <v>10736.581132179715</v>
      </c>
      <c r="AF6" s="471">
        <f t="shared" si="2"/>
        <v>11058.678566145109</v>
      </c>
      <c r="AG6" s="471">
        <f t="shared" si="2"/>
        <v>11390.438923129459</v>
      </c>
      <c r="AH6" s="471">
        <f t="shared" si="2"/>
        <v>11732.152090823341</v>
      </c>
      <c r="AI6" s="471">
        <f t="shared" si="2"/>
        <v>12084.116653548044</v>
      </c>
      <c r="AJ6" s="471">
        <f t="shared" si="2"/>
        <v>12446.640153154483</v>
      </c>
      <c r="AK6" s="471">
        <f t="shared" si="2"/>
        <v>12820.039357749116</v>
      </c>
      <c r="AL6" s="471">
        <f t="shared" si="2"/>
        <v>13204.640538481592</v>
      </c>
      <c r="AM6" s="471">
        <f t="shared" si="2"/>
        <v>13600.779754636038</v>
      </c>
      <c r="AN6" s="471">
        <f t="shared" si="2"/>
        <v>14008.803147275125</v>
      </c>
      <c r="AO6" s="471">
        <f t="shared" si="2"/>
        <v>14429.067241693374</v>
      </c>
      <c r="AP6" s="471">
        <f t="shared" si="2"/>
        <v>14861.939258944176</v>
      </c>
      <c r="AQ6" s="471">
        <f t="shared" si="2"/>
        <v>15307.797436712501</v>
      </c>
      <c r="AR6" s="471">
        <f t="shared" si="2"/>
        <v>15767.031359813875</v>
      </c>
      <c r="AS6" s="471">
        <f t="shared" si="2"/>
        <v>16240.042300608293</v>
      </c>
    </row>
    <row r="7" spans="1:45">
      <c r="A7" s="2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</row>
    <row r="8" spans="1:45">
      <c r="A8" s="1" t="s">
        <v>57</v>
      </c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91"/>
      <c r="W8" s="91"/>
    </row>
    <row r="9" spans="1:45">
      <c r="A9" s="34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58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46">
        <f>SUM(B10:U10)</f>
        <v>415152</v>
      </c>
      <c r="X10" s="400">
        <f>SUM(Caledonia!W9,'New Albany'!W9,Wheatland!W9,Wilton!W9,Brownsville!W9,Gleason!W9)</f>
        <v>415152</v>
      </c>
      <c r="Y10" s="400">
        <f>W10-X10</f>
        <v>0</v>
      </c>
    </row>
    <row r="11" spans="1:45">
      <c r="A11" s="3" t="s">
        <v>204</v>
      </c>
      <c r="B11" s="122">
        <f>SUM(Caledonia!B10,'New Albany'!B10,Wheatland!B10,Wilton!B10,Brownsville!B10,Gleason!B10)</f>
        <v>8321.5941988714949</v>
      </c>
      <c r="C11" s="122">
        <f>SUM(Caledonia!C10,'New Albany'!C10,Wheatland!C10,Wilton!C10,Brownsville!C10,Gleason!C10)</f>
        <v>8571.2420248376402</v>
      </c>
      <c r="D11" s="122">
        <f>SUM(Caledonia!D10,'New Albany'!D10,Wheatland!D10,Wilton!D10,Brownsville!D10,Gleason!D10)</f>
        <v>8828.3792855827705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46">
        <f>SUM(B11:U11)</f>
        <v>25721.215509291906</v>
      </c>
      <c r="X11" s="400">
        <f>SUM(Caledonia!W10,'New Albany'!W10,Wheatland!W10,Wilton!W10,Brownsville!W10,Gleason!W10)</f>
        <v>25721.215509291909</v>
      </c>
      <c r="Y11" s="400">
        <f>W11-X11</f>
        <v>0</v>
      </c>
    </row>
    <row r="12" spans="1:45">
      <c r="A12" s="3" t="s">
        <v>249</v>
      </c>
      <c r="B12" s="122">
        <f>SUM(Caledonia!B11,'New Albany'!B11,Wheatland!B11,Wilton!B11,Brownsville!B11,Gleason!B11)</f>
        <v>2819.625</v>
      </c>
      <c r="C12" s="122">
        <f>SUM(Caledonia!C11,'New Albany'!C11,Wheatland!C11,Wilton!C11,Brownsville!C11,Gleason!C11)</f>
        <v>2904.2137500000003</v>
      </c>
      <c r="D12" s="122">
        <f>SUM(Caledonia!D11,'New Albany'!D11,Wheatland!D11,Wilton!D11,Brownsville!D11,Gleason!D11)</f>
        <v>2991.3401625000001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46">
        <f>SUM(B12:U12)</f>
        <v>8715.1789125000014</v>
      </c>
      <c r="X12" s="400">
        <f>SUM(Caledonia!W11,'New Albany'!W11,Wheatland!W11,Wilton!W11,Brownsville!W11,Gleason!W11)</f>
        <v>8715.1789124999996</v>
      </c>
      <c r="Y12" s="400">
        <f>W12-X12</f>
        <v>0</v>
      </c>
    </row>
    <row r="13" spans="1:45">
      <c r="A13" s="3" t="s">
        <v>269</v>
      </c>
      <c r="B13" s="122">
        <f>SUM(Caledonia!B12,'New Albany'!B12,Wheatland!B12,Wilton!B12,Brownsville!B12,Gleason!B12)</f>
        <v>54056.268887400991</v>
      </c>
      <c r="C13" s="122">
        <f>SUM(Caledonia!C12,'New Albany'!C12,Wheatland!C12,Wilton!C12,Brownsville!C12,Gleason!C12)</f>
        <v>54056.268887400991</v>
      </c>
      <c r="D13" s="122">
        <f>SUM(Caledonia!D12,'New Albany'!D12,Wheatland!D12,Wilton!D12,Brownsville!D12,Gleason!D12)</f>
        <v>54056.268887400991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46">
        <f>SUM(B13:U13)</f>
        <v>162168.80666220299</v>
      </c>
      <c r="X13" s="400">
        <f>SUM(Caledonia!W12,'New Albany'!W12,Wheatland!W12,Wilton!W12,Brownsville!W12,Gleason!W12)</f>
        <v>162168.80666220299</v>
      </c>
      <c r="Y13" s="400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46"/>
      <c r="X14" s="44"/>
      <c r="Y14" s="44"/>
    </row>
    <row r="15" spans="1:45">
      <c r="A15" s="343" t="s">
        <v>274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46"/>
      <c r="X15" s="44"/>
      <c r="Y15" s="44"/>
    </row>
    <row r="16" spans="1:45">
      <c r="A16" s="3" t="s">
        <v>58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226108.71578313431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241039.78806590749</v>
      </c>
      <c r="H16" s="122">
        <f>SUM(Caledonia!H15,'New Albany'!H15,Wheatland!H15,Wilton!H15,Brownsville!H15,Gleason!H15)</f>
        <v>244820.80418428406</v>
      </c>
      <c r="I16" s="122">
        <f>SUM(Caledonia!I15,'New Albany'!I15,Wheatland!I15,Wilton!I15,Brownsville!I15,Gleason!I15)</f>
        <v>248664.26283367604</v>
      </c>
      <c r="J16" s="122">
        <f>SUM(Caledonia!J15,'New Albany'!J15,Wheatland!J15,Wilton!J15,Brownsville!J15,Gleason!J15)</f>
        <v>252571.24703667156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261167.95013132872</v>
      </c>
      <c r="M16" s="122">
        <f>SUM(Caledonia!M15,'New Albany'!M15,Wheatland!M15,Wilton!M15,Brownsville!M15,Gleason!M15)</f>
        <v>265877.9042926071</v>
      </c>
      <c r="N16" s="122">
        <f>SUM(Caledonia!N15,'New Albany'!N15,Wheatland!N15,Wilton!N15,Brownsville!N15,Gleason!N15)</f>
        <v>270674.29930869752</v>
      </c>
      <c r="O16" s="122">
        <f>SUM(Caledonia!O15,'New Albany'!O15,Wheatland!O15,Wilton!O15,Brownsville!O15,Gleason!O15)</f>
        <v>275558.74218548497</v>
      </c>
      <c r="P16" s="122">
        <f>SUM(Caledonia!P15,'New Albany'!P15,Wheatland!P15,Wilton!P15,Brownsville!P15,Gleason!P15)</f>
        <v>280532.87008258747</v>
      </c>
      <c r="Q16" s="122">
        <f>SUM(Caledonia!Q15,'New Albany'!Q15,Wheatland!Q15,Wilton!Q15,Brownsville!Q15,Gleason!Q15)</f>
        <v>284645.34295281465</v>
      </c>
      <c r="R16" s="122">
        <f>SUM(Caledonia!R15,'New Albany'!R15,Wheatland!R15,Wilton!R15,Brownsville!R15,Gleason!R15)</f>
        <v>288818.17167413898</v>
      </c>
      <c r="S16" s="122">
        <f>SUM(Caledonia!S15,'New Albany'!S15,Wheatland!S15,Wilton!S15,Brownsville!S15,Gleason!S15)</f>
        <v>293052.24307555868</v>
      </c>
      <c r="T16" s="122">
        <f>SUM(Caledonia!T15,'New Albany'!T15,Wheatland!T15,Wilton!T15,Brownsville!T15,Gleason!T15)</f>
        <v>297348.45703187038</v>
      </c>
      <c r="U16" s="122">
        <f>SUM(Caledonia!U15,'New Albany'!U15,Wheatland!U15,Wilton!U15,Brownsville!U15,Gleason!U15)</f>
        <v>301707.72665580967</v>
      </c>
      <c r="W16" s="446">
        <f>SUM(B16:U16)</f>
        <v>4526451.5354023315</v>
      </c>
      <c r="X16" s="400">
        <f>SUM(Caledonia!W15,'New Albany'!W15,Wheatland!W15,Wilton!W15,Brownsville!W15,Gleason!W15)</f>
        <v>4526451.5354023306</v>
      </c>
      <c r="Y16" s="400">
        <f>W16-X16</f>
        <v>0</v>
      </c>
    </row>
    <row r="17" spans="1:25">
      <c r="A17" s="3" t="s">
        <v>59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10120.257453275251</v>
      </c>
      <c r="F17" s="122">
        <f>SUM(Caledonia!F16,'New Albany'!F16,Wheatland!F16,Wilton!F16,Brownsville!F16,Gleason!F16)</f>
        <v>10423.865176873511</v>
      </c>
      <c r="G17" s="122">
        <f>SUM(Caledonia!G16,'New Albany'!G16,Wheatland!G16,Wilton!G16,Brownsville!G16,Gleason!G16)</f>
        <v>10736.581132179715</v>
      </c>
      <c r="H17" s="122">
        <f>SUM(Caledonia!H16,'New Albany'!H16,Wheatland!H16,Wilton!H16,Brownsville!H16,Gleason!H16)</f>
        <v>11058.678566145109</v>
      </c>
      <c r="I17" s="122">
        <f>SUM(Caledonia!I16,'New Albany'!I16,Wheatland!I16,Wilton!I16,Brownsville!I16,Gleason!I16)</f>
        <v>11390.438923129459</v>
      </c>
      <c r="J17" s="122">
        <f>SUM(Caledonia!J16,'New Albany'!J16,Wheatland!J16,Wilton!J16,Brownsville!J16,Gleason!J16)</f>
        <v>11732.152090823341</v>
      </c>
      <c r="K17" s="122">
        <f>SUM(Caledonia!K16,'New Albany'!K16,Wheatland!K16,Wilton!K16,Brownsville!K16,Gleason!K16)</f>
        <v>12084.116653548044</v>
      </c>
      <c r="L17" s="122">
        <f>SUM(Caledonia!L16,'New Albany'!L16,Wheatland!L16,Wilton!L16,Brownsville!L16,Gleason!L16)</f>
        <v>12446.640153154485</v>
      </c>
      <c r="M17" s="122">
        <f>SUM(Caledonia!M16,'New Albany'!M16,Wheatland!M16,Wilton!M16,Brownsville!M16,Gleason!M16)</f>
        <v>12820.039357749118</v>
      </c>
      <c r="N17" s="122">
        <f>SUM(Caledonia!N16,'New Albany'!N16,Wheatland!N16,Wilton!N16,Brownsville!N16,Gleason!N16)</f>
        <v>13204.64053848159</v>
      </c>
      <c r="O17" s="122">
        <f>SUM(Caledonia!O16,'New Albany'!O16,Wheatland!O16,Wilton!O16,Brownsville!O16,Gleason!O16)</f>
        <v>13600.779754636038</v>
      </c>
      <c r="P17" s="122">
        <f>SUM(Caledonia!P16,'New Albany'!P16,Wheatland!P16,Wilton!P16,Brownsville!P16,Gleason!P16)</f>
        <v>14008.803147275121</v>
      </c>
      <c r="Q17" s="122">
        <f>SUM(Caledonia!Q16,'New Albany'!Q16,Wheatland!Q16,Wilton!Q16,Brownsville!Q16,Gleason!Q16)</f>
        <v>14429.067241693374</v>
      </c>
      <c r="R17" s="122">
        <f>SUM(Caledonia!R16,'New Albany'!R16,Wheatland!R16,Wilton!R16,Brownsville!R16,Gleason!R16)</f>
        <v>14861.939258944176</v>
      </c>
      <c r="S17" s="122">
        <f>SUM(Caledonia!S16,'New Albany'!S16,Wheatland!S16,Wilton!S16,Brownsville!S16,Gleason!S16)</f>
        <v>15307.797436712499</v>
      </c>
      <c r="T17" s="122">
        <f>SUM(Caledonia!T16,'New Albany'!T16,Wheatland!T16,Wilton!T16,Brownsville!T16,Gleason!T16)</f>
        <v>15767.031359813875</v>
      </c>
      <c r="U17" s="122">
        <f>SUM(Caledonia!U16,'New Albany'!U16,Wheatland!U16,Wilton!U16,Brownsville!U16,Gleason!U16)</f>
        <v>16240.042300608293</v>
      </c>
      <c r="W17" s="446">
        <f>SUM(B17:U17)</f>
        <v>220232.87054504303</v>
      </c>
      <c r="X17" s="400">
        <f>SUM(Caledonia!W16,'New Albany'!W16,Wheatland!W16,Wilton!W16,Brownsville!W16,Gleason!W16)</f>
        <v>220232.87054504303</v>
      </c>
      <c r="Y17" s="400">
        <f>W17-X17</f>
        <v>0</v>
      </c>
    </row>
    <row r="18" spans="1:25">
      <c r="A18" s="3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W18" s="446"/>
      <c r="X18" s="400"/>
      <c r="Y18" s="400"/>
    </row>
    <row r="19" spans="1:25">
      <c r="A19" s="3" t="s">
        <v>167</v>
      </c>
      <c r="B19" s="146">
        <f>SUM(Caledonia!B18,'New Albany'!B18,Wheatland!B18,Wilton!B18,Brownsville!B18,Gleason!B18)</f>
        <v>1526.2226379747012</v>
      </c>
      <c r="C19" s="146">
        <f>SUM(Caledonia!C18,'New Albany'!C18,Wheatland!C18,Wilton!C18,Brownsville!C18,Gleason!C18)</f>
        <v>1519.0143721401485</v>
      </c>
      <c r="D19" s="146">
        <f>SUM(Caledonia!D18,'New Albany'!D18,Wheatland!D18,Wilton!D18,Brownsville!D18,Gleason!D18)</f>
        <v>1512.7014940276467</v>
      </c>
      <c r="E19" s="146">
        <f>SUM(Caledonia!E18,'New Albany'!E18,Wheatland!E18,Wilton!E18,Brownsville!E18,Gleason!E18)</f>
        <v>2578.9913585176901</v>
      </c>
      <c r="F19" s="146">
        <f>SUM(Caledonia!F18,'New Albany'!F18,Wheatland!F18,Wilton!F18,Brownsville!F18,Gleason!F18)</f>
        <v>2714.0183421555334</v>
      </c>
      <c r="G19" s="146">
        <f>SUM(Caledonia!G18,'New Albany'!G18,Wheatland!G18,Wilton!G18,Brownsville!G18,Gleason!G18)</f>
        <v>2753.33468036863</v>
      </c>
      <c r="H19" s="146">
        <f>SUM(Caledonia!H18,'New Albany'!H18,Wheatland!H18,Wilton!H18,Brownsville!H18,Gleason!H18)</f>
        <v>2793.9098306797937</v>
      </c>
      <c r="I19" s="146">
        <f>SUM(Caledonia!I18,'New Albany'!I18,Wheatland!I18,Wilton!I18,Brownsville!I18,Gleason!I18)</f>
        <v>2835.8064216467169</v>
      </c>
      <c r="J19" s="146">
        <f>SUM(Caledonia!J18,'New Albany'!J18,Wheatland!J18,Wilton!J18,Brownsville!J18,Gleason!J18)</f>
        <v>2879.8593793692262</v>
      </c>
      <c r="K19" s="146">
        <f>SUM(Caledonia!K18,'New Albany'!K18,Wheatland!K18,Wilton!K18,Brownsville!K18,Gleason!K18)</f>
        <v>2913.4394232938012</v>
      </c>
      <c r="L19" s="146">
        <f>SUM(Caledonia!L18,'New Albany'!L18,Wheatland!L18,Wilton!L18,Brownsville!L18,Gleason!L18)</f>
        <v>2968.027266678971</v>
      </c>
      <c r="M19" s="146">
        <f>SUM(Caledonia!M18,'New Albany'!M18,Wheatland!M18,Wilton!M18,Brownsville!M18,Gleason!M18)</f>
        <v>3025.871312156677</v>
      </c>
      <c r="N19" s="146">
        <f>SUM(Caledonia!N18,'New Albany'!N18,Wheatland!N18,Wilton!N18,Brownsville!N18,Gleason!N18)</f>
        <v>3078.4041825931408</v>
      </c>
      <c r="O19" s="146">
        <f>SUM(Caledonia!O18,'New Albany'!O18,Wheatland!O18,Wilton!O18,Brownsville!O18,Gleason!O18)</f>
        <v>3132.9919624041072</v>
      </c>
      <c r="P19" s="146">
        <f>SUM(Caledonia!P18,'New Albany'!P18,Wheatland!P18,Wilton!P18,Brownsville!P18,Gleason!P18)</f>
        <v>3182.370973594755</v>
      </c>
      <c r="Q19" s="146">
        <f>SUM(Caledonia!Q18,'New Albany'!Q18,Wheatland!Q18,Wilton!Q18,Brownsville!Q18,Gleason!Q18)</f>
        <v>3233.6806997003246</v>
      </c>
      <c r="R19" s="146">
        <f>SUM(Caledonia!R18,'New Albany'!R18,Wheatland!R18,Wilton!R18,Brownsville!R18,Gleason!R18)</f>
        <v>3278.136835366282</v>
      </c>
      <c r="S19" s="146">
        <f>SUM(Caledonia!S18,'New Albany'!S18,Wheatland!S18,Wilton!S18,Brownsville!S18,Gleason!S18)</f>
        <v>3323.1099590856229</v>
      </c>
      <c r="T19" s="146">
        <f>SUM(Caledonia!T18,'New Albany'!T18,Wheatland!T18,Wilton!T18,Brownsville!T18,Gleason!T18)</f>
        <v>3368.6038741411867</v>
      </c>
      <c r="U19" s="146">
        <f>SUM(Caledonia!U18,'New Albany'!U18,Wheatland!U18,Wilton!U18,Brownsville!U18,Gleason!U18)</f>
        <v>3414.7380575425013</v>
      </c>
      <c r="W19" s="446">
        <f>SUM(B19:U19)</f>
        <v>56033.233063437467</v>
      </c>
      <c r="X19" s="400">
        <f>SUM(Caledonia!W18,'New Albany'!W18,Wheatland!W18,Wilton!W18,Brownsville!W18,Gleason!W18)</f>
        <v>56033.233063437452</v>
      </c>
      <c r="Y19" s="400">
        <f>W19-X19</f>
        <v>0</v>
      </c>
    </row>
    <row r="20" spans="1:25">
      <c r="A20" s="3" t="s">
        <v>60</v>
      </c>
      <c r="B20" s="122">
        <f t="shared" ref="B20:U20" si="3">SUM(B10:B19)</f>
        <v>205107.71072424721</v>
      </c>
      <c r="C20" s="122">
        <f t="shared" si="3"/>
        <v>205434.73903437876</v>
      </c>
      <c r="D20" s="122">
        <f t="shared" si="3"/>
        <v>205772.68982951142</v>
      </c>
      <c r="E20" s="122">
        <f t="shared" si="3"/>
        <v>238807.96459492727</v>
      </c>
      <c r="F20" s="122">
        <f t="shared" si="3"/>
        <v>250458.03421300824</v>
      </c>
      <c r="G20" s="122">
        <f t="shared" si="3"/>
        <v>254529.70387845582</v>
      </c>
      <c r="H20" s="122">
        <f t="shared" si="3"/>
        <v>258673.39258110896</v>
      </c>
      <c r="I20" s="122">
        <f t="shared" si="3"/>
        <v>262890.5081784522</v>
      </c>
      <c r="J20" s="122">
        <f t="shared" si="3"/>
        <v>267183.25850686413</v>
      </c>
      <c r="K20" s="122">
        <f t="shared" si="3"/>
        <v>271540.41549062217</v>
      </c>
      <c r="L20" s="122">
        <f t="shared" si="3"/>
        <v>276582.6175511622</v>
      </c>
      <c r="M20" s="122">
        <f t="shared" si="3"/>
        <v>281723.81496251287</v>
      </c>
      <c r="N20" s="122">
        <f t="shared" si="3"/>
        <v>286957.34402977227</v>
      </c>
      <c r="O20" s="122">
        <f t="shared" si="3"/>
        <v>292292.51390252513</v>
      </c>
      <c r="P20" s="122">
        <f t="shared" si="3"/>
        <v>297724.04420345736</v>
      </c>
      <c r="Q20" s="122">
        <f t="shared" si="3"/>
        <v>302308.09089420835</v>
      </c>
      <c r="R20" s="122">
        <f t="shared" si="3"/>
        <v>306958.24776844942</v>
      </c>
      <c r="S20" s="122">
        <f t="shared" si="3"/>
        <v>311683.15047135681</v>
      </c>
      <c r="T20" s="122">
        <f t="shared" si="3"/>
        <v>316484.09226582543</v>
      </c>
      <c r="U20" s="122">
        <f t="shared" si="3"/>
        <v>321362.50701396045</v>
      </c>
      <c r="W20" s="446">
        <f>SUM(B20:U20)</f>
        <v>5414474.8400948066</v>
      </c>
      <c r="X20" s="400">
        <f>SUM(Caledonia!W19,'New Albany'!W19,Wheatland!W19,Wilton!W19,Brownsville!W19,Gleason!W19)</f>
        <v>5414474.8400948066</v>
      </c>
      <c r="Y20" s="400">
        <f>W20-X20</f>
        <v>0</v>
      </c>
    </row>
    <row r="21" spans="1:25">
      <c r="A21" s="3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W21" s="446"/>
      <c r="X21" s="44"/>
      <c r="Y21" s="44"/>
    </row>
    <row r="22" spans="1:25">
      <c r="A22" s="1" t="s">
        <v>61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W22" s="446"/>
      <c r="X22" s="44"/>
      <c r="Y22" s="44"/>
    </row>
    <row r="23" spans="1:25">
      <c r="A23" s="3" t="s">
        <v>48</v>
      </c>
      <c r="B23" s="122">
        <f>SUM(Caledonia!B22,'New Albany'!B22,Wheatland!B22,Wilton!B22,Brownsville!B22,Gleason!B22)</f>
        <v>9650.9069691714285</v>
      </c>
      <c r="C23" s="122">
        <f>SUM(Caledonia!C22,'New Albany'!C22,Wheatland!C22,Wilton!C22,Brownsville!C22,Gleason!C22)</f>
        <v>9940.4341782465726</v>
      </c>
      <c r="D23" s="122">
        <f>SUM(Caledonia!D22,'New Albany'!D22,Wheatland!D22,Wilton!D22,Brownsville!D22,Gleason!D22)</f>
        <v>10238.64720359397</v>
      </c>
      <c r="E23" s="122">
        <f>SUM(Caledonia!E22,'New Albany'!E22,Wheatland!E22,Wilton!E22,Brownsville!E22,Gleason!E22)</f>
        <v>10545.806619701789</v>
      </c>
      <c r="F23" s="122">
        <f>SUM(Caledonia!F22,'New Albany'!F22,Wheatland!F22,Wilton!F22,Brownsville!F22,Gleason!F22)</f>
        <v>10862.180818292843</v>
      </c>
      <c r="G23" s="122">
        <f>SUM(Caledonia!G22,'New Albany'!G22,Wheatland!G22,Wilton!G22,Brownsville!G22,Gleason!G22)</f>
        <v>11188.046242841629</v>
      </c>
      <c r="H23" s="122">
        <f>SUM(Caledonia!H22,'New Albany'!H22,Wheatland!H22,Wilton!H22,Brownsville!H22,Gleason!H22)</f>
        <v>11523.687630126879</v>
      </c>
      <c r="I23" s="122">
        <f>SUM(Caledonia!I22,'New Albany'!I22,Wheatland!I22,Wilton!I22,Brownsville!I22,Gleason!I22)</f>
        <v>11869.398259030686</v>
      </c>
      <c r="J23" s="122">
        <f>SUM(Caledonia!J22,'New Albany'!J22,Wheatland!J22,Wilton!J22,Brownsville!J22,Gleason!J22)</f>
        <v>12225.480206801605</v>
      </c>
      <c r="K23" s="122">
        <f>SUM(Caledonia!K22,'New Albany'!K22,Wheatland!K22,Wilton!K22,Brownsville!K22,Gleason!K22)</f>
        <v>12592.244613005654</v>
      </c>
      <c r="L23" s="122">
        <f>SUM(Caledonia!L22,'New Albany'!L22,Wheatland!L22,Wilton!L22,Brownsville!L22,Gleason!L22)</f>
        <v>12970.011951395823</v>
      </c>
      <c r="M23" s="122">
        <f>SUM(Caledonia!M22,'New Albany'!M22,Wheatland!M22,Wilton!M22,Brownsville!M22,Gleason!M22)</f>
        <v>13359.1123099377</v>
      </c>
      <c r="N23" s="122">
        <f>SUM(Caledonia!N22,'New Albany'!N22,Wheatland!N22,Wilton!N22,Brownsville!N22,Gleason!N22)</f>
        <v>13759.885679235831</v>
      </c>
      <c r="O23" s="122">
        <f>SUM(Caledonia!O22,'New Albany'!O22,Wheatland!O22,Wilton!O22,Brownsville!O22,Gleason!O22)</f>
        <v>14172.682249612908</v>
      </c>
      <c r="P23" s="122">
        <f>SUM(Caledonia!P22,'New Albany'!P22,Wheatland!P22,Wilton!P22,Brownsville!P22,Gleason!P22)</f>
        <v>14597.862717101296</v>
      </c>
      <c r="Q23" s="122">
        <f>SUM(Caledonia!Q22,'New Albany'!Q22,Wheatland!Q22,Wilton!Q22,Brownsville!Q22,Gleason!Q22)</f>
        <v>15035.798598614334</v>
      </c>
      <c r="R23" s="122">
        <f>SUM(Caledonia!R22,'New Albany'!R22,Wheatland!R22,Wilton!R22,Brownsville!R22,Gleason!R22)</f>
        <v>15486.872556572765</v>
      </c>
      <c r="S23" s="122">
        <f>SUM(Caledonia!S22,'New Albany'!S22,Wheatland!S22,Wilton!S22,Brownsville!S22,Gleason!S22)</f>
        <v>15951.478733269949</v>
      </c>
      <c r="T23" s="122">
        <f>SUM(Caledonia!T22,'New Albany'!T22,Wheatland!T22,Wilton!T22,Brownsville!T22,Gleason!T22)</f>
        <v>16430.023095268047</v>
      </c>
      <c r="U23" s="122">
        <f>SUM(Caledonia!U22,'New Albany'!U22,Wheatland!U22,Wilton!U22,Brownsville!U22,Gleason!U22)</f>
        <v>16922.923788126089</v>
      </c>
      <c r="W23" s="446">
        <f t="shared" ref="W23:W29" si="4">SUM(B23:U23)</f>
        <v>259323.48441994784</v>
      </c>
      <c r="X23" s="400">
        <f>SUM(Caledonia!W22,'New Albany'!W22,Wheatland!W22,Wilton!W22,Brownsville!W22,Gleason!W22)</f>
        <v>259323.48441994775</v>
      </c>
      <c r="Y23" s="400">
        <f t="shared" ref="Y23:Y29" si="5">W23-X23</f>
        <v>0</v>
      </c>
    </row>
    <row r="24" spans="1:25">
      <c r="A24" s="3" t="s">
        <v>49</v>
      </c>
      <c r="B24" s="122">
        <f>SUM(Caledonia!B23,'New Albany'!B23,Wheatland!B23,Wilton!B23,Brownsville!B23,Gleason!B23)</f>
        <v>8321.5941988714949</v>
      </c>
      <c r="C24" s="122">
        <f>SUM(Caledonia!C23,'New Albany'!C23,Wheatland!C23,Wilton!C23,Brownsville!C23,Gleason!C23)</f>
        <v>8571.2420248376402</v>
      </c>
      <c r="D24" s="122">
        <f>SUM(Caledonia!D23,'New Albany'!D23,Wheatland!D23,Wilton!D23,Brownsville!D23,Gleason!D23)</f>
        <v>8828.3792855827705</v>
      </c>
      <c r="E24" s="122">
        <f>SUM(Caledonia!E23,'New Albany'!E23,Wheatland!E23,Wilton!E23,Brownsville!E23,Gleason!E23)</f>
        <v>9093.230664150251</v>
      </c>
      <c r="F24" s="122">
        <f>SUM(Caledonia!F23,'New Albany'!F23,Wheatland!F23,Wilton!F23,Brownsville!F23,Gleason!F23)</f>
        <v>9366.0275840747599</v>
      </c>
      <c r="G24" s="122">
        <f>SUM(Caledonia!G23,'New Albany'!G23,Wheatland!G23,Wilton!G23,Brownsville!G23,Gleason!G23)</f>
        <v>9647.0084115970021</v>
      </c>
      <c r="H24" s="122">
        <f>SUM(Caledonia!H23,'New Albany'!H23,Wheatland!H23,Wilton!H23,Brownsville!H23,Gleason!H23)</f>
        <v>9936.4186639449144</v>
      </c>
      <c r="I24" s="122">
        <f>SUM(Caledonia!I23,'New Albany'!I23,Wheatland!I23,Wilton!I23,Brownsville!I23,Gleason!I23)</f>
        <v>10234.511223863259</v>
      </c>
      <c r="J24" s="122">
        <f>SUM(Caledonia!J23,'New Albany'!J23,Wheatland!J23,Wilton!J23,Brownsville!J23,Gleason!J23)</f>
        <v>10541.546560579156</v>
      </c>
      <c r="K24" s="122">
        <f>SUM(Caledonia!K23,'New Albany'!K23,Wheatland!K23,Wilton!K23,Brownsville!K23,Gleason!K23)</f>
        <v>10857.792957396532</v>
      </c>
      <c r="L24" s="122">
        <f>SUM(Caledonia!L23,'New Albany'!L23,Wheatland!L23,Wilton!L23,Brownsville!L23,Gleason!L23)</f>
        <v>11183.526746118427</v>
      </c>
      <c r="M24" s="122">
        <f>SUM(Caledonia!M23,'New Albany'!M23,Wheatland!M23,Wilton!M23,Brownsville!M23,Gleason!M23)</f>
        <v>11519.032548501978</v>
      </c>
      <c r="N24" s="122">
        <f>SUM(Caledonia!N23,'New Albany'!N23,Wheatland!N23,Wilton!N23,Brownsville!N23,Gleason!N23)</f>
        <v>11864.603524957038</v>
      </c>
      <c r="O24" s="122">
        <f>SUM(Caledonia!O23,'New Albany'!O23,Wheatland!O23,Wilton!O23,Brownsville!O23,Gleason!O23)</f>
        <v>12220.541630705749</v>
      </c>
      <c r="P24" s="122">
        <f>SUM(Caledonia!P23,'New Albany'!P23,Wheatland!P23,Wilton!P23,Brownsville!P23,Gleason!P23)</f>
        <v>12587.157879626926</v>
      </c>
      <c r="Q24" s="122">
        <f>SUM(Caledonia!Q23,'New Albany'!Q23,Wheatland!Q23,Wilton!Q23,Brownsville!Q23,Gleason!Q23)</f>
        <v>12964.772616015729</v>
      </c>
      <c r="R24" s="122">
        <f>SUM(Caledonia!R23,'New Albany'!R23,Wheatland!R23,Wilton!R23,Brownsville!R23,Gleason!R23)</f>
        <v>13353.715794496202</v>
      </c>
      <c r="S24" s="122">
        <f>SUM(Caledonia!S23,'New Albany'!S23,Wheatland!S23,Wilton!S23,Brownsville!S23,Gleason!S23)</f>
        <v>13754.327268331088</v>
      </c>
      <c r="T24" s="122">
        <f>SUM(Caledonia!T23,'New Albany'!T23,Wheatland!T23,Wilton!T23,Brownsville!T23,Gleason!T23)</f>
        <v>14166.957086381019</v>
      </c>
      <c r="U24" s="122">
        <f>SUM(Caledonia!U23,'New Albany'!U23,Wheatland!U23,Wilton!U23,Brownsville!U23,Gleason!U23)</f>
        <v>14591.965798972453</v>
      </c>
      <c r="W24" s="446">
        <f t="shared" si="4"/>
        <v>223604.35246900437</v>
      </c>
      <c r="X24" s="400">
        <f>SUM(Caledonia!W23,'New Albany'!W23,Wheatland!W23,Wilton!W23,Brownsville!W23,Gleason!W23)</f>
        <v>223604.3524690044</v>
      </c>
      <c r="Y24" s="400">
        <f t="shared" si="5"/>
        <v>0</v>
      </c>
    </row>
    <row r="25" spans="1:25">
      <c r="A25" s="3" t="s">
        <v>256</v>
      </c>
      <c r="B25" s="122">
        <f>SUM(Caledonia!B24,'New Albany'!B24,Wheatland!B24,Wilton!B24,Brownsville!B24,Gleason!B24)</f>
        <v>2819.625</v>
      </c>
      <c r="C25" s="122">
        <f>SUM(Caledonia!C24,'New Albany'!C24,Wheatland!C24,Wilton!C24,Brownsville!C24,Gleason!C24)</f>
        <v>2904.2137500000003</v>
      </c>
      <c r="D25" s="122">
        <f>SUM(Caledonia!D24,'New Albany'!D24,Wheatland!D24,Wilton!D24,Brownsville!D24,Gleason!D24)</f>
        <v>2991.3401625000001</v>
      </c>
      <c r="E25" s="122">
        <f>SUM(Caledonia!E24,'New Albany'!E24,Wheatland!E24,Wilton!E24,Brownsville!E24,Gleason!E24)</f>
        <v>3081.0803673750002</v>
      </c>
      <c r="F25" s="122">
        <f>SUM(Caledonia!F24,'New Albany'!F24,Wheatland!F24,Wilton!F24,Brownsville!F24,Gleason!F24)</f>
        <v>3173.5127783962503</v>
      </c>
      <c r="G25" s="122">
        <f>SUM(Caledonia!G24,'New Albany'!G24,Wheatland!G24,Wilton!G24,Brownsville!G24,Gleason!G24)</f>
        <v>3268.7181617481383</v>
      </c>
      <c r="H25" s="122">
        <f>SUM(Caledonia!H24,'New Albany'!H24,Wheatland!H24,Wilton!H24,Brownsville!H24,Gleason!H24)</f>
        <v>3366.7797066005828</v>
      </c>
      <c r="I25" s="122">
        <f>SUM(Caledonia!I24,'New Albany'!I24,Wheatland!I24,Wilton!I24,Brownsville!I24,Gleason!I24)</f>
        <v>3467.7830977986005</v>
      </c>
      <c r="J25" s="122">
        <f>SUM(Caledonia!J24,'New Albany'!J24,Wheatland!J24,Wilton!J24,Brownsville!J24,Gleason!J24)</f>
        <v>3571.8165907325583</v>
      </c>
      <c r="K25" s="122">
        <f>SUM(Caledonia!K24,'New Albany'!K24,Wheatland!K24,Wilton!K24,Brownsville!K24,Gleason!K24)</f>
        <v>3678.9710884545352</v>
      </c>
      <c r="L25" s="122">
        <f>SUM(Caledonia!L24,'New Albany'!L24,Wheatland!L24,Wilton!L24,Brownsville!L24,Gleason!L24)</f>
        <v>3789.3402211081711</v>
      </c>
      <c r="M25" s="122">
        <f>SUM(Caledonia!M24,'New Albany'!M24,Wheatland!M24,Wilton!M24,Brownsville!M24,Gleason!M24)</f>
        <v>3903.0204277414155</v>
      </c>
      <c r="N25" s="122">
        <f>SUM(Caledonia!N24,'New Albany'!N24,Wheatland!N24,Wilton!N24,Brownsville!N24,Gleason!N24)</f>
        <v>4020.111040573659</v>
      </c>
      <c r="O25" s="122">
        <f>SUM(Caledonia!O24,'New Albany'!O24,Wheatland!O24,Wilton!O24,Brownsville!O24,Gleason!O24)</f>
        <v>4140.7143717908684</v>
      </c>
      <c r="P25" s="122">
        <f>SUM(Caledonia!P24,'New Albany'!P24,Wheatland!P24,Wilton!P24,Brownsville!P24,Gleason!P24)</f>
        <v>4264.9358029445948</v>
      </c>
      <c r="Q25" s="122">
        <f>SUM(Caledonia!Q24,'New Albany'!Q24,Wheatland!Q24,Wilton!Q24,Brownsville!Q24,Gleason!Q24)</f>
        <v>4392.8838770329321</v>
      </c>
      <c r="R25" s="122">
        <f>SUM(Caledonia!R24,'New Albany'!R24,Wheatland!R24,Wilton!R24,Brownsville!R24,Gleason!R24)</f>
        <v>4524.6703933439203</v>
      </c>
      <c r="S25" s="122">
        <f>SUM(Caledonia!S24,'New Albany'!S24,Wheatland!S24,Wilton!S24,Brownsville!S24,Gleason!S24)</f>
        <v>4660.4105051442384</v>
      </c>
      <c r="T25" s="122">
        <f>SUM(Caledonia!T24,'New Albany'!T24,Wheatland!T24,Wilton!T24,Brownsville!T24,Gleason!T24)</f>
        <v>4800.2228202985652</v>
      </c>
      <c r="U25" s="122">
        <f>SUM(Caledonia!U24,'New Albany'!U24,Wheatland!U24,Wilton!U24,Brownsville!U24,Gleason!U24)</f>
        <v>4944.2295049075228</v>
      </c>
      <c r="W25" s="446">
        <f t="shared" si="4"/>
        <v>75764.379668491558</v>
      </c>
      <c r="X25" s="400">
        <f>SUM(Caledonia!W24,'New Albany'!W24,Wheatland!W24,Wilton!W24,Brownsville!W24,Gleason!W24)</f>
        <v>75764.379668491543</v>
      </c>
      <c r="Y25" s="400">
        <f t="shared" si="5"/>
        <v>0</v>
      </c>
    </row>
    <row r="26" spans="1:25">
      <c r="A26" s="3" t="s">
        <v>112</v>
      </c>
      <c r="B26" s="122">
        <f>SUM(Caledonia!B25,'New Albany'!B25,Wheatland!B25,Wilton!B25,Brownsville!B25,Gleason!B25)</f>
        <v>2301.5906199999999</v>
      </c>
      <c r="C26" s="122">
        <f>SUM(Caledonia!C25,'New Albany'!C25,Wheatland!C25,Wilton!C25,Brownsville!C25,Gleason!C25)</f>
        <v>2370.6383386000002</v>
      </c>
      <c r="D26" s="122">
        <f>SUM(Caledonia!D25,'New Albany'!D25,Wheatland!D25,Wilton!D25,Brownsville!D25,Gleason!D25)</f>
        <v>2441.7574887579999</v>
      </c>
      <c r="E26" s="122">
        <f>SUM(Caledonia!E25,'New Albany'!E25,Wheatland!E25,Wilton!E25,Brownsville!E25,Gleason!E25)</f>
        <v>2515.01021342074</v>
      </c>
      <c r="F26" s="122">
        <f>SUM(Caledonia!F25,'New Albany'!F25,Wheatland!F25,Wilton!F25,Brownsville!F25,Gleason!F25)</f>
        <v>2590.4605198233621</v>
      </c>
      <c r="G26" s="122">
        <f>SUM(Caledonia!G25,'New Albany'!G25,Wheatland!G25,Wilton!G25,Brownsville!G25,Gleason!G25)</f>
        <v>2668.1743354180635</v>
      </c>
      <c r="H26" s="122">
        <f>SUM(Caledonia!H25,'New Albany'!H25,Wheatland!H25,Wilton!H25,Brownsville!H25,Gleason!H25)</f>
        <v>2748.2195654806055</v>
      </c>
      <c r="I26" s="122">
        <f>SUM(Caledonia!I25,'New Albany'!I25,Wheatland!I25,Wilton!I25,Brownsville!I25,Gleason!I25)</f>
        <v>2830.6661524450237</v>
      </c>
      <c r="J26" s="122">
        <f>SUM(Caledonia!J25,'New Albany'!J25,Wheatland!J25,Wilton!J25,Brownsville!J25,Gleason!J25)</f>
        <v>2915.5861370183743</v>
      </c>
      <c r="K26" s="122">
        <f>SUM(Caledonia!K25,'New Albany'!K25,Wheatland!K25,Wilton!K25,Brownsville!K25,Gleason!K25)</f>
        <v>3003.0537211289256</v>
      </c>
      <c r="L26" s="122">
        <f>SUM(Caledonia!L25,'New Albany'!L25,Wheatland!L25,Wilton!L25,Brownsville!L25,Gleason!L25)</f>
        <v>3093.1453327627933</v>
      </c>
      <c r="M26" s="122">
        <f>SUM(Caledonia!M25,'New Albany'!M25,Wheatland!M25,Wilton!M25,Brownsville!M25,Gleason!M25)</f>
        <v>3185.9396927456773</v>
      </c>
      <c r="N26" s="122">
        <f>SUM(Caledonia!N25,'New Albany'!N25,Wheatland!N25,Wilton!N25,Brownsville!N25,Gleason!N25)</f>
        <v>3281.5178835280476</v>
      </c>
      <c r="O26" s="122">
        <f>SUM(Caledonia!O25,'New Albany'!O25,Wheatland!O25,Wilton!O25,Brownsville!O25,Gleason!O25)</f>
        <v>3379.9634200338892</v>
      </c>
      <c r="P26" s="122">
        <f>SUM(Caledonia!P25,'New Albany'!P25,Wheatland!P25,Wilton!P25,Brownsville!P25,Gleason!P25)</f>
        <v>3481.3623226349059</v>
      </c>
      <c r="Q26" s="122">
        <f>SUM(Caledonia!Q25,'New Albany'!Q25,Wheatland!Q25,Wilton!Q25,Brownsville!Q25,Gleason!Q25)</f>
        <v>3585.8031923139529</v>
      </c>
      <c r="R26" s="122">
        <f>SUM(Caledonia!R25,'New Albany'!R25,Wheatland!R25,Wilton!R25,Brownsville!R25,Gleason!R25)</f>
        <v>3693.3772880833722</v>
      </c>
      <c r="S26" s="122">
        <f>SUM(Caledonia!S25,'New Albany'!S25,Wheatland!S25,Wilton!S25,Brownsville!S25,Gleason!S25)</f>
        <v>3804.1786067258731</v>
      </c>
      <c r="T26" s="122">
        <f>SUM(Caledonia!T25,'New Albany'!T25,Wheatland!T25,Wilton!T25,Brownsville!T25,Gleason!T25)</f>
        <v>3918.3039649276493</v>
      </c>
      <c r="U26" s="122">
        <f>SUM(Caledonia!U25,'New Albany'!U25,Wheatland!U25,Wilton!U25,Brownsville!U25,Gleason!U25)</f>
        <v>4035.8530838754791</v>
      </c>
      <c r="W26" s="446">
        <f t="shared" si="4"/>
        <v>61844.601879724731</v>
      </c>
      <c r="X26" s="400">
        <f>SUM(Caledonia!W25,'New Albany'!W25,Wheatland!W25,Wilton!W25,Brownsville!W25,Gleason!W25)</f>
        <v>61844.601879724731</v>
      </c>
      <c r="Y26" s="400">
        <f t="shared" si="5"/>
        <v>0</v>
      </c>
    </row>
    <row r="27" spans="1:25" ht="14.25" customHeight="1">
      <c r="A27" s="3" t="s">
        <v>197</v>
      </c>
      <c r="B27" s="122">
        <f>SUM(Caledonia!B26,'New Albany'!B26,Wheatland!B26,Wilton!B26,Brownsville!B26,Gleason!B26)</f>
        <v>2138.7599999999998</v>
      </c>
      <c r="C27" s="122">
        <f>SUM(Caledonia!C26,'New Albany'!C26,Wheatland!C26,Wilton!C26,Brownsville!C26,Gleason!C26)</f>
        <v>2485.4070000000002</v>
      </c>
      <c r="D27" s="122">
        <f>SUM(Caledonia!D26,'New Albany'!D26,Wheatland!D26,Wilton!D26,Brownsville!D26,Gleason!D26)</f>
        <v>2675.4930000000004</v>
      </c>
      <c r="E27" s="122">
        <f>SUM(Caledonia!E26,'New Albany'!E26,Wheatland!E26,Wilton!E26,Brownsville!E26,Gleason!E26)</f>
        <v>2752.7350000000001</v>
      </c>
      <c r="F27" s="122">
        <f>SUM(Caledonia!F26,'New Albany'!F26,Wheatland!F26,Wilton!F26,Brownsville!F26,Gleason!F26)</f>
        <v>2800.4010000000003</v>
      </c>
      <c r="G27" s="122">
        <f>SUM(Caledonia!G26,'New Albany'!G26,Wheatland!G26,Wilton!G26,Brownsville!G26,Gleason!G26)</f>
        <v>3000.837</v>
      </c>
      <c r="H27" s="122">
        <f>SUM(Caledonia!H26,'New Albany'!H26,Wheatland!H26,Wilton!H26,Brownsville!H26,Gleason!H26)</f>
        <v>3133.239</v>
      </c>
      <c r="I27" s="122">
        <f>SUM(Caledonia!I26,'New Albany'!I26,Wheatland!I26,Wilton!I26,Brownsville!I26,Gleason!I26)</f>
        <v>3204.1120000000001</v>
      </c>
      <c r="J27" s="122">
        <f>SUM(Caledonia!J26,'New Albany'!J26,Wheatland!J26,Wilton!J26,Brownsville!J26,Gleason!J26)</f>
        <v>3150.1800000000003</v>
      </c>
      <c r="K27" s="122">
        <f>SUM(Caledonia!K26,'New Albany'!K26,Wheatland!K26,Wilton!K26,Brownsville!K26,Gleason!K26)</f>
        <v>3985.1379999999999</v>
      </c>
      <c r="L27" s="122">
        <f>SUM(Caledonia!L26,'New Albany'!L26,Wheatland!L26,Wilton!L26,Brownsville!L26,Gleason!L26)</f>
        <v>3774.3130000000001</v>
      </c>
      <c r="M27" s="122">
        <f>SUM(Caledonia!M26,'New Albany'!M26,Wheatland!M26,Wilton!M26,Brownsville!M26,Gleason!M26)</f>
        <v>3371.88</v>
      </c>
      <c r="N27" s="122">
        <f>SUM(Caledonia!N26,'New Albany'!N26,Wheatland!N26,Wilton!N26,Brownsville!N26,Gleason!N26)</f>
        <v>3464.7</v>
      </c>
      <c r="O27" s="122">
        <f>SUM(Caledonia!O26,'New Albany'!O26,Wheatland!O26,Wilton!O26,Brownsville!O26,Gleason!O26)</f>
        <v>3464.7</v>
      </c>
      <c r="P27" s="122">
        <f>SUM(Caledonia!P26,'New Albany'!P26,Wheatland!P26,Wilton!P26,Brownsville!P26,Gleason!P26)</f>
        <v>3953.498301179623</v>
      </c>
      <c r="Q27" s="122">
        <f>SUM(Caledonia!Q26,'New Albany'!Q26,Wheatland!Q26,Wilton!Q26,Brownsville!Q26,Gleason!Q26)</f>
        <v>3397.5323122032155</v>
      </c>
      <c r="R27" s="122">
        <f>SUM(Caledonia!R26,'New Albany'!R26,Wheatland!R26,Wilton!R26,Brownsville!R26,Gleason!R26)</f>
        <v>3421.1349584472796</v>
      </c>
      <c r="S27" s="122">
        <f>SUM(Caledonia!S26,'New Albany'!S26,Wheatland!S26,Wilton!S26,Brownsville!S26,Gleason!S26)</f>
        <v>3445.2096576162253</v>
      </c>
      <c r="T27" s="122">
        <f>SUM(Caledonia!T26,'New Albany'!T26,Wheatland!T26,Wilton!T26,Brownsville!T26,Gleason!T26)</f>
        <v>3469.7658507685501</v>
      </c>
      <c r="U27" s="122">
        <f>SUM(Caledonia!U26,'New Albany'!U26,Wheatland!U26,Wilton!U26,Brownsville!U26,Gleason!U26)</f>
        <v>3485.5551622965972</v>
      </c>
      <c r="W27" s="446">
        <f t="shared" si="4"/>
        <v>64574.591242511466</v>
      </c>
      <c r="X27" s="400">
        <f>SUM(Caledonia!W26,'New Albany'!W26,Wheatland!W26,Wilton!W26,Brownsville!W26,Gleason!W26)</f>
        <v>64574.591242511488</v>
      </c>
      <c r="Y27" s="400">
        <f t="shared" si="5"/>
        <v>0</v>
      </c>
    </row>
    <row r="28" spans="1:25">
      <c r="A28" s="3" t="s">
        <v>228</v>
      </c>
      <c r="B28" s="146">
        <f>SUM(Caledonia!B27,'New Albany'!B27,Wheatland!B27,Wilton!B27,Brownsville!B27,Gleason!B27)</f>
        <v>2194.931372852478</v>
      </c>
      <c r="C28" s="146">
        <f>SUM(Caledonia!C27,'New Albany'!C27,Wheatland!C27,Wilton!C27,Brownsville!C27,Gleason!C27)</f>
        <v>2066.3707119415567</v>
      </c>
      <c r="D28" s="146">
        <f>SUM(Caledonia!D27,'New Albany'!D27,Wheatland!D27,Wilton!D27,Brownsville!D27,Gleason!D27)</f>
        <v>2011.9827854363025</v>
      </c>
      <c r="E28" s="146">
        <f>SUM(Caledonia!E27,'New Albany'!E27,Wheatland!E27,Wilton!E27,Brownsville!E27,Gleason!E27)</f>
        <v>1921.8016903465718</v>
      </c>
      <c r="F28" s="146">
        <f>SUM(Caledonia!F27,'New Albany'!F27,Wheatland!F27,Wilton!F27,Brownsville!F27,Gleason!F27)</f>
        <v>1829.9657978228138</v>
      </c>
      <c r="G28" s="146">
        <f>SUM(Caledonia!G27,'New Albany'!G27,Wheatland!G27,Wilton!G27,Brownsville!G27,Gleason!G27)</f>
        <v>1736.8106169920109</v>
      </c>
      <c r="H28" s="146">
        <f>SUM(Caledonia!H27,'New Albany'!H27,Wheatland!H27,Wilton!H27,Brownsville!H27,Gleason!H27)</f>
        <v>1658.3517298927206</v>
      </c>
      <c r="I28" s="146">
        <f>SUM(Caledonia!I27,'New Albany'!I27,Wheatland!I27,Wilton!I27,Brownsville!I27,Gleason!I27)</f>
        <v>1583.7172919305756</v>
      </c>
      <c r="J28" s="146">
        <f>SUM(Caledonia!J27,'New Albany'!J27,Wheatland!J27,Wilton!J27,Brownsville!J27,Gleason!J27)</f>
        <v>1510.0392828251611</v>
      </c>
      <c r="K28" s="146">
        <f>SUM(Caledonia!K27,'New Albany'!K27,Wheatland!K27,Wilton!K27,Brownsville!K27,Gleason!K27)</f>
        <v>1434.6218238386236</v>
      </c>
      <c r="L28" s="146">
        <f>SUM(Caledonia!L27,'New Albany'!L27,Wheatland!L27,Wilton!L27,Brownsville!L27,Gleason!L27)</f>
        <v>1362.0716987803323</v>
      </c>
      <c r="M28" s="146">
        <f>SUM(Caledonia!M27,'New Albany'!M27,Wheatland!M27,Wilton!M27,Brownsville!M27,Gleason!M27)</f>
        <v>1289.2536988953159</v>
      </c>
      <c r="N28" s="146">
        <f>SUM(Caledonia!N27,'New Albany'!N27,Wheatland!N27,Wilton!N27,Brownsville!N27,Gleason!N27)</f>
        <v>1215.7871114333166</v>
      </c>
      <c r="O28" s="146">
        <f>SUM(Caledonia!O27,'New Albany'!O27,Wheatland!O27,Wilton!O27,Brownsville!O27,Gleason!O27)</f>
        <v>1141.563275649017</v>
      </c>
      <c r="P28" s="146">
        <f>SUM(Caledonia!P27,'New Albany'!P27,Wheatland!P27,Wilton!P27,Brownsville!P27,Gleason!P27)</f>
        <v>1067.1783187947913</v>
      </c>
      <c r="Q28" s="146">
        <f>SUM(Caledonia!Q27,'New Albany'!Q27,Wheatland!Q27,Wilton!Q27,Brownsville!Q27,Gleason!Q27)</f>
        <v>1003.1636223018961</v>
      </c>
      <c r="R28" s="146">
        <f>SUM(Caledonia!R27,'New Albany'!R27,Wheatland!R27,Wilton!R27,Brownsville!R27,Gleason!R27)</f>
        <v>949.39311283708071</v>
      </c>
      <c r="S28" s="146">
        <f>SUM(Caledonia!S27,'New Albany'!S27,Wheatland!S27,Wilton!S27,Brownsville!S27,Gleason!S27)</f>
        <v>895.63901433394176</v>
      </c>
      <c r="T28" s="146">
        <f>SUM(Caledonia!T27,'New Albany'!T27,Wheatland!T27,Wilton!T27,Brownsville!T27,Gleason!T27)</f>
        <v>841.9056427455032</v>
      </c>
      <c r="U28" s="146">
        <f>SUM(Caledonia!U27,'New Albany'!U27,Wheatland!U27,Wilton!U27,Brownsville!U27,Gleason!U27)</f>
        <v>788.19701483971039</v>
      </c>
      <c r="V28" s="91"/>
      <c r="W28" s="446">
        <f t="shared" si="4"/>
        <v>28502.745614489722</v>
      </c>
      <c r="X28" s="400">
        <f>SUM(Caledonia!W27,'New Albany'!W27,Wheatland!W27,Wilton!W27,Brownsville!W27,Gleason!W27)</f>
        <v>28502.745614489722</v>
      </c>
      <c r="Y28" s="400">
        <f t="shared" si="5"/>
        <v>0</v>
      </c>
    </row>
    <row r="29" spans="1:25">
      <c r="A29" s="3" t="s">
        <v>62</v>
      </c>
      <c r="B29" s="122">
        <f t="shared" ref="B29:U29" si="6">SUM(B23:B28)</f>
        <v>27427.4081608954</v>
      </c>
      <c r="C29" s="122">
        <f t="shared" si="6"/>
        <v>28338.30600362577</v>
      </c>
      <c r="D29" s="122">
        <f t="shared" si="6"/>
        <v>29187.599925871044</v>
      </c>
      <c r="E29" s="122">
        <f t="shared" si="6"/>
        <v>29909.664554994357</v>
      </c>
      <c r="F29" s="122">
        <f t="shared" si="6"/>
        <v>30622.548498410029</v>
      </c>
      <c r="G29" s="122">
        <f t="shared" si="6"/>
        <v>31509.594768596846</v>
      </c>
      <c r="H29" s="122">
        <f t="shared" si="6"/>
        <v>32366.696296045706</v>
      </c>
      <c r="I29" s="122">
        <f t="shared" si="6"/>
        <v>33190.18802506815</v>
      </c>
      <c r="J29" s="122">
        <f t="shared" si="6"/>
        <v>33914.648777956856</v>
      </c>
      <c r="K29" s="122">
        <f t="shared" si="6"/>
        <v>35551.822203824267</v>
      </c>
      <c r="L29" s="122">
        <f t="shared" si="6"/>
        <v>36172.408950165547</v>
      </c>
      <c r="M29" s="122">
        <f t="shared" si="6"/>
        <v>36628.238677822083</v>
      </c>
      <c r="N29" s="122">
        <f t="shared" si="6"/>
        <v>37606.605239727891</v>
      </c>
      <c r="O29" s="122">
        <f t="shared" si="6"/>
        <v>38520.164947792429</v>
      </c>
      <c r="P29" s="122">
        <f t="shared" si="6"/>
        <v>39951.995342282142</v>
      </c>
      <c r="Q29" s="122">
        <f t="shared" si="6"/>
        <v>40379.954218482053</v>
      </c>
      <c r="R29" s="122">
        <f t="shared" si="6"/>
        <v>41429.164103780618</v>
      </c>
      <c r="S29" s="122">
        <f t="shared" si="6"/>
        <v>42511.243785421313</v>
      </c>
      <c r="T29" s="122">
        <f t="shared" si="6"/>
        <v>43627.178460389325</v>
      </c>
      <c r="U29" s="122">
        <f t="shared" si="6"/>
        <v>44768.724353017853</v>
      </c>
      <c r="W29" s="446">
        <f t="shared" si="4"/>
        <v>713614.15529416979</v>
      </c>
      <c r="X29" s="400">
        <f>SUM(Caledonia!W28,'New Albany'!W28,Wheatland!W28,Wilton!W28,Brownsville!W28,Gleason!W28)</f>
        <v>713614.15529416979</v>
      </c>
      <c r="Y29" s="400">
        <f t="shared" si="5"/>
        <v>0</v>
      </c>
    </row>
    <row r="30" spans="1:25">
      <c r="A30" s="479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W30" s="446"/>
      <c r="X30" s="44"/>
      <c r="Y30" s="44"/>
    </row>
    <row r="31" spans="1:25">
      <c r="A31" s="5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W31" s="446"/>
      <c r="X31" s="44"/>
      <c r="Y31" s="44"/>
    </row>
    <row r="32" spans="1:25">
      <c r="A32" s="1" t="s">
        <v>63</v>
      </c>
      <c r="B32" s="197">
        <f t="shared" ref="B32:U32" si="7">B20-B29</f>
        <v>177680.30256335181</v>
      </c>
      <c r="C32" s="197">
        <f t="shared" si="7"/>
        <v>177096.43303075299</v>
      </c>
      <c r="D32" s="197">
        <f t="shared" si="7"/>
        <v>176585.08990364039</v>
      </c>
      <c r="E32" s="197">
        <f t="shared" si="7"/>
        <v>208898.30003993292</v>
      </c>
      <c r="F32" s="197">
        <f t="shared" si="7"/>
        <v>219835.48571459821</v>
      </c>
      <c r="G32" s="197">
        <f t="shared" si="7"/>
        <v>223020.10910985898</v>
      </c>
      <c r="H32" s="197">
        <f t="shared" si="7"/>
        <v>226306.69628506326</v>
      </c>
      <c r="I32" s="197">
        <f t="shared" si="7"/>
        <v>229700.32015338406</v>
      </c>
      <c r="J32" s="197">
        <f t="shared" si="7"/>
        <v>233268.60972890729</v>
      </c>
      <c r="K32" s="197">
        <f t="shared" si="7"/>
        <v>235988.5932867979</v>
      </c>
      <c r="L32" s="197">
        <f t="shared" si="7"/>
        <v>240410.20860099664</v>
      </c>
      <c r="M32" s="197">
        <f t="shared" si="7"/>
        <v>245095.57628469079</v>
      </c>
      <c r="N32" s="197">
        <f t="shared" si="7"/>
        <v>249350.73879004439</v>
      </c>
      <c r="O32" s="197">
        <f t="shared" si="7"/>
        <v>253772.3489547327</v>
      </c>
      <c r="P32" s="197">
        <f t="shared" si="7"/>
        <v>257772.04886117522</v>
      </c>
      <c r="Q32" s="197">
        <f t="shared" si="7"/>
        <v>261928.1366757263</v>
      </c>
      <c r="R32" s="197">
        <f t="shared" si="7"/>
        <v>265529.08366466878</v>
      </c>
      <c r="S32" s="197">
        <f t="shared" si="7"/>
        <v>269171.90668593551</v>
      </c>
      <c r="T32" s="197">
        <f t="shared" si="7"/>
        <v>272856.91380543611</v>
      </c>
      <c r="U32" s="197">
        <f t="shared" si="7"/>
        <v>276593.78266094258</v>
      </c>
      <c r="W32" s="446">
        <f>SUM(B32:U32)</f>
        <v>4700860.684800636</v>
      </c>
      <c r="X32" s="400">
        <f>SUM(Caledonia!W31,'New Albany'!W31,Wheatland!W31,Wilton!W31,Brownsville!W31,Gleason!W31)</f>
        <v>4700860.684800637</v>
      </c>
      <c r="Y32" s="400">
        <f>W32-X32</f>
        <v>0</v>
      </c>
    </row>
    <row r="33" spans="1:25">
      <c r="A33" s="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W33" s="446"/>
      <c r="X33" s="44"/>
      <c r="Y33" s="44"/>
    </row>
    <row r="34" spans="1:25">
      <c r="A34" s="3" t="s">
        <v>64</v>
      </c>
      <c r="B34" s="122">
        <f>Depreciation!C58</f>
        <v>44225.064199866087</v>
      </c>
      <c r="C34" s="122">
        <f>Depreciation!D58</f>
        <v>44225.064199866087</v>
      </c>
      <c r="D34" s="122">
        <f>Depreciation!E58</f>
        <v>44225.064199866087</v>
      </c>
      <c r="E34" s="122">
        <f>Depreciation!F58</f>
        <v>44225.064199866087</v>
      </c>
      <c r="F34" s="122">
        <f>Depreciation!G58</f>
        <v>44225.064199866087</v>
      </c>
      <c r="G34" s="122">
        <f>Depreciation!H58</f>
        <v>44225.064199866087</v>
      </c>
      <c r="H34" s="122">
        <f>Depreciation!I58</f>
        <v>44225.064199866087</v>
      </c>
      <c r="I34" s="122">
        <f>Depreciation!J58</f>
        <v>44225.064199866087</v>
      </c>
      <c r="J34" s="122">
        <f>Depreciation!K58</f>
        <v>44225.064199866087</v>
      </c>
      <c r="K34" s="122">
        <f>Depreciation!L58</f>
        <v>44225.064199866087</v>
      </c>
      <c r="L34" s="122">
        <f>Depreciation!M58</f>
        <v>44225.064199866087</v>
      </c>
      <c r="M34" s="122">
        <f>Depreciation!N58</f>
        <v>44225.064199866087</v>
      </c>
      <c r="N34" s="122">
        <f>Depreciation!O58</f>
        <v>44225.064199866087</v>
      </c>
      <c r="O34" s="122">
        <f>Depreciation!P58</f>
        <v>44225.064199866087</v>
      </c>
      <c r="P34" s="122">
        <f>Depreciation!Q58</f>
        <v>44225.064199866087</v>
      </c>
      <c r="Q34" s="122">
        <f>Depreciation!R58</f>
        <v>44225.064199866087</v>
      </c>
      <c r="R34" s="122">
        <f>Depreciation!S58</f>
        <v>44225.064199866087</v>
      </c>
      <c r="S34" s="122">
        <f>Depreciation!T58</f>
        <v>44225.064199866087</v>
      </c>
      <c r="T34" s="122">
        <f>Depreciation!U58</f>
        <v>44225.064199866087</v>
      </c>
      <c r="U34" s="122">
        <f>Depreciation!V58</f>
        <v>44225.064199866087</v>
      </c>
      <c r="W34" s="446">
        <f>SUM(B34:U34)</f>
        <v>884501.28399732127</v>
      </c>
      <c r="X34" s="400">
        <f>SUM(Caledonia!W33,'New Albany'!W33,Wheatland!W33,Wilton!W33,Brownsville!W33,Gleason!W33)</f>
        <v>884501.2839973215</v>
      </c>
      <c r="Y34" s="400">
        <f>W34-X34</f>
        <v>0</v>
      </c>
    </row>
    <row r="35" spans="1:25">
      <c r="A35" s="3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W35" s="446"/>
      <c r="X35" s="44"/>
      <c r="Y35" s="44"/>
    </row>
    <row r="36" spans="1:25">
      <c r="A36" s="1" t="s">
        <v>65</v>
      </c>
      <c r="B36" s="197">
        <f t="shared" ref="B36:U36" si="8">B32-B34</f>
        <v>133455.23836348573</v>
      </c>
      <c r="C36" s="197">
        <f t="shared" si="8"/>
        <v>132871.3688308869</v>
      </c>
      <c r="D36" s="197">
        <f t="shared" si="8"/>
        <v>132360.0257037743</v>
      </c>
      <c r="E36" s="197">
        <f t="shared" si="8"/>
        <v>164673.23584006683</v>
      </c>
      <c r="F36" s="197">
        <f t="shared" si="8"/>
        <v>175610.42151473212</v>
      </c>
      <c r="G36" s="197">
        <f t="shared" si="8"/>
        <v>178795.0449099929</v>
      </c>
      <c r="H36" s="197">
        <f t="shared" si="8"/>
        <v>182081.63208519717</v>
      </c>
      <c r="I36" s="197">
        <f t="shared" si="8"/>
        <v>185475.25595351798</v>
      </c>
      <c r="J36" s="197">
        <f t="shared" si="8"/>
        <v>189043.54552904121</v>
      </c>
      <c r="K36" s="197">
        <f t="shared" si="8"/>
        <v>191763.52908693181</v>
      </c>
      <c r="L36" s="197">
        <f t="shared" si="8"/>
        <v>196185.14440113056</v>
      </c>
      <c r="M36" s="197">
        <f t="shared" si="8"/>
        <v>200870.5120848247</v>
      </c>
      <c r="N36" s="197">
        <f t="shared" si="8"/>
        <v>205125.6745901783</v>
      </c>
      <c r="O36" s="197">
        <f t="shared" si="8"/>
        <v>209547.28475486662</v>
      </c>
      <c r="P36" s="197">
        <f t="shared" si="8"/>
        <v>213546.98466130914</v>
      </c>
      <c r="Q36" s="197">
        <f t="shared" si="8"/>
        <v>217703.07247586022</v>
      </c>
      <c r="R36" s="197">
        <f t="shared" si="8"/>
        <v>221304.0194648027</v>
      </c>
      <c r="S36" s="197">
        <f t="shared" si="8"/>
        <v>224946.84248606942</v>
      </c>
      <c r="T36" s="197">
        <f t="shared" si="8"/>
        <v>228631.84960557002</v>
      </c>
      <c r="U36" s="197">
        <f t="shared" si="8"/>
        <v>232368.7184610765</v>
      </c>
      <c r="W36" s="446">
        <f>SUM(B36:U36)</f>
        <v>3816359.4008033155</v>
      </c>
      <c r="X36" s="400">
        <f>SUM(Caledonia!W35,'New Albany'!W35,Wheatland!W35,Wilton!W35,Brownsville!W35,Gleason!W35)</f>
        <v>3816359.400803315</v>
      </c>
      <c r="Y36" s="400">
        <f>W36-X36</f>
        <v>0</v>
      </c>
    </row>
    <row r="37" spans="1:25">
      <c r="A37" s="1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W37" s="446"/>
      <c r="X37" s="44"/>
      <c r="Y37" s="44"/>
    </row>
    <row r="38" spans="1:25">
      <c r="A38" s="3" t="s">
        <v>66</v>
      </c>
      <c r="B38" s="122">
        <f>Debt!B91</f>
        <v>80195.063655030797</v>
      </c>
      <c r="C38" s="122">
        <f>Debt!C91</f>
        <v>78991.765229294993</v>
      </c>
      <c r="D38" s="122">
        <f>Debt!D91</f>
        <v>77294.472108145099</v>
      </c>
      <c r="E38" s="122">
        <f>Debt!E91</f>
        <v>75962.102669404514</v>
      </c>
      <c r="F38" s="122">
        <f>Debt!F91</f>
        <v>73604.857221081445</v>
      </c>
      <c r="G38" s="122">
        <f>Debt!G91</f>
        <v>70810.911430527034</v>
      </c>
      <c r="H38" s="122">
        <f>Debt!H91</f>
        <v>67670.892539356602</v>
      </c>
      <c r="I38" s="122">
        <f>Debt!I91</f>
        <v>64385.85626283368</v>
      </c>
      <c r="J38" s="122">
        <f>Debt!J91</f>
        <v>60305.328678986989</v>
      </c>
      <c r="K38" s="122">
        <f>Debt!K91</f>
        <v>55783.800136892532</v>
      </c>
      <c r="L38" s="122">
        <f>Debt!L91</f>
        <v>51026.119096509239</v>
      </c>
      <c r="M38" s="122">
        <f>Debt!M91</f>
        <v>45838.663928815877</v>
      </c>
      <c r="N38" s="122">
        <f>Debt!N91</f>
        <v>40393.401779603009</v>
      </c>
      <c r="O38" s="122">
        <f>Debt!O91</f>
        <v>35077.043121149894</v>
      </c>
      <c r="P38" s="122">
        <f>Debt!P91</f>
        <v>29693.683778234088</v>
      </c>
      <c r="Q38" s="122">
        <f>Debt!Q91</f>
        <v>24114.420260095823</v>
      </c>
      <c r="R38" s="122">
        <f>Debt!R91</f>
        <v>18196.511978097195</v>
      </c>
      <c r="S38" s="122">
        <f>Debt!S91</f>
        <v>12616.520191649557</v>
      </c>
      <c r="T38" s="122">
        <f>Debt!T91</f>
        <v>7831.7973990417522</v>
      </c>
      <c r="U38" s="122">
        <f>Debt!U91</f>
        <v>3058.7268993839834</v>
      </c>
      <c r="W38" s="446">
        <f>SUM(B38:U38)</f>
        <v>972851.93836413382</v>
      </c>
      <c r="X38" s="400">
        <f>SUM(Caledonia!W37,'New Albany'!W37,Wheatland!W37,Wilton!W37,Brownsville!W37,Gleason!W37)</f>
        <v>972851.93836413394</v>
      </c>
      <c r="Y38" s="400">
        <f>W38-X38</f>
        <v>0</v>
      </c>
    </row>
    <row r="39" spans="1:25">
      <c r="A39" s="6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W39" s="446"/>
      <c r="X39" s="44"/>
      <c r="Y39" s="44"/>
    </row>
    <row r="40" spans="1:25">
      <c r="A40" s="1" t="s">
        <v>67</v>
      </c>
      <c r="B40" s="197">
        <f t="shared" ref="B40:U40" si="9">B36-B38</f>
        <v>53260.174708454928</v>
      </c>
      <c r="C40" s="197">
        <f t="shared" si="9"/>
        <v>53879.603601591909</v>
      </c>
      <c r="D40" s="197">
        <f t="shared" si="9"/>
        <v>55065.553595629201</v>
      </c>
      <c r="E40" s="197">
        <f t="shared" si="9"/>
        <v>88711.133170662317</v>
      </c>
      <c r="F40" s="197">
        <f t="shared" si="9"/>
        <v>102005.56429365068</v>
      </c>
      <c r="G40" s="197">
        <f t="shared" si="9"/>
        <v>107984.13347946586</v>
      </c>
      <c r="H40" s="197">
        <f t="shared" si="9"/>
        <v>114410.73954584057</v>
      </c>
      <c r="I40" s="197">
        <f t="shared" si="9"/>
        <v>121089.39969068429</v>
      </c>
      <c r="J40" s="197">
        <f t="shared" si="9"/>
        <v>128738.21685005422</v>
      </c>
      <c r="K40" s="197">
        <f t="shared" si="9"/>
        <v>135979.72895003928</v>
      </c>
      <c r="L40" s="197">
        <f t="shared" si="9"/>
        <v>145159.02530462132</v>
      </c>
      <c r="M40" s="197">
        <f t="shared" si="9"/>
        <v>155031.84815600881</v>
      </c>
      <c r="N40" s="197">
        <f t="shared" si="9"/>
        <v>164732.27281057529</v>
      </c>
      <c r="O40" s="197">
        <f t="shared" si="9"/>
        <v>174470.24163371674</v>
      </c>
      <c r="P40" s="197">
        <f t="shared" si="9"/>
        <v>183853.30088307505</v>
      </c>
      <c r="Q40" s="197">
        <f t="shared" si="9"/>
        <v>193588.65221576439</v>
      </c>
      <c r="R40" s="197">
        <f t="shared" si="9"/>
        <v>203107.50748670549</v>
      </c>
      <c r="S40" s="197">
        <f t="shared" si="9"/>
        <v>212330.32229441986</v>
      </c>
      <c r="T40" s="197">
        <f t="shared" si="9"/>
        <v>220800.05220652826</v>
      </c>
      <c r="U40" s="197">
        <f t="shared" si="9"/>
        <v>229309.9915616925</v>
      </c>
      <c r="W40" s="446">
        <f>SUM(B40:U40)</f>
        <v>2843507.4624391808</v>
      </c>
      <c r="X40" s="400">
        <f>SUM(Caledonia!W39,'New Albany'!W39,Wheatland!W39,Wilton!W39,Brownsville!W39,Gleason!W39)</f>
        <v>2843507.4624391804</v>
      </c>
      <c r="Y40" s="400">
        <f>W40-X40</f>
        <v>0</v>
      </c>
    </row>
    <row r="41" spans="1:25">
      <c r="A41" s="1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W41" s="446"/>
      <c r="X41" s="44"/>
      <c r="Y41" s="44"/>
    </row>
    <row r="42" spans="1:25">
      <c r="A42" s="3" t="s">
        <v>68</v>
      </c>
      <c r="B42" s="122">
        <f>Wheatland!B41+'New Albany'!B41+Wilton!B41+Caledonia!B41+Brownsville!B41+Gleason!B41</f>
        <v>-3033.1714116318749</v>
      </c>
      <c r="C42" s="122">
        <f>Wheatland!C41+'New Albany'!C41+Wilton!C41+Caledonia!C41+Brownsville!C41+Gleason!C41</f>
        <v>-3070.8466031370685</v>
      </c>
      <c r="D42" s="122">
        <f>Wheatland!D41+'New Albany'!D41+Wilton!D41+Caledonia!D41+Brownsville!D41+Gleason!D41</f>
        <v>-3140.0567702424541</v>
      </c>
      <c r="E42" s="122">
        <f>Wheatland!E41+'New Albany'!E41+Wilton!E41+Caledonia!E41+Brownsville!E41+Gleason!E41</f>
        <v>-5060.8932819037382</v>
      </c>
      <c r="F42" s="122">
        <f>Wheatland!F41+'New Albany'!F41+Wilton!F41+Caledonia!F41+Brownsville!F41+Gleason!F41</f>
        <v>-5818.2121107032626</v>
      </c>
      <c r="G42" s="122">
        <f>Wheatland!G41+'New Albany'!G41+Wilton!G41+Caledonia!G41+Brownsville!G41+Gleason!G41</f>
        <v>-6163.3365688931644</v>
      </c>
      <c r="H42" s="122">
        <f>Wheatland!H41+'New Albany'!H41+Wilton!H41+Caledonia!H41+Brownsville!H41+Gleason!H41</f>
        <v>-6535.2211319119488</v>
      </c>
      <c r="I42" s="122">
        <f>Wheatland!I41+'New Albany'!I41+Wilton!I41+Caledonia!I41+Brownsville!I41+Gleason!I41</f>
        <v>-6920.8904642557845</v>
      </c>
      <c r="J42" s="122">
        <f>Wheatland!J41+'New Albany'!J41+Wilton!J41+Caledonia!J41+Brownsville!J41+Gleason!J41</f>
        <v>-7360.8039874789602</v>
      </c>
      <c r="K42" s="122">
        <f>Wheatland!K41+'New Albany'!K41+Wilton!K41+Caledonia!K41+Brownsville!K41+Gleason!K41</f>
        <v>-7783.6185836724662</v>
      </c>
      <c r="L42" s="122">
        <f>Wheatland!L41+'New Albany'!L41+Wilton!L41+Caledonia!L41+Brownsville!L41+Gleason!L41</f>
        <v>-8312.8348711945328</v>
      </c>
      <c r="M42" s="122">
        <f>Wheatland!M41+'New Albany'!M41+Wilton!M41+Caledonia!M41+Brownsville!M41+Gleason!M41</f>
        <v>-8879.7309591942612</v>
      </c>
      <c r="N42" s="122">
        <f>Wheatland!N41+'New Albany'!N41+Wilton!N41+Caledonia!N41+Brownsville!N41+Gleason!N41</f>
        <v>-9437.0194265543396</v>
      </c>
      <c r="O42" s="122">
        <f>Wheatland!O41+'New Albany'!O41+Wilton!O41+Caledonia!O41+Brownsville!O41+Gleason!O41</f>
        <v>-9999.4513639276011</v>
      </c>
      <c r="P42" s="122">
        <f>Wheatland!P41+'New Albany'!P41+Wilton!P41+Caledonia!P41+Brownsville!P41+Gleason!P41</f>
        <v>-10540.36478176178</v>
      </c>
      <c r="Q42" s="122">
        <f>Wheatland!Q41+'New Albany'!Q41+Wilton!Q41+Caledonia!Q41+Brownsville!Q41+Gleason!Q41</f>
        <v>-11100.846302676182</v>
      </c>
      <c r="R42" s="122">
        <f>Wheatland!R41+'New Albany'!R41+Wilton!R41+Caledonia!R41+Brownsville!R41+Gleason!R41</f>
        <v>-11647.454403635251</v>
      </c>
      <c r="S42" s="122">
        <f>Wheatland!S41+'New Albany'!S41+Wilton!S41+Caledonia!S41+Brownsville!S41+Gleason!S41</f>
        <v>-12177.13889368924</v>
      </c>
      <c r="T42" s="122">
        <f>Wheatland!T41+'New Albany'!T41+Wilton!T41+Caledonia!T41+Brownsville!T41+Gleason!T41</f>
        <v>-12663.711656434869</v>
      </c>
      <c r="U42" s="122">
        <f>Wheatland!U41+'New Albany'!U41+Wilton!U41+Caledonia!U41+Brownsville!U41+Gleason!U41</f>
        <v>-13152.656017250676</v>
      </c>
      <c r="W42" s="446">
        <f>SUM(B42:U42)</f>
        <v>-162798.25959014945</v>
      </c>
      <c r="X42" s="400">
        <f>SUM(Caledonia!W41,'New Albany'!W41,Wheatland!W41,Wilton!W41,Brownsville!W41,Gleason!W41)</f>
        <v>-162798.25959014945</v>
      </c>
      <c r="Y42" s="400">
        <f>W42-X42</f>
        <v>0</v>
      </c>
    </row>
    <row r="43" spans="1:25">
      <c r="A43" s="3" t="s">
        <v>69</v>
      </c>
      <c r="B43" s="122">
        <f>Wheatland!B42+'New Albany'!B42+Wilton!B42+Caledonia!B42+Brownsville!B42+Gleason!B42</f>
        <v>-17579.451153888054</v>
      </c>
      <c r="C43" s="122">
        <f>Wheatland!C42+'New Albany'!C42+Wilton!C42+Caledonia!C42+Brownsville!C42+Gleason!C42</f>
        <v>-17783.0649494592</v>
      </c>
      <c r="D43" s="122">
        <f>Wheatland!D42+'New Albany'!D42+Wilton!D42+Caledonia!D42+Brownsville!D42+Gleason!D42</f>
        <v>-18173.923888885343</v>
      </c>
      <c r="E43" s="122">
        <f>Wheatland!E42+'New Albany'!E42+Wilton!E42+Caledonia!E42+Brownsville!E42+Gleason!E42</f>
        <v>-29277.583961065491</v>
      </c>
      <c r="F43" s="122">
        <f>Wheatland!F42+'New Albany'!F42+Wilton!F42+Caledonia!F42+Brownsville!F42+Gleason!F42</f>
        <v>-33665.573264031598</v>
      </c>
      <c r="G43" s="122">
        <f>Wheatland!G42+'New Albany'!G42+Wilton!G42+Caledonia!G42+Brownsville!G42+Gleason!G42</f>
        <v>-35637.278918700438</v>
      </c>
      <c r="H43" s="122">
        <f>Wheatland!H42+'New Albany'!H42+Wilton!H42+Caledonia!H42+Brownsville!H42+Gleason!H42</f>
        <v>-37756.431444875016</v>
      </c>
      <c r="I43" s="122">
        <f>Wheatland!I42+'New Albany'!I42+Wilton!I42+Caledonia!I42+Brownsville!I42+Gleason!I42</f>
        <v>-39958.978229249973</v>
      </c>
      <c r="J43" s="122">
        <f>Wheatland!J42+'New Albany'!J42+Wilton!J42+Caledonia!J42+Brownsville!J42+Gleason!J42</f>
        <v>-42482.094501901338</v>
      </c>
      <c r="K43" s="122">
        <f>Wheatland!K42+'New Albany'!K42+Wilton!K42+Caledonia!K42+Brownsville!K42+Gleason!K42</f>
        <v>-44868.638628228371</v>
      </c>
      <c r="L43" s="122">
        <f>Wheatland!L42+'New Albany'!L42+Wilton!L42+Caledonia!L42+Brownsville!L42+Gleason!L42</f>
        <v>-47896.166651699357</v>
      </c>
      <c r="M43" s="122">
        <f>Wheatland!M42+'New Albany'!M42+Wilton!M42+Caledonia!M42+Brownsville!M42+Gleason!M42</f>
        <v>-51153.241018885106</v>
      </c>
      <c r="N43" s="122">
        <f>Wheatland!N42+'New Albany'!N42+Wilton!N42+Caledonia!N42+Brownsville!N42+Gleason!N42</f>
        <v>-54353.338684407317</v>
      </c>
      <c r="O43" s="122">
        <f>Wheatland!O42+'New Albany'!O42+Wilton!O42+Caledonia!O42+Brownsville!O42+Gleason!O42</f>
        <v>-57564.776594426177</v>
      </c>
      <c r="P43" s="122">
        <f>Wheatland!P42+'New Albany'!P42+Wilton!P42+Caledonia!P42+Brownsville!P42+Gleason!P42</f>
        <v>-60659.527635459621</v>
      </c>
      <c r="Q43" s="122">
        <f>Wheatland!Q42+'New Albany'!Q42+Wilton!Q42+Caledonia!Q42+Brownsville!Q42+Gleason!Q42</f>
        <v>-63870.732069580859</v>
      </c>
      <c r="R43" s="122">
        <f>Wheatland!R42+'New Albany'!R42+Wilton!R42+Caledonia!R42+Brownsville!R42+Gleason!R42</f>
        <v>-67011.018579074604</v>
      </c>
      <c r="S43" s="122">
        <f>Wheatland!S42+'New Albany'!S42+Wilton!S42+Caledonia!S42+Brownsville!S42+Gleason!S42</f>
        <v>-70053.614190255685</v>
      </c>
      <c r="T43" s="122">
        <f>Wheatland!T42+'New Albany'!T42+Wilton!T42+Caledonia!T42+Brownsville!T42+Gleason!T42</f>
        <v>-72847.719192532692</v>
      </c>
      <c r="U43" s="122">
        <f>Wheatland!U42+'New Albany'!U42+Wilton!U42+Caledonia!U42+Brownsville!U42+Gleason!U42</f>
        <v>-75655.067440554645</v>
      </c>
      <c r="W43" s="446">
        <f>SUM(B43:U43)</f>
        <v>-938248.22099716088</v>
      </c>
      <c r="X43" s="400">
        <f>SUM(Caledonia!W42,'New Albany'!W42,Wheatland!W42,Wilton!W42,Brownsville!W42,Gleason!W42)</f>
        <v>-938248.22099716088</v>
      </c>
      <c r="Y43" s="400">
        <f>W43-X43</f>
        <v>0</v>
      </c>
    </row>
    <row r="44" spans="1:25">
      <c r="A44" s="6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W44" s="446"/>
      <c r="X44" s="44"/>
      <c r="Y44" s="44"/>
    </row>
    <row r="45" spans="1:25" ht="15.75">
      <c r="A45" s="45" t="s">
        <v>70</v>
      </c>
      <c r="B45" s="373">
        <f>B40+B42+B43</f>
        <v>32647.552142934997</v>
      </c>
      <c r="C45" s="373">
        <f>C40+C42+C43</f>
        <v>33025.692048995639</v>
      </c>
      <c r="D45" s="373">
        <f t="shared" ref="D45:U45" si="10">D40+D42+D43</f>
        <v>33751.572936501405</v>
      </c>
      <c r="E45" s="373">
        <f t="shared" si="10"/>
        <v>54372.655927693078</v>
      </c>
      <c r="F45" s="373">
        <f t="shared" si="10"/>
        <v>62521.778918915821</v>
      </c>
      <c r="G45" s="373">
        <f t="shared" si="10"/>
        <v>66183.517991872257</v>
      </c>
      <c r="H45" s="373">
        <f t="shared" si="10"/>
        <v>70119.086969053606</v>
      </c>
      <c r="I45" s="373">
        <f t="shared" si="10"/>
        <v>74209.530997178532</v>
      </c>
      <c r="J45" s="373">
        <f t="shared" si="10"/>
        <v>78895.318360673933</v>
      </c>
      <c r="K45" s="373">
        <f t="shared" si="10"/>
        <v>83327.47173813844</v>
      </c>
      <c r="L45" s="373">
        <f t="shared" si="10"/>
        <v>88950.023781727432</v>
      </c>
      <c r="M45" s="373">
        <f t="shared" si="10"/>
        <v>94998.876177929458</v>
      </c>
      <c r="N45" s="373">
        <f t="shared" si="10"/>
        <v>100941.91469961361</v>
      </c>
      <c r="O45" s="373">
        <f t="shared" si="10"/>
        <v>106906.01367536296</v>
      </c>
      <c r="P45" s="373">
        <f t="shared" si="10"/>
        <v>112653.40846585366</v>
      </c>
      <c r="Q45" s="373">
        <f t="shared" si="10"/>
        <v>118617.07384350734</v>
      </c>
      <c r="R45" s="373">
        <f t="shared" si="10"/>
        <v>124449.03450399563</v>
      </c>
      <c r="S45" s="373">
        <f t="shared" si="10"/>
        <v>130099.56921047495</v>
      </c>
      <c r="T45" s="373">
        <f t="shared" si="10"/>
        <v>135288.62135756068</v>
      </c>
      <c r="U45" s="373">
        <f t="shared" si="10"/>
        <v>140502.26810388718</v>
      </c>
      <c r="W45" s="446">
        <f>SUM(B45:U45)</f>
        <v>1742460.9818518704</v>
      </c>
      <c r="X45" s="400">
        <f>SUM(Caledonia!W44,'New Albany'!W44,Wheatland!W44,Wilton!W44,Brownsville!W44,Gleason!W44)</f>
        <v>1742460.9818518702</v>
      </c>
      <c r="Y45" s="400">
        <f>W45-X45</f>
        <v>0</v>
      </c>
    </row>
    <row r="47" spans="1:25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</row>
    <row r="48" spans="1:25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</row>
  </sheetData>
  <pageMargins left="0.75" right="0.75" top="1" bottom="1" header="0.5" footer="0.5"/>
  <pageSetup scale="43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121</v>
      </c>
      <c r="B2" s="33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42"/>
      <c r="Q3" s="242"/>
      <c r="R3" s="242"/>
      <c r="S3" s="242"/>
      <c r="T3" s="242"/>
      <c r="U3" s="242"/>
    </row>
    <row r="4" spans="1:27" s="243" customFormat="1" ht="13.5">
      <c r="A4" s="37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</row>
    <row r="5" spans="1:27" ht="13.5" thickBot="1">
      <c r="A5" s="194" t="s">
        <v>56</v>
      </c>
      <c r="B5" s="306">
        <v>2001</v>
      </c>
      <c r="C5" s="306">
        <f>B5+1</f>
        <v>2002</v>
      </c>
      <c r="D5" s="306">
        <f t="shared" ref="D5:U5" si="0">C5+1</f>
        <v>2003</v>
      </c>
      <c r="E5" s="306">
        <f t="shared" si="0"/>
        <v>2004</v>
      </c>
      <c r="F5" s="306">
        <f t="shared" si="0"/>
        <v>2005</v>
      </c>
      <c r="G5" s="306">
        <f t="shared" si="0"/>
        <v>2006</v>
      </c>
      <c r="H5" s="306">
        <f t="shared" si="0"/>
        <v>2007</v>
      </c>
      <c r="I5" s="306">
        <f t="shared" si="0"/>
        <v>2008</v>
      </c>
      <c r="J5" s="306">
        <f t="shared" si="0"/>
        <v>2009</v>
      </c>
      <c r="K5" s="306">
        <f t="shared" si="0"/>
        <v>2010</v>
      </c>
      <c r="L5" s="306">
        <f t="shared" si="0"/>
        <v>2011</v>
      </c>
      <c r="M5" s="306">
        <f t="shared" si="0"/>
        <v>2012</v>
      </c>
      <c r="N5" s="306">
        <f t="shared" si="0"/>
        <v>2013</v>
      </c>
      <c r="O5" s="306">
        <f t="shared" si="0"/>
        <v>2014</v>
      </c>
      <c r="P5" s="306">
        <f t="shared" si="0"/>
        <v>2015</v>
      </c>
      <c r="Q5" s="306">
        <f t="shared" si="0"/>
        <v>2016</v>
      </c>
      <c r="R5" s="306">
        <f t="shared" si="0"/>
        <v>2017</v>
      </c>
      <c r="S5" s="306">
        <f t="shared" si="0"/>
        <v>2018</v>
      </c>
      <c r="T5" s="306">
        <f t="shared" si="0"/>
        <v>2019</v>
      </c>
      <c r="U5" s="306">
        <f t="shared" si="0"/>
        <v>2020</v>
      </c>
    </row>
    <row r="6" spans="1:27" s="42" customFormat="1">
      <c r="A6" s="307"/>
      <c r="B6" s="308">
        <v>37256</v>
      </c>
      <c r="C6" s="308">
        <v>37621</v>
      </c>
      <c r="D6" s="308">
        <v>37986</v>
      </c>
      <c r="E6" s="308">
        <v>38352</v>
      </c>
      <c r="F6" s="308">
        <v>38717</v>
      </c>
      <c r="G6" s="308">
        <v>39082</v>
      </c>
      <c r="H6" s="308">
        <v>39447</v>
      </c>
      <c r="I6" s="308">
        <v>39813</v>
      </c>
      <c r="J6" s="308">
        <v>40178</v>
      </c>
      <c r="K6" s="308">
        <v>40543</v>
      </c>
      <c r="L6" s="308">
        <v>40908</v>
      </c>
      <c r="M6" s="308">
        <v>41274</v>
      </c>
      <c r="N6" s="308">
        <v>41639</v>
      </c>
      <c r="O6" s="308">
        <v>42004</v>
      </c>
      <c r="P6" s="308">
        <v>42369</v>
      </c>
      <c r="Q6" s="308">
        <v>42735</v>
      </c>
      <c r="R6" s="308">
        <v>43100</v>
      </c>
      <c r="S6" s="308">
        <v>43465</v>
      </c>
      <c r="T6" s="308">
        <v>43830</v>
      </c>
      <c r="U6" s="308">
        <v>44196</v>
      </c>
    </row>
    <row r="7" spans="1:27">
      <c r="R7" s="17"/>
      <c r="S7" s="17"/>
      <c r="T7" s="17"/>
      <c r="U7" s="17"/>
    </row>
    <row r="8" spans="1:27">
      <c r="A8" s="15" t="s">
        <v>240</v>
      </c>
      <c r="B8" s="122">
        <f>IS!B32-IS!B13</f>
        <v>123624.03367595082</v>
      </c>
      <c r="C8" s="122">
        <f>IS!C32-IS!C13</f>
        <v>123040.164143352</v>
      </c>
      <c r="D8" s="122">
        <f>IS!D32-IS!D13</f>
        <v>122528.8210162394</v>
      </c>
      <c r="E8" s="122">
        <f>IS!E32</f>
        <v>208898.30003993292</v>
      </c>
      <c r="F8" s="122">
        <f>IS!F32</f>
        <v>219835.48571459821</v>
      </c>
      <c r="G8" s="122">
        <f>IS!G32</f>
        <v>223020.10910985898</v>
      </c>
      <c r="H8" s="122">
        <f>IS!H32</f>
        <v>226306.69628506326</v>
      </c>
      <c r="I8" s="122">
        <f>IS!I32</f>
        <v>229700.32015338406</v>
      </c>
      <c r="J8" s="122">
        <f>IS!J32</f>
        <v>233268.60972890729</v>
      </c>
      <c r="K8" s="122">
        <f>IS!K32</f>
        <v>235988.5932867979</v>
      </c>
      <c r="L8" s="122">
        <f>IS!L32</f>
        <v>240410.20860099664</v>
      </c>
      <c r="M8" s="122">
        <f>IS!M32</f>
        <v>245095.57628469079</v>
      </c>
      <c r="N8" s="122">
        <f>IS!N32</f>
        <v>249350.73879004439</v>
      </c>
      <c r="O8" s="122">
        <f>IS!O32</f>
        <v>253772.3489547327</v>
      </c>
      <c r="P8" s="122">
        <f>IS!P32</f>
        <v>257772.04886117522</v>
      </c>
      <c r="Q8" s="122">
        <f>IS!Q32</f>
        <v>261928.1366757263</v>
      </c>
      <c r="R8" s="122">
        <f>IS!R32</f>
        <v>265529.08366466878</v>
      </c>
      <c r="S8" s="122">
        <f>IS!S32</f>
        <v>269171.90668593551</v>
      </c>
      <c r="T8" s="122">
        <f>IS!T32</f>
        <v>272856.91380543611</v>
      </c>
      <c r="U8" s="122">
        <f>IS!U32</f>
        <v>276593.78266094258</v>
      </c>
    </row>
    <row r="9" spans="1:27">
      <c r="B9" s="6"/>
      <c r="C9" s="32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17</v>
      </c>
      <c r="B10" s="6"/>
      <c r="C10" s="32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10">
        <f>'Summary Output'!$B$19</f>
        <v>36892</v>
      </c>
      <c r="C11" s="310">
        <v>37257</v>
      </c>
      <c r="D11" s="310">
        <v>37622</v>
      </c>
      <c r="E11" s="310">
        <v>37987</v>
      </c>
      <c r="F11" s="310">
        <v>38353</v>
      </c>
      <c r="G11" s="310">
        <v>38718</v>
      </c>
      <c r="H11" s="310">
        <v>39083</v>
      </c>
      <c r="I11" s="310">
        <v>39448</v>
      </c>
      <c r="J11" s="310">
        <v>39814</v>
      </c>
      <c r="K11" s="310">
        <v>40179</v>
      </c>
      <c r="L11" s="310">
        <v>40544</v>
      </c>
      <c r="M11" s="310">
        <v>40909</v>
      </c>
      <c r="N11" s="310">
        <v>41275</v>
      </c>
      <c r="O11" s="310">
        <v>41640</v>
      </c>
      <c r="P11" s="310">
        <v>42005</v>
      </c>
      <c r="Q11" s="310">
        <v>42370</v>
      </c>
      <c r="R11" s="310">
        <v>42736</v>
      </c>
      <c r="S11" s="310">
        <v>43101</v>
      </c>
      <c r="T11" s="310">
        <v>43466</v>
      </c>
      <c r="U11" s="310">
        <v>43831</v>
      </c>
      <c r="W11" s="393" t="s">
        <v>161</v>
      </c>
      <c r="X11" s="393" t="s">
        <v>160</v>
      </c>
    </row>
    <row r="12" spans="1:27">
      <c r="A12" s="40" t="s">
        <v>77</v>
      </c>
      <c r="B12" s="56">
        <v>0</v>
      </c>
      <c r="C12" s="56">
        <f t="shared" ref="C12:U12" si="1">B28</f>
        <v>34500</v>
      </c>
      <c r="D12" s="56">
        <f t="shared" si="1"/>
        <v>17875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394"/>
      <c r="X12" s="394"/>
    </row>
    <row r="13" spans="1:27">
      <c r="A13" s="40" t="s">
        <v>79</v>
      </c>
      <c r="B13" s="341">
        <v>0</v>
      </c>
      <c r="C13" s="152">
        <f t="shared" ref="C13:U13" si="2">C12*$E$97*(C11-B23)/365.25</f>
        <v>8.5482546201232026</v>
      </c>
      <c r="D13" s="152">
        <f t="shared" si="2"/>
        <v>4.4289869952087608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394"/>
      <c r="X13" s="394"/>
    </row>
    <row r="14" spans="1:27" ht="13.5">
      <c r="A14" s="40" t="s">
        <v>80</v>
      </c>
      <c r="B14" s="120">
        <f>'Summary Output'!B20</f>
        <v>50000</v>
      </c>
      <c r="C14" s="59">
        <f>C12</f>
        <v>34500</v>
      </c>
      <c r="D14" s="59">
        <f>D12</f>
        <v>17875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395">
        <f>SUM(B19:U19,B26:U26)</f>
        <v>50000</v>
      </c>
      <c r="X14" s="396">
        <f>B14-W14</f>
        <v>0</v>
      </c>
    </row>
    <row r="15" spans="1:27">
      <c r="B15" s="331"/>
      <c r="C15" s="32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394"/>
      <c r="X15" s="394"/>
    </row>
    <row r="16" spans="1:27">
      <c r="A16" s="44"/>
      <c r="B16" s="310">
        <v>37072</v>
      </c>
      <c r="C16" s="310">
        <v>37437</v>
      </c>
      <c r="D16" s="310">
        <v>37802</v>
      </c>
      <c r="E16" s="310">
        <v>38168</v>
      </c>
      <c r="F16" s="310">
        <v>38533</v>
      </c>
      <c r="G16" s="310">
        <v>38898</v>
      </c>
      <c r="H16" s="310">
        <v>39263</v>
      </c>
      <c r="I16" s="310">
        <v>39629</v>
      </c>
      <c r="J16" s="310">
        <v>39994</v>
      </c>
      <c r="K16" s="310">
        <v>40359</v>
      </c>
      <c r="L16" s="310">
        <v>40724</v>
      </c>
      <c r="M16" s="310">
        <v>41090</v>
      </c>
      <c r="N16" s="310">
        <v>41455</v>
      </c>
      <c r="O16" s="310">
        <v>41820</v>
      </c>
      <c r="P16" s="310">
        <v>42185</v>
      </c>
      <c r="Q16" s="310">
        <v>42551</v>
      </c>
      <c r="R16" s="310">
        <v>42916</v>
      </c>
      <c r="S16" s="310">
        <v>43281</v>
      </c>
      <c r="T16" s="310">
        <v>43646</v>
      </c>
      <c r="U16" s="310">
        <v>44012</v>
      </c>
      <c r="W16" s="394"/>
      <c r="X16" s="394"/>
    </row>
    <row r="17" spans="1:25">
      <c r="A17" s="40" t="s">
        <v>77</v>
      </c>
      <c r="B17" s="56">
        <f t="shared" ref="B17:G17" si="4">B14</f>
        <v>50000</v>
      </c>
      <c r="C17" s="56">
        <f t="shared" si="4"/>
        <v>34500</v>
      </c>
      <c r="D17" s="56">
        <f t="shared" si="4"/>
        <v>17875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394"/>
      <c r="X17" s="394"/>
    </row>
    <row r="18" spans="1:25">
      <c r="A18" s="40" t="s">
        <v>231</v>
      </c>
      <c r="B18" s="489">
        <v>0.155</v>
      </c>
      <c r="C18" s="489">
        <v>0.16500000000000001</v>
      </c>
      <c r="D18" s="489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394"/>
      <c r="X18" s="394"/>
    </row>
    <row r="19" spans="1:25">
      <c r="A19" s="40" t="s">
        <v>78</v>
      </c>
      <c r="B19" s="56">
        <f>$B$14*B18</f>
        <v>7750</v>
      </c>
      <c r="C19" s="56">
        <f>$B$14*C18</f>
        <v>8250</v>
      </c>
      <c r="D19" s="56">
        <f>$B$14*D18</f>
        <v>12500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397"/>
      <c r="X19" s="397"/>
      <c r="Y19" s="6"/>
    </row>
    <row r="20" spans="1:25">
      <c r="A20" s="40" t="s">
        <v>79</v>
      </c>
      <c r="B20" s="152">
        <f t="shared" ref="B20:G20" si="7">B17*$E$97*(B16-B11)/365.25</f>
        <v>2229.9794661190963</v>
      </c>
      <c r="C20" s="152">
        <f t="shared" si="7"/>
        <v>1538.6858316221767</v>
      </c>
      <c r="D20" s="152">
        <f t="shared" si="7"/>
        <v>797.21765913757702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397"/>
      <c r="X20" s="397"/>
      <c r="Y20" s="6"/>
    </row>
    <row r="21" spans="1:25">
      <c r="A21" s="40" t="s">
        <v>80</v>
      </c>
      <c r="B21" s="59">
        <f>B17-B19</f>
        <v>42250</v>
      </c>
      <c r="C21" s="59">
        <f t="shared" ref="C21:U21" si="9">C17-C19</f>
        <v>26250</v>
      </c>
      <c r="D21" s="59">
        <f t="shared" si="9"/>
        <v>5375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397"/>
      <c r="X21" s="397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397"/>
      <c r="X22" s="397"/>
      <c r="Y22" s="6"/>
    </row>
    <row r="23" spans="1:25">
      <c r="A23" s="44"/>
      <c r="B23" s="310">
        <v>37256</v>
      </c>
      <c r="C23" s="310">
        <v>37621</v>
      </c>
      <c r="D23" s="310">
        <v>37986</v>
      </c>
      <c r="E23" s="310">
        <v>38352</v>
      </c>
      <c r="F23" s="310">
        <v>38717</v>
      </c>
      <c r="G23" s="310">
        <v>39082</v>
      </c>
      <c r="H23" s="310">
        <v>39447</v>
      </c>
      <c r="I23" s="310">
        <v>39813</v>
      </c>
      <c r="J23" s="310">
        <v>40178</v>
      </c>
      <c r="K23" s="310">
        <v>40543</v>
      </c>
      <c r="L23" s="310">
        <v>40908</v>
      </c>
      <c r="M23" s="310">
        <v>41274</v>
      </c>
      <c r="N23" s="310">
        <v>41639</v>
      </c>
      <c r="O23" s="310">
        <v>42004</v>
      </c>
      <c r="P23" s="310">
        <v>42369</v>
      </c>
      <c r="Q23" s="310">
        <v>42735</v>
      </c>
      <c r="R23" s="310">
        <v>43100</v>
      </c>
      <c r="S23" s="310">
        <v>43465</v>
      </c>
      <c r="T23" s="310">
        <v>43830</v>
      </c>
      <c r="U23" s="310">
        <v>44196</v>
      </c>
      <c r="V23" s="6"/>
      <c r="W23" s="397"/>
      <c r="X23" s="397"/>
      <c r="Y23" s="6"/>
    </row>
    <row r="24" spans="1:25">
      <c r="A24" s="40" t="s">
        <v>77</v>
      </c>
      <c r="B24" s="56">
        <f t="shared" ref="B24:G24" si="10">B21</f>
        <v>42250</v>
      </c>
      <c r="C24" s="56">
        <f t="shared" si="10"/>
        <v>26250</v>
      </c>
      <c r="D24" s="56">
        <f t="shared" si="10"/>
        <v>5375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397"/>
      <c r="X24" s="397"/>
      <c r="Y24" s="6"/>
    </row>
    <row r="25" spans="1:25">
      <c r="A25" s="40" t="s">
        <v>231</v>
      </c>
      <c r="B25" s="489">
        <v>0.155</v>
      </c>
      <c r="C25" s="489">
        <v>0.16750000000000001</v>
      </c>
      <c r="D25" s="489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397"/>
      <c r="X25" s="397"/>
      <c r="Y25" s="6"/>
    </row>
    <row r="26" spans="1:25">
      <c r="A26" s="40" t="s">
        <v>78</v>
      </c>
      <c r="B26" s="56">
        <f>B25*$B$14</f>
        <v>7750</v>
      </c>
      <c r="C26" s="56">
        <f t="shared" ref="C26:U26" si="12">C25*$B$14</f>
        <v>8375</v>
      </c>
      <c r="D26" s="56">
        <f t="shared" si="12"/>
        <v>5375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397"/>
      <c r="X26" s="397"/>
      <c r="Y26" s="6"/>
    </row>
    <row r="27" spans="1:25">
      <c r="A27" s="40" t="s">
        <v>79</v>
      </c>
      <c r="B27" s="152">
        <f t="shared" ref="B27:G27" si="13">B24*$E$97*(B23-B16)/365.25</f>
        <v>1926.2067077344284</v>
      </c>
      <c r="C27" s="152">
        <f t="shared" si="13"/>
        <v>1196.7556468172484</v>
      </c>
      <c r="D27" s="152">
        <f t="shared" si="13"/>
        <v>245.04996577686515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397"/>
      <c r="X27" s="397"/>
      <c r="Y27" s="6"/>
    </row>
    <row r="28" spans="1:25">
      <c r="A28" s="40" t="s">
        <v>80</v>
      </c>
      <c r="B28" s="59">
        <f>B24-B26</f>
        <v>34500</v>
      </c>
      <c r="C28" s="59">
        <f t="shared" ref="C28:U28" si="15">C24-C26</f>
        <v>17875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394"/>
      <c r="X28" s="394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394"/>
      <c r="X29" s="394"/>
    </row>
    <row r="30" spans="1:25">
      <c r="A30" s="39" t="s">
        <v>18</v>
      </c>
      <c r="B30" s="6"/>
      <c r="C30" s="32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394"/>
      <c r="X30" s="394"/>
    </row>
    <row r="31" spans="1:25">
      <c r="B31" s="310">
        <f>'Summary Output'!$B$19</f>
        <v>36892</v>
      </c>
      <c r="C31" s="310">
        <v>37257</v>
      </c>
      <c r="D31" s="310">
        <v>37622</v>
      </c>
      <c r="E31" s="310">
        <v>37987</v>
      </c>
      <c r="F31" s="310">
        <v>38353</v>
      </c>
      <c r="G31" s="310">
        <v>38718</v>
      </c>
      <c r="H31" s="310">
        <v>39083</v>
      </c>
      <c r="I31" s="310">
        <v>39448</v>
      </c>
      <c r="J31" s="310">
        <v>39814</v>
      </c>
      <c r="K31" s="310">
        <v>40179</v>
      </c>
      <c r="L31" s="310">
        <v>40544</v>
      </c>
      <c r="M31" s="310">
        <v>40909</v>
      </c>
      <c r="N31" s="310">
        <v>41275</v>
      </c>
      <c r="O31" s="310">
        <v>41640</v>
      </c>
      <c r="P31" s="310">
        <v>42005</v>
      </c>
      <c r="Q31" s="310">
        <v>42370</v>
      </c>
      <c r="R31" s="310">
        <v>42736</v>
      </c>
      <c r="S31" s="310">
        <v>43101</v>
      </c>
      <c r="T31" s="310">
        <v>43466</v>
      </c>
      <c r="U31" s="310">
        <v>43831</v>
      </c>
      <c r="W31" s="394"/>
      <c r="X31" s="394"/>
    </row>
    <row r="32" spans="1:25">
      <c r="A32" s="40" t="s">
        <v>77</v>
      </c>
      <c r="B32" s="56">
        <v>0</v>
      </c>
      <c r="C32" s="56">
        <f t="shared" ref="C32:U32" si="16">B48</f>
        <v>210000</v>
      </c>
      <c r="D32" s="56">
        <f t="shared" si="16"/>
        <v>210000</v>
      </c>
      <c r="E32" s="56">
        <f t="shared" si="16"/>
        <v>210000</v>
      </c>
      <c r="F32" s="56">
        <f t="shared" si="16"/>
        <v>192150</v>
      </c>
      <c r="G32" s="56">
        <f t="shared" si="16"/>
        <v>167580</v>
      </c>
      <c r="H32" s="56">
        <f t="shared" si="16"/>
        <v>139650</v>
      </c>
      <c r="I32" s="56">
        <f t="shared" si="16"/>
        <v>109200</v>
      </c>
      <c r="J32" s="56">
        <f t="shared" si="16"/>
        <v>74550</v>
      </c>
      <c r="K32" s="56">
        <f t="shared" si="16"/>
        <v>36540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394"/>
      <c r="X32" s="394"/>
    </row>
    <row r="33" spans="1:25">
      <c r="A33" s="40" t="s">
        <v>79</v>
      </c>
      <c r="B33" s="341">
        <v>0</v>
      </c>
      <c r="C33" s="152">
        <f t="shared" ref="C33:K33" si="17">C32*$J$97*(C31-B43)/365.25</f>
        <v>63.244353182751539</v>
      </c>
      <c r="D33" s="152">
        <f t="shared" si="17"/>
        <v>63.244353182751539</v>
      </c>
      <c r="E33" s="152">
        <f t="shared" si="17"/>
        <v>63.244353182751539</v>
      </c>
      <c r="F33" s="152">
        <f t="shared" si="17"/>
        <v>57.868583162217661</v>
      </c>
      <c r="G33" s="152">
        <f t="shared" si="17"/>
        <v>50.468993839835726</v>
      </c>
      <c r="H33" s="152">
        <f t="shared" si="17"/>
        <v>42.057494866529773</v>
      </c>
      <c r="I33" s="152">
        <f t="shared" si="17"/>
        <v>32.887063655030801</v>
      </c>
      <c r="J33" s="152">
        <f t="shared" si="17"/>
        <v>22.451745379876797</v>
      </c>
      <c r="K33" s="152">
        <f t="shared" si="17"/>
        <v>11.004517453798767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397"/>
      <c r="X33" s="397"/>
      <c r="Y33" s="6"/>
    </row>
    <row r="34" spans="1:25" ht="13.5">
      <c r="A34" s="40" t="s">
        <v>80</v>
      </c>
      <c r="B34" s="120">
        <f>'Summary Output'!C20</f>
        <v>210000</v>
      </c>
      <c r="C34" s="59">
        <f t="shared" ref="C34:K34" si="19">C32</f>
        <v>210000</v>
      </c>
      <c r="D34" s="59">
        <f t="shared" si="19"/>
        <v>210000</v>
      </c>
      <c r="E34" s="59">
        <f t="shared" si="19"/>
        <v>210000</v>
      </c>
      <c r="F34" s="59">
        <f t="shared" si="19"/>
        <v>192150</v>
      </c>
      <c r="G34" s="59">
        <f t="shared" si="19"/>
        <v>167580</v>
      </c>
      <c r="H34" s="59">
        <f t="shared" si="19"/>
        <v>139650</v>
      </c>
      <c r="I34" s="59">
        <f t="shared" si="19"/>
        <v>109200</v>
      </c>
      <c r="J34" s="59">
        <f t="shared" si="19"/>
        <v>74550</v>
      </c>
      <c r="K34" s="59">
        <f t="shared" si="19"/>
        <v>36540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395">
        <f>SUM(B39:U39,B46:U46)</f>
        <v>210000</v>
      </c>
      <c r="X34" s="396">
        <f>B34-W34</f>
        <v>0</v>
      </c>
      <c r="Y34" s="6"/>
    </row>
    <row r="35" spans="1:25">
      <c r="B35" s="331"/>
      <c r="C35" s="32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397"/>
      <c r="X35" s="397"/>
      <c r="Y35" s="6"/>
    </row>
    <row r="36" spans="1:25">
      <c r="A36" s="44"/>
      <c r="B36" s="310">
        <v>37072</v>
      </c>
      <c r="C36" s="310">
        <v>37437</v>
      </c>
      <c r="D36" s="310">
        <v>37802</v>
      </c>
      <c r="E36" s="310">
        <v>38168</v>
      </c>
      <c r="F36" s="310">
        <v>38533</v>
      </c>
      <c r="G36" s="310">
        <v>38898</v>
      </c>
      <c r="H36" s="310">
        <v>39263</v>
      </c>
      <c r="I36" s="310">
        <v>39629</v>
      </c>
      <c r="J36" s="310">
        <v>39994</v>
      </c>
      <c r="K36" s="310">
        <v>40359</v>
      </c>
      <c r="L36" s="310">
        <v>40724</v>
      </c>
      <c r="M36" s="310">
        <v>41090</v>
      </c>
      <c r="N36" s="310">
        <v>41455</v>
      </c>
      <c r="O36" s="310">
        <v>41820</v>
      </c>
      <c r="P36" s="310">
        <v>42185</v>
      </c>
      <c r="Q36" s="310">
        <v>42551</v>
      </c>
      <c r="R36" s="310">
        <v>42916</v>
      </c>
      <c r="S36" s="310">
        <v>43281</v>
      </c>
      <c r="T36" s="310">
        <v>43646</v>
      </c>
      <c r="U36" s="310">
        <v>44012</v>
      </c>
      <c r="V36" s="6"/>
      <c r="W36" s="397"/>
      <c r="X36" s="397"/>
      <c r="Y36" s="6"/>
    </row>
    <row r="37" spans="1:25">
      <c r="A37" s="40" t="s">
        <v>77</v>
      </c>
      <c r="B37" s="56">
        <f t="shared" ref="B37:K37" si="21">B34</f>
        <v>210000</v>
      </c>
      <c r="C37" s="56">
        <f t="shared" si="21"/>
        <v>210000</v>
      </c>
      <c r="D37" s="56">
        <f t="shared" si="21"/>
        <v>210000</v>
      </c>
      <c r="E37" s="56">
        <f t="shared" si="21"/>
        <v>210000</v>
      </c>
      <c r="F37" s="56">
        <f t="shared" si="21"/>
        <v>192150</v>
      </c>
      <c r="G37" s="56">
        <f t="shared" si="21"/>
        <v>167580</v>
      </c>
      <c r="H37" s="56">
        <f t="shared" si="21"/>
        <v>139650</v>
      </c>
      <c r="I37" s="56">
        <f t="shared" si="21"/>
        <v>109200</v>
      </c>
      <c r="J37" s="56">
        <f t="shared" si="21"/>
        <v>74550</v>
      </c>
      <c r="K37" s="56">
        <f t="shared" si="21"/>
        <v>36540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397"/>
      <c r="X37" s="397"/>
      <c r="Y37" s="6"/>
    </row>
    <row r="38" spans="1:25">
      <c r="A38" s="40" t="s">
        <v>231</v>
      </c>
      <c r="B38" s="489">
        <v>0</v>
      </c>
      <c r="C38" s="489">
        <v>0</v>
      </c>
      <c r="D38" s="489">
        <v>0</v>
      </c>
      <c r="E38" s="489">
        <v>4.2500000000000003E-2</v>
      </c>
      <c r="F38" s="489">
        <v>5.8500000000000003E-2</v>
      </c>
      <c r="G38" s="489">
        <v>6.6500000000000004E-2</v>
      </c>
      <c r="H38" s="489">
        <v>7.2499999999999995E-2</v>
      </c>
      <c r="I38" s="489">
        <v>8.2500000000000004E-2</v>
      </c>
      <c r="J38" s="489">
        <v>9.0499999999999997E-2</v>
      </c>
      <c r="K38" s="489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394"/>
      <c r="X38" s="394"/>
    </row>
    <row r="39" spans="1:25">
      <c r="A39" s="40" t="s">
        <v>78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8925</v>
      </c>
      <c r="F39" s="56">
        <f t="shared" si="23"/>
        <v>12285</v>
      </c>
      <c r="G39" s="56">
        <f t="shared" si="23"/>
        <v>13965</v>
      </c>
      <c r="H39" s="56">
        <f t="shared" si="23"/>
        <v>15224.999999999998</v>
      </c>
      <c r="I39" s="56">
        <f t="shared" si="23"/>
        <v>17325</v>
      </c>
      <c r="J39" s="56">
        <f t="shared" si="23"/>
        <v>19005</v>
      </c>
      <c r="K39" s="56">
        <f t="shared" si="23"/>
        <v>25200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397"/>
      <c r="X39" s="397"/>
      <c r="Y39" s="6"/>
    </row>
    <row r="40" spans="1:25">
      <c r="A40" s="40" t="s">
        <v>79</v>
      </c>
      <c r="B40" s="152">
        <f t="shared" ref="B40:K40" si="24">B37*$J$97*(B36-B31)/365.25</f>
        <v>11383.983572895277</v>
      </c>
      <c r="C40" s="152">
        <f t="shared" si="24"/>
        <v>11383.983572895277</v>
      </c>
      <c r="D40" s="152">
        <f t="shared" si="24"/>
        <v>11383.983572895277</v>
      </c>
      <c r="E40" s="152">
        <f t="shared" si="24"/>
        <v>11447.227926078029</v>
      </c>
      <c r="F40" s="152">
        <f t="shared" si="24"/>
        <v>10416.344969199179</v>
      </c>
      <c r="G40" s="152">
        <f t="shared" si="24"/>
        <v>9084.4188911704314</v>
      </c>
      <c r="H40" s="152">
        <f t="shared" si="24"/>
        <v>7570.3490759753595</v>
      </c>
      <c r="I40" s="152">
        <f t="shared" si="24"/>
        <v>5952.5585215605752</v>
      </c>
      <c r="J40" s="152">
        <f t="shared" si="24"/>
        <v>4041.3141683778235</v>
      </c>
      <c r="K40" s="152">
        <f t="shared" si="24"/>
        <v>1980.8131416837782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397"/>
      <c r="X40" s="397"/>
      <c r="Y40" s="6"/>
    </row>
    <row r="41" spans="1:25">
      <c r="A41" s="40" t="s">
        <v>80</v>
      </c>
      <c r="B41" s="59">
        <f>B37-B39</f>
        <v>210000</v>
      </c>
      <c r="C41" s="59">
        <f t="shared" ref="C41:U41" si="26">C37-C39</f>
        <v>210000</v>
      </c>
      <c r="D41" s="59">
        <f t="shared" si="26"/>
        <v>210000</v>
      </c>
      <c r="E41" s="59">
        <f t="shared" si="26"/>
        <v>201075</v>
      </c>
      <c r="F41" s="59">
        <f t="shared" si="26"/>
        <v>179865</v>
      </c>
      <c r="G41" s="59">
        <f t="shared" si="26"/>
        <v>153615</v>
      </c>
      <c r="H41" s="59">
        <f t="shared" si="26"/>
        <v>124425</v>
      </c>
      <c r="I41" s="59">
        <f t="shared" si="26"/>
        <v>91875</v>
      </c>
      <c r="J41" s="59">
        <f t="shared" si="26"/>
        <v>55545</v>
      </c>
      <c r="K41" s="59">
        <f t="shared" si="26"/>
        <v>11340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397"/>
      <c r="X41" s="397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394"/>
      <c r="X42" s="394"/>
    </row>
    <row r="43" spans="1:25">
      <c r="A43" s="44"/>
      <c r="B43" s="310">
        <v>37256</v>
      </c>
      <c r="C43" s="310">
        <v>37621</v>
      </c>
      <c r="D43" s="310">
        <v>37986</v>
      </c>
      <c r="E43" s="310">
        <v>38352</v>
      </c>
      <c r="F43" s="310">
        <v>38717</v>
      </c>
      <c r="G43" s="310">
        <v>39082</v>
      </c>
      <c r="H43" s="310">
        <v>39447</v>
      </c>
      <c r="I43" s="310">
        <v>39813</v>
      </c>
      <c r="J43" s="310">
        <v>40178</v>
      </c>
      <c r="K43" s="310">
        <v>40543</v>
      </c>
      <c r="L43" s="310">
        <v>40908</v>
      </c>
      <c r="M43" s="310">
        <v>41274</v>
      </c>
      <c r="N43" s="310">
        <v>41639</v>
      </c>
      <c r="O43" s="310">
        <v>42004</v>
      </c>
      <c r="P43" s="310">
        <v>42369</v>
      </c>
      <c r="Q43" s="310">
        <v>42735</v>
      </c>
      <c r="R43" s="310">
        <v>43100</v>
      </c>
      <c r="S43" s="310">
        <v>43465</v>
      </c>
      <c r="T43" s="310">
        <v>43830</v>
      </c>
      <c r="U43" s="310">
        <v>44196</v>
      </c>
      <c r="W43" s="394"/>
      <c r="X43" s="394"/>
    </row>
    <row r="44" spans="1:25">
      <c r="A44" s="40" t="s">
        <v>77</v>
      </c>
      <c r="B44" s="56">
        <f>B41</f>
        <v>210000</v>
      </c>
      <c r="C44" s="56">
        <f t="shared" ref="C44:K44" si="27">C41</f>
        <v>210000</v>
      </c>
      <c r="D44" s="56">
        <f t="shared" si="27"/>
        <v>210000</v>
      </c>
      <c r="E44" s="56">
        <f t="shared" si="27"/>
        <v>201075</v>
      </c>
      <c r="F44" s="56">
        <f t="shared" si="27"/>
        <v>179865</v>
      </c>
      <c r="G44" s="56">
        <f t="shared" si="27"/>
        <v>153615</v>
      </c>
      <c r="H44" s="56">
        <f t="shared" si="27"/>
        <v>124425</v>
      </c>
      <c r="I44" s="56">
        <f t="shared" si="27"/>
        <v>91875</v>
      </c>
      <c r="J44" s="56">
        <f t="shared" si="27"/>
        <v>55545</v>
      </c>
      <c r="K44" s="56">
        <f t="shared" si="27"/>
        <v>11340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394"/>
      <c r="X44" s="394"/>
    </row>
    <row r="45" spans="1:25">
      <c r="A45" s="40" t="s">
        <v>231</v>
      </c>
      <c r="B45" s="489">
        <v>0</v>
      </c>
      <c r="C45" s="489">
        <v>0</v>
      </c>
      <c r="D45" s="489">
        <v>0</v>
      </c>
      <c r="E45" s="489">
        <v>4.2500000000000003E-2</v>
      </c>
      <c r="F45" s="489">
        <v>5.8500000000000003E-2</v>
      </c>
      <c r="G45" s="489">
        <v>6.6500000000000004E-2</v>
      </c>
      <c r="H45" s="489">
        <v>7.2499999999999995E-2</v>
      </c>
      <c r="I45" s="489">
        <v>8.2500000000000004E-2</v>
      </c>
      <c r="J45" s="489">
        <v>9.0499999999999997E-2</v>
      </c>
      <c r="K45" s="489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394"/>
      <c r="X45" s="394"/>
    </row>
    <row r="46" spans="1:25">
      <c r="A46" s="40" t="s">
        <v>78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8925</v>
      </c>
      <c r="F46" s="56">
        <f t="shared" si="29"/>
        <v>12285</v>
      </c>
      <c r="G46" s="56">
        <f t="shared" si="29"/>
        <v>13965</v>
      </c>
      <c r="H46" s="56">
        <f t="shared" si="29"/>
        <v>15224.999999999998</v>
      </c>
      <c r="I46" s="56">
        <f t="shared" si="29"/>
        <v>17325</v>
      </c>
      <c r="J46" s="56">
        <f t="shared" si="29"/>
        <v>19005</v>
      </c>
      <c r="K46" s="56">
        <f t="shared" si="29"/>
        <v>11339.999999999987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394"/>
      <c r="X46" s="394"/>
    </row>
    <row r="47" spans="1:25">
      <c r="A47" s="40" t="s">
        <v>79</v>
      </c>
      <c r="B47" s="152">
        <f>B44*$J$97*(B43-B36)/365.25</f>
        <v>11636.960985626283</v>
      </c>
      <c r="C47" s="152">
        <f t="shared" ref="C47:K47" si="30">C44*$J$97*(C43-C36)/365.25</f>
        <v>11636.960985626283</v>
      </c>
      <c r="D47" s="152">
        <f t="shared" si="30"/>
        <v>11636.960985626283</v>
      </c>
      <c r="E47" s="152">
        <f t="shared" si="30"/>
        <v>11142.390143737166</v>
      </c>
      <c r="F47" s="152">
        <f t="shared" si="30"/>
        <v>9967.0570841889112</v>
      </c>
      <c r="G47" s="152">
        <f t="shared" si="30"/>
        <v>8512.4369609856258</v>
      </c>
      <c r="H47" s="152">
        <f t="shared" si="30"/>
        <v>6894.899383983573</v>
      </c>
      <c r="I47" s="152">
        <f t="shared" si="30"/>
        <v>5091.1704312114989</v>
      </c>
      <c r="J47" s="152">
        <f t="shared" si="30"/>
        <v>3077.9761806981519</v>
      </c>
      <c r="K47" s="152">
        <f t="shared" si="30"/>
        <v>628.39589322381937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394"/>
      <c r="X47" s="394"/>
    </row>
    <row r="48" spans="1:25">
      <c r="A48" s="40" t="s">
        <v>80</v>
      </c>
      <c r="B48" s="59">
        <f>B44-B46</f>
        <v>210000</v>
      </c>
      <c r="C48" s="59">
        <f t="shared" ref="C48:U48" si="32">C44-C46</f>
        <v>210000</v>
      </c>
      <c r="D48" s="59">
        <f t="shared" si="32"/>
        <v>210000</v>
      </c>
      <c r="E48" s="59">
        <f t="shared" si="32"/>
        <v>192150</v>
      </c>
      <c r="F48" s="59">
        <f t="shared" si="32"/>
        <v>167580</v>
      </c>
      <c r="G48" s="59">
        <f t="shared" si="32"/>
        <v>139650</v>
      </c>
      <c r="H48" s="59">
        <f t="shared" si="32"/>
        <v>109200</v>
      </c>
      <c r="I48" s="59">
        <f t="shared" si="32"/>
        <v>74550</v>
      </c>
      <c r="J48" s="59">
        <f t="shared" si="32"/>
        <v>36540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394"/>
      <c r="X48" s="394"/>
    </row>
    <row r="49" spans="1:24">
      <c r="A49" s="40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W49" s="394"/>
      <c r="X49" s="394"/>
    </row>
    <row r="50" spans="1:24">
      <c r="A50" s="39" t="s">
        <v>19</v>
      </c>
      <c r="B50" s="6"/>
      <c r="C50" s="32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394"/>
      <c r="X50" s="394"/>
    </row>
    <row r="51" spans="1:24">
      <c r="B51" s="310">
        <f>'Summary Output'!$B$19</f>
        <v>36892</v>
      </c>
      <c r="C51" s="310">
        <v>37257</v>
      </c>
      <c r="D51" s="310">
        <v>37622</v>
      </c>
      <c r="E51" s="310">
        <v>37987</v>
      </c>
      <c r="F51" s="310">
        <v>38353</v>
      </c>
      <c r="G51" s="310">
        <v>38718</v>
      </c>
      <c r="H51" s="310">
        <v>39083</v>
      </c>
      <c r="I51" s="310">
        <v>39448</v>
      </c>
      <c r="J51" s="310">
        <v>39814</v>
      </c>
      <c r="K51" s="310">
        <v>40179</v>
      </c>
      <c r="L51" s="310">
        <v>40544</v>
      </c>
      <c r="M51" s="310">
        <v>40909</v>
      </c>
      <c r="N51" s="310">
        <v>41275</v>
      </c>
      <c r="O51" s="310">
        <v>41640</v>
      </c>
      <c r="P51" s="310">
        <v>42005</v>
      </c>
      <c r="Q51" s="310">
        <v>42370</v>
      </c>
      <c r="R51" s="310">
        <v>42736</v>
      </c>
      <c r="S51" s="310">
        <v>43101</v>
      </c>
      <c r="T51" s="310">
        <v>43466</v>
      </c>
      <c r="U51" s="310">
        <v>43831</v>
      </c>
      <c r="W51" s="394"/>
      <c r="X51" s="394"/>
    </row>
    <row r="52" spans="1:24">
      <c r="A52" s="40" t="s">
        <v>77</v>
      </c>
      <c r="B52" s="56">
        <v>0</v>
      </c>
      <c r="C52" s="56">
        <f>B68</f>
        <v>475000</v>
      </c>
      <c r="D52" s="56">
        <f t="shared" ref="D52:U52" si="33">C68</f>
        <v>475000</v>
      </c>
      <c r="E52" s="56">
        <f t="shared" si="33"/>
        <v>475000</v>
      </c>
      <c r="F52" s="56">
        <f t="shared" si="33"/>
        <v>475000</v>
      </c>
      <c r="G52" s="56">
        <f t="shared" si="33"/>
        <v>475000</v>
      </c>
      <c r="H52" s="56">
        <f t="shared" si="33"/>
        <v>475000</v>
      </c>
      <c r="I52" s="56">
        <f t="shared" si="33"/>
        <v>475000</v>
      </c>
      <c r="J52" s="56">
        <f t="shared" si="33"/>
        <v>475000</v>
      </c>
      <c r="K52" s="56">
        <f t="shared" si="33"/>
        <v>475000</v>
      </c>
      <c r="L52" s="56">
        <f t="shared" si="33"/>
        <v>467875</v>
      </c>
      <c r="M52" s="56">
        <f t="shared" si="33"/>
        <v>420375</v>
      </c>
      <c r="N52" s="56">
        <f t="shared" si="33"/>
        <v>372875</v>
      </c>
      <c r="O52" s="56">
        <f t="shared" si="33"/>
        <v>325375</v>
      </c>
      <c r="P52" s="56">
        <f t="shared" si="33"/>
        <v>277875</v>
      </c>
      <c r="Q52" s="56">
        <f t="shared" si="33"/>
        <v>228000</v>
      </c>
      <c r="R52" s="56">
        <f t="shared" si="33"/>
        <v>175750</v>
      </c>
      <c r="S52" s="56">
        <f t="shared" si="33"/>
        <v>123500</v>
      </c>
      <c r="T52" s="56">
        <f t="shared" si="33"/>
        <v>80750</v>
      </c>
      <c r="U52" s="56">
        <f t="shared" si="33"/>
        <v>38000</v>
      </c>
      <c r="W52" s="394"/>
      <c r="X52" s="394"/>
    </row>
    <row r="53" spans="1:24">
      <c r="A53" s="265" t="s">
        <v>79</v>
      </c>
      <c r="B53" s="341">
        <v>0</v>
      </c>
      <c r="C53" s="152">
        <f t="shared" ref="C53:U53" si="34">C52*$O$97*(C51-B63)/365.25</f>
        <v>145.65366187542779</v>
      </c>
      <c r="D53" s="152">
        <f t="shared" si="34"/>
        <v>145.65366187542779</v>
      </c>
      <c r="E53" s="152">
        <f t="shared" si="34"/>
        <v>145.65366187542779</v>
      </c>
      <c r="F53" s="152">
        <f t="shared" si="34"/>
        <v>145.65366187542779</v>
      </c>
      <c r="G53" s="152">
        <f t="shared" si="34"/>
        <v>145.65366187542779</v>
      </c>
      <c r="H53" s="152">
        <f t="shared" si="34"/>
        <v>145.65366187542779</v>
      </c>
      <c r="I53" s="152">
        <f t="shared" si="34"/>
        <v>145.65366187542779</v>
      </c>
      <c r="J53" s="152">
        <f t="shared" si="34"/>
        <v>145.65366187542779</v>
      </c>
      <c r="K53" s="152">
        <f t="shared" si="34"/>
        <v>145.65366187542779</v>
      </c>
      <c r="L53" s="152">
        <f t="shared" si="34"/>
        <v>143.46885694729636</v>
      </c>
      <c r="M53" s="152">
        <f t="shared" si="34"/>
        <v>128.90349075975359</v>
      </c>
      <c r="N53" s="152">
        <f t="shared" si="34"/>
        <v>114.33812457221082</v>
      </c>
      <c r="O53" s="152">
        <f t="shared" si="34"/>
        <v>99.772758384668037</v>
      </c>
      <c r="P53" s="152">
        <f t="shared" si="34"/>
        <v>85.207392197125259</v>
      </c>
      <c r="Q53" s="152">
        <f t="shared" si="34"/>
        <v>69.913757700205338</v>
      </c>
      <c r="R53" s="152">
        <f t="shared" si="34"/>
        <v>53.891854893908281</v>
      </c>
      <c r="S53" s="152">
        <f t="shared" si="34"/>
        <v>37.869952087611225</v>
      </c>
      <c r="T53" s="152">
        <f t="shared" si="34"/>
        <v>24.761122518822724</v>
      </c>
      <c r="U53" s="152">
        <f t="shared" si="34"/>
        <v>11.652292950034223</v>
      </c>
      <c r="W53" s="394"/>
      <c r="X53" s="394"/>
    </row>
    <row r="54" spans="1:24" ht="13.5">
      <c r="A54" s="265" t="s">
        <v>80</v>
      </c>
      <c r="B54" s="120">
        <f>'Summary Output'!D20</f>
        <v>475000</v>
      </c>
      <c r="C54" s="59">
        <f>C52</f>
        <v>475000</v>
      </c>
      <c r="D54" s="59">
        <f t="shared" ref="D54:U54" si="35">D52</f>
        <v>475000</v>
      </c>
      <c r="E54" s="59">
        <f t="shared" si="35"/>
        <v>475000</v>
      </c>
      <c r="F54" s="59">
        <f t="shared" si="35"/>
        <v>475000</v>
      </c>
      <c r="G54" s="59">
        <f t="shared" si="35"/>
        <v>475000</v>
      </c>
      <c r="H54" s="59">
        <f t="shared" si="35"/>
        <v>475000</v>
      </c>
      <c r="I54" s="59">
        <f t="shared" si="35"/>
        <v>475000</v>
      </c>
      <c r="J54" s="59">
        <f t="shared" si="35"/>
        <v>475000</v>
      </c>
      <c r="K54" s="59">
        <f t="shared" si="35"/>
        <v>475000</v>
      </c>
      <c r="L54" s="59">
        <f t="shared" si="35"/>
        <v>467875</v>
      </c>
      <c r="M54" s="59">
        <f t="shared" si="35"/>
        <v>420375</v>
      </c>
      <c r="N54" s="59">
        <f t="shared" si="35"/>
        <v>372875</v>
      </c>
      <c r="O54" s="59">
        <f t="shared" si="35"/>
        <v>325375</v>
      </c>
      <c r="P54" s="59">
        <f t="shared" si="35"/>
        <v>277875</v>
      </c>
      <c r="Q54" s="59">
        <f t="shared" si="35"/>
        <v>228000</v>
      </c>
      <c r="R54" s="59">
        <f t="shared" si="35"/>
        <v>175750</v>
      </c>
      <c r="S54" s="59">
        <f t="shared" si="35"/>
        <v>123500</v>
      </c>
      <c r="T54" s="59">
        <f t="shared" si="35"/>
        <v>80750</v>
      </c>
      <c r="U54" s="59">
        <f t="shared" si="35"/>
        <v>38000</v>
      </c>
      <c r="W54" s="395">
        <f>SUM(B59:U59,B66:U66)</f>
        <v>475000.00000000006</v>
      </c>
      <c r="X54" s="396">
        <f>B54-W54</f>
        <v>0</v>
      </c>
    </row>
    <row r="55" spans="1:24">
      <c r="B55" s="331"/>
      <c r="C55" s="32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394"/>
      <c r="X55" s="394"/>
    </row>
    <row r="56" spans="1:24">
      <c r="A56" s="329"/>
      <c r="B56" s="310">
        <v>37072</v>
      </c>
      <c r="C56" s="310">
        <v>37437</v>
      </c>
      <c r="D56" s="310">
        <v>37802</v>
      </c>
      <c r="E56" s="310">
        <v>38168</v>
      </c>
      <c r="F56" s="310">
        <v>38533</v>
      </c>
      <c r="G56" s="310">
        <v>38898</v>
      </c>
      <c r="H56" s="310">
        <v>39263</v>
      </c>
      <c r="I56" s="310">
        <v>39629</v>
      </c>
      <c r="J56" s="310">
        <v>39994</v>
      </c>
      <c r="K56" s="310">
        <v>40359</v>
      </c>
      <c r="L56" s="310">
        <v>40724</v>
      </c>
      <c r="M56" s="310">
        <v>41090</v>
      </c>
      <c r="N56" s="310">
        <v>41455</v>
      </c>
      <c r="O56" s="310">
        <v>41820</v>
      </c>
      <c r="P56" s="310">
        <v>42185</v>
      </c>
      <c r="Q56" s="310">
        <v>42551</v>
      </c>
      <c r="R56" s="310">
        <v>42916</v>
      </c>
      <c r="S56" s="310">
        <v>43281</v>
      </c>
      <c r="T56" s="310">
        <v>43646</v>
      </c>
      <c r="U56" s="310">
        <v>44012</v>
      </c>
      <c r="W56" s="394"/>
      <c r="X56" s="394"/>
    </row>
    <row r="57" spans="1:24">
      <c r="A57" s="265" t="s">
        <v>77</v>
      </c>
      <c r="B57" s="56">
        <f>B54</f>
        <v>475000</v>
      </c>
      <c r="C57" s="56">
        <f>C54</f>
        <v>475000</v>
      </c>
      <c r="D57" s="56">
        <f t="shared" ref="D57:U57" si="36">D54</f>
        <v>475000</v>
      </c>
      <c r="E57" s="56">
        <f t="shared" si="36"/>
        <v>475000</v>
      </c>
      <c r="F57" s="56">
        <f t="shared" si="36"/>
        <v>475000</v>
      </c>
      <c r="G57" s="56">
        <f t="shared" si="36"/>
        <v>475000</v>
      </c>
      <c r="H57" s="56">
        <f t="shared" si="36"/>
        <v>475000</v>
      </c>
      <c r="I57" s="56">
        <f t="shared" si="36"/>
        <v>475000</v>
      </c>
      <c r="J57" s="56">
        <f t="shared" si="36"/>
        <v>475000</v>
      </c>
      <c r="K57" s="56">
        <f t="shared" si="36"/>
        <v>475000</v>
      </c>
      <c r="L57" s="56">
        <f t="shared" si="36"/>
        <v>467875</v>
      </c>
      <c r="M57" s="56">
        <f t="shared" si="36"/>
        <v>420375</v>
      </c>
      <c r="N57" s="56">
        <f t="shared" si="36"/>
        <v>372875</v>
      </c>
      <c r="O57" s="56">
        <f t="shared" si="36"/>
        <v>325375</v>
      </c>
      <c r="P57" s="56">
        <f t="shared" si="36"/>
        <v>277875</v>
      </c>
      <c r="Q57" s="56">
        <f t="shared" si="36"/>
        <v>228000</v>
      </c>
      <c r="R57" s="56">
        <f t="shared" si="36"/>
        <v>175750</v>
      </c>
      <c r="S57" s="56">
        <f t="shared" si="36"/>
        <v>123500</v>
      </c>
      <c r="T57" s="56">
        <f t="shared" si="36"/>
        <v>80750</v>
      </c>
      <c r="U57" s="56">
        <f t="shared" si="36"/>
        <v>38000</v>
      </c>
      <c r="W57" s="394"/>
      <c r="X57" s="394"/>
    </row>
    <row r="58" spans="1:24">
      <c r="A58" s="40" t="s">
        <v>231</v>
      </c>
      <c r="B58" s="489">
        <v>0</v>
      </c>
      <c r="C58" s="489">
        <v>0</v>
      </c>
      <c r="D58" s="489">
        <v>0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  <c r="K58" s="489">
        <v>0</v>
      </c>
      <c r="L58" s="489">
        <v>0.05</v>
      </c>
      <c r="M58" s="489">
        <v>0.05</v>
      </c>
      <c r="N58" s="489">
        <v>0.05</v>
      </c>
      <c r="O58" s="489">
        <v>0.05</v>
      </c>
      <c r="P58" s="489">
        <v>5.2499999999999998E-2</v>
      </c>
      <c r="Q58" s="489">
        <v>5.5E-2</v>
      </c>
      <c r="R58" s="489">
        <v>5.5E-2</v>
      </c>
      <c r="S58" s="489">
        <v>4.4999999999999998E-2</v>
      </c>
      <c r="T58" s="489">
        <v>4.4999999999999998E-2</v>
      </c>
      <c r="U58" s="489">
        <v>4.4999999999999998E-2</v>
      </c>
      <c r="W58" s="394"/>
      <c r="X58" s="394"/>
    </row>
    <row r="59" spans="1:24">
      <c r="A59" s="265" t="s">
        <v>78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23750</v>
      </c>
      <c r="M59" s="56">
        <f t="shared" si="37"/>
        <v>23750</v>
      </c>
      <c r="N59" s="56">
        <f t="shared" si="37"/>
        <v>23750</v>
      </c>
      <c r="O59" s="56">
        <f t="shared" si="37"/>
        <v>23750</v>
      </c>
      <c r="P59" s="56">
        <f t="shared" si="37"/>
        <v>24937.5</v>
      </c>
      <c r="Q59" s="56">
        <f t="shared" si="37"/>
        <v>26125</v>
      </c>
      <c r="R59" s="56">
        <f t="shared" si="37"/>
        <v>26125</v>
      </c>
      <c r="S59" s="56">
        <f t="shared" si="37"/>
        <v>21375</v>
      </c>
      <c r="T59" s="56">
        <f t="shared" si="37"/>
        <v>21375</v>
      </c>
      <c r="U59" s="56">
        <f t="shared" si="37"/>
        <v>21375</v>
      </c>
      <c r="W59" s="38"/>
      <c r="X59" s="38"/>
    </row>
    <row r="60" spans="1:24">
      <c r="A60" s="40" t="s">
        <v>79</v>
      </c>
      <c r="B60" s="152">
        <f t="shared" ref="B60:U60" si="38">B57*$O$97*(B56-B51)/365.25</f>
        <v>26217.659137577</v>
      </c>
      <c r="C60" s="152">
        <f t="shared" si="38"/>
        <v>26217.659137577</v>
      </c>
      <c r="D60" s="152">
        <f t="shared" si="38"/>
        <v>26217.659137577</v>
      </c>
      <c r="E60" s="152">
        <f t="shared" si="38"/>
        <v>26363.312799452429</v>
      </c>
      <c r="F60" s="152">
        <f t="shared" si="38"/>
        <v>26217.659137577</v>
      </c>
      <c r="G60" s="152">
        <f t="shared" si="38"/>
        <v>26217.659137577</v>
      </c>
      <c r="H60" s="152">
        <f t="shared" si="38"/>
        <v>26217.659137577</v>
      </c>
      <c r="I60" s="152">
        <f t="shared" si="38"/>
        <v>26363.312799452429</v>
      </c>
      <c r="J60" s="152">
        <f t="shared" si="38"/>
        <v>26217.659137577</v>
      </c>
      <c r="K60" s="152">
        <f t="shared" si="38"/>
        <v>26217.659137577</v>
      </c>
      <c r="L60" s="152">
        <f t="shared" si="38"/>
        <v>25824.394250513345</v>
      </c>
      <c r="M60" s="152">
        <f t="shared" si="38"/>
        <v>23331.531827515399</v>
      </c>
      <c r="N60" s="152">
        <f t="shared" si="38"/>
        <v>20580.862422997947</v>
      </c>
      <c r="O60" s="152">
        <f t="shared" si="38"/>
        <v>17959.096509240248</v>
      </c>
      <c r="P60" s="152">
        <f t="shared" si="38"/>
        <v>15337.330595482546</v>
      </c>
      <c r="Q60" s="152">
        <f t="shared" si="38"/>
        <v>12654.390143737166</v>
      </c>
      <c r="R60" s="152">
        <f t="shared" si="38"/>
        <v>9700.5338809034911</v>
      </c>
      <c r="S60" s="152">
        <f t="shared" si="38"/>
        <v>6816.5913757700209</v>
      </c>
      <c r="T60" s="152">
        <f t="shared" si="38"/>
        <v>4457.0020533880906</v>
      </c>
      <c r="U60" s="152">
        <f t="shared" si="38"/>
        <v>2109.0650239561942</v>
      </c>
      <c r="W60" s="38"/>
      <c r="X60" s="38"/>
    </row>
    <row r="61" spans="1:24">
      <c r="A61" s="40" t="s">
        <v>80</v>
      </c>
      <c r="B61" s="59">
        <f>B57-B59</f>
        <v>475000</v>
      </c>
      <c r="C61" s="59">
        <f t="shared" ref="C61:U61" si="39">C57-C59</f>
        <v>475000</v>
      </c>
      <c r="D61" s="59">
        <f t="shared" si="39"/>
        <v>475000</v>
      </c>
      <c r="E61" s="59">
        <f t="shared" si="39"/>
        <v>475000</v>
      </c>
      <c r="F61" s="59">
        <f t="shared" si="39"/>
        <v>475000</v>
      </c>
      <c r="G61" s="59">
        <f t="shared" si="39"/>
        <v>475000</v>
      </c>
      <c r="H61" s="59">
        <f t="shared" si="39"/>
        <v>475000</v>
      </c>
      <c r="I61" s="59">
        <f t="shared" si="39"/>
        <v>475000</v>
      </c>
      <c r="J61" s="59">
        <f t="shared" si="39"/>
        <v>475000</v>
      </c>
      <c r="K61" s="59">
        <f t="shared" si="39"/>
        <v>475000</v>
      </c>
      <c r="L61" s="59">
        <f t="shared" si="39"/>
        <v>444125</v>
      </c>
      <c r="M61" s="59">
        <f t="shared" si="39"/>
        <v>396625</v>
      </c>
      <c r="N61" s="59">
        <f t="shared" si="39"/>
        <v>349125</v>
      </c>
      <c r="O61" s="59">
        <f t="shared" si="39"/>
        <v>301625</v>
      </c>
      <c r="P61" s="59">
        <f t="shared" si="39"/>
        <v>252937.5</v>
      </c>
      <c r="Q61" s="59">
        <f t="shared" si="39"/>
        <v>201875</v>
      </c>
      <c r="R61" s="59">
        <f t="shared" si="39"/>
        <v>149625</v>
      </c>
      <c r="S61" s="59">
        <f t="shared" si="39"/>
        <v>102125</v>
      </c>
      <c r="T61" s="59">
        <f t="shared" si="39"/>
        <v>59375</v>
      </c>
      <c r="U61" s="59">
        <f t="shared" si="39"/>
        <v>16625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10">
        <v>37256</v>
      </c>
      <c r="C63" s="310">
        <v>37621</v>
      </c>
      <c r="D63" s="310">
        <v>37986</v>
      </c>
      <c r="E63" s="310">
        <v>38352</v>
      </c>
      <c r="F63" s="310">
        <v>38717</v>
      </c>
      <c r="G63" s="310">
        <v>39082</v>
      </c>
      <c r="H63" s="310">
        <v>39447</v>
      </c>
      <c r="I63" s="310">
        <v>39813</v>
      </c>
      <c r="J63" s="310">
        <v>40178</v>
      </c>
      <c r="K63" s="310">
        <v>40543</v>
      </c>
      <c r="L63" s="310">
        <v>40908</v>
      </c>
      <c r="M63" s="310">
        <v>41274</v>
      </c>
      <c r="N63" s="310">
        <v>41639</v>
      </c>
      <c r="O63" s="310">
        <v>42004</v>
      </c>
      <c r="P63" s="310">
        <v>42369</v>
      </c>
      <c r="Q63" s="310">
        <v>42735</v>
      </c>
      <c r="R63" s="310">
        <v>43100</v>
      </c>
      <c r="S63" s="310">
        <v>43465</v>
      </c>
      <c r="T63" s="310">
        <v>43830</v>
      </c>
      <c r="U63" s="310">
        <v>44196</v>
      </c>
      <c r="W63" s="38"/>
      <c r="X63" s="38"/>
    </row>
    <row r="64" spans="1:24">
      <c r="A64" s="40" t="s">
        <v>77</v>
      </c>
      <c r="B64" s="56">
        <f>B61</f>
        <v>475000</v>
      </c>
      <c r="C64" s="56">
        <f t="shared" ref="C64:U64" si="40">C61</f>
        <v>475000</v>
      </c>
      <c r="D64" s="56">
        <f t="shared" si="40"/>
        <v>475000</v>
      </c>
      <c r="E64" s="56">
        <f t="shared" si="40"/>
        <v>475000</v>
      </c>
      <c r="F64" s="56">
        <f t="shared" si="40"/>
        <v>475000</v>
      </c>
      <c r="G64" s="56">
        <f t="shared" si="40"/>
        <v>475000</v>
      </c>
      <c r="H64" s="56">
        <f t="shared" si="40"/>
        <v>475000</v>
      </c>
      <c r="I64" s="56">
        <f t="shared" si="40"/>
        <v>475000</v>
      </c>
      <c r="J64" s="56">
        <f t="shared" si="40"/>
        <v>475000</v>
      </c>
      <c r="K64" s="56">
        <f t="shared" si="40"/>
        <v>475000</v>
      </c>
      <c r="L64" s="56">
        <f t="shared" si="40"/>
        <v>444125</v>
      </c>
      <c r="M64" s="56">
        <f t="shared" si="40"/>
        <v>396625</v>
      </c>
      <c r="N64" s="56">
        <f t="shared" si="40"/>
        <v>349125</v>
      </c>
      <c r="O64" s="56">
        <f t="shared" si="40"/>
        <v>301625</v>
      </c>
      <c r="P64" s="56">
        <f t="shared" si="40"/>
        <v>252937.5</v>
      </c>
      <c r="Q64" s="56">
        <f t="shared" si="40"/>
        <v>201875</v>
      </c>
      <c r="R64" s="56">
        <f t="shared" si="40"/>
        <v>149625</v>
      </c>
      <c r="S64" s="56">
        <f t="shared" si="40"/>
        <v>102125</v>
      </c>
      <c r="T64" s="56">
        <f t="shared" si="40"/>
        <v>59375</v>
      </c>
      <c r="U64" s="56">
        <f t="shared" si="40"/>
        <v>16625</v>
      </c>
      <c r="W64" s="38"/>
      <c r="X64" s="38"/>
    </row>
    <row r="65" spans="1:26">
      <c r="A65" s="40" t="s">
        <v>231</v>
      </c>
      <c r="B65" s="489">
        <v>0</v>
      </c>
      <c r="C65" s="489">
        <v>0</v>
      </c>
      <c r="D65" s="489">
        <v>0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  <c r="K65" s="489">
        <v>1.4999999999999999E-2</v>
      </c>
      <c r="L65" s="489">
        <v>0.05</v>
      </c>
      <c r="M65" s="489">
        <v>0.05</v>
      </c>
      <c r="N65" s="489">
        <v>0.05</v>
      </c>
      <c r="O65" s="489">
        <v>0.05</v>
      </c>
      <c r="P65" s="489">
        <v>5.2499999999999998E-2</v>
      </c>
      <c r="Q65" s="489">
        <v>5.5E-2</v>
      </c>
      <c r="R65" s="489">
        <v>5.5E-2</v>
      </c>
      <c r="S65" s="489">
        <v>4.4999999999999998E-2</v>
      </c>
      <c r="T65" s="489">
        <v>4.4999999999999998E-2</v>
      </c>
      <c r="U65" s="489">
        <v>3.5000000000000087E-2</v>
      </c>
      <c r="W65" s="394"/>
      <c r="X65" s="394"/>
    </row>
    <row r="66" spans="1:26">
      <c r="A66" s="265" t="s">
        <v>78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7125</v>
      </c>
      <c r="L66" s="56">
        <f t="shared" si="41"/>
        <v>23750</v>
      </c>
      <c r="M66" s="56">
        <f t="shared" si="41"/>
        <v>23750</v>
      </c>
      <c r="N66" s="56">
        <f t="shared" si="41"/>
        <v>23750</v>
      </c>
      <c r="O66" s="56">
        <f t="shared" si="41"/>
        <v>23750</v>
      </c>
      <c r="P66" s="56">
        <f t="shared" si="41"/>
        <v>24937.5</v>
      </c>
      <c r="Q66" s="56">
        <f t="shared" si="41"/>
        <v>26125</v>
      </c>
      <c r="R66" s="56">
        <f t="shared" si="41"/>
        <v>26125</v>
      </c>
      <c r="S66" s="56">
        <f t="shared" si="41"/>
        <v>21375</v>
      </c>
      <c r="T66" s="56">
        <f t="shared" si="41"/>
        <v>21375</v>
      </c>
      <c r="U66" s="56">
        <f t="shared" si="41"/>
        <v>16625.00000000004</v>
      </c>
      <c r="W66" s="38"/>
      <c r="X66" s="38"/>
    </row>
    <row r="67" spans="1:26">
      <c r="A67" s="40" t="s">
        <v>79</v>
      </c>
      <c r="B67" s="152">
        <f>B64*$O$97*(B63-B56)/365.25</f>
        <v>26800.273785078713</v>
      </c>
      <c r="C67" s="152">
        <f t="shared" ref="C67:U67" si="42">C64*$O$97*(C63-C56)/365.25</f>
        <v>26800.273785078713</v>
      </c>
      <c r="D67" s="152">
        <f t="shared" si="42"/>
        <v>26800.273785078713</v>
      </c>
      <c r="E67" s="152">
        <f t="shared" si="42"/>
        <v>26800.273785078713</v>
      </c>
      <c r="F67" s="152">
        <f t="shared" si="42"/>
        <v>26800.273785078713</v>
      </c>
      <c r="G67" s="152">
        <f t="shared" si="42"/>
        <v>26800.273785078713</v>
      </c>
      <c r="H67" s="152">
        <f t="shared" si="42"/>
        <v>26800.273785078713</v>
      </c>
      <c r="I67" s="152">
        <f t="shared" si="42"/>
        <v>26800.273785078713</v>
      </c>
      <c r="J67" s="152">
        <f t="shared" si="42"/>
        <v>26800.273785078713</v>
      </c>
      <c r="K67" s="152">
        <f t="shared" si="42"/>
        <v>26800.273785078713</v>
      </c>
      <c r="L67" s="152">
        <f t="shared" si="42"/>
        <v>25058.255989048597</v>
      </c>
      <c r="M67" s="152">
        <f t="shared" si="42"/>
        <v>22378.228610540726</v>
      </c>
      <c r="N67" s="152">
        <f t="shared" si="42"/>
        <v>19698.201232032854</v>
      </c>
      <c r="O67" s="152">
        <f t="shared" si="42"/>
        <v>17018.173853524982</v>
      </c>
      <c r="P67" s="152">
        <f t="shared" si="42"/>
        <v>14271.145790554414</v>
      </c>
      <c r="Q67" s="152">
        <f t="shared" si="42"/>
        <v>11390.116358658453</v>
      </c>
      <c r="R67" s="152">
        <f t="shared" si="42"/>
        <v>8442.0862422997943</v>
      </c>
      <c r="S67" s="152">
        <f t="shared" si="42"/>
        <v>5762.0588637919236</v>
      </c>
      <c r="T67" s="152">
        <f t="shared" si="42"/>
        <v>3350.0342231348391</v>
      </c>
      <c r="U67" s="152">
        <f t="shared" si="42"/>
        <v>938.00958247775498</v>
      </c>
      <c r="W67" s="38"/>
      <c r="X67" s="38"/>
    </row>
    <row r="68" spans="1:26">
      <c r="A68" s="40" t="s">
        <v>80</v>
      </c>
      <c r="B68" s="59">
        <f>B64-B66</f>
        <v>475000</v>
      </c>
      <c r="C68" s="59">
        <f t="shared" ref="C68:U68" si="43">C64-C66</f>
        <v>475000</v>
      </c>
      <c r="D68" s="59">
        <f t="shared" si="43"/>
        <v>475000</v>
      </c>
      <c r="E68" s="59">
        <f t="shared" si="43"/>
        <v>475000</v>
      </c>
      <c r="F68" s="59">
        <f t="shared" si="43"/>
        <v>475000</v>
      </c>
      <c r="G68" s="59">
        <f t="shared" si="43"/>
        <v>475000</v>
      </c>
      <c r="H68" s="59">
        <f t="shared" si="43"/>
        <v>475000</v>
      </c>
      <c r="I68" s="59">
        <f t="shared" si="43"/>
        <v>475000</v>
      </c>
      <c r="J68" s="59">
        <f t="shared" si="43"/>
        <v>475000</v>
      </c>
      <c r="K68" s="59">
        <f t="shared" si="43"/>
        <v>467875</v>
      </c>
      <c r="L68" s="59">
        <f t="shared" si="43"/>
        <v>420375</v>
      </c>
      <c r="M68" s="59">
        <f t="shared" si="43"/>
        <v>372875</v>
      </c>
      <c r="N68" s="59">
        <f t="shared" si="43"/>
        <v>325375</v>
      </c>
      <c r="O68" s="59">
        <f t="shared" si="43"/>
        <v>277875</v>
      </c>
      <c r="P68" s="59">
        <f t="shared" si="43"/>
        <v>228000</v>
      </c>
      <c r="Q68" s="59">
        <f t="shared" si="43"/>
        <v>175750</v>
      </c>
      <c r="R68" s="59">
        <f t="shared" si="43"/>
        <v>123500</v>
      </c>
      <c r="S68" s="59">
        <f t="shared" si="43"/>
        <v>80750</v>
      </c>
      <c r="T68" s="59">
        <f t="shared" si="43"/>
        <v>38000</v>
      </c>
      <c r="U68" s="59">
        <f t="shared" si="43"/>
        <v>-4.0017766878008842E-11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33" t="s">
        <v>214</v>
      </c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  <c r="T70" s="331"/>
      <c r="U70" s="331"/>
      <c r="V70" s="41"/>
      <c r="W70" s="41"/>
      <c r="X70" s="41"/>
      <c r="Y70" s="41"/>
      <c r="Z70" s="41"/>
    </row>
    <row r="71" spans="1:26">
      <c r="A71" s="333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  <c r="T71" s="331"/>
      <c r="U71" s="331"/>
      <c r="V71" s="41"/>
      <c r="W71" s="41"/>
      <c r="X71" s="41"/>
      <c r="Y71" s="41"/>
      <c r="Z71" s="41"/>
    </row>
    <row r="72" spans="1:26">
      <c r="A72" s="40" t="s">
        <v>77</v>
      </c>
      <c r="B72" s="153">
        <f>B54+B34+B14</f>
        <v>735000</v>
      </c>
      <c r="C72" s="153">
        <f>C52+C32+C12</f>
        <v>719500</v>
      </c>
      <c r="D72" s="153">
        <f t="shared" ref="D72:U72" si="44">D52+D32+D12</f>
        <v>702875</v>
      </c>
      <c r="E72" s="153">
        <f t="shared" si="44"/>
        <v>685000</v>
      </c>
      <c r="F72" s="153">
        <f t="shared" si="44"/>
        <v>667150</v>
      </c>
      <c r="G72" s="153">
        <f t="shared" si="44"/>
        <v>642580</v>
      </c>
      <c r="H72" s="153">
        <f t="shared" si="44"/>
        <v>614650</v>
      </c>
      <c r="I72" s="153">
        <f t="shared" si="44"/>
        <v>584200</v>
      </c>
      <c r="J72" s="153">
        <f t="shared" si="44"/>
        <v>549550</v>
      </c>
      <c r="K72" s="153">
        <f t="shared" si="44"/>
        <v>511540</v>
      </c>
      <c r="L72" s="153">
        <f t="shared" si="44"/>
        <v>467875</v>
      </c>
      <c r="M72" s="153">
        <f t="shared" si="44"/>
        <v>420375</v>
      </c>
      <c r="N72" s="153">
        <f t="shared" si="44"/>
        <v>372875</v>
      </c>
      <c r="O72" s="153">
        <f t="shared" si="44"/>
        <v>325375</v>
      </c>
      <c r="P72" s="153">
        <f t="shared" si="44"/>
        <v>277875</v>
      </c>
      <c r="Q72" s="153">
        <f t="shared" si="44"/>
        <v>228000</v>
      </c>
      <c r="R72" s="153">
        <f t="shared" si="44"/>
        <v>175750</v>
      </c>
      <c r="S72" s="153">
        <f t="shared" si="44"/>
        <v>123500</v>
      </c>
      <c r="T72" s="153">
        <f t="shared" si="44"/>
        <v>80750</v>
      </c>
      <c r="U72" s="153">
        <f t="shared" si="44"/>
        <v>38000</v>
      </c>
      <c r="V72" s="41"/>
      <c r="W72" s="41"/>
      <c r="X72" s="41"/>
      <c r="Y72" s="41"/>
      <c r="Z72" s="41"/>
    </row>
    <row r="73" spans="1:26">
      <c r="A73" s="40" t="s">
        <v>80</v>
      </c>
      <c r="B73" s="153">
        <f t="shared" ref="B73:U73" si="45">B68+B48+B28</f>
        <v>719500</v>
      </c>
      <c r="C73" s="153">
        <f t="shared" si="45"/>
        <v>702875</v>
      </c>
      <c r="D73" s="153">
        <f t="shared" si="45"/>
        <v>685000</v>
      </c>
      <c r="E73" s="153">
        <f t="shared" si="45"/>
        <v>667150</v>
      </c>
      <c r="F73" s="153">
        <f t="shared" si="45"/>
        <v>642580</v>
      </c>
      <c r="G73" s="153">
        <f t="shared" si="45"/>
        <v>614650</v>
      </c>
      <c r="H73" s="153">
        <f t="shared" si="45"/>
        <v>584200</v>
      </c>
      <c r="I73" s="153">
        <f t="shared" si="45"/>
        <v>549550</v>
      </c>
      <c r="J73" s="153">
        <f t="shared" si="45"/>
        <v>511540</v>
      </c>
      <c r="K73" s="153">
        <f t="shared" si="45"/>
        <v>467875</v>
      </c>
      <c r="L73" s="153">
        <f t="shared" si="45"/>
        <v>420375</v>
      </c>
      <c r="M73" s="153">
        <f t="shared" si="45"/>
        <v>372875</v>
      </c>
      <c r="N73" s="153">
        <f t="shared" si="45"/>
        <v>325375</v>
      </c>
      <c r="O73" s="153">
        <f t="shared" si="45"/>
        <v>277875</v>
      </c>
      <c r="P73" s="153">
        <f t="shared" si="45"/>
        <v>228000</v>
      </c>
      <c r="Q73" s="153">
        <f t="shared" si="45"/>
        <v>175750</v>
      </c>
      <c r="R73" s="153">
        <f t="shared" si="45"/>
        <v>123500</v>
      </c>
      <c r="S73" s="153">
        <f t="shared" si="45"/>
        <v>80750</v>
      </c>
      <c r="T73" s="153">
        <f t="shared" si="45"/>
        <v>38000</v>
      </c>
      <c r="U73" s="153">
        <f t="shared" si="45"/>
        <v>-4.0017766878008842E-11</v>
      </c>
      <c r="V73" s="41"/>
      <c r="W73" s="41"/>
      <c r="X73" s="41"/>
      <c r="Y73" s="41"/>
      <c r="Z73" s="41"/>
    </row>
    <row r="74" spans="1:26">
      <c r="A74" s="40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41"/>
      <c r="W74" s="41"/>
      <c r="X74" s="41"/>
      <c r="Y74" s="41"/>
      <c r="Z74" s="41"/>
    </row>
    <row r="75" spans="1:26">
      <c r="A75" s="40" t="s">
        <v>122</v>
      </c>
      <c r="B75" s="153">
        <f t="shared" ref="B75:U75" si="46">SUM(B66,B59,B46,B39,B26,B19)</f>
        <v>15500</v>
      </c>
      <c r="C75" s="153">
        <f t="shared" si="46"/>
        <v>16625</v>
      </c>
      <c r="D75" s="153">
        <f t="shared" si="46"/>
        <v>17875</v>
      </c>
      <c r="E75" s="153">
        <f t="shared" si="46"/>
        <v>17850</v>
      </c>
      <c r="F75" s="153">
        <f t="shared" si="46"/>
        <v>24570</v>
      </c>
      <c r="G75" s="153">
        <f t="shared" si="46"/>
        <v>27930</v>
      </c>
      <c r="H75" s="153">
        <f t="shared" si="46"/>
        <v>30449.999999999996</v>
      </c>
      <c r="I75" s="153">
        <f t="shared" si="46"/>
        <v>34650</v>
      </c>
      <c r="J75" s="153">
        <f t="shared" si="46"/>
        <v>38010</v>
      </c>
      <c r="K75" s="153">
        <f t="shared" si="46"/>
        <v>43664.999999999985</v>
      </c>
      <c r="L75" s="153">
        <f t="shared" si="46"/>
        <v>47500</v>
      </c>
      <c r="M75" s="153">
        <f t="shared" si="46"/>
        <v>47500</v>
      </c>
      <c r="N75" s="153">
        <f t="shared" si="46"/>
        <v>47500</v>
      </c>
      <c r="O75" s="153">
        <f t="shared" si="46"/>
        <v>47500</v>
      </c>
      <c r="P75" s="153">
        <f t="shared" si="46"/>
        <v>49875</v>
      </c>
      <c r="Q75" s="153">
        <f t="shared" si="46"/>
        <v>52250</v>
      </c>
      <c r="R75" s="153">
        <f t="shared" si="46"/>
        <v>52250</v>
      </c>
      <c r="S75" s="153">
        <f t="shared" si="46"/>
        <v>42750</v>
      </c>
      <c r="T75" s="153">
        <f t="shared" si="46"/>
        <v>42750</v>
      </c>
      <c r="U75" s="153">
        <f t="shared" si="46"/>
        <v>38000.000000000044</v>
      </c>
      <c r="V75" s="41"/>
      <c r="W75" s="41"/>
      <c r="X75" s="41"/>
      <c r="Y75" s="41"/>
      <c r="Z75" s="41"/>
    </row>
    <row r="76" spans="1:26">
      <c r="A76" s="311" t="s">
        <v>66</v>
      </c>
      <c r="B76" s="330">
        <f t="shared" ref="B76:U76" si="47">SUM(B13,B20,B33,B40,B53,B60,B67,B47,B27)</f>
        <v>80195.063655030797</v>
      </c>
      <c r="C76" s="330">
        <f t="shared" si="47"/>
        <v>78991.765229295008</v>
      </c>
      <c r="D76" s="330">
        <f t="shared" si="47"/>
        <v>77294.472108145099</v>
      </c>
      <c r="E76" s="330">
        <f t="shared" si="47"/>
        <v>75962.102669404514</v>
      </c>
      <c r="F76" s="330">
        <f t="shared" si="47"/>
        <v>73604.857221081445</v>
      </c>
      <c r="G76" s="330">
        <f t="shared" si="47"/>
        <v>70810.911430527034</v>
      </c>
      <c r="H76" s="330">
        <f t="shared" si="47"/>
        <v>67670.892539356602</v>
      </c>
      <c r="I76" s="330">
        <f t="shared" si="47"/>
        <v>64385.856262833673</v>
      </c>
      <c r="J76" s="330">
        <f t="shared" si="47"/>
        <v>60305.328678986996</v>
      </c>
      <c r="K76" s="330">
        <f t="shared" si="47"/>
        <v>55783.800136892532</v>
      </c>
      <c r="L76" s="330">
        <f t="shared" si="47"/>
        <v>51026.119096509239</v>
      </c>
      <c r="M76" s="330">
        <f t="shared" si="47"/>
        <v>45838.663928815877</v>
      </c>
      <c r="N76" s="330">
        <f t="shared" si="47"/>
        <v>40393.401779603009</v>
      </c>
      <c r="O76" s="330">
        <f t="shared" si="47"/>
        <v>35077.043121149894</v>
      </c>
      <c r="P76" s="330">
        <f t="shared" si="47"/>
        <v>29693.683778234088</v>
      </c>
      <c r="Q76" s="330">
        <f t="shared" si="47"/>
        <v>24114.420260095823</v>
      </c>
      <c r="R76" s="330">
        <f t="shared" si="47"/>
        <v>18196.511978097195</v>
      </c>
      <c r="S76" s="330">
        <f t="shared" si="47"/>
        <v>12616.520191649557</v>
      </c>
      <c r="T76" s="330">
        <f t="shared" si="47"/>
        <v>7831.7973990417522</v>
      </c>
      <c r="U76" s="330">
        <f t="shared" si="47"/>
        <v>3058.7268993839834</v>
      </c>
      <c r="V76" s="41"/>
      <c r="W76" s="41"/>
      <c r="X76" s="41"/>
      <c r="Y76" s="41"/>
      <c r="Z76" s="41"/>
    </row>
    <row r="77" spans="1:26">
      <c r="A77" s="41" t="s">
        <v>81</v>
      </c>
      <c r="B77" s="41">
        <f t="shared" ref="B77:U77" si="48">SUM(B75:B76)</f>
        <v>95695.063655030797</v>
      </c>
      <c r="C77" s="41">
        <f t="shared" si="48"/>
        <v>95616.765229295008</v>
      </c>
      <c r="D77" s="41">
        <f t="shared" si="48"/>
        <v>95169.472108145099</v>
      </c>
      <c r="E77" s="41">
        <f t="shared" si="48"/>
        <v>93812.102669404514</v>
      </c>
      <c r="F77" s="41">
        <f t="shared" si="48"/>
        <v>98174.857221081445</v>
      </c>
      <c r="G77" s="41">
        <f t="shared" si="48"/>
        <v>98740.911430527034</v>
      </c>
      <c r="H77" s="41">
        <f t="shared" si="48"/>
        <v>98120.892539356602</v>
      </c>
      <c r="I77" s="41">
        <f t="shared" si="48"/>
        <v>99035.856262833666</v>
      </c>
      <c r="J77" s="41">
        <f t="shared" si="48"/>
        <v>98315.328678986989</v>
      </c>
      <c r="K77" s="41">
        <f t="shared" si="48"/>
        <v>99448.800136892518</v>
      </c>
      <c r="L77" s="41">
        <f t="shared" si="48"/>
        <v>98526.119096509239</v>
      </c>
      <c r="M77" s="41">
        <f t="shared" si="48"/>
        <v>93338.663928815877</v>
      </c>
      <c r="N77" s="41">
        <f t="shared" si="48"/>
        <v>87893.401779603009</v>
      </c>
      <c r="O77" s="41">
        <f t="shared" si="48"/>
        <v>82577.043121149894</v>
      </c>
      <c r="P77" s="41">
        <f t="shared" si="48"/>
        <v>79568.683778234088</v>
      </c>
      <c r="Q77" s="41">
        <f t="shared" si="48"/>
        <v>76364.420260095823</v>
      </c>
      <c r="R77" s="41">
        <f t="shared" si="48"/>
        <v>70446.511978097202</v>
      </c>
      <c r="S77" s="41">
        <f t="shared" si="48"/>
        <v>55366.520191649557</v>
      </c>
      <c r="T77" s="41">
        <f t="shared" si="48"/>
        <v>50581.797399041752</v>
      </c>
      <c r="U77" s="41">
        <f t="shared" si="48"/>
        <v>41058.726899384026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34" t="s">
        <v>123</v>
      </c>
      <c r="B79" s="338">
        <f>IF(B77&gt;0.1,B8/B77," ")</f>
        <v>1.2918538214426671</v>
      </c>
      <c r="C79" s="338">
        <f>IF(C77&gt;0.1,C8/C77," ")</f>
        <v>1.2868053405518787</v>
      </c>
      <c r="D79" s="338">
        <f>IF(D77&gt;0.1,D8/D77," ")</f>
        <v>1.2874803054177364</v>
      </c>
      <c r="E79" s="339">
        <f>IF(E77&gt;0.1,E8/E77," ")</f>
        <v>2.2267734556179191</v>
      </c>
      <c r="F79" s="339">
        <f t="shared" ref="F79:U79" si="49">IF(F77&gt;0.1,F8/F77," ")</f>
        <v>2.239223890283307</v>
      </c>
      <c r="G79" s="339">
        <f t="shared" si="49"/>
        <v>2.2586393611200699</v>
      </c>
      <c r="H79" s="339">
        <f t="shared" si="49"/>
        <v>2.3064068255829504</v>
      </c>
      <c r="I79" s="339">
        <f t="shared" si="49"/>
        <v>2.3193652160059766</v>
      </c>
      <c r="J79" s="339">
        <f t="shared" si="49"/>
        <v>2.3726575790694984</v>
      </c>
      <c r="K79" s="339">
        <f t="shared" si="49"/>
        <v>2.3729657166497398</v>
      </c>
      <c r="L79" s="339">
        <f t="shared" si="49"/>
        <v>2.440065749118848</v>
      </c>
      <c r="M79" s="339">
        <f t="shared" si="49"/>
        <v>2.6258740587031686</v>
      </c>
      <c r="N79" s="339">
        <f t="shared" si="49"/>
        <v>2.8369676647093889</v>
      </c>
      <c r="O79" s="339">
        <f t="shared" si="49"/>
        <v>3.0731585845526084</v>
      </c>
      <c r="P79" s="339">
        <f t="shared" si="49"/>
        <v>3.2396168520219817</v>
      </c>
      <c r="Q79" s="339">
        <f t="shared" si="49"/>
        <v>3.4299761038400325</v>
      </c>
      <c r="R79" s="339">
        <f t="shared" si="49"/>
        <v>3.7692296780744154</v>
      </c>
      <c r="S79" s="339">
        <f t="shared" si="49"/>
        <v>4.8616367030870817</v>
      </c>
      <c r="T79" s="339">
        <f t="shared" si="49"/>
        <v>5.394369671224954</v>
      </c>
      <c r="U79" s="340">
        <f t="shared" si="49"/>
        <v>6.736540646736227</v>
      </c>
      <c r="V79" s="42"/>
      <c r="W79" s="42"/>
      <c r="X79" s="42"/>
      <c r="Y79" s="42"/>
      <c r="Z79" s="42"/>
    </row>
    <row r="80" spans="1:26">
      <c r="A80" s="43"/>
      <c r="B80" s="312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42"/>
      <c r="W80" s="42"/>
      <c r="X80" s="42"/>
      <c r="Y80" s="42"/>
      <c r="Z80" s="42"/>
    </row>
    <row r="81" spans="1:26">
      <c r="A81" s="43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42"/>
      <c r="W81" s="42"/>
      <c r="X81" s="42"/>
      <c r="Y81" s="42"/>
      <c r="Z81" s="42"/>
    </row>
    <row r="82" spans="1:26">
      <c r="A82" s="43"/>
      <c r="B82" s="536" t="s">
        <v>0</v>
      </c>
      <c r="C82" s="537"/>
      <c r="D82" s="537"/>
      <c r="E82" s="537"/>
      <c r="F82" s="537"/>
      <c r="G82" s="538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42"/>
      <c r="W82" s="42"/>
      <c r="X82" s="42"/>
      <c r="Y82" s="42"/>
      <c r="Z82" s="42"/>
    </row>
    <row r="83" spans="1:26">
      <c r="A83" s="43"/>
      <c r="B83" s="309" t="s">
        <v>143</v>
      </c>
      <c r="C83" s="344"/>
      <c r="D83" s="345"/>
      <c r="E83" s="309" t="s">
        <v>252</v>
      </c>
      <c r="F83" s="344"/>
      <c r="G83" s="345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42"/>
      <c r="W83" s="42"/>
      <c r="X83" s="42"/>
      <c r="Y83" s="42"/>
      <c r="Z83" s="42"/>
    </row>
    <row r="84" spans="1:26">
      <c r="A84" s="43"/>
      <c r="B84" s="346" t="s">
        <v>128</v>
      </c>
      <c r="C84" s="32"/>
      <c r="D84" s="347">
        <f>MIN(B79:D79)</f>
        <v>1.2868053405518787</v>
      </c>
      <c r="E84" s="346" t="s">
        <v>128</v>
      </c>
      <c r="F84" s="32"/>
      <c r="G84" s="347">
        <f>MIN(E79:U79)</f>
        <v>2.2267734556179191</v>
      </c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42"/>
      <c r="W84" s="42"/>
      <c r="X84" s="42"/>
      <c r="Y84" s="42"/>
      <c r="Z84" s="42"/>
    </row>
    <row r="85" spans="1:26">
      <c r="A85" s="43"/>
      <c r="B85" s="348" t="s">
        <v>127</v>
      </c>
      <c r="C85" s="349"/>
      <c r="D85" s="350">
        <f>AVERAGE(B79:D79)</f>
        <v>1.2887131558040941</v>
      </c>
      <c r="E85" s="348" t="s">
        <v>127</v>
      </c>
      <c r="F85" s="349"/>
      <c r="G85" s="350">
        <f>AVERAGE(E79:U79)</f>
        <v>3.2060863386116569</v>
      </c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42"/>
      <c r="W85" s="42"/>
      <c r="X85" s="42"/>
      <c r="Y85" s="42"/>
      <c r="Z85" s="42"/>
    </row>
    <row r="86" spans="1:26">
      <c r="A86" s="43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42"/>
      <c r="W86" s="42"/>
      <c r="X86" s="42"/>
      <c r="Y86" s="42"/>
      <c r="Z86" s="42"/>
    </row>
    <row r="87" spans="1:26">
      <c r="A87" s="43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42"/>
      <c r="W87" s="42"/>
      <c r="X87" s="42"/>
      <c r="Y87" s="42"/>
      <c r="Z87" s="42"/>
    </row>
    <row r="88" spans="1:26">
      <c r="A88" s="43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46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46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42"/>
      <c r="W90" s="42"/>
      <c r="X90" s="42"/>
      <c r="Y90" s="42"/>
      <c r="Z90" s="42"/>
    </row>
    <row r="91" spans="1:26">
      <c r="A91" s="43" t="s">
        <v>144</v>
      </c>
      <c r="B91" s="335">
        <f t="shared" ref="B91:U91" si="50">SUM(B13,B20,B27,B33,B40,B47,B53,B60,B67)</f>
        <v>80195.063655030797</v>
      </c>
      <c r="C91" s="335">
        <f t="shared" si="50"/>
        <v>78991.765229294993</v>
      </c>
      <c r="D91" s="335">
        <f t="shared" si="50"/>
        <v>77294.472108145099</v>
      </c>
      <c r="E91" s="335">
        <f t="shared" si="50"/>
        <v>75962.102669404514</v>
      </c>
      <c r="F91" s="335">
        <f t="shared" si="50"/>
        <v>73604.857221081445</v>
      </c>
      <c r="G91" s="335">
        <f t="shared" si="50"/>
        <v>70810.911430527034</v>
      </c>
      <c r="H91" s="335">
        <f t="shared" si="50"/>
        <v>67670.892539356602</v>
      </c>
      <c r="I91" s="335">
        <f t="shared" si="50"/>
        <v>64385.85626283368</v>
      </c>
      <c r="J91" s="335">
        <f t="shared" si="50"/>
        <v>60305.328678986989</v>
      </c>
      <c r="K91" s="335">
        <f t="shared" si="50"/>
        <v>55783.800136892532</v>
      </c>
      <c r="L91" s="335">
        <f t="shared" si="50"/>
        <v>51026.119096509239</v>
      </c>
      <c r="M91" s="335">
        <f t="shared" si="50"/>
        <v>45838.663928815877</v>
      </c>
      <c r="N91" s="335">
        <f t="shared" si="50"/>
        <v>40393.401779603009</v>
      </c>
      <c r="O91" s="335">
        <f t="shared" si="50"/>
        <v>35077.043121149894</v>
      </c>
      <c r="P91" s="335">
        <f t="shared" si="50"/>
        <v>29693.683778234088</v>
      </c>
      <c r="Q91" s="335">
        <f t="shared" si="50"/>
        <v>24114.420260095823</v>
      </c>
      <c r="R91" s="335">
        <f t="shared" si="50"/>
        <v>18196.511978097195</v>
      </c>
      <c r="S91" s="335">
        <f t="shared" si="50"/>
        <v>12616.520191649557</v>
      </c>
      <c r="T91" s="335">
        <f t="shared" si="50"/>
        <v>7831.7973990417522</v>
      </c>
      <c r="U91" s="335">
        <f t="shared" si="50"/>
        <v>3058.7268993839834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46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46"/>
      <c r="F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42"/>
      <c r="W93" s="42"/>
      <c r="X93" s="42"/>
      <c r="Y93" s="42"/>
      <c r="Z93" s="42"/>
    </row>
    <row r="94" spans="1:26">
      <c r="B94" s="533" t="s">
        <v>17</v>
      </c>
      <c r="C94" s="534"/>
      <c r="D94" s="534"/>
      <c r="E94" s="535"/>
      <c r="F94" s="42"/>
      <c r="G94" s="533" t="s">
        <v>18</v>
      </c>
      <c r="H94" s="534"/>
      <c r="I94" s="534"/>
      <c r="J94" s="535"/>
      <c r="K94" s="42"/>
      <c r="L94" s="533" t="s">
        <v>19</v>
      </c>
      <c r="M94" s="534"/>
      <c r="N94" s="534"/>
      <c r="O94" s="535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15" t="s">
        <v>124</v>
      </c>
      <c r="C95" s="49"/>
      <c r="D95" s="49"/>
      <c r="E95" s="316">
        <f>'Summary Output'!B25</f>
        <v>6.8000000000000005E-2</v>
      </c>
      <c r="F95" s="43"/>
      <c r="G95" s="315" t="s">
        <v>124</v>
      </c>
      <c r="H95" s="49"/>
      <c r="I95" s="49"/>
      <c r="J95" s="316">
        <f>'Summary Output'!C25</f>
        <v>6.5000000000000002E-2</v>
      </c>
      <c r="K95" s="43"/>
      <c r="L95" s="315" t="s">
        <v>124</v>
      </c>
      <c r="M95" s="49"/>
      <c r="N95" s="49"/>
      <c r="O95" s="316">
        <f>'Summary Output'!D25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25</v>
      </c>
      <c r="C96" s="17"/>
      <c r="D96" s="17"/>
      <c r="E96" s="317">
        <f>'Summary Output'!B26</f>
        <v>2.2499999999999999E-2</v>
      </c>
      <c r="G96" s="47" t="s">
        <v>25</v>
      </c>
      <c r="H96" s="17"/>
      <c r="I96" s="17"/>
      <c r="J96" s="317">
        <f>'Summary Output'!C26</f>
        <v>4.4999999999999998E-2</v>
      </c>
      <c r="L96" s="47" t="s">
        <v>25</v>
      </c>
      <c r="M96" s="17"/>
      <c r="N96" s="17"/>
      <c r="O96" s="317">
        <f>'Summary Output'!D26</f>
        <v>0.05</v>
      </c>
    </row>
    <row r="97" spans="1:30">
      <c r="A97" s="40"/>
      <c r="B97" s="318" t="s">
        <v>26</v>
      </c>
      <c r="C97" s="50"/>
      <c r="D97" s="50"/>
      <c r="E97" s="319">
        <f>E96+E95</f>
        <v>9.0499999999999997E-2</v>
      </c>
      <c r="G97" s="318" t="s">
        <v>26</v>
      </c>
      <c r="H97" s="50"/>
      <c r="I97" s="50"/>
      <c r="J97" s="319">
        <f>J96+J95</f>
        <v>0.11</v>
      </c>
      <c r="L97" s="318" t="s">
        <v>26</v>
      </c>
      <c r="M97" s="50"/>
      <c r="N97" s="50"/>
      <c r="O97" s="319">
        <f>O96+O95</f>
        <v>0.112</v>
      </c>
    </row>
    <row r="98" spans="1:30">
      <c r="B98" s="320" t="s">
        <v>125</v>
      </c>
      <c r="C98" s="49"/>
      <c r="D98" s="49"/>
      <c r="E98" s="321">
        <f>('Summary Output'!B22-'Summary Output'!$B$19)/365.25</f>
        <v>2.9952087611225187</v>
      </c>
      <c r="G98" s="320" t="s">
        <v>125</v>
      </c>
      <c r="H98" s="49"/>
      <c r="I98" s="49"/>
      <c r="J98" s="321">
        <f>('Summary Output'!C22-'Summary Output'!$B$19)/365.25</f>
        <v>9.9958932238193015</v>
      </c>
      <c r="L98" s="320" t="s">
        <v>125</v>
      </c>
      <c r="M98" s="49"/>
      <c r="N98" s="49"/>
      <c r="O98" s="321">
        <f>('Summary Output'!D22-'Summary Output'!$B$19)/365.25</f>
        <v>19.997262149212869</v>
      </c>
    </row>
    <row r="99" spans="1:30">
      <c r="B99" s="322" t="s">
        <v>126</v>
      </c>
      <c r="C99" s="17"/>
      <c r="D99" s="17"/>
      <c r="E99" s="323">
        <f>B109</f>
        <v>1.7562149212867901</v>
      </c>
      <c r="G99" s="322" t="s">
        <v>126</v>
      </c>
      <c r="H99" s="17"/>
      <c r="I99" s="17"/>
      <c r="J99" s="323">
        <f>B110</f>
        <v>7.1548336755646815</v>
      </c>
      <c r="L99" s="322" t="s">
        <v>126</v>
      </c>
      <c r="M99" s="17"/>
      <c r="N99" s="17"/>
      <c r="O99" s="323">
        <f>B111</f>
        <v>15.030609171800139</v>
      </c>
    </row>
    <row r="100" spans="1:30">
      <c r="B100" s="318" t="s">
        <v>76</v>
      </c>
      <c r="C100" s="50"/>
      <c r="D100" s="50"/>
      <c r="E100" s="324">
        <f>B14</f>
        <v>50000</v>
      </c>
      <c r="G100" s="318" t="s">
        <v>76</v>
      </c>
      <c r="H100" s="50"/>
      <c r="I100" s="50"/>
      <c r="J100" s="324">
        <f>B34</f>
        <v>210000</v>
      </c>
      <c r="L100" s="318" t="s">
        <v>76</v>
      </c>
      <c r="M100" s="50"/>
      <c r="N100" s="50"/>
      <c r="O100" s="324">
        <f>B54</f>
        <v>475000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129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25"/>
      <c r="W105" s="325"/>
      <c r="X105" s="325"/>
      <c r="Y105" s="325"/>
      <c r="Z105" s="325"/>
      <c r="AA105" s="325"/>
      <c r="AB105" s="325"/>
      <c r="AC105" s="325"/>
      <c r="AD105" s="32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98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17</v>
      </c>
      <c r="B109" s="304">
        <f>(SUMPRODUCT($B$105:$U$105,B19:U19)+SUMPRODUCT($B$106:$U$106,B26:U26))/E100</f>
        <v>1.7562149212867901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18</v>
      </c>
      <c r="B110" s="304">
        <f>(SUMPRODUCT($B$105:$U$105,B39:U39)+SUMPRODUCT($B$106:$U$106,B46:U46))/J100</f>
        <v>7.1548336755646815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19</v>
      </c>
      <c r="B111" s="304">
        <f>(SUMPRODUCT($B$105:$U$105,B59:U59)+SUMPRODUCT($B$106:$U$106,B66:U66))/O100</f>
        <v>15.030609171800139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44.5703125" style="16" bestFit="1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102</v>
      </c>
      <c r="B2" s="52"/>
    </row>
    <row r="5" spans="1:55" ht="18.75">
      <c r="A5" s="150" t="s">
        <v>152</v>
      </c>
      <c r="B5" s="150"/>
    </row>
    <row r="6" spans="1:55">
      <c r="W6" s="151"/>
      <c r="X6" s="151"/>
    </row>
    <row r="7" spans="1:55" ht="13.5" outlineLevel="1" thickBot="1">
      <c r="A7" s="194" t="s">
        <v>56</v>
      </c>
      <c r="B7" s="306" t="s">
        <v>120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68" t="s">
        <v>20</v>
      </c>
      <c r="X7" s="539" t="s">
        <v>160</v>
      </c>
      <c r="Y7" s="539"/>
    </row>
    <row r="8" spans="1:55" outlineLevel="1">
      <c r="A8" s="224"/>
      <c r="B8" s="257">
        <f>'Summary Output'!B32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69"/>
      <c r="X8" s="402"/>
      <c r="Y8" s="401"/>
    </row>
    <row r="9" spans="1:55" outlineLevel="1">
      <c r="A9" s="2"/>
      <c r="B9" s="2"/>
      <c r="C9" s="9"/>
      <c r="D9" s="9"/>
      <c r="E9" s="9"/>
      <c r="F9" s="9"/>
      <c r="G9" s="266"/>
      <c r="H9" s="266"/>
      <c r="I9" s="267"/>
      <c r="J9" s="267"/>
      <c r="K9" s="266"/>
      <c r="L9" s="266"/>
      <c r="M9" s="9"/>
      <c r="N9" s="9"/>
      <c r="O9" s="9"/>
      <c r="P9" s="9"/>
      <c r="Q9" s="9"/>
      <c r="R9" s="9"/>
      <c r="S9" s="9"/>
      <c r="T9" s="9"/>
      <c r="U9" s="9"/>
      <c r="V9" s="9"/>
      <c r="W9" s="269"/>
      <c r="X9" s="402"/>
      <c r="Y9" s="401"/>
    </row>
    <row r="10" spans="1:55">
      <c r="A10" s="12" t="s">
        <v>280</v>
      </c>
      <c r="B10" s="19">
        <v>0</v>
      </c>
      <c r="C10" s="19">
        <f>IS!B32-IS!B13</f>
        <v>123624.03367595082</v>
      </c>
      <c r="D10" s="19">
        <f>IS!C32-IS!C13</f>
        <v>123040.164143352</v>
      </c>
      <c r="E10" s="19">
        <f>IS!D32-IS!D13</f>
        <v>122528.8210162394</v>
      </c>
      <c r="F10" s="19">
        <f>IS!E32</f>
        <v>208898.30003993292</v>
      </c>
      <c r="G10" s="19">
        <f>IS!F32</f>
        <v>219835.48571459821</v>
      </c>
      <c r="H10" s="19">
        <f>IS!G32</f>
        <v>223020.10910985898</v>
      </c>
      <c r="I10" s="19">
        <f>IS!H32</f>
        <v>226306.69628506326</v>
      </c>
      <c r="J10" s="19">
        <f>IS!I32</f>
        <v>229700.32015338406</v>
      </c>
      <c r="K10" s="19">
        <f>IS!J32</f>
        <v>233268.60972890729</v>
      </c>
      <c r="L10" s="19">
        <f>IS!K32</f>
        <v>235988.5932867979</v>
      </c>
      <c r="M10" s="19">
        <f>IS!L32</f>
        <v>240410.20860099664</v>
      </c>
      <c r="N10" s="19">
        <f>IS!M32</f>
        <v>245095.57628469079</v>
      </c>
      <c r="O10" s="19">
        <f>IS!N32</f>
        <v>249350.73879004439</v>
      </c>
      <c r="P10" s="19">
        <f>IS!O32</f>
        <v>253772.3489547327</v>
      </c>
      <c r="Q10" s="19">
        <f>IS!P32</f>
        <v>257772.04886117522</v>
      </c>
      <c r="R10" s="19">
        <f>IS!Q32</f>
        <v>261928.1366757263</v>
      </c>
      <c r="S10" s="19">
        <f>IS!R32</f>
        <v>265529.08366466878</v>
      </c>
      <c r="T10" s="19">
        <f>IS!S32</f>
        <v>269171.90668593551</v>
      </c>
      <c r="U10" s="19">
        <f>IS!T32</f>
        <v>272856.91380543611</v>
      </c>
      <c r="V10" s="19">
        <f>IS!U32</f>
        <v>276593.78266094258</v>
      </c>
      <c r="W10" s="270">
        <f>SUM(C10:V10)</f>
        <v>4538691.8781384332</v>
      </c>
      <c r="X10" s="403">
        <f>SUM(Caledonia!W54,'New Albany'!W54,Wheatland!W54,Wilton!W54,Brownsville!W54,Gleason!W54)</f>
        <v>4538691.8781384341</v>
      </c>
      <c r="Y10" s="404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01"/>
      <c r="Y11" s="401"/>
    </row>
    <row r="12" spans="1:55" s="7" customFormat="1" ht="12" customHeight="1">
      <c r="A12" s="13" t="s">
        <v>168</v>
      </c>
      <c r="B12" s="22">
        <v>0</v>
      </c>
      <c r="C12" s="67">
        <f>IS!B27</f>
        <v>2138.7599999999998</v>
      </c>
      <c r="D12" s="67">
        <f>IS!C27</f>
        <v>2485.4070000000002</v>
      </c>
      <c r="E12" s="67">
        <f>IS!D27</f>
        <v>2675.4930000000004</v>
      </c>
      <c r="F12" s="67">
        <f>IS!E27</f>
        <v>2752.7350000000001</v>
      </c>
      <c r="G12" s="67">
        <f>IS!F27</f>
        <v>2800.4010000000003</v>
      </c>
      <c r="H12" s="67">
        <f>IS!G27</f>
        <v>3000.837</v>
      </c>
      <c r="I12" s="67">
        <f>IS!H27</f>
        <v>3133.239</v>
      </c>
      <c r="J12" s="67">
        <f>IS!I27</f>
        <v>3204.1120000000001</v>
      </c>
      <c r="K12" s="67">
        <f>IS!J27</f>
        <v>3150.1800000000003</v>
      </c>
      <c r="L12" s="67">
        <f>IS!K27</f>
        <v>3985.1379999999999</v>
      </c>
      <c r="M12" s="67">
        <f>IS!L27</f>
        <v>3774.3130000000001</v>
      </c>
      <c r="N12" s="67">
        <f>IS!M27</f>
        <v>3371.88</v>
      </c>
      <c r="O12" s="67">
        <f>IS!N27</f>
        <v>3464.7</v>
      </c>
      <c r="P12" s="67">
        <f>IS!O27</f>
        <v>3464.7</v>
      </c>
      <c r="Q12" s="67">
        <f>IS!P27</f>
        <v>3953.498301179623</v>
      </c>
      <c r="R12" s="67">
        <f>IS!Q27</f>
        <v>3397.5323122032155</v>
      </c>
      <c r="S12" s="67">
        <f>IS!R27</f>
        <v>3421.1349584472796</v>
      </c>
      <c r="T12" s="67">
        <f>IS!S27</f>
        <v>3445.2096576162253</v>
      </c>
      <c r="U12" s="67">
        <f>IS!T27</f>
        <v>3469.7658507685501</v>
      </c>
      <c r="V12" s="67">
        <f>IS!U27</f>
        <v>3485.5551622965972</v>
      </c>
      <c r="W12" s="270">
        <f>SUM(C12:V12)</f>
        <v>64574.591242511466</v>
      </c>
      <c r="X12" s="403">
        <f>SUM(IS!B27:U27)</f>
        <v>64574.591242511466</v>
      </c>
      <c r="Y12" s="404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169</v>
      </c>
      <c r="B13" s="22">
        <v>0</v>
      </c>
      <c r="C13" s="67">
        <f>SUM(Brownsville!B56,Caledonia!B56,'New Albany'!B56,Gleason!B56,Wheatland!B56,Wilton!B56)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70">
        <f>SUM(C13:V13)</f>
        <v>-63048.234181614876</v>
      </c>
      <c r="X13" s="403">
        <f>SUM(Caledonia!W56,'New Albany'!W56,Wheatland!W56,Wilton!W56,Brownsville!W56,Gleason!W56)</f>
        <v>-63048.234181614891</v>
      </c>
      <c r="Y13" s="404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97</v>
      </c>
      <c r="B14" s="22">
        <v>0</v>
      </c>
      <c r="C14" s="22">
        <f>-Debt!B75</f>
        <v>-15500</v>
      </c>
      <c r="D14" s="22">
        <f>-Debt!C75</f>
        <v>-16625</v>
      </c>
      <c r="E14" s="22">
        <f>-Debt!D75</f>
        <v>-17875</v>
      </c>
      <c r="F14" s="22">
        <f>-Debt!E75</f>
        <v>-17850</v>
      </c>
      <c r="G14" s="22">
        <f>-Debt!F75</f>
        <v>-24570</v>
      </c>
      <c r="H14" s="22">
        <f>-Debt!G75</f>
        <v>-27930</v>
      </c>
      <c r="I14" s="22">
        <f>-Debt!H75</f>
        <v>-30449.999999999996</v>
      </c>
      <c r="J14" s="22">
        <f>-Debt!I75</f>
        <v>-34650</v>
      </c>
      <c r="K14" s="22">
        <f>-Debt!J75</f>
        <v>-38010</v>
      </c>
      <c r="L14" s="22">
        <f>-Debt!K75</f>
        <v>-43664.999999999985</v>
      </c>
      <c r="M14" s="22">
        <f>-Debt!L75</f>
        <v>-47500</v>
      </c>
      <c r="N14" s="22">
        <f>-Debt!M75</f>
        <v>-47500</v>
      </c>
      <c r="O14" s="22">
        <f>-Debt!N75</f>
        <v>-47500</v>
      </c>
      <c r="P14" s="22">
        <f>-Debt!O75</f>
        <v>-47500</v>
      </c>
      <c r="Q14" s="22">
        <f>-Debt!P75</f>
        <v>-49875</v>
      </c>
      <c r="R14" s="22">
        <f>-Debt!Q75</f>
        <v>-52250</v>
      </c>
      <c r="S14" s="22">
        <f>-Debt!R75</f>
        <v>-52250</v>
      </c>
      <c r="T14" s="22">
        <f>-Debt!S75</f>
        <v>-42750</v>
      </c>
      <c r="U14" s="22">
        <f>-Debt!T75</f>
        <v>-42750</v>
      </c>
      <c r="V14" s="22">
        <f>-Debt!U75</f>
        <v>-38000.000000000044</v>
      </c>
      <c r="W14" s="270">
        <f>SUM(C14:V14)</f>
        <v>-735000</v>
      </c>
      <c r="X14" s="403">
        <f>SUM(Debt!B75:U75)</f>
        <v>735000</v>
      </c>
      <c r="Y14" s="404">
        <f>W14+X14</f>
        <v>0</v>
      </c>
    </row>
    <row r="15" spans="1:55">
      <c r="A15" s="13" t="s">
        <v>96</v>
      </c>
      <c r="B15" s="328">
        <v>0</v>
      </c>
      <c r="C15" s="328">
        <f>-Debt!B76</f>
        <v>-80195.063655030797</v>
      </c>
      <c r="D15" s="328">
        <f>-Debt!C76</f>
        <v>-78991.765229295008</v>
      </c>
      <c r="E15" s="328">
        <f>-Debt!D76</f>
        <v>-77294.472108145099</v>
      </c>
      <c r="F15" s="328">
        <f>-Debt!E76</f>
        <v>-75962.102669404514</v>
      </c>
      <c r="G15" s="328">
        <f>-Debt!F76</f>
        <v>-73604.857221081445</v>
      </c>
      <c r="H15" s="328">
        <f>-Debt!G76</f>
        <v>-70810.911430527034</v>
      </c>
      <c r="I15" s="328">
        <f>-Debt!H76</f>
        <v>-67670.892539356602</v>
      </c>
      <c r="J15" s="328">
        <f>-Debt!I76</f>
        <v>-64385.856262833673</v>
      </c>
      <c r="K15" s="328">
        <f>-Debt!J76</f>
        <v>-60305.328678986996</v>
      </c>
      <c r="L15" s="328">
        <f>-Debt!K76</f>
        <v>-55783.800136892532</v>
      </c>
      <c r="M15" s="328">
        <f>-Debt!L76</f>
        <v>-51026.119096509239</v>
      </c>
      <c r="N15" s="328">
        <f>-Debt!M76</f>
        <v>-45838.663928815877</v>
      </c>
      <c r="O15" s="328">
        <f>-Debt!N76</f>
        <v>-40393.401779603009</v>
      </c>
      <c r="P15" s="328">
        <f>-Debt!O76</f>
        <v>-35077.043121149894</v>
      </c>
      <c r="Q15" s="328">
        <f>-Debt!P76</f>
        <v>-29693.683778234088</v>
      </c>
      <c r="R15" s="328">
        <f>-Debt!Q76</f>
        <v>-24114.420260095823</v>
      </c>
      <c r="S15" s="328">
        <f>-Debt!R76</f>
        <v>-18196.511978097195</v>
      </c>
      <c r="T15" s="328">
        <f>-Debt!S76</f>
        <v>-12616.520191649557</v>
      </c>
      <c r="U15" s="328">
        <f>-Debt!T76</f>
        <v>-7831.7973990417522</v>
      </c>
      <c r="V15" s="328">
        <f>-Debt!U76</f>
        <v>-3058.7268993839834</v>
      </c>
      <c r="W15" s="272">
        <f>SUM(C15:V15)</f>
        <v>-972851.93836413382</v>
      </c>
      <c r="X15" s="403">
        <f>SUM(Debt!B76:U76)</f>
        <v>972851.93836413382</v>
      </c>
      <c r="Y15" s="404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03"/>
      <c r="Y16" s="44"/>
    </row>
    <row r="17" spans="1:27">
      <c r="A17" s="12" t="s">
        <v>247</v>
      </c>
      <c r="B17" s="33">
        <f>SUM(B10:B15)</f>
        <v>0</v>
      </c>
      <c r="C17" s="33">
        <f>SUM(C10:C15)</f>
        <v>28108.531919520014</v>
      </c>
      <c r="D17" s="33">
        <f t="shared" ref="D17:V17" si="2">SUM(D10:D15)</f>
        <v>27770.045914057002</v>
      </c>
      <c r="E17" s="33">
        <f t="shared" si="2"/>
        <v>27549.434908094292</v>
      </c>
      <c r="F17" s="33">
        <f t="shared" si="2"/>
        <v>115163.4393705284</v>
      </c>
      <c r="G17" s="33">
        <f t="shared" si="2"/>
        <v>121708.29449351679</v>
      </c>
      <c r="H17" s="33">
        <f t="shared" si="2"/>
        <v>124479.63367933194</v>
      </c>
      <c r="I17" s="33">
        <f t="shared" si="2"/>
        <v>128318.20574570665</v>
      </c>
      <c r="J17" s="33">
        <f t="shared" si="2"/>
        <v>130735.33689055039</v>
      </c>
      <c r="K17" s="33">
        <f t="shared" si="2"/>
        <v>134899.3490499203</v>
      </c>
      <c r="L17" s="33">
        <f t="shared" si="2"/>
        <v>137374.75114990538</v>
      </c>
      <c r="M17" s="33">
        <f t="shared" si="2"/>
        <v>141673.26450448739</v>
      </c>
      <c r="N17" s="33">
        <f t="shared" si="2"/>
        <v>151354.47935587494</v>
      </c>
      <c r="O17" s="33">
        <f t="shared" si="2"/>
        <v>161550.15701044138</v>
      </c>
      <c r="P17" s="33">
        <f t="shared" si="2"/>
        <v>171195.30583358282</v>
      </c>
      <c r="Q17" s="33">
        <f t="shared" si="2"/>
        <v>178692.16338412074</v>
      </c>
      <c r="R17" s="33">
        <f t="shared" si="2"/>
        <v>185007.75042665409</v>
      </c>
      <c r="S17" s="33">
        <f t="shared" si="2"/>
        <v>195106.17433281569</v>
      </c>
      <c r="T17" s="33">
        <f t="shared" si="2"/>
        <v>213829.46119345486</v>
      </c>
      <c r="U17" s="33">
        <f t="shared" si="2"/>
        <v>222299.67259954667</v>
      </c>
      <c r="V17" s="33">
        <f t="shared" si="2"/>
        <v>235550.84507308656</v>
      </c>
      <c r="W17" s="270">
        <f>SUM(C17:V17)</f>
        <v>2832366.2968351962</v>
      </c>
      <c r="X17" s="403">
        <f>SUM(Caledonia!W59,'New Albany'!W59,Wheatland!W59,Wilton!W59,Brownsville!W59,Gleason!W59)</f>
        <v>2832366.2968351957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01"/>
      <c r="Y18" s="44"/>
    </row>
    <row r="19" spans="1:27">
      <c r="A19" s="3" t="s">
        <v>209</v>
      </c>
      <c r="B19" s="19">
        <v>0</v>
      </c>
      <c r="C19" s="19">
        <f>-Tax!B8</f>
        <v>-296.48996776542862</v>
      </c>
      <c r="D19" s="19">
        <f>-Tax!C8</f>
        <v>-297.14384874839141</v>
      </c>
      <c r="E19" s="19">
        <f>-Tax!D8</f>
        <v>-297.8207467523431</v>
      </c>
      <c r="F19" s="19">
        <f>-Tax!E8</f>
        <v>-540.19017382831646</v>
      </c>
      <c r="G19" s="19">
        <f>-Tax!F8</f>
        <v>-788.12514419986553</v>
      </c>
      <c r="H19" s="19">
        <f>-Tax!G8</f>
        <v>-1954.7613361011781</v>
      </c>
      <c r="I19" s="19">
        <f>-Tax!H8</f>
        <v>-3789.4719670718487</v>
      </c>
      <c r="J19" s="19">
        <f>-Tax!I8</f>
        <v>-4860.7481389284203</v>
      </c>
      <c r="K19" s="19">
        <f>-Tax!J8</f>
        <v>-6233.8317488410057</v>
      </c>
      <c r="L19" s="19">
        <f>-Tax!K8</f>
        <v>-6705.3693523558413</v>
      </c>
      <c r="M19" s="19">
        <f>-Tax!L8</f>
        <v>-7281.2767234353205</v>
      </c>
      <c r="N19" s="19">
        <f>-Tax!M8</f>
        <v>-7887.7467565623083</v>
      </c>
      <c r="O19" s="19">
        <f>-Tax!N8</f>
        <v>-8501.4069963103248</v>
      </c>
      <c r="P19" s="19">
        <f>-Tax!O8</f>
        <v>-9104.4928450579228</v>
      </c>
      <c r="Q19" s="19">
        <f>-Tax!P8</f>
        <v>-9701.7460142074033</v>
      </c>
      <c r="R19" s="19">
        <f>-Tax!Q8</f>
        <v>-12547.679438513642</v>
      </c>
      <c r="S19" s="19">
        <f>-Tax!R8</f>
        <v>-15381.987392820172</v>
      </c>
      <c r="T19" s="19">
        <f>-Tax!S8</f>
        <v>-15966.050288761568</v>
      </c>
      <c r="U19" s="19">
        <f>-Tax!T8</f>
        <v>-16502.633352102333</v>
      </c>
      <c r="V19" s="19">
        <f>-Tax!U8</f>
        <v>-17041.798175550404</v>
      </c>
      <c r="W19" s="270">
        <f>SUM(C19:V19)</f>
        <v>-145680.77040791404</v>
      </c>
      <c r="X19" s="403">
        <f>SUM(Caledonia!W61,'New Albany'!W61,Wheatland!W61,Wilton!W61,Brownsville!W61,Gleason!W61)</f>
        <v>-145680.77040791401</v>
      </c>
      <c r="Y19" s="404">
        <f>W19-X19</f>
        <v>0</v>
      </c>
    </row>
    <row r="20" spans="1:27">
      <c r="A20" s="3" t="s">
        <v>210</v>
      </c>
      <c r="B20" s="198">
        <v>0</v>
      </c>
      <c r="C20" s="198">
        <f>-Tax!B24</f>
        <v>0</v>
      </c>
      <c r="D20" s="198">
        <f>-Tax!C24</f>
        <v>0</v>
      </c>
      <c r="E20" s="198">
        <f>-Tax!D24</f>
        <v>0</v>
      </c>
      <c r="F20" s="198">
        <f>-Tax!E24</f>
        <v>0</v>
      </c>
      <c r="G20" s="198">
        <f>-Tax!F24</f>
        <v>0</v>
      </c>
      <c r="H20" s="198">
        <f>-Tax!G24</f>
        <v>0</v>
      </c>
      <c r="I20" s="198">
        <f>-Tax!H24</f>
        <v>-21438.319681690733</v>
      </c>
      <c r="J20" s="198">
        <f>-Tax!I24</f>
        <v>-29020.080513067678</v>
      </c>
      <c r="K20" s="198">
        <f>-Tax!J24</f>
        <v>-31262.507255377757</v>
      </c>
      <c r="L20" s="198">
        <f>-Tax!K24</f>
        <v>-33586.078329142329</v>
      </c>
      <c r="M20" s="198">
        <f>-Tax!L24</f>
        <v>-36643.18447336823</v>
      </c>
      <c r="N20" s="198">
        <f>-Tax!M24</f>
        <v>-39840.487959759404</v>
      </c>
      <c r="O20" s="198">
        <f>-Tax!N24</f>
        <v>-43066.775504945879</v>
      </c>
      <c r="P20" s="198">
        <f>-Tax!O24</f>
        <v>-46218.064545983711</v>
      </c>
      <c r="Q20" s="198">
        <f>-Tax!P24</f>
        <v>-49339.016674056802</v>
      </c>
      <c r="R20" s="198">
        <f>-Tax!Q24</f>
        <v>-65296.712941990889</v>
      </c>
      <c r="S20" s="198">
        <f>-Tax!R24</f>
        <v>-81182.70450281298</v>
      </c>
      <c r="T20" s="198">
        <f>-Tax!S24</f>
        <v>-84206.267671933529</v>
      </c>
      <c r="U20" s="198">
        <f>-Tax!T24</f>
        <v>-86982.869069002205</v>
      </c>
      <c r="V20" s="198">
        <f>-Tax!U24</f>
        <v>-89772.640155102854</v>
      </c>
      <c r="W20" s="272">
        <f>SUM(C20:V20)</f>
        <v>-737855.70927823498</v>
      </c>
      <c r="X20" s="403">
        <f>SUM(Caledonia!W62,'New Albany'!W62,Wheatland!W62,Wilton!W62,Brownsville!W62,Gleason!W62)</f>
        <v>-737855.70927823498</v>
      </c>
      <c r="Y20" s="404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41"/>
      <c r="X21" s="405"/>
      <c r="Y21" s="44"/>
    </row>
    <row r="22" spans="1:27" s="15" customFormat="1">
      <c r="A22" s="12" t="s">
        <v>248</v>
      </c>
      <c r="B22" s="33">
        <f t="shared" ref="B22:W22" si="3">SUM(B20,B19,B17)</f>
        <v>0</v>
      </c>
      <c r="C22" s="33">
        <f t="shared" si="3"/>
        <v>27812.041951754585</v>
      </c>
      <c r="D22" s="33">
        <f t="shared" si="3"/>
        <v>27472.902065308612</v>
      </c>
      <c r="E22" s="33">
        <f t="shared" si="3"/>
        <v>27251.61416134195</v>
      </c>
      <c r="F22" s="33">
        <f t="shared" si="3"/>
        <v>114623.24919670008</v>
      </c>
      <c r="G22" s="33">
        <f t="shared" si="3"/>
        <v>120920.16934931693</v>
      </c>
      <c r="H22" s="33">
        <f t="shared" si="3"/>
        <v>122524.87234323076</v>
      </c>
      <c r="I22" s="33">
        <f t="shared" si="3"/>
        <v>103090.41409694408</v>
      </c>
      <c r="J22" s="33">
        <f t="shared" si="3"/>
        <v>96854.508238554292</v>
      </c>
      <c r="K22" s="33">
        <f t="shared" si="3"/>
        <v>97403.010045701551</v>
      </c>
      <c r="L22" s="33">
        <f t="shared" si="3"/>
        <v>97083.303468407219</v>
      </c>
      <c r="M22" s="33">
        <f t="shared" si="3"/>
        <v>97748.803307683847</v>
      </c>
      <c r="N22" s="33">
        <f t="shared" si="3"/>
        <v>103626.24463955322</v>
      </c>
      <c r="O22" s="33">
        <f t="shared" si="3"/>
        <v>109981.97450918518</v>
      </c>
      <c r="P22" s="33">
        <f t="shared" si="3"/>
        <v>115872.7484425412</v>
      </c>
      <c r="Q22" s="33">
        <f t="shared" si="3"/>
        <v>119651.40069585653</v>
      </c>
      <c r="R22" s="33">
        <f t="shared" si="3"/>
        <v>107163.35804614956</v>
      </c>
      <c r="S22" s="33">
        <f t="shared" si="3"/>
        <v>98541.482437182538</v>
      </c>
      <c r="T22" s="33">
        <f t="shared" si="3"/>
        <v>113657.14323275976</v>
      </c>
      <c r="U22" s="33">
        <f t="shared" si="3"/>
        <v>118814.17017844213</v>
      </c>
      <c r="V22" s="33">
        <f t="shared" si="3"/>
        <v>128736.4067424333</v>
      </c>
      <c r="W22" s="271">
        <f t="shared" si="3"/>
        <v>1948829.8171490473</v>
      </c>
      <c r="X22" s="403">
        <f>SUM(Caledonia!W64,'New Albany'!W64,Wheatland!W64,Wilton!W64,Brownsville!W64,Gleason!W64)</f>
        <v>1948829.8171490473</v>
      </c>
      <c r="Y22" s="404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41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74</v>
      </c>
    </row>
    <row r="26" spans="1:27" ht="12" customHeight="1">
      <c r="A26" s="150"/>
    </row>
    <row r="27" spans="1:27" ht="13.5" thickBot="1">
      <c r="A27" s="194" t="s">
        <v>56</v>
      </c>
      <c r="B27" s="306" t="s">
        <v>120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264</v>
      </c>
      <c r="B29" s="19">
        <f>-'Summary Output'!C8</f>
        <v>-577000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265</v>
      </c>
      <c r="B30" s="22">
        <f>B22</f>
        <v>0</v>
      </c>
      <c r="C30" s="22">
        <f>C22</f>
        <v>27812.041951754585</v>
      </c>
      <c r="D30" s="22">
        <f t="shared" ref="D30:V30" si="5">D22</f>
        <v>27472.902065308612</v>
      </c>
      <c r="E30" s="22">
        <f t="shared" si="5"/>
        <v>27251.61416134195</v>
      </c>
      <c r="F30" s="22">
        <f t="shared" si="5"/>
        <v>114623.24919670008</v>
      </c>
      <c r="G30" s="22">
        <f t="shared" si="5"/>
        <v>120920.16934931693</v>
      </c>
      <c r="H30" s="22">
        <f t="shared" si="5"/>
        <v>122524.87234323076</v>
      </c>
      <c r="I30" s="22">
        <f t="shared" si="5"/>
        <v>103090.41409694408</v>
      </c>
      <c r="J30" s="22">
        <f t="shared" si="5"/>
        <v>96854.508238554292</v>
      </c>
      <c r="K30" s="22">
        <f t="shared" si="5"/>
        <v>97403.010045701551</v>
      </c>
      <c r="L30" s="22">
        <f t="shared" si="5"/>
        <v>97083.303468407219</v>
      </c>
      <c r="M30" s="22">
        <f t="shared" si="5"/>
        <v>97748.803307683847</v>
      </c>
      <c r="N30" s="22">
        <f t="shared" si="5"/>
        <v>103626.24463955322</v>
      </c>
      <c r="O30" s="22">
        <f t="shared" si="5"/>
        <v>109981.97450918518</v>
      </c>
      <c r="P30" s="22">
        <f t="shared" si="5"/>
        <v>115872.7484425412</v>
      </c>
      <c r="Q30" s="22">
        <f t="shared" si="5"/>
        <v>119651.40069585653</v>
      </c>
      <c r="R30" s="22">
        <f t="shared" si="5"/>
        <v>107163.35804614956</v>
      </c>
      <c r="S30" s="22">
        <f t="shared" si="5"/>
        <v>98541.482437182538</v>
      </c>
      <c r="T30" s="22">
        <f t="shared" si="5"/>
        <v>113657.14323275976</v>
      </c>
      <c r="U30" s="22">
        <f t="shared" si="5"/>
        <v>118814.17017844213</v>
      </c>
      <c r="V30" s="22">
        <f t="shared" si="5"/>
        <v>128736.4067424333</v>
      </c>
    </row>
    <row r="31" spans="1:27">
      <c r="A31" s="16" t="s">
        <v>145</v>
      </c>
      <c r="B31" s="198"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198">
        <v>0</v>
      </c>
      <c r="U31" s="198">
        <v>0</v>
      </c>
      <c r="V31" s="198">
        <f>2*V10</f>
        <v>553187.56532188517</v>
      </c>
    </row>
    <row r="32" spans="1:27">
      <c r="A32" s="16" t="s">
        <v>266</v>
      </c>
      <c r="B32" s="19">
        <f t="shared" ref="B32:V32" si="6">SUM(B29:B31)</f>
        <v>-577000</v>
      </c>
      <c r="C32" s="19">
        <f t="shared" si="6"/>
        <v>27812.041951754585</v>
      </c>
      <c r="D32" s="19">
        <f t="shared" si="6"/>
        <v>27472.902065308612</v>
      </c>
      <c r="E32" s="19">
        <f t="shared" si="6"/>
        <v>27251.61416134195</v>
      </c>
      <c r="F32" s="19">
        <f t="shared" si="6"/>
        <v>114623.24919670008</v>
      </c>
      <c r="G32" s="19">
        <f t="shared" si="6"/>
        <v>120920.16934931693</v>
      </c>
      <c r="H32" s="19">
        <f t="shared" si="6"/>
        <v>122524.87234323076</v>
      </c>
      <c r="I32" s="19">
        <f t="shared" si="6"/>
        <v>103090.41409694408</v>
      </c>
      <c r="J32" s="19">
        <f t="shared" si="6"/>
        <v>96854.508238554292</v>
      </c>
      <c r="K32" s="19">
        <f t="shared" si="6"/>
        <v>97403.010045701551</v>
      </c>
      <c r="L32" s="19">
        <f t="shared" si="6"/>
        <v>97083.303468407219</v>
      </c>
      <c r="M32" s="19">
        <f t="shared" si="6"/>
        <v>97748.803307683847</v>
      </c>
      <c r="N32" s="19">
        <f t="shared" si="6"/>
        <v>103626.24463955322</v>
      </c>
      <c r="O32" s="19">
        <f t="shared" si="6"/>
        <v>109981.97450918518</v>
      </c>
      <c r="P32" s="19">
        <f t="shared" si="6"/>
        <v>115872.7484425412</v>
      </c>
      <c r="Q32" s="19">
        <f t="shared" si="6"/>
        <v>119651.40069585653</v>
      </c>
      <c r="R32" s="19">
        <f t="shared" si="6"/>
        <v>107163.35804614956</v>
      </c>
      <c r="S32" s="19">
        <f t="shared" si="6"/>
        <v>98541.482437182538</v>
      </c>
      <c r="T32" s="19">
        <f t="shared" si="6"/>
        <v>113657.14323275976</v>
      </c>
      <c r="U32" s="19">
        <f t="shared" si="6"/>
        <v>118814.17017844213</v>
      </c>
      <c r="V32" s="19">
        <f t="shared" si="6"/>
        <v>681923.97206431848</v>
      </c>
    </row>
    <row r="33" spans="1:22">
      <c r="A33" s="16" t="s">
        <v>75</v>
      </c>
      <c r="B33" s="530">
        <f>XIRR(B32:V32,B8:V8)</f>
        <v>0.13966240286827084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75" right="0.75" top="1" bottom="1" header="0.5" footer="0.5"/>
  <pageSetup scale="42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1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116</v>
      </c>
      <c r="C2" s="419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4" t="s">
        <v>56</v>
      </c>
      <c r="B4" s="194" t="s">
        <v>104</v>
      </c>
      <c r="C4" s="258">
        <v>37256</v>
      </c>
      <c r="D4" s="258">
        <v>37621</v>
      </c>
      <c r="E4" s="258">
        <v>37986</v>
      </c>
      <c r="F4" s="258">
        <v>38352</v>
      </c>
      <c r="G4" s="258">
        <v>38717</v>
      </c>
      <c r="H4" s="258">
        <v>39082</v>
      </c>
      <c r="I4" s="258">
        <v>39447</v>
      </c>
      <c r="J4" s="258">
        <v>39813</v>
      </c>
      <c r="K4" s="258">
        <v>40178</v>
      </c>
      <c r="L4" s="258">
        <v>40543</v>
      </c>
      <c r="M4" s="258">
        <v>40908</v>
      </c>
      <c r="N4" s="258">
        <v>41274</v>
      </c>
      <c r="O4" s="258">
        <v>41639</v>
      </c>
      <c r="P4" s="258">
        <v>42004</v>
      </c>
      <c r="Q4" s="258">
        <v>42369</v>
      </c>
      <c r="R4" s="258">
        <v>42735</v>
      </c>
      <c r="S4" s="258">
        <v>43100</v>
      </c>
      <c r="T4" s="258">
        <v>43465</v>
      </c>
      <c r="U4" s="258">
        <v>43830</v>
      </c>
      <c r="V4" s="258">
        <v>44196</v>
      </c>
    </row>
    <row r="5" spans="1:22">
      <c r="B5" s="301">
        <v>0</v>
      </c>
      <c r="C5" s="301">
        <v>1</v>
      </c>
      <c r="D5" s="301">
        <v>2</v>
      </c>
      <c r="E5" s="301">
        <f>D5+1</f>
        <v>3</v>
      </c>
      <c r="F5" s="301">
        <f t="shared" ref="F5:V5" si="0">E5+1</f>
        <v>4</v>
      </c>
      <c r="G5" s="301">
        <f t="shared" si="0"/>
        <v>5</v>
      </c>
      <c r="H5" s="301">
        <f t="shared" si="0"/>
        <v>6</v>
      </c>
      <c r="I5" s="301">
        <f t="shared" si="0"/>
        <v>7</v>
      </c>
      <c r="J5" s="301">
        <f t="shared" si="0"/>
        <v>8</v>
      </c>
      <c r="K5" s="301">
        <f t="shared" si="0"/>
        <v>9</v>
      </c>
      <c r="L5" s="301">
        <f t="shared" si="0"/>
        <v>10</v>
      </c>
      <c r="M5" s="301">
        <f t="shared" si="0"/>
        <v>11</v>
      </c>
      <c r="N5" s="301">
        <f t="shared" si="0"/>
        <v>12</v>
      </c>
      <c r="O5" s="301">
        <f t="shared" si="0"/>
        <v>13</v>
      </c>
      <c r="P5" s="301">
        <f t="shared" si="0"/>
        <v>14</v>
      </c>
      <c r="Q5" s="301">
        <f t="shared" si="0"/>
        <v>15</v>
      </c>
      <c r="R5" s="301">
        <f t="shared" si="0"/>
        <v>16</v>
      </c>
      <c r="S5" s="301">
        <f t="shared" si="0"/>
        <v>17</v>
      </c>
      <c r="T5" s="301">
        <f t="shared" si="0"/>
        <v>18</v>
      </c>
      <c r="U5" s="301">
        <f t="shared" si="0"/>
        <v>19</v>
      </c>
      <c r="V5" s="301">
        <f t="shared" si="0"/>
        <v>20</v>
      </c>
    </row>
    <row r="6" spans="1:22" s="14" customFormat="1">
      <c r="A6" s="300" t="s">
        <v>37</v>
      </c>
      <c r="B6" s="301">
        <v>0</v>
      </c>
      <c r="C6" s="301">
        <v>1</v>
      </c>
      <c r="D6" s="301">
        <v>2</v>
      </c>
      <c r="E6" s="301">
        <f>D6+1</f>
        <v>3</v>
      </c>
      <c r="F6" s="301">
        <f t="shared" ref="F6:V6" si="1">E6+1</f>
        <v>4</v>
      </c>
      <c r="G6" s="301">
        <f t="shared" si="1"/>
        <v>5</v>
      </c>
      <c r="H6" s="301">
        <f t="shared" si="1"/>
        <v>6</v>
      </c>
      <c r="I6" s="301">
        <f t="shared" si="1"/>
        <v>7</v>
      </c>
      <c r="J6" s="301">
        <f t="shared" si="1"/>
        <v>8</v>
      </c>
      <c r="K6" s="301">
        <f t="shared" si="1"/>
        <v>9</v>
      </c>
      <c r="L6" s="301">
        <f t="shared" si="1"/>
        <v>10</v>
      </c>
      <c r="M6" s="301">
        <f t="shared" si="1"/>
        <v>11</v>
      </c>
      <c r="N6" s="301">
        <f t="shared" si="1"/>
        <v>12</v>
      </c>
      <c r="O6" s="301">
        <f t="shared" si="1"/>
        <v>13</v>
      </c>
      <c r="P6" s="301">
        <f t="shared" si="1"/>
        <v>14</v>
      </c>
      <c r="Q6" s="301">
        <f t="shared" si="1"/>
        <v>15</v>
      </c>
      <c r="R6" s="301">
        <f t="shared" si="1"/>
        <v>16</v>
      </c>
      <c r="S6" s="301">
        <f t="shared" si="1"/>
        <v>17</v>
      </c>
      <c r="T6" s="301">
        <f t="shared" si="1"/>
        <v>18</v>
      </c>
      <c r="U6" s="301">
        <f t="shared" si="1"/>
        <v>19</v>
      </c>
      <c r="V6" s="301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105</v>
      </c>
      <c r="B9" s="294">
        <v>0</v>
      </c>
      <c r="C9" s="294">
        <v>12</v>
      </c>
      <c r="D9" s="294">
        <v>12</v>
      </c>
      <c r="E9" s="294">
        <v>12</v>
      </c>
      <c r="F9" s="294">
        <v>12</v>
      </c>
      <c r="G9" s="294">
        <v>12</v>
      </c>
      <c r="H9" s="294">
        <v>12</v>
      </c>
      <c r="I9" s="294">
        <v>12</v>
      </c>
      <c r="J9" s="294">
        <v>12</v>
      </c>
      <c r="K9" s="294">
        <v>12</v>
      </c>
      <c r="L9" s="294">
        <v>12</v>
      </c>
      <c r="M9" s="294">
        <v>12</v>
      </c>
      <c r="N9" s="294">
        <v>12</v>
      </c>
      <c r="O9" s="294">
        <v>12</v>
      </c>
      <c r="P9" s="294">
        <v>12</v>
      </c>
      <c r="Q9" s="294">
        <v>12</v>
      </c>
      <c r="R9" s="294">
        <v>12</v>
      </c>
      <c r="S9" s="294">
        <v>12</v>
      </c>
      <c r="T9" s="294">
        <v>12</v>
      </c>
      <c r="U9" s="294">
        <v>12</v>
      </c>
      <c r="V9" s="294">
        <v>12</v>
      </c>
    </row>
    <row r="10" spans="1:22">
      <c r="A10" s="16" t="s">
        <v>106</v>
      </c>
      <c r="B10" s="295">
        <v>0</v>
      </c>
      <c r="C10" s="295">
        <f>90%/30</f>
        <v>3.0000000000000002E-2</v>
      </c>
      <c r="D10" s="295">
        <f>90%/30</f>
        <v>3.0000000000000002E-2</v>
      </c>
      <c r="E10" s="295">
        <f t="shared" ref="E10:V10" si="2">90%/30</f>
        <v>3.0000000000000002E-2</v>
      </c>
      <c r="F10" s="295">
        <f t="shared" si="2"/>
        <v>3.0000000000000002E-2</v>
      </c>
      <c r="G10" s="295">
        <f t="shared" si="2"/>
        <v>3.0000000000000002E-2</v>
      </c>
      <c r="H10" s="295">
        <f t="shared" si="2"/>
        <v>3.0000000000000002E-2</v>
      </c>
      <c r="I10" s="295">
        <f t="shared" si="2"/>
        <v>3.0000000000000002E-2</v>
      </c>
      <c r="J10" s="295">
        <f t="shared" si="2"/>
        <v>3.0000000000000002E-2</v>
      </c>
      <c r="K10" s="295">
        <f t="shared" si="2"/>
        <v>3.0000000000000002E-2</v>
      </c>
      <c r="L10" s="295">
        <f t="shared" si="2"/>
        <v>3.0000000000000002E-2</v>
      </c>
      <c r="M10" s="295">
        <f t="shared" si="2"/>
        <v>3.0000000000000002E-2</v>
      </c>
      <c r="N10" s="295">
        <f t="shared" si="2"/>
        <v>3.0000000000000002E-2</v>
      </c>
      <c r="O10" s="295">
        <f t="shared" si="2"/>
        <v>3.0000000000000002E-2</v>
      </c>
      <c r="P10" s="295">
        <f t="shared" si="2"/>
        <v>3.0000000000000002E-2</v>
      </c>
      <c r="Q10" s="295">
        <f t="shared" si="2"/>
        <v>3.0000000000000002E-2</v>
      </c>
      <c r="R10" s="295">
        <f t="shared" si="2"/>
        <v>3.0000000000000002E-2</v>
      </c>
      <c r="S10" s="295">
        <f t="shared" si="2"/>
        <v>3.0000000000000002E-2</v>
      </c>
      <c r="T10" s="295">
        <f t="shared" si="2"/>
        <v>3.0000000000000002E-2</v>
      </c>
      <c r="U10" s="295">
        <f t="shared" si="2"/>
        <v>3.0000000000000002E-2</v>
      </c>
      <c r="V10" s="295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107</v>
      </c>
      <c r="B12" s="120">
        <f>SUM('Summary Output'!$G$8,'Summary Output'!$G$9)*Allocation!$C$7+'Amortization of Power Contract'!$C$11</f>
        <v>188402.61714934916</v>
      </c>
      <c r="C12" s="19">
        <f>B14</f>
        <v>188402.61714934916</v>
      </c>
      <c r="D12" s="19">
        <f>C14</f>
        <v>182750.53863486869</v>
      </c>
      <c r="E12" s="19">
        <f t="shared" ref="E12:V12" si="3">D14</f>
        <v>177098.46012038822</v>
      </c>
      <c r="F12" s="19">
        <f t="shared" si="3"/>
        <v>171446.38160590775</v>
      </c>
      <c r="G12" s="19">
        <f t="shared" si="3"/>
        <v>165794.30309142728</v>
      </c>
      <c r="H12" s="19">
        <f t="shared" si="3"/>
        <v>160142.22457694681</v>
      </c>
      <c r="I12" s="19">
        <f t="shared" si="3"/>
        <v>154490.14606246635</v>
      </c>
      <c r="J12" s="19">
        <f t="shared" si="3"/>
        <v>148838.06754798588</v>
      </c>
      <c r="K12" s="19">
        <f t="shared" si="3"/>
        <v>143185.98903350541</v>
      </c>
      <c r="L12" s="19">
        <f t="shared" si="3"/>
        <v>137533.91051902494</v>
      </c>
      <c r="M12" s="19">
        <f t="shared" si="3"/>
        <v>131881.83200454447</v>
      </c>
      <c r="N12" s="19">
        <f t="shared" si="3"/>
        <v>126229.753490064</v>
      </c>
      <c r="O12" s="19">
        <f t="shared" si="3"/>
        <v>120577.67497558353</v>
      </c>
      <c r="P12" s="19">
        <f t="shared" si="3"/>
        <v>114925.59646110306</v>
      </c>
      <c r="Q12" s="19">
        <f t="shared" si="3"/>
        <v>109273.5179466226</v>
      </c>
      <c r="R12" s="19">
        <f t="shared" si="3"/>
        <v>103621.43943214213</v>
      </c>
      <c r="S12" s="19">
        <f t="shared" si="3"/>
        <v>97969.360917661659</v>
      </c>
      <c r="T12" s="19">
        <f t="shared" si="3"/>
        <v>92317.282403181191</v>
      </c>
      <c r="U12" s="19">
        <f t="shared" si="3"/>
        <v>86665.203888700722</v>
      </c>
      <c r="V12" s="19">
        <f t="shared" si="3"/>
        <v>81013.125374220253</v>
      </c>
    </row>
    <row r="13" spans="1:22">
      <c r="A13" s="16" t="s">
        <v>108</v>
      </c>
      <c r="B13" s="51">
        <f>$B$12*B10</f>
        <v>0</v>
      </c>
      <c r="C13" s="51">
        <f t="shared" ref="C13:V13" si="4">$B$12*C10</f>
        <v>5652.078514480475</v>
      </c>
      <c r="D13" s="51">
        <f t="shared" si="4"/>
        <v>5652.078514480475</v>
      </c>
      <c r="E13" s="51">
        <f t="shared" si="4"/>
        <v>5652.078514480475</v>
      </c>
      <c r="F13" s="51">
        <f t="shared" si="4"/>
        <v>5652.078514480475</v>
      </c>
      <c r="G13" s="51">
        <f t="shared" si="4"/>
        <v>5652.078514480475</v>
      </c>
      <c r="H13" s="51">
        <f t="shared" si="4"/>
        <v>5652.078514480475</v>
      </c>
      <c r="I13" s="51">
        <f t="shared" si="4"/>
        <v>5652.078514480475</v>
      </c>
      <c r="J13" s="51">
        <f t="shared" si="4"/>
        <v>5652.078514480475</v>
      </c>
      <c r="K13" s="51">
        <f t="shared" si="4"/>
        <v>5652.078514480475</v>
      </c>
      <c r="L13" s="51">
        <f t="shared" si="4"/>
        <v>5652.078514480475</v>
      </c>
      <c r="M13" s="51">
        <f t="shared" si="4"/>
        <v>5652.078514480475</v>
      </c>
      <c r="N13" s="51">
        <f t="shared" si="4"/>
        <v>5652.078514480475</v>
      </c>
      <c r="O13" s="51">
        <f t="shared" si="4"/>
        <v>5652.078514480475</v>
      </c>
      <c r="P13" s="51">
        <f t="shared" si="4"/>
        <v>5652.078514480475</v>
      </c>
      <c r="Q13" s="51">
        <f t="shared" si="4"/>
        <v>5652.078514480475</v>
      </c>
      <c r="R13" s="51">
        <f t="shared" si="4"/>
        <v>5652.078514480475</v>
      </c>
      <c r="S13" s="51">
        <f t="shared" si="4"/>
        <v>5652.078514480475</v>
      </c>
      <c r="T13" s="51">
        <f t="shared" si="4"/>
        <v>5652.078514480475</v>
      </c>
      <c r="U13" s="51">
        <f t="shared" si="4"/>
        <v>5652.078514480475</v>
      </c>
      <c r="V13" s="51">
        <f t="shared" si="4"/>
        <v>5652.078514480475</v>
      </c>
    </row>
    <row r="14" spans="1:22">
      <c r="A14" s="16" t="s">
        <v>109</v>
      </c>
      <c r="B14" s="19">
        <f>B12-B13</f>
        <v>188402.61714934916</v>
      </c>
      <c r="C14" s="19">
        <f>C12-C13</f>
        <v>182750.53863486869</v>
      </c>
      <c r="D14" s="19">
        <f>D12-D13</f>
        <v>177098.46012038822</v>
      </c>
      <c r="E14" s="19">
        <f t="shared" ref="E14:V14" si="5">E12-E13</f>
        <v>171446.38160590775</v>
      </c>
      <c r="F14" s="19">
        <f t="shared" si="5"/>
        <v>165794.30309142728</v>
      </c>
      <c r="G14" s="19">
        <f t="shared" si="5"/>
        <v>160142.22457694681</v>
      </c>
      <c r="H14" s="19">
        <f t="shared" si="5"/>
        <v>154490.14606246635</v>
      </c>
      <c r="I14" s="19">
        <f t="shared" si="5"/>
        <v>148838.06754798588</v>
      </c>
      <c r="J14" s="19">
        <f t="shared" si="5"/>
        <v>143185.98903350541</v>
      </c>
      <c r="K14" s="19">
        <f t="shared" si="5"/>
        <v>137533.91051902494</v>
      </c>
      <c r="L14" s="19">
        <f t="shared" si="5"/>
        <v>131881.83200454447</v>
      </c>
      <c r="M14" s="19">
        <f t="shared" si="5"/>
        <v>126229.753490064</v>
      </c>
      <c r="N14" s="19">
        <f t="shared" si="5"/>
        <v>120577.67497558353</v>
      </c>
      <c r="O14" s="19">
        <f t="shared" si="5"/>
        <v>114925.59646110306</v>
      </c>
      <c r="P14" s="19">
        <f t="shared" si="5"/>
        <v>109273.5179466226</v>
      </c>
      <c r="Q14" s="19">
        <f t="shared" si="5"/>
        <v>103621.43943214213</v>
      </c>
      <c r="R14" s="19">
        <f t="shared" si="5"/>
        <v>97969.360917661659</v>
      </c>
      <c r="S14" s="19">
        <f t="shared" si="5"/>
        <v>92317.282403181191</v>
      </c>
      <c r="T14" s="19">
        <f t="shared" si="5"/>
        <v>86665.203888700722</v>
      </c>
      <c r="U14" s="19">
        <f t="shared" si="5"/>
        <v>81013.125374220253</v>
      </c>
      <c r="V14" s="19">
        <f t="shared" si="5"/>
        <v>75361.046859739785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105</v>
      </c>
      <c r="B17" s="294">
        <v>0</v>
      </c>
      <c r="C17" s="294">
        <v>12</v>
      </c>
      <c r="D17" s="294">
        <v>12</v>
      </c>
      <c r="E17" s="294">
        <v>12</v>
      </c>
      <c r="F17" s="294">
        <v>12</v>
      </c>
      <c r="G17" s="294">
        <v>12</v>
      </c>
      <c r="H17" s="294">
        <v>12</v>
      </c>
      <c r="I17" s="294">
        <v>12</v>
      </c>
      <c r="J17" s="294">
        <v>12</v>
      </c>
      <c r="K17" s="294">
        <v>12</v>
      </c>
      <c r="L17" s="294">
        <v>12</v>
      </c>
      <c r="M17" s="294">
        <v>12</v>
      </c>
      <c r="N17" s="294">
        <v>12</v>
      </c>
      <c r="O17" s="294">
        <v>12</v>
      </c>
      <c r="P17" s="294">
        <v>12</v>
      </c>
      <c r="Q17" s="294">
        <v>12</v>
      </c>
      <c r="R17" s="294">
        <v>12</v>
      </c>
      <c r="S17" s="294">
        <v>12</v>
      </c>
      <c r="T17" s="294">
        <v>12</v>
      </c>
      <c r="U17" s="294">
        <v>12</v>
      </c>
      <c r="V17" s="294">
        <v>12</v>
      </c>
    </row>
    <row r="18" spans="1:22">
      <c r="A18" s="16" t="s">
        <v>106</v>
      </c>
      <c r="B18" s="295">
        <v>0</v>
      </c>
      <c r="C18" s="295">
        <f>90%/30</f>
        <v>3.0000000000000002E-2</v>
      </c>
      <c r="D18" s="295">
        <f>90%/30</f>
        <v>3.0000000000000002E-2</v>
      </c>
      <c r="E18" s="295">
        <f t="shared" ref="E18:V18" si="6">90%/30</f>
        <v>3.0000000000000002E-2</v>
      </c>
      <c r="F18" s="295">
        <f t="shared" si="6"/>
        <v>3.0000000000000002E-2</v>
      </c>
      <c r="G18" s="295">
        <f t="shared" si="6"/>
        <v>3.0000000000000002E-2</v>
      </c>
      <c r="H18" s="295">
        <f t="shared" si="6"/>
        <v>3.0000000000000002E-2</v>
      </c>
      <c r="I18" s="295">
        <f t="shared" si="6"/>
        <v>3.0000000000000002E-2</v>
      </c>
      <c r="J18" s="295">
        <f t="shared" si="6"/>
        <v>3.0000000000000002E-2</v>
      </c>
      <c r="K18" s="295">
        <f t="shared" si="6"/>
        <v>3.0000000000000002E-2</v>
      </c>
      <c r="L18" s="295">
        <f t="shared" si="6"/>
        <v>3.0000000000000002E-2</v>
      </c>
      <c r="M18" s="295">
        <f t="shared" si="6"/>
        <v>3.0000000000000002E-2</v>
      </c>
      <c r="N18" s="295">
        <f t="shared" si="6"/>
        <v>3.0000000000000002E-2</v>
      </c>
      <c r="O18" s="295">
        <f t="shared" si="6"/>
        <v>3.0000000000000002E-2</v>
      </c>
      <c r="P18" s="295">
        <f t="shared" si="6"/>
        <v>3.0000000000000002E-2</v>
      </c>
      <c r="Q18" s="295">
        <f t="shared" si="6"/>
        <v>3.0000000000000002E-2</v>
      </c>
      <c r="R18" s="295">
        <f t="shared" si="6"/>
        <v>3.0000000000000002E-2</v>
      </c>
      <c r="S18" s="295">
        <f t="shared" si="6"/>
        <v>3.0000000000000002E-2</v>
      </c>
      <c r="T18" s="295">
        <f t="shared" si="6"/>
        <v>3.0000000000000002E-2</v>
      </c>
      <c r="U18" s="295">
        <f t="shared" si="6"/>
        <v>3.0000000000000002E-2</v>
      </c>
      <c r="V18" s="295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107</v>
      </c>
      <c r="B20" s="120">
        <f>SUM('Summary Output'!$G$8,'Summary Output'!$G$9)*Allocation!$C$8+'Amortization of Power Contract'!$C$17</f>
        <v>223128.99812008941</v>
      </c>
      <c r="C20" s="19">
        <f>B22</f>
        <v>223128.99812008941</v>
      </c>
      <c r="D20" s="19">
        <f>C22</f>
        <v>216435.12817648673</v>
      </c>
      <c r="E20" s="19">
        <f t="shared" ref="E20:V20" si="7">D22</f>
        <v>209741.25823288405</v>
      </c>
      <c r="F20" s="19">
        <f t="shared" si="7"/>
        <v>203047.38828928137</v>
      </c>
      <c r="G20" s="19">
        <f t="shared" si="7"/>
        <v>196353.51834567869</v>
      </c>
      <c r="H20" s="19">
        <f t="shared" si="7"/>
        <v>189659.64840207601</v>
      </c>
      <c r="I20" s="19">
        <f t="shared" si="7"/>
        <v>182965.77845847333</v>
      </c>
      <c r="J20" s="19">
        <f t="shared" si="7"/>
        <v>176271.90851487065</v>
      </c>
      <c r="K20" s="19">
        <f t="shared" si="7"/>
        <v>169578.03857126797</v>
      </c>
      <c r="L20" s="19">
        <f t="shared" si="7"/>
        <v>162884.16862766529</v>
      </c>
      <c r="M20" s="19">
        <f t="shared" si="7"/>
        <v>156190.29868406261</v>
      </c>
      <c r="N20" s="19">
        <f t="shared" si="7"/>
        <v>149496.42874045993</v>
      </c>
      <c r="O20" s="19">
        <f t="shared" si="7"/>
        <v>142802.55879685725</v>
      </c>
      <c r="P20" s="19">
        <f t="shared" si="7"/>
        <v>136108.68885325457</v>
      </c>
      <c r="Q20" s="19">
        <f t="shared" si="7"/>
        <v>129414.81890965189</v>
      </c>
      <c r="R20" s="19">
        <f t="shared" si="7"/>
        <v>122720.94896604921</v>
      </c>
      <c r="S20" s="19">
        <f t="shared" si="7"/>
        <v>116027.07902244653</v>
      </c>
      <c r="T20" s="19">
        <f t="shared" si="7"/>
        <v>109333.20907884385</v>
      </c>
      <c r="U20" s="19">
        <f t="shared" si="7"/>
        <v>102639.33913524117</v>
      </c>
      <c r="V20" s="19">
        <f t="shared" si="7"/>
        <v>95945.469191638491</v>
      </c>
    </row>
    <row r="21" spans="1:22">
      <c r="A21" s="16" t="s">
        <v>108</v>
      </c>
      <c r="B21" s="51">
        <f t="shared" ref="B21:V21" si="8">$B$20*B18</f>
        <v>0</v>
      </c>
      <c r="C21" s="51">
        <f t="shared" si="8"/>
        <v>6693.8699436026827</v>
      </c>
      <c r="D21" s="51">
        <f t="shared" si="8"/>
        <v>6693.8699436026827</v>
      </c>
      <c r="E21" s="51">
        <f t="shared" si="8"/>
        <v>6693.8699436026827</v>
      </c>
      <c r="F21" s="51">
        <f t="shared" si="8"/>
        <v>6693.8699436026827</v>
      </c>
      <c r="G21" s="51">
        <f t="shared" si="8"/>
        <v>6693.8699436026827</v>
      </c>
      <c r="H21" s="51">
        <f t="shared" si="8"/>
        <v>6693.8699436026827</v>
      </c>
      <c r="I21" s="51">
        <f t="shared" si="8"/>
        <v>6693.8699436026827</v>
      </c>
      <c r="J21" s="51">
        <f t="shared" si="8"/>
        <v>6693.8699436026827</v>
      </c>
      <c r="K21" s="51">
        <f t="shared" si="8"/>
        <v>6693.8699436026827</v>
      </c>
      <c r="L21" s="51">
        <f t="shared" si="8"/>
        <v>6693.8699436026827</v>
      </c>
      <c r="M21" s="51">
        <f t="shared" si="8"/>
        <v>6693.8699436026827</v>
      </c>
      <c r="N21" s="51">
        <f t="shared" si="8"/>
        <v>6693.8699436026827</v>
      </c>
      <c r="O21" s="51">
        <f t="shared" si="8"/>
        <v>6693.8699436026827</v>
      </c>
      <c r="P21" s="51">
        <f t="shared" si="8"/>
        <v>6693.8699436026827</v>
      </c>
      <c r="Q21" s="51">
        <f t="shared" si="8"/>
        <v>6693.8699436026827</v>
      </c>
      <c r="R21" s="51">
        <f t="shared" si="8"/>
        <v>6693.8699436026827</v>
      </c>
      <c r="S21" s="51">
        <f t="shared" si="8"/>
        <v>6693.8699436026827</v>
      </c>
      <c r="T21" s="51">
        <f t="shared" si="8"/>
        <v>6693.8699436026827</v>
      </c>
      <c r="U21" s="51">
        <f t="shared" si="8"/>
        <v>6693.8699436026827</v>
      </c>
      <c r="V21" s="51">
        <f t="shared" si="8"/>
        <v>6693.8699436026827</v>
      </c>
    </row>
    <row r="22" spans="1:22">
      <c r="A22" s="16" t="s">
        <v>109</v>
      </c>
      <c r="B22" s="19">
        <f>B20-B21</f>
        <v>223128.99812008941</v>
      </c>
      <c r="C22" s="19">
        <f>C20-C21</f>
        <v>216435.12817648673</v>
      </c>
      <c r="D22" s="19">
        <f>D20-D21</f>
        <v>209741.25823288405</v>
      </c>
      <c r="E22" s="19">
        <f t="shared" ref="E22:V22" si="9">E20-E21</f>
        <v>203047.38828928137</v>
      </c>
      <c r="F22" s="19">
        <f t="shared" si="9"/>
        <v>196353.51834567869</v>
      </c>
      <c r="G22" s="19">
        <f t="shared" si="9"/>
        <v>189659.64840207601</v>
      </c>
      <c r="H22" s="19">
        <f t="shared" si="9"/>
        <v>182965.77845847333</v>
      </c>
      <c r="I22" s="19">
        <f t="shared" si="9"/>
        <v>176271.90851487065</v>
      </c>
      <c r="J22" s="19">
        <f t="shared" si="9"/>
        <v>169578.03857126797</v>
      </c>
      <c r="K22" s="19">
        <f t="shared" si="9"/>
        <v>162884.16862766529</v>
      </c>
      <c r="L22" s="19">
        <f t="shared" si="9"/>
        <v>156190.29868406261</v>
      </c>
      <c r="M22" s="19">
        <f t="shared" si="9"/>
        <v>149496.42874045993</v>
      </c>
      <c r="N22" s="19">
        <f t="shared" si="9"/>
        <v>142802.55879685725</v>
      </c>
      <c r="O22" s="19">
        <f t="shared" si="9"/>
        <v>136108.68885325457</v>
      </c>
      <c r="P22" s="19">
        <f t="shared" si="9"/>
        <v>129414.81890965189</v>
      </c>
      <c r="Q22" s="19">
        <f t="shared" si="9"/>
        <v>122720.94896604921</v>
      </c>
      <c r="R22" s="19">
        <f t="shared" si="9"/>
        <v>116027.07902244653</v>
      </c>
      <c r="S22" s="19">
        <f t="shared" si="9"/>
        <v>109333.20907884385</v>
      </c>
      <c r="T22" s="19">
        <f t="shared" si="9"/>
        <v>102639.33913524117</v>
      </c>
      <c r="U22" s="19">
        <f t="shared" si="9"/>
        <v>95945.469191638491</v>
      </c>
      <c r="V22" s="19">
        <f t="shared" si="9"/>
        <v>89251.599248035811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105</v>
      </c>
      <c r="B25" s="294">
        <v>0</v>
      </c>
      <c r="C25" s="294">
        <v>12</v>
      </c>
      <c r="D25" s="294">
        <v>12</v>
      </c>
      <c r="E25" s="294">
        <v>12</v>
      </c>
      <c r="F25" s="294">
        <v>12</v>
      </c>
      <c r="G25" s="294">
        <v>12</v>
      </c>
      <c r="H25" s="294">
        <v>12</v>
      </c>
      <c r="I25" s="294">
        <v>12</v>
      </c>
      <c r="J25" s="294">
        <v>12</v>
      </c>
      <c r="K25" s="294">
        <v>12</v>
      </c>
      <c r="L25" s="294">
        <v>12</v>
      </c>
      <c r="M25" s="294">
        <v>12</v>
      </c>
      <c r="N25" s="294">
        <v>12</v>
      </c>
      <c r="O25" s="294">
        <v>12</v>
      </c>
      <c r="P25" s="294">
        <v>12</v>
      </c>
      <c r="Q25" s="294">
        <v>12</v>
      </c>
      <c r="R25" s="294">
        <v>12</v>
      </c>
      <c r="S25" s="294">
        <v>12</v>
      </c>
      <c r="T25" s="294">
        <v>12</v>
      </c>
      <c r="U25" s="294">
        <v>12</v>
      </c>
      <c r="V25" s="294">
        <v>12</v>
      </c>
    </row>
    <row r="26" spans="1:22">
      <c r="A26" s="16" t="s">
        <v>106</v>
      </c>
      <c r="B26" s="295">
        <v>0</v>
      </c>
      <c r="C26" s="295">
        <f>90%/30</f>
        <v>3.0000000000000002E-2</v>
      </c>
      <c r="D26" s="295">
        <f>90%/30</f>
        <v>3.0000000000000002E-2</v>
      </c>
      <c r="E26" s="295">
        <f t="shared" ref="E26:V26" si="10">90%/30</f>
        <v>3.0000000000000002E-2</v>
      </c>
      <c r="F26" s="295">
        <f t="shared" si="10"/>
        <v>3.0000000000000002E-2</v>
      </c>
      <c r="G26" s="295">
        <f t="shared" si="10"/>
        <v>3.0000000000000002E-2</v>
      </c>
      <c r="H26" s="295">
        <f t="shared" si="10"/>
        <v>3.0000000000000002E-2</v>
      </c>
      <c r="I26" s="295">
        <f t="shared" si="10"/>
        <v>3.0000000000000002E-2</v>
      </c>
      <c r="J26" s="295">
        <f t="shared" si="10"/>
        <v>3.0000000000000002E-2</v>
      </c>
      <c r="K26" s="295">
        <f t="shared" si="10"/>
        <v>3.0000000000000002E-2</v>
      </c>
      <c r="L26" s="295">
        <f t="shared" si="10"/>
        <v>3.0000000000000002E-2</v>
      </c>
      <c r="M26" s="295">
        <f t="shared" si="10"/>
        <v>3.0000000000000002E-2</v>
      </c>
      <c r="N26" s="295">
        <f t="shared" si="10"/>
        <v>3.0000000000000002E-2</v>
      </c>
      <c r="O26" s="295">
        <f t="shared" si="10"/>
        <v>3.0000000000000002E-2</v>
      </c>
      <c r="P26" s="295">
        <f t="shared" si="10"/>
        <v>3.0000000000000002E-2</v>
      </c>
      <c r="Q26" s="295">
        <f t="shared" si="10"/>
        <v>3.0000000000000002E-2</v>
      </c>
      <c r="R26" s="295">
        <f t="shared" si="10"/>
        <v>3.0000000000000002E-2</v>
      </c>
      <c r="S26" s="295">
        <f t="shared" si="10"/>
        <v>3.0000000000000002E-2</v>
      </c>
      <c r="T26" s="295">
        <f t="shared" si="10"/>
        <v>3.0000000000000002E-2</v>
      </c>
      <c r="U26" s="295">
        <f t="shared" si="10"/>
        <v>3.0000000000000002E-2</v>
      </c>
      <c r="V26" s="295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107</v>
      </c>
      <c r="B28" s="120">
        <f>SUM('Summary Output'!$G$8,'Summary Output'!$G$9)*Allocation!$C$9+'Amortization of Power Contract'!$C$23</f>
        <v>210479.80449373255</v>
      </c>
      <c r="C28" s="19">
        <f>B30</f>
        <v>210479.80449373255</v>
      </c>
      <c r="D28" s="19">
        <f>C30</f>
        <v>204165.41035892058</v>
      </c>
      <c r="E28" s="19">
        <f t="shared" ref="E28:V28" si="11">D30</f>
        <v>197851.01622410861</v>
      </c>
      <c r="F28" s="19">
        <f t="shared" si="11"/>
        <v>191536.62208929664</v>
      </c>
      <c r="G28" s="19">
        <f t="shared" si="11"/>
        <v>185222.22795448467</v>
      </c>
      <c r="H28" s="19">
        <f t="shared" si="11"/>
        <v>178907.8338196727</v>
      </c>
      <c r="I28" s="19">
        <f t="shared" si="11"/>
        <v>172593.43968486073</v>
      </c>
      <c r="J28" s="19">
        <f t="shared" si="11"/>
        <v>166279.04555004876</v>
      </c>
      <c r="K28" s="19">
        <f t="shared" si="11"/>
        <v>159964.65141523679</v>
      </c>
      <c r="L28" s="19">
        <f t="shared" si="11"/>
        <v>153650.25728042482</v>
      </c>
      <c r="M28" s="19">
        <f t="shared" si="11"/>
        <v>147335.86314561285</v>
      </c>
      <c r="N28" s="19">
        <f t="shared" si="11"/>
        <v>141021.46901080088</v>
      </c>
      <c r="O28" s="19">
        <f t="shared" si="11"/>
        <v>134707.07487598891</v>
      </c>
      <c r="P28" s="19">
        <f t="shared" si="11"/>
        <v>128392.68074117694</v>
      </c>
      <c r="Q28" s="19">
        <f t="shared" si="11"/>
        <v>122078.28660636497</v>
      </c>
      <c r="R28" s="19">
        <f t="shared" si="11"/>
        <v>115763.892471553</v>
      </c>
      <c r="S28" s="19">
        <f t="shared" si="11"/>
        <v>109449.49833674103</v>
      </c>
      <c r="T28" s="19">
        <f t="shared" si="11"/>
        <v>103135.10420192906</v>
      </c>
      <c r="U28" s="19">
        <f t="shared" si="11"/>
        <v>96820.710067117092</v>
      </c>
      <c r="V28" s="19">
        <f t="shared" si="11"/>
        <v>90506.315932305122</v>
      </c>
    </row>
    <row r="29" spans="1:22">
      <c r="A29" s="16" t="s">
        <v>108</v>
      </c>
      <c r="B29" s="51">
        <f>$B$28*B26</f>
        <v>0</v>
      </c>
      <c r="C29" s="51">
        <f t="shared" ref="C29:V29" si="12">$B$28*C26</f>
        <v>6314.394134811977</v>
      </c>
      <c r="D29" s="51">
        <f t="shared" si="12"/>
        <v>6314.394134811977</v>
      </c>
      <c r="E29" s="51">
        <f t="shared" si="12"/>
        <v>6314.394134811977</v>
      </c>
      <c r="F29" s="51">
        <f t="shared" si="12"/>
        <v>6314.394134811977</v>
      </c>
      <c r="G29" s="51">
        <f t="shared" si="12"/>
        <v>6314.394134811977</v>
      </c>
      <c r="H29" s="51">
        <f t="shared" si="12"/>
        <v>6314.394134811977</v>
      </c>
      <c r="I29" s="51">
        <f t="shared" si="12"/>
        <v>6314.394134811977</v>
      </c>
      <c r="J29" s="51">
        <f t="shared" si="12"/>
        <v>6314.394134811977</v>
      </c>
      <c r="K29" s="51">
        <f t="shared" si="12"/>
        <v>6314.394134811977</v>
      </c>
      <c r="L29" s="51">
        <f t="shared" si="12"/>
        <v>6314.394134811977</v>
      </c>
      <c r="M29" s="51">
        <f t="shared" si="12"/>
        <v>6314.394134811977</v>
      </c>
      <c r="N29" s="51">
        <f t="shared" si="12"/>
        <v>6314.394134811977</v>
      </c>
      <c r="O29" s="51">
        <f t="shared" si="12"/>
        <v>6314.394134811977</v>
      </c>
      <c r="P29" s="51">
        <f t="shared" si="12"/>
        <v>6314.394134811977</v>
      </c>
      <c r="Q29" s="51">
        <f t="shared" si="12"/>
        <v>6314.394134811977</v>
      </c>
      <c r="R29" s="51">
        <f t="shared" si="12"/>
        <v>6314.394134811977</v>
      </c>
      <c r="S29" s="51">
        <f t="shared" si="12"/>
        <v>6314.394134811977</v>
      </c>
      <c r="T29" s="51">
        <f t="shared" si="12"/>
        <v>6314.394134811977</v>
      </c>
      <c r="U29" s="51">
        <f t="shared" si="12"/>
        <v>6314.394134811977</v>
      </c>
      <c r="V29" s="51">
        <f t="shared" si="12"/>
        <v>6314.394134811977</v>
      </c>
    </row>
    <row r="30" spans="1:22">
      <c r="A30" s="16" t="s">
        <v>109</v>
      </c>
      <c r="B30" s="19">
        <f>B28-B29</f>
        <v>210479.80449373255</v>
      </c>
      <c r="C30" s="19">
        <f>C28-C29</f>
        <v>204165.41035892058</v>
      </c>
      <c r="D30" s="19">
        <f>D28-D29</f>
        <v>197851.01622410861</v>
      </c>
      <c r="E30" s="19">
        <f t="shared" ref="E30:V30" si="13">E28-E29</f>
        <v>191536.62208929664</v>
      </c>
      <c r="F30" s="19">
        <f t="shared" si="13"/>
        <v>185222.22795448467</v>
      </c>
      <c r="G30" s="19">
        <f t="shared" si="13"/>
        <v>178907.8338196727</v>
      </c>
      <c r="H30" s="19">
        <f t="shared" si="13"/>
        <v>172593.43968486073</v>
      </c>
      <c r="I30" s="19">
        <f t="shared" si="13"/>
        <v>166279.04555004876</v>
      </c>
      <c r="J30" s="19">
        <f t="shared" si="13"/>
        <v>159964.65141523679</v>
      </c>
      <c r="K30" s="19">
        <f t="shared" si="13"/>
        <v>153650.25728042482</v>
      </c>
      <c r="L30" s="19">
        <f t="shared" si="13"/>
        <v>147335.86314561285</v>
      </c>
      <c r="M30" s="19">
        <f t="shared" si="13"/>
        <v>141021.46901080088</v>
      </c>
      <c r="N30" s="19">
        <f t="shared" si="13"/>
        <v>134707.07487598891</v>
      </c>
      <c r="O30" s="19">
        <f t="shared" si="13"/>
        <v>128392.68074117694</v>
      </c>
      <c r="P30" s="19">
        <f t="shared" si="13"/>
        <v>122078.28660636497</v>
      </c>
      <c r="Q30" s="19">
        <f t="shared" si="13"/>
        <v>115763.892471553</v>
      </c>
      <c r="R30" s="19">
        <f t="shared" si="13"/>
        <v>109449.49833674103</v>
      </c>
      <c r="S30" s="19">
        <f t="shared" si="13"/>
        <v>103135.10420192906</v>
      </c>
      <c r="T30" s="19">
        <f t="shared" si="13"/>
        <v>96820.710067117092</v>
      </c>
      <c r="U30" s="19">
        <f t="shared" si="13"/>
        <v>90506.315932305122</v>
      </c>
      <c r="V30" s="19">
        <f t="shared" si="13"/>
        <v>84191.921797493153</v>
      </c>
    </row>
    <row r="31" spans="1:22">
      <c r="B31" s="16"/>
      <c r="C31" s="16"/>
      <c r="D31" s="16"/>
    </row>
    <row r="32" spans="1:22">
      <c r="A32" s="39" t="s">
        <v>103</v>
      </c>
      <c r="B32" s="16"/>
      <c r="C32" s="16"/>
      <c r="D32" s="16"/>
    </row>
    <row r="33" spans="1:26">
      <c r="A33" s="21" t="s">
        <v>105</v>
      </c>
      <c r="B33" s="294">
        <v>0</v>
      </c>
      <c r="C33" s="294">
        <v>12</v>
      </c>
      <c r="D33" s="294">
        <v>12</v>
      </c>
      <c r="E33" s="294">
        <v>12</v>
      </c>
      <c r="F33" s="294">
        <v>12</v>
      </c>
      <c r="G33" s="294">
        <v>12</v>
      </c>
      <c r="H33" s="294">
        <v>12</v>
      </c>
      <c r="I33" s="294">
        <v>12</v>
      </c>
      <c r="J33" s="294">
        <v>12</v>
      </c>
      <c r="K33" s="294">
        <v>12</v>
      </c>
      <c r="L33" s="294">
        <v>12</v>
      </c>
      <c r="M33" s="294">
        <v>12</v>
      </c>
      <c r="N33" s="294">
        <v>12</v>
      </c>
      <c r="O33" s="294">
        <v>12</v>
      </c>
      <c r="P33" s="294">
        <v>12</v>
      </c>
      <c r="Q33" s="294">
        <v>12</v>
      </c>
      <c r="R33" s="294">
        <v>12</v>
      </c>
      <c r="S33" s="294">
        <v>12</v>
      </c>
      <c r="T33" s="294">
        <v>12</v>
      </c>
      <c r="U33" s="294">
        <v>12</v>
      </c>
      <c r="V33" s="294">
        <v>12</v>
      </c>
    </row>
    <row r="34" spans="1:26">
      <c r="A34" s="16" t="s">
        <v>106</v>
      </c>
      <c r="B34" s="295">
        <v>0</v>
      </c>
      <c r="C34" s="295">
        <f>90%/30</f>
        <v>3.0000000000000002E-2</v>
      </c>
      <c r="D34" s="295">
        <f>90%/30</f>
        <v>3.0000000000000002E-2</v>
      </c>
      <c r="E34" s="295">
        <f t="shared" ref="E34:V34" si="14">90%/30</f>
        <v>3.0000000000000002E-2</v>
      </c>
      <c r="F34" s="295">
        <f t="shared" si="14"/>
        <v>3.0000000000000002E-2</v>
      </c>
      <c r="G34" s="295">
        <f t="shared" si="14"/>
        <v>3.0000000000000002E-2</v>
      </c>
      <c r="H34" s="295">
        <f t="shared" si="14"/>
        <v>3.0000000000000002E-2</v>
      </c>
      <c r="I34" s="295">
        <f t="shared" si="14"/>
        <v>3.0000000000000002E-2</v>
      </c>
      <c r="J34" s="295">
        <f t="shared" si="14"/>
        <v>3.0000000000000002E-2</v>
      </c>
      <c r="K34" s="295">
        <f t="shared" si="14"/>
        <v>3.0000000000000002E-2</v>
      </c>
      <c r="L34" s="295">
        <f t="shared" si="14"/>
        <v>3.0000000000000002E-2</v>
      </c>
      <c r="M34" s="295">
        <f t="shared" si="14"/>
        <v>3.0000000000000002E-2</v>
      </c>
      <c r="N34" s="295">
        <f t="shared" si="14"/>
        <v>3.0000000000000002E-2</v>
      </c>
      <c r="O34" s="295">
        <f t="shared" si="14"/>
        <v>3.0000000000000002E-2</v>
      </c>
      <c r="P34" s="295">
        <f t="shared" si="14"/>
        <v>3.0000000000000002E-2</v>
      </c>
      <c r="Q34" s="295">
        <f t="shared" si="14"/>
        <v>3.0000000000000002E-2</v>
      </c>
      <c r="R34" s="295">
        <f t="shared" si="14"/>
        <v>3.0000000000000002E-2</v>
      </c>
      <c r="S34" s="295">
        <f t="shared" si="14"/>
        <v>3.0000000000000002E-2</v>
      </c>
      <c r="T34" s="295">
        <f t="shared" si="14"/>
        <v>3.0000000000000002E-2</v>
      </c>
      <c r="U34" s="295">
        <f t="shared" si="14"/>
        <v>3.0000000000000002E-2</v>
      </c>
      <c r="V34" s="295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107</v>
      </c>
      <c r="B36" s="120">
        <f>SUM('Summary Output'!$G$8,'Summary Output'!$G$9)*Allocation!$C$12+'Amortization of Power Contract'!$C$29</f>
        <v>251129.19185936253</v>
      </c>
      <c r="C36" s="19">
        <f>B38</f>
        <v>251129.19185936253</v>
      </c>
      <c r="D36" s="19">
        <f>C38</f>
        <v>243595.31610358166</v>
      </c>
      <c r="E36" s="19">
        <f t="shared" ref="E36:V36" si="15">D38</f>
        <v>236061.44034780079</v>
      </c>
      <c r="F36" s="19">
        <f t="shared" si="15"/>
        <v>228527.56459201992</v>
      </c>
      <c r="G36" s="19">
        <f t="shared" si="15"/>
        <v>220993.68883623905</v>
      </c>
      <c r="H36" s="19">
        <f t="shared" si="15"/>
        <v>213459.81308045817</v>
      </c>
      <c r="I36" s="19">
        <f t="shared" si="15"/>
        <v>205925.9373246773</v>
      </c>
      <c r="J36" s="19">
        <f t="shared" si="15"/>
        <v>198392.06156889643</v>
      </c>
      <c r="K36" s="19">
        <f t="shared" si="15"/>
        <v>190858.18581311556</v>
      </c>
      <c r="L36" s="19">
        <f t="shared" si="15"/>
        <v>183324.31005733469</v>
      </c>
      <c r="M36" s="19">
        <f t="shared" si="15"/>
        <v>175790.43430155382</v>
      </c>
      <c r="N36" s="19">
        <f t="shared" si="15"/>
        <v>168256.55854577295</v>
      </c>
      <c r="O36" s="19">
        <f t="shared" si="15"/>
        <v>160722.68278999208</v>
      </c>
      <c r="P36" s="19">
        <f t="shared" si="15"/>
        <v>153188.8070342112</v>
      </c>
      <c r="Q36" s="19">
        <f t="shared" si="15"/>
        <v>145654.93127843033</v>
      </c>
      <c r="R36" s="19">
        <f t="shared" si="15"/>
        <v>138121.05552264946</v>
      </c>
      <c r="S36" s="19">
        <f t="shared" si="15"/>
        <v>130587.17976686859</v>
      </c>
      <c r="T36" s="19">
        <f t="shared" si="15"/>
        <v>123053.30401108772</v>
      </c>
      <c r="U36" s="19">
        <f t="shared" si="15"/>
        <v>115519.42825530685</v>
      </c>
      <c r="V36" s="19">
        <f t="shared" si="15"/>
        <v>107985.55249952598</v>
      </c>
    </row>
    <row r="37" spans="1:26">
      <c r="A37" s="16" t="s">
        <v>108</v>
      </c>
      <c r="B37" s="51">
        <f>$B$36*B34</f>
        <v>0</v>
      </c>
      <c r="C37" s="51">
        <f t="shared" ref="C37:V37" si="16">$B$36*C34</f>
        <v>7533.8757557808767</v>
      </c>
      <c r="D37" s="51">
        <f t="shared" si="16"/>
        <v>7533.8757557808767</v>
      </c>
      <c r="E37" s="51">
        <f t="shared" si="16"/>
        <v>7533.8757557808767</v>
      </c>
      <c r="F37" s="51">
        <f t="shared" si="16"/>
        <v>7533.8757557808767</v>
      </c>
      <c r="G37" s="51">
        <f t="shared" si="16"/>
        <v>7533.8757557808767</v>
      </c>
      <c r="H37" s="51">
        <f t="shared" si="16"/>
        <v>7533.8757557808767</v>
      </c>
      <c r="I37" s="51">
        <f t="shared" si="16"/>
        <v>7533.8757557808767</v>
      </c>
      <c r="J37" s="51">
        <f t="shared" si="16"/>
        <v>7533.8757557808767</v>
      </c>
      <c r="K37" s="51">
        <f t="shared" si="16"/>
        <v>7533.8757557808767</v>
      </c>
      <c r="L37" s="51">
        <f t="shared" si="16"/>
        <v>7533.8757557808767</v>
      </c>
      <c r="M37" s="51">
        <f t="shared" si="16"/>
        <v>7533.8757557808767</v>
      </c>
      <c r="N37" s="51">
        <f t="shared" si="16"/>
        <v>7533.8757557808767</v>
      </c>
      <c r="O37" s="51">
        <f t="shared" si="16"/>
        <v>7533.8757557808767</v>
      </c>
      <c r="P37" s="51">
        <f t="shared" si="16"/>
        <v>7533.8757557808767</v>
      </c>
      <c r="Q37" s="51">
        <f t="shared" si="16"/>
        <v>7533.8757557808767</v>
      </c>
      <c r="R37" s="51">
        <f t="shared" si="16"/>
        <v>7533.8757557808767</v>
      </c>
      <c r="S37" s="51">
        <f t="shared" si="16"/>
        <v>7533.8757557808767</v>
      </c>
      <c r="T37" s="51">
        <f t="shared" si="16"/>
        <v>7533.8757557808767</v>
      </c>
      <c r="U37" s="51">
        <f t="shared" si="16"/>
        <v>7533.8757557808767</v>
      </c>
      <c r="V37" s="51">
        <f t="shared" si="16"/>
        <v>7533.8757557808767</v>
      </c>
    </row>
    <row r="38" spans="1:26">
      <c r="A38" s="16" t="s">
        <v>109</v>
      </c>
      <c r="B38" s="19">
        <f>B36-B37</f>
        <v>251129.19185936253</v>
      </c>
      <c r="C38" s="19">
        <f>C36-C37</f>
        <v>243595.31610358166</v>
      </c>
      <c r="D38" s="19">
        <f>D36-D37</f>
        <v>236061.44034780079</v>
      </c>
      <c r="E38" s="19">
        <f t="shared" ref="E38:V38" si="17">E36-E37</f>
        <v>228527.56459201992</v>
      </c>
      <c r="F38" s="19">
        <f t="shared" si="17"/>
        <v>220993.68883623905</v>
      </c>
      <c r="G38" s="19">
        <f t="shared" si="17"/>
        <v>213459.81308045817</v>
      </c>
      <c r="H38" s="19">
        <f t="shared" si="17"/>
        <v>205925.9373246773</v>
      </c>
      <c r="I38" s="19">
        <f t="shared" si="17"/>
        <v>198392.06156889643</v>
      </c>
      <c r="J38" s="19">
        <f t="shared" si="17"/>
        <v>190858.18581311556</v>
      </c>
      <c r="K38" s="19">
        <f t="shared" si="17"/>
        <v>183324.31005733469</v>
      </c>
      <c r="L38" s="19">
        <f t="shared" si="17"/>
        <v>175790.43430155382</v>
      </c>
      <c r="M38" s="19">
        <f t="shared" si="17"/>
        <v>168256.55854577295</v>
      </c>
      <c r="N38" s="19">
        <f t="shared" si="17"/>
        <v>160722.68278999208</v>
      </c>
      <c r="O38" s="19">
        <f t="shared" si="17"/>
        <v>153188.8070342112</v>
      </c>
      <c r="P38" s="19">
        <f t="shared" si="17"/>
        <v>145654.93127843033</v>
      </c>
      <c r="Q38" s="19">
        <f t="shared" si="17"/>
        <v>138121.05552264946</v>
      </c>
      <c r="R38" s="19">
        <f t="shared" si="17"/>
        <v>130587.17976686859</v>
      </c>
      <c r="S38" s="19">
        <f t="shared" si="17"/>
        <v>123053.30401108772</v>
      </c>
      <c r="T38" s="19">
        <f t="shared" si="17"/>
        <v>115519.42825530685</v>
      </c>
      <c r="U38" s="19">
        <f t="shared" si="17"/>
        <v>107985.55249952598</v>
      </c>
      <c r="V38" s="19">
        <f t="shared" si="17"/>
        <v>100451.67674374511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105</v>
      </c>
      <c r="B41" s="294">
        <v>0</v>
      </c>
      <c r="C41" s="294">
        <v>12</v>
      </c>
      <c r="D41" s="294">
        <v>12</v>
      </c>
      <c r="E41" s="294">
        <v>12</v>
      </c>
      <c r="F41" s="294">
        <v>12</v>
      </c>
      <c r="G41" s="294">
        <v>12</v>
      </c>
      <c r="H41" s="294">
        <v>12</v>
      </c>
      <c r="I41" s="294">
        <v>12</v>
      </c>
      <c r="J41" s="294">
        <v>12</v>
      </c>
      <c r="K41" s="294">
        <v>12</v>
      </c>
      <c r="L41" s="294">
        <v>12</v>
      </c>
      <c r="M41" s="294">
        <v>12</v>
      </c>
      <c r="N41" s="294">
        <v>12</v>
      </c>
      <c r="O41" s="294">
        <v>12</v>
      </c>
      <c r="P41" s="294">
        <v>12</v>
      </c>
      <c r="Q41" s="294">
        <v>12</v>
      </c>
      <c r="R41" s="294">
        <v>12</v>
      </c>
      <c r="S41" s="294">
        <v>12</v>
      </c>
      <c r="T41" s="294">
        <v>12</v>
      </c>
      <c r="U41" s="294">
        <v>12</v>
      </c>
      <c r="V41" s="294">
        <v>12</v>
      </c>
    </row>
    <row r="42" spans="1:26">
      <c r="A42" s="16" t="s">
        <v>106</v>
      </c>
      <c r="B42" s="295">
        <v>0</v>
      </c>
      <c r="C42" s="295">
        <f>90%/30</f>
        <v>3.0000000000000002E-2</v>
      </c>
      <c r="D42" s="295">
        <f>90%/30</f>
        <v>3.0000000000000002E-2</v>
      </c>
      <c r="E42" s="295">
        <f t="shared" ref="E42:V42" si="18">90%/30</f>
        <v>3.0000000000000002E-2</v>
      </c>
      <c r="F42" s="295">
        <f t="shared" si="18"/>
        <v>3.0000000000000002E-2</v>
      </c>
      <c r="G42" s="295">
        <f t="shared" si="18"/>
        <v>3.0000000000000002E-2</v>
      </c>
      <c r="H42" s="295">
        <f t="shared" si="18"/>
        <v>3.0000000000000002E-2</v>
      </c>
      <c r="I42" s="295">
        <f t="shared" si="18"/>
        <v>3.0000000000000002E-2</v>
      </c>
      <c r="J42" s="295">
        <f t="shared" si="18"/>
        <v>3.0000000000000002E-2</v>
      </c>
      <c r="K42" s="295">
        <f t="shared" si="18"/>
        <v>3.0000000000000002E-2</v>
      </c>
      <c r="L42" s="295">
        <f t="shared" si="18"/>
        <v>3.0000000000000002E-2</v>
      </c>
      <c r="M42" s="295">
        <f t="shared" si="18"/>
        <v>3.0000000000000002E-2</v>
      </c>
      <c r="N42" s="295">
        <f t="shared" si="18"/>
        <v>3.0000000000000002E-2</v>
      </c>
      <c r="O42" s="295">
        <f t="shared" si="18"/>
        <v>3.0000000000000002E-2</v>
      </c>
      <c r="P42" s="295">
        <f t="shared" si="18"/>
        <v>3.0000000000000002E-2</v>
      </c>
      <c r="Q42" s="295">
        <f t="shared" si="18"/>
        <v>3.0000000000000002E-2</v>
      </c>
      <c r="R42" s="295">
        <f t="shared" si="18"/>
        <v>3.0000000000000002E-2</v>
      </c>
      <c r="S42" s="295">
        <f t="shared" si="18"/>
        <v>3.0000000000000002E-2</v>
      </c>
      <c r="T42" s="295">
        <f t="shared" si="18"/>
        <v>3.0000000000000002E-2</v>
      </c>
      <c r="U42" s="295">
        <f t="shared" si="18"/>
        <v>3.0000000000000002E-2</v>
      </c>
      <c r="V42" s="295">
        <f t="shared" si="18"/>
        <v>3.0000000000000002E-2</v>
      </c>
    </row>
    <row r="43" spans="1:26">
      <c r="B43" s="16"/>
      <c r="C43" s="16"/>
      <c r="D43" s="16"/>
      <c r="Y43" s="277" t="s">
        <v>82</v>
      </c>
      <c r="Z43" s="195"/>
    </row>
    <row r="44" spans="1:26">
      <c r="A44" s="16" t="s">
        <v>107</v>
      </c>
      <c r="B44" s="120">
        <f>SUM('Summary Output'!$G$8,'Summary Output'!$G$9)*Allocation!$C$13+'Amortization of Power Contract'!$C$35</f>
        <v>233722.92437076388</v>
      </c>
      <c r="C44" s="19">
        <f>B46</f>
        <v>233722.92437076388</v>
      </c>
      <c r="D44" s="19">
        <f>C46</f>
        <v>226711.23663964096</v>
      </c>
      <c r="E44" s="19">
        <f t="shared" ref="E44:V44" si="19">D46</f>
        <v>219699.54890851805</v>
      </c>
      <c r="F44" s="19">
        <f t="shared" si="19"/>
        <v>212687.86117739513</v>
      </c>
      <c r="G44" s="19">
        <f t="shared" si="19"/>
        <v>205676.17344627221</v>
      </c>
      <c r="H44" s="19">
        <f t="shared" si="19"/>
        <v>198664.48571514929</v>
      </c>
      <c r="I44" s="19">
        <f t="shared" si="19"/>
        <v>191652.79798402637</v>
      </c>
      <c r="J44" s="19">
        <f t="shared" si="19"/>
        <v>184641.11025290345</v>
      </c>
      <c r="K44" s="19">
        <f t="shared" si="19"/>
        <v>177629.42252178054</v>
      </c>
      <c r="L44" s="19">
        <f t="shared" si="19"/>
        <v>170617.73479065762</v>
      </c>
      <c r="M44" s="19">
        <f t="shared" si="19"/>
        <v>163606.0470595347</v>
      </c>
      <c r="N44" s="19">
        <f t="shared" si="19"/>
        <v>156594.35932841178</v>
      </c>
      <c r="O44" s="19">
        <f t="shared" si="19"/>
        <v>149582.67159728886</v>
      </c>
      <c r="P44" s="19">
        <f t="shared" si="19"/>
        <v>142570.98386616595</v>
      </c>
      <c r="Q44" s="19">
        <f t="shared" si="19"/>
        <v>135559.29613504303</v>
      </c>
      <c r="R44" s="19">
        <f t="shared" si="19"/>
        <v>128547.60840392011</v>
      </c>
      <c r="S44" s="19">
        <f t="shared" si="19"/>
        <v>121535.92067279719</v>
      </c>
      <c r="T44" s="19">
        <f t="shared" si="19"/>
        <v>114524.23294167427</v>
      </c>
      <c r="U44" s="19">
        <f t="shared" si="19"/>
        <v>107512.54521055135</v>
      </c>
      <c r="V44" s="19">
        <f t="shared" si="19"/>
        <v>100500.85747942844</v>
      </c>
      <c r="Y44" s="303"/>
      <c r="Z44" s="196"/>
    </row>
    <row r="45" spans="1:26">
      <c r="A45" s="16" t="s">
        <v>108</v>
      </c>
      <c r="B45" s="51">
        <f t="shared" ref="B45:V45" si="20">$B$44*B42</f>
        <v>0</v>
      </c>
      <c r="C45" s="51">
        <f t="shared" si="20"/>
        <v>7011.6877311229173</v>
      </c>
      <c r="D45" s="51">
        <f t="shared" si="20"/>
        <v>7011.6877311229173</v>
      </c>
      <c r="E45" s="51">
        <f t="shared" si="20"/>
        <v>7011.6877311229173</v>
      </c>
      <c r="F45" s="51">
        <f t="shared" si="20"/>
        <v>7011.6877311229173</v>
      </c>
      <c r="G45" s="51">
        <f t="shared" si="20"/>
        <v>7011.6877311229173</v>
      </c>
      <c r="H45" s="51">
        <f t="shared" si="20"/>
        <v>7011.6877311229173</v>
      </c>
      <c r="I45" s="51">
        <f t="shared" si="20"/>
        <v>7011.6877311229173</v>
      </c>
      <c r="J45" s="51">
        <f t="shared" si="20"/>
        <v>7011.6877311229173</v>
      </c>
      <c r="K45" s="51">
        <f t="shared" si="20"/>
        <v>7011.6877311229173</v>
      </c>
      <c r="L45" s="51">
        <f t="shared" si="20"/>
        <v>7011.6877311229173</v>
      </c>
      <c r="M45" s="51">
        <f t="shared" si="20"/>
        <v>7011.6877311229173</v>
      </c>
      <c r="N45" s="51">
        <f t="shared" si="20"/>
        <v>7011.6877311229173</v>
      </c>
      <c r="O45" s="51">
        <f t="shared" si="20"/>
        <v>7011.6877311229173</v>
      </c>
      <c r="P45" s="51">
        <f t="shared" si="20"/>
        <v>7011.6877311229173</v>
      </c>
      <c r="Q45" s="51">
        <f t="shared" si="20"/>
        <v>7011.6877311229173</v>
      </c>
      <c r="R45" s="51">
        <f t="shared" si="20"/>
        <v>7011.6877311229173</v>
      </c>
      <c r="S45" s="51">
        <f t="shared" si="20"/>
        <v>7011.6877311229173</v>
      </c>
      <c r="T45" s="51">
        <f t="shared" si="20"/>
        <v>7011.6877311229173</v>
      </c>
      <c r="U45" s="51">
        <f t="shared" si="20"/>
        <v>7011.6877311229173</v>
      </c>
      <c r="V45" s="51">
        <f t="shared" si="20"/>
        <v>7011.6877311229173</v>
      </c>
      <c r="Y45" s="278">
        <v>0</v>
      </c>
      <c r="Z45" s="279">
        <v>0</v>
      </c>
    </row>
    <row r="46" spans="1:26">
      <c r="A46" s="16" t="s">
        <v>109</v>
      </c>
      <c r="B46" s="19">
        <f>B44-B45</f>
        <v>233722.92437076388</v>
      </c>
      <c r="C46" s="19">
        <f t="shared" ref="C46:V46" si="21">C44-C45</f>
        <v>226711.23663964096</v>
      </c>
      <c r="D46" s="19">
        <f t="shared" si="21"/>
        <v>219699.54890851805</v>
      </c>
      <c r="E46" s="19">
        <f t="shared" si="21"/>
        <v>212687.86117739513</v>
      </c>
      <c r="F46" s="19">
        <f t="shared" si="21"/>
        <v>205676.17344627221</v>
      </c>
      <c r="G46" s="19">
        <f t="shared" si="21"/>
        <v>198664.48571514929</v>
      </c>
      <c r="H46" s="19">
        <f t="shared" si="21"/>
        <v>191652.79798402637</v>
      </c>
      <c r="I46" s="19">
        <f t="shared" si="21"/>
        <v>184641.11025290345</v>
      </c>
      <c r="J46" s="19">
        <f t="shared" si="21"/>
        <v>177629.42252178054</v>
      </c>
      <c r="K46" s="19">
        <f t="shared" si="21"/>
        <v>170617.73479065762</v>
      </c>
      <c r="L46" s="19">
        <f t="shared" si="21"/>
        <v>163606.0470595347</v>
      </c>
      <c r="M46" s="19">
        <f t="shared" si="21"/>
        <v>156594.35932841178</v>
      </c>
      <c r="N46" s="19">
        <f t="shared" si="21"/>
        <v>149582.67159728886</v>
      </c>
      <c r="O46" s="19">
        <f t="shared" si="21"/>
        <v>142570.98386616595</v>
      </c>
      <c r="P46" s="19">
        <f t="shared" si="21"/>
        <v>135559.29613504303</v>
      </c>
      <c r="Q46" s="19">
        <f t="shared" si="21"/>
        <v>128547.60840392011</v>
      </c>
      <c r="R46" s="19">
        <f t="shared" si="21"/>
        <v>121535.92067279719</v>
      </c>
      <c r="S46" s="19">
        <f t="shared" si="21"/>
        <v>114524.23294167427</v>
      </c>
      <c r="T46" s="19">
        <f t="shared" si="21"/>
        <v>107512.54521055135</v>
      </c>
      <c r="U46" s="19">
        <f t="shared" si="21"/>
        <v>100500.85747942844</v>
      </c>
      <c r="V46" s="19">
        <f t="shared" si="21"/>
        <v>93489.169748305518</v>
      </c>
      <c r="Y46" s="278">
        <v>1</v>
      </c>
      <c r="Z46" s="279">
        <v>0.05</v>
      </c>
    </row>
    <row r="47" spans="1:26">
      <c r="B47" s="16"/>
      <c r="C47" s="16"/>
      <c r="D47" s="16"/>
      <c r="Y47" s="278">
        <v>2</v>
      </c>
      <c r="Z47" s="279">
        <v>9.5000000000000001E-2</v>
      </c>
    </row>
    <row r="48" spans="1:26">
      <c r="A48" s="39" t="s">
        <v>13</v>
      </c>
      <c r="B48" s="16"/>
      <c r="C48" s="16"/>
      <c r="D48" s="16"/>
      <c r="Y48" s="278">
        <v>3</v>
      </c>
      <c r="Z48" s="279">
        <v>8.5500000000000007E-2</v>
      </c>
    </row>
    <row r="49" spans="1:26">
      <c r="A49" s="21" t="s">
        <v>105</v>
      </c>
      <c r="B49" s="294">
        <v>0</v>
      </c>
      <c r="C49" s="294">
        <v>12</v>
      </c>
      <c r="D49" s="294">
        <v>12</v>
      </c>
      <c r="E49" s="294">
        <v>12</v>
      </c>
      <c r="F49" s="294">
        <v>12</v>
      </c>
      <c r="G49" s="294">
        <v>12</v>
      </c>
      <c r="H49" s="294">
        <v>12</v>
      </c>
      <c r="I49" s="294">
        <v>12</v>
      </c>
      <c r="J49" s="294">
        <v>12</v>
      </c>
      <c r="K49" s="294">
        <v>12</v>
      </c>
      <c r="L49" s="294">
        <v>12</v>
      </c>
      <c r="M49" s="294">
        <v>12</v>
      </c>
      <c r="N49" s="294">
        <v>12</v>
      </c>
      <c r="O49" s="294">
        <v>12</v>
      </c>
      <c r="P49" s="294">
        <v>12</v>
      </c>
      <c r="Q49" s="294">
        <v>12</v>
      </c>
      <c r="R49" s="294">
        <v>12</v>
      </c>
      <c r="S49" s="294">
        <v>12</v>
      </c>
      <c r="T49" s="294">
        <v>12</v>
      </c>
      <c r="U49" s="294">
        <v>12</v>
      </c>
      <c r="V49" s="294">
        <v>12</v>
      </c>
      <c r="Y49" s="278">
        <v>4</v>
      </c>
      <c r="Z49" s="279">
        <v>7.6999999999999999E-2</v>
      </c>
    </row>
    <row r="50" spans="1:26">
      <c r="A50" s="16" t="s">
        <v>106</v>
      </c>
      <c r="B50" s="295">
        <v>0</v>
      </c>
      <c r="C50" s="295">
        <f>90%/30</f>
        <v>3.0000000000000002E-2</v>
      </c>
      <c r="D50" s="295">
        <f>90%/30</f>
        <v>3.0000000000000002E-2</v>
      </c>
      <c r="E50" s="295">
        <f t="shared" ref="E50:V50" si="22">90%/30</f>
        <v>3.0000000000000002E-2</v>
      </c>
      <c r="F50" s="295">
        <f t="shared" si="22"/>
        <v>3.0000000000000002E-2</v>
      </c>
      <c r="G50" s="295">
        <f t="shared" si="22"/>
        <v>3.0000000000000002E-2</v>
      </c>
      <c r="H50" s="295">
        <f t="shared" si="22"/>
        <v>3.0000000000000002E-2</v>
      </c>
      <c r="I50" s="295">
        <f t="shared" si="22"/>
        <v>3.0000000000000002E-2</v>
      </c>
      <c r="J50" s="295">
        <f t="shared" si="22"/>
        <v>3.0000000000000002E-2</v>
      </c>
      <c r="K50" s="295">
        <f t="shared" si="22"/>
        <v>3.0000000000000002E-2</v>
      </c>
      <c r="L50" s="295">
        <f t="shared" si="22"/>
        <v>3.0000000000000002E-2</v>
      </c>
      <c r="M50" s="295">
        <f t="shared" si="22"/>
        <v>3.0000000000000002E-2</v>
      </c>
      <c r="N50" s="295">
        <f t="shared" si="22"/>
        <v>3.0000000000000002E-2</v>
      </c>
      <c r="O50" s="295">
        <f t="shared" si="22"/>
        <v>3.0000000000000002E-2</v>
      </c>
      <c r="P50" s="295">
        <f t="shared" si="22"/>
        <v>3.0000000000000002E-2</v>
      </c>
      <c r="Q50" s="295">
        <f t="shared" si="22"/>
        <v>3.0000000000000002E-2</v>
      </c>
      <c r="R50" s="295">
        <f t="shared" si="22"/>
        <v>3.0000000000000002E-2</v>
      </c>
      <c r="S50" s="295">
        <f t="shared" si="22"/>
        <v>3.0000000000000002E-2</v>
      </c>
      <c r="T50" s="295">
        <f t="shared" si="22"/>
        <v>3.0000000000000002E-2</v>
      </c>
      <c r="U50" s="295">
        <f t="shared" si="22"/>
        <v>3.0000000000000002E-2</v>
      </c>
      <c r="V50" s="295">
        <f t="shared" si="22"/>
        <v>3.0000000000000002E-2</v>
      </c>
      <c r="Y50" s="278">
        <v>5</v>
      </c>
      <c r="Z50" s="279">
        <v>6.93E-2</v>
      </c>
    </row>
    <row r="51" spans="1:26">
      <c r="B51" s="16"/>
      <c r="C51" s="16"/>
      <c r="D51" s="16"/>
      <c r="Y51" s="278">
        <v>6</v>
      </c>
      <c r="Z51" s="279">
        <v>6.2300000000000001E-2</v>
      </c>
    </row>
    <row r="52" spans="1:26">
      <c r="A52" s="16" t="s">
        <v>107</v>
      </c>
      <c r="B52" s="120">
        <f>SUM('Summary Output'!$G$8,'Summary Output'!$G$9)*Allocation!$C$14+'Amortization of Power Contract'!$C$41</f>
        <v>367305.27066890523</v>
      </c>
      <c r="C52" s="19">
        <f>B54</f>
        <v>367305.27066890523</v>
      </c>
      <c r="D52" s="19">
        <f>C54</f>
        <v>356286.11254883808</v>
      </c>
      <c r="E52" s="19">
        <f t="shared" ref="E52:V52" si="23">D54</f>
        <v>345266.95442877093</v>
      </c>
      <c r="F52" s="19">
        <f t="shared" si="23"/>
        <v>334247.79630870378</v>
      </c>
      <c r="G52" s="19">
        <f t="shared" si="23"/>
        <v>323228.63818863663</v>
      </c>
      <c r="H52" s="19">
        <f t="shared" si="23"/>
        <v>312209.48006856948</v>
      </c>
      <c r="I52" s="19">
        <f t="shared" si="23"/>
        <v>301190.32194850233</v>
      </c>
      <c r="J52" s="19">
        <f t="shared" si="23"/>
        <v>290171.16382843518</v>
      </c>
      <c r="K52" s="19">
        <f t="shared" si="23"/>
        <v>279152.00570836803</v>
      </c>
      <c r="L52" s="19">
        <f t="shared" si="23"/>
        <v>268132.84758830088</v>
      </c>
      <c r="M52" s="19">
        <f t="shared" si="23"/>
        <v>257113.68946823373</v>
      </c>
      <c r="N52" s="19">
        <f t="shared" si="23"/>
        <v>246094.53134816658</v>
      </c>
      <c r="O52" s="19">
        <f t="shared" si="23"/>
        <v>235075.37322809943</v>
      </c>
      <c r="P52" s="19">
        <f t="shared" si="23"/>
        <v>224056.21510803228</v>
      </c>
      <c r="Q52" s="19">
        <f t="shared" si="23"/>
        <v>213037.05698796513</v>
      </c>
      <c r="R52" s="19">
        <f t="shared" si="23"/>
        <v>202017.89886789798</v>
      </c>
      <c r="S52" s="19">
        <f t="shared" si="23"/>
        <v>190998.74074783083</v>
      </c>
      <c r="T52" s="19">
        <f t="shared" si="23"/>
        <v>179979.58262776368</v>
      </c>
      <c r="U52" s="19">
        <f t="shared" si="23"/>
        <v>168960.42450769653</v>
      </c>
      <c r="V52" s="19">
        <f t="shared" si="23"/>
        <v>157941.26638762938</v>
      </c>
      <c r="Y52" s="278">
        <v>7</v>
      </c>
      <c r="Z52" s="279">
        <v>5.8999999999999997E-2</v>
      </c>
    </row>
    <row r="53" spans="1:26">
      <c r="A53" s="16" t="s">
        <v>108</v>
      </c>
      <c r="B53" s="51">
        <f t="shared" ref="B53:V53" si="24">$B$52*B50</f>
        <v>0</v>
      </c>
      <c r="C53" s="51">
        <f t="shared" si="24"/>
        <v>11019.158120067157</v>
      </c>
      <c r="D53" s="51">
        <f t="shared" si="24"/>
        <v>11019.158120067157</v>
      </c>
      <c r="E53" s="51">
        <f t="shared" si="24"/>
        <v>11019.158120067157</v>
      </c>
      <c r="F53" s="51">
        <f t="shared" si="24"/>
        <v>11019.158120067157</v>
      </c>
      <c r="G53" s="51">
        <f t="shared" si="24"/>
        <v>11019.158120067157</v>
      </c>
      <c r="H53" s="51">
        <f t="shared" si="24"/>
        <v>11019.158120067157</v>
      </c>
      <c r="I53" s="51">
        <f t="shared" si="24"/>
        <v>11019.158120067157</v>
      </c>
      <c r="J53" s="51">
        <f t="shared" si="24"/>
        <v>11019.158120067157</v>
      </c>
      <c r="K53" s="51">
        <f t="shared" si="24"/>
        <v>11019.158120067157</v>
      </c>
      <c r="L53" s="51">
        <f t="shared" si="24"/>
        <v>11019.158120067157</v>
      </c>
      <c r="M53" s="51">
        <f t="shared" si="24"/>
        <v>11019.158120067157</v>
      </c>
      <c r="N53" s="51">
        <f t="shared" si="24"/>
        <v>11019.158120067157</v>
      </c>
      <c r="O53" s="51">
        <f t="shared" si="24"/>
        <v>11019.158120067157</v>
      </c>
      <c r="P53" s="51">
        <f t="shared" si="24"/>
        <v>11019.158120067157</v>
      </c>
      <c r="Q53" s="51">
        <f t="shared" si="24"/>
        <v>11019.158120067157</v>
      </c>
      <c r="R53" s="51">
        <f t="shared" si="24"/>
        <v>11019.158120067157</v>
      </c>
      <c r="S53" s="51">
        <f t="shared" si="24"/>
        <v>11019.158120067157</v>
      </c>
      <c r="T53" s="51">
        <f t="shared" si="24"/>
        <v>11019.158120067157</v>
      </c>
      <c r="U53" s="51">
        <f t="shared" si="24"/>
        <v>11019.158120067157</v>
      </c>
      <c r="V53" s="51">
        <f t="shared" si="24"/>
        <v>11019.158120067157</v>
      </c>
      <c r="Y53" s="278">
        <v>8</v>
      </c>
      <c r="Z53" s="279">
        <v>5.91E-2</v>
      </c>
    </row>
    <row r="54" spans="1:26">
      <c r="A54" s="16" t="s">
        <v>109</v>
      </c>
      <c r="B54" s="19">
        <f>B52-B53</f>
        <v>367305.27066890523</v>
      </c>
      <c r="C54" s="19">
        <f t="shared" ref="C54:V54" si="25">C52-C53</f>
        <v>356286.11254883808</v>
      </c>
      <c r="D54" s="19">
        <f t="shared" si="25"/>
        <v>345266.95442877093</v>
      </c>
      <c r="E54" s="19">
        <f t="shared" si="25"/>
        <v>334247.79630870378</v>
      </c>
      <c r="F54" s="19">
        <f t="shared" si="25"/>
        <v>323228.63818863663</v>
      </c>
      <c r="G54" s="19">
        <f t="shared" si="25"/>
        <v>312209.48006856948</v>
      </c>
      <c r="H54" s="19">
        <f t="shared" si="25"/>
        <v>301190.32194850233</v>
      </c>
      <c r="I54" s="19">
        <f t="shared" si="25"/>
        <v>290171.16382843518</v>
      </c>
      <c r="J54" s="19">
        <f t="shared" si="25"/>
        <v>279152.00570836803</v>
      </c>
      <c r="K54" s="19">
        <f t="shared" si="25"/>
        <v>268132.84758830088</v>
      </c>
      <c r="L54" s="19">
        <f t="shared" si="25"/>
        <v>257113.68946823373</v>
      </c>
      <c r="M54" s="19">
        <f t="shared" si="25"/>
        <v>246094.53134816658</v>
      </c>
      <c r="N54" s="19">
        <f t="shared" si="25"/>
        <v>235075.37322809943</v>
      </c>
      <c r="O54" s="19">
        <f t="shared" si="25"/>
        <v>224056.21510803228</v>
      </c>
      <c r="P54" s="19">
        <f t="shared" si="25"/>
        <v>213037.05698796513</v>
      </c>
      <c r="Q54" s="19">
        <f t="shared" si="25"/>
        <v>202017.89886789798</v>
      </c>
      <c r="R54" s="19">
        <f t="shared" si="25"/>
        <v>190998.74074783083</v>
      </c>
      <c r="S54" s="19">
        <f t="shared" si="25"/>
        <v>179979.58262776368</v>
      </c>
      <c r="T54" s="19">
        <f t="shared" si="25"/>
        <v>168960.42450769653</v>
      </c>
      <c r="U54" s="19">
        <f t="shared" si="25"/>
        <v>157941.26638762938</v>
      </c>
      <c r="V54" s="19">
        <f t="shared" si="25"/>
        <v>146922.10826756223</v>
      </c>
      <c r="Y54" s="278">
        <v>9</v>
      </c>
      <c r="Z54" s="279">
        <v>5.8999999999999997E-2</v>
      </c>
    </row>
    <row r="55" spans="1:26">
      <c r="B55" s="16"/>
      <c r="C55" s="16"/>
      <c r="D55" s="16"/>
      <c r="Y55" s="278">
        <v>10</v>
      </c>
      <c r="Z55" s="279">
        <v>5.91E-2</v>
      </c>
    </row>
    <row r="56" spans="1:26">
      <c r="A56" s="39" t="s">
        <v>110</v>
      </c>
      <c r="B56" s="16"/>
      <c r="C56" s="16"/>
      <c r="D56" s="16"/>
      <c r="Y56" s="278">
        <v>11</v>
      </c>
      <c r="Z56" s="279">
        <v>5.8999999999999997E-2</v>
      </c>
    </row>
    <row r="57" spans="1:26">
      <c r="A57" s="16" t="s">
        <v>107</v>
      </c>
      <c r="B57" s="226">
        <f>SUM(B20,B28,B44,B52,B36,B12)</f>
        <v>1474168.8066622026</v>
      </c>
      <c r="C57" s="226">
        <f>B59</f>
        <v>1474168.8066622026</v>
      </c>
      <c r="D57" s="226">
        <f t="shared" ref="D57:V57" si="26">C59</f>
        <v>1429943.7424623366</v>
      </c>
      <c r="E57" s="226">
        <f t="shared" si="26"/>
        <v>1385718.6782624705</v>
      </c>
      <c r="F57" s="226">
        <f t="shared" si="26"/>
        <v>1341493.6140626045</v>
      </c>
      <c r="G57" s="226">
        <f t="shared" si="26"/>
        <v>1297268.5498627385</v>
      </c>
      <c r="H57" s="226">
        <f t="shared" si="26"/>
        <v>1253043.4856628724</v>
      </c>
      <c r="I57" s="226">
        <f t="shared" si="26"/>
        <v>1208818.4214630064</v>
      </c>
      <c r="J57" s="226">
        <f t="shared" si="26"/>
        <v>1164593.3572631404</v>
      </c>
      <c r="K57" s="226">
        <f t="shared" si="26"/>
        <v>1120368.2930632744</v>
      </c>
      <c r="L57" s="226">
        <f t="shared" si="26"/>
        <v>1076143.2288634083</v>
      </c>
      <c r="M57" s="226">
        <f t="shared" si="26"/>
        <v>1031918.1646635423</v>
      </c>
      <c r="N57" s="226">
        <f t="shared" si="26"/>
        <v>987693.10046367627</v>
      </c>
      <c r="O57" s="226">
        <f t="shared" si="26"/>
        <v>943468.03626381024</v>
      </c>
      <c r="P57" s="226">
        <f t="shared" si="26"/>
        <v>899242.97206394421</v>
      </c>
      <c r="Q57" s="226">
        <f t="shared" si="26"/>
        <v>855017.90786407818</v>
      </c>
      <c r="R57" s="226">
        <f t="shared" si="26"/>
        <v>810792.84366421215</v>
      </c>
      <c r="S57" s="226">
        <f t="shared" si="26"/>
        <v>766567.77946434612</v>
      </c>
      <c r="T57" s="226">
        <f t="shared" si="26"/>
        <v>722342.7152644801</v>
      </c>
      <c r="U57" s="226">
        <f t="shared" si="26"/>
        <v>678117.65106461407</v>
      </c>
      <c r="V57" s="226">
        <f t="shared" si="26"/>
        <v>633892.58686474804</v>
      </c>
      <c r="Y57" s="278">
        <v>12</v>
      </c>
      <c r="Z57" s="279">
        <v>5.91E-2</v>
      </c>
    </row>
    <row r="58" spans="1:26">
      <c r="A58" s="16" t="s">
        <v>108</v>
      </c>
      <c r="B58" s="326">
        <f>SUM(B21,B29,B45,B53,B37,B13)</f>
        <v>0</v>
      </c>
      <c r="C58" s="326">
        <f t="shared" ref="C58:V58" si="27">SUM(C21,C29,C45,C53,C37,C13)</f>
        <v>44225.064199866087</v>
      </c>
      <c r="D58" s="326">
        <f t="shared" si="27"/>
        <v>44225.064199866087</v>
      </c>
      <c r="E58" s="326">
        <f t="shared" si="27"/>
        <v>44225.064199866087</v>
      </c>
      <c r="F58" s="326">
        <f t="shared" si="27"/>
        <v>44225.064199866087</v>
      </c>
      <c r="G58" s="326">
        <f t="shared" si="27"/>
        <v>44225.064199866087</v>
      </c>
      <c r="H58" s="326">
        <f t="shared" si="27"/>
        <v>44225.064199866087</v>
      </c>
      <c r="I58" s="326">
        <f t="shared" si="27"/>
        <v>44225.064199866087</v>
      </c>
      <c r="J58" s="326">
        <f t="shared" si="27"/>
        <v>44225.064199866087</v>
      </c>
      <c r="K58" s="326">
        <f t="shared" si="27"/>
        <v>44225.064199866087</v>
      </c>
      <c r="L58" s="326">
        <f t="shared" si="27"/>
        <v>44225.064199866087</v>
      </c>
      <c r="M58" s="326">
        <f t="shared" si="27"/>
        <v>44225.064199866087</v>
      </c>
      <c r="N58" s="326">
        <f t="shared" si="27"/>
        <v>44225.064199866087</v>
      </c>
      <c r="O58" s="326">
        <f t="shared" si="27"/>
        <v>44225.064199866087</v>
      </c>
      <c r="P58" s="326">
        <f t="shared" si="27"/>
        <v>44225.064199866087</v>
      </c>
      <c r="Q58" s="326">
        <f t="shared" si="27"/>
        <v>44225.064199866087</v>
      </c>
      <c r="R58" s="326">
        <f t="shared" si="27"/>
        <v>44225.064199866087</v>
      </c>
      <c r="S58" s="326">
        <f t="shared" si="27"/>
        <v>44225.064199866087</v>
      </c>
      <c r="T58" s="326">
        <f t="shared" si="27"/>
        <v>44225.064199866087</v>
      </c>
      <c r="U58" s="326">
        <f t="shared" si="27"/>
        <v>44225.064199866087</v>
      </c>
      <c r="V58" s="326">
        <f t="shared" si="27"/>
        <v>44225.064199866087</v>
      </c>
      <c r="Y58" s="278">
        <v>13</v>
      </c>
      <c r="Z58" s="279">
        <v>5.8999999999999997E-2</v>
      </c>
    </row>
    <row r="59" spans="1:26">
      <c r="A59" s="16" t="s">
        <v>109</v>
      </c>
      <c r="B59" s="226">
        <f>B57-B58</f>
        <v>1474168.8066622026</v>
      </c>
      <c r="C59" s="226">
        <f t="shared" ref="C59:V59" si="28">C57-C58</f>
        <v>1429943.7424623366</v>
      </c>
      <c r="D59" s="226">
        <f t="shared" si="28"/>
        <v>1385718.6782624705</v>
      </c>
      <c r="E59" s="226">
        <f t="shared" si="28"/>
        <v>1341493.6140626045</v>
      </c>
      <c r="F59" s="226">
        <f t="shared" si="28"/>
        <v>1297268.5498627385</v>
      </c>
      <c r="G59" s="226">
        <f t="shared" si="28"/>
        <v>1253043.4856628724</v>
      </c>
      <c r="H59" s="226">
        <f t="shared" si="28"/>
        <v>1208818.4214630064</v>
      </c>
      <c r="I59" s="226">
        <f t="shared" si="28"/>
        <v>1164593.3572631404</v>
      </c>
      <c r="J59" s="226">
        <f t="shared" si="28"/>
        <v>1120368.2930632744</v>
      </c>
      <c r="K59" s="226">
        <f t="shared" si="28"/>
        <v>1076143.2288634083</v>
      </c>
      <c r="L59" s="226">
        <f t="shared" si="28"/>
        <v>1031918.1646635423</v>
      </c>
      <c r="M59" s="226">
        <f t="shared" si="28"/>
        <v>987693.10046367627</v>
      </c>
      <c r="N59" s="226">
        <f t="shared" si="28"/>
        <v>943468.03626381024</v>
      </c>
      <c r="O59" s="226">
        <f t="shared" si="28"/>
        <v>899242.97206394421</v>
      </c>
      <c r="P59" s="226">
        <f t="shared" si="28"/>
        <v>855017.90786407818</v>
      </c>
      <c r="Q59" s="226">
        <f t="shared" si="28"/>
        <v>810792.84366421215</v>
      </c>
      <c r="R59" s="226">
        <f t="shared" si="28"/>
        <v>766567.77946434612</v>
      </c>
      <c r="S59" s="226">
        <f t="shared" si="28"/>
        <v>722342.7152644801</v>
      </c>
      <c r="T59" s="226">
        <f t="shared" si="28"/>
        <v>678117.65106461407</v>
      </c>
      <c r="U59" s="226">
        <f t="shared" si="28"/>
        <v>633892.58686474804</v>
      </c>
      <c r="V59" s="226">
        <f t="shared" si="28"/>
        <v>589667.52266488201</v>
      </c>
      <c r="Y59" s="278">
        <v>14</v>
      </c>
      <c r="Z59" s="279">
        <v>5.91E-2</v>
      </c>
    </row>
    <row r="60" spans="1:26">
      <c r="B60" s="459"/>
      <c r="C60" s="16"/>
      <c r="D60" s="16"/>
      <c r="V60" s="531"/>
      <c r="Y60" s="278">
        <v>15</v>
      </c>
      <c r="Z60" s="279">
        <v>5.8999999999999997E-2</v>
      </c>
    </row>
    <row r="61" spans="1:26">
      <c r="B61" s="16"/>
      <c r="C61" s="16"/>
      <c r="D61" s="16"/>
      <c r="Y61" s="278">
        <v>16</v>
      </c>
      <c r="Z61" s="280">
        <v>2.9499999999999998E-2</v>
      </c>
    </row>
    <row r="62" spans="1:26">
      <c r="A62" s="300" t="s">
        <v>115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81"/>
      <c r="Z62" s="282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117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36" t="s">
        <v>9</v>
      </c>
    </row>
    <row r="67" spans="1:22">
      <c r="A67" s="16" t="s">
        <v>119</v>
      </c>
      <c r="B67" s="123">
        <f>SUM('Summary Output'!$G$8:$G$9)*Allocation!$C$7</f>
        <v>164051.74328474054</v>
      </c>
      <c r="C67" s="123">
        <f t="shared" ref="C67:V67" si="29">B70</f>
        <v>164051.74328474054</v>
      </c>
      <c r="D67" s="123">
        <f t="shared" si="29"/>
        <v>155849.15612050353</v>
      </c>
      <c r="E67" s="123">
        <f t="shared" si="29"/>
        <v>140264.24050845316</v>
      </c>
      <c r="F67" s="123">
        <f t="shared" si="29"/>
        <v>126237.81645760784</v>
      </c>
      <c r="G67" s="123">
        <f t="shared" si="29"/>
        <v>113605.83222468282</v>
      </c>
      <c r="H67" s="123">
        <f t="shared" si="29"/>
        <v>102237.0464150503</v>
      </c>
      <c r="I67" s="123">
        <f t="shared" si="29"/>
        <v>92016.622808410961</v>
      </c>
      <c r="J67" s="123">
        <f t="shared" si="29"/>
        <v>82337.569954611274</v>
      </c>
      <c r="K67" s="123">
        <f t="shared" si="29"/>
        <v>72642.111926483107</v>
      </c>
      <c r="L67" s="123">
        <f t="shared" si="29"/>
        <v>62963.059072683413</v>
      </c>
      <c r="M67" s="123">
        <f t="shared" si="29"/>
        <v>53267.601044555246</v>
      </c>
      <c r="N67" s="123">
        <f t="shared" si="29"/>
        <v>43588.548190755551</v>
      </c>
      <c r="O67" s="123">
        <f t="shared" si="29"/>
        <v>33893.090162627384</v>
      </c>
      <c r="P67" s="123">
        <f t="shared" si="29"/>
        <v>24214.03730882769</v>
      </c>
      <c r="Q67" s="123">
        <f t="shared" si="29"/>
        <v>14518.579280699523</v>
      </c>
      <c r="R67" s="123">
        <f t="shared" si="29"/>
        <v>4839.5264268998308</v>
      </c>
      <c r="S67" s="123">
        <f t="shared" si="29"/>
        <v>-1.546140993013978E-11</v>
      </c>
      <c r="T67" s="123">
        <f t="shared" si="29"/>
        <v>-1.546140993013978E-11</v>
      </c>
      <c r="U67" s="123">
        <f t="shared" si="29"/>
        <v>-1.546140993013978E-11</v>
      </c>
      <c r="V67" s="123">
        <f t="shared" si="29"/>
        <v>-1.546140993013978E-11</v>
      </c>
    </row>
    <row r="68" spans="1:22">
      <c r="A68" s="16" t="s">
        <v>106</v>
      </c>
      <c r="B68" s="302">
        <f t="shared" ref="B68:R68" si="30">VLOOKUP(B5,$Y$45:$Z$61,2)</f>
        <v>0</v>
      </c>
      <c r="C68" s="302">
        <f t="shared" si="30"/>
        <v>0.05</v>
      </c>
      <c r="D68" s="302">
        <f t="shared" si="30"/>
        <v>9.5000000000000001E-2</v>
      </c>
      <c r="E68" s="302">
        <f t="shared" si="30"/>
        <v>8.5500000000000007E-2</v>
      </c>
      <c r="F68" s="302">
        <f t="shared" si="30"/>
        <v>7.6999999999999999E-2</v>
      </c>
      <c r="G68" s="302">
        <f t="shared" si="30"/>
        <v>6.93E-2</v>
      </c>
      <c r="H68" s="302">
        <f t="shared" si="30"/>
        <v>6.2300000000000001E-2</v>
      </c>
      <c r="I68" s="302">
        <f t="shared" si="30"/>
        <v>5.8999999999999997E-2</v>
      </c>
      <c r="J68" s="302">
        <f t="shared" si="30"/>
        <v>5.91E-2</v>
      </c>
      <c r="K68" s="302">
        <f t="shared" si="30"/>
        <v>5.8999999999999997E-2</v>
      </c>
      <c r="L68" s="302">
        <f t="shared" si="30"/>
        <v>5.91E-2</v>
      </c>
      <c r="M68" s="302">
        <f t="shared" si="30"/>
        <v>5.8999999999999997E-2</v>
      </c>
      <c r="N68" s="302">
        <f t="shared" si="30"/>
        <v>5.91E-2</v>
      </c>
      <c r="O68" s="302">
        <f t="shared" si="30"/>
        <v>5.8999999999999997E-2</v>
      </c>
      <c r="P68" s="302">
        <f t="shared" si="30"/>
        <v>5.91E-2</v>
      </c>
      <c r="Q68" s="302">
        <f t="shared" si="30"/>
        <v>5.8999999999999997E-2</v>
      </c>
      <c r="R68" s="302">
        <f t="shared" si="30"/>
        <v>2.9499999999999998E-2</v>
      </c>
      <c r="S68" s="302">
        <v>0</v>
      </c>
      <c r="T68" s="302">
        <v>0</v>
      </c>
      <c r="U68" s="302">
        <v>0</v>
      </c>
      <c r="V68" s="302">
        <v>0</v>
      </c>
    </row>
    <row r="69" spans="1:22">
      <c r="A69" s="16" t="s">
        <v>108</v>
      </c>
      <c r="B69" s="198">
        <f>$B$67*B68</f>
        <v>0</v>
      </c>
      <c r="C69" s="198">
        <f t="shared" ref="C69:V69" si="31">$B$67*C68</f>
        <v>8202.5871642370275</v>
      </c>
      <c r="D69" s="198">
        <f t="shared" si="31"/>
        <v>15584.915612050352</v>
      </c>
      <c r="E69" s="198">
        <f t="shared" si="31"/>
        <v>14026.424050845317</v>
      </c>
      <c r="F69" s="198">
        <f t="shared" si="31"/>
        <v>12631.984232925022</v>
      </c>
      <c r="G69" s="198">
        <f t="shared" si="31"/>
        <v>11368.78580963252</v>
      </c>
      <c r="H69" s="198">
        <f t="shared" si="31"/>
        <v>10220.423606639337</v>
      </c>
      <c r="I69" s="198">
        <f t="shared" si="31"/>
        <v>9679.0528537996925</v>
      </c>
      <c r="J69" s="198">
        <f t="shared" si="31"/>
        <v>9695.4580281281669</v>
      </c>
      <c r="K69" s="198">
        <f t="shared" si="31"/>
        <v>9679.0528537996925</v>
      </c>
      <c r="L69" s="198">
        <f t="shared" si="31"/>
        <v>9695.4580281281669</v>
      </c>
      <c r="M69" s="198">
        <f t="shared" si="31"/>
        <v>9679.0528537996925</v>
      </c>
      <c r="N69" s="198">
        <f t="shared" si="31"/>
        <v>9695.4580281281669</v>
      </c>
      <c r="O69" s="198">
        <f t="shared" si="31"/>
        <v>9679.0528537996925</v>
      </c>
      <c r="P69" s="198">
        <f t="shared" si="31"/>
        <v>9695.4580281281669</v>
      </c>
      <c r="Q69" s="198">
        <f t="shared" si="31"/>
        <v>9679.0528537996925</v>
      </c>
      <c r="R69" s="198">
        <f t="shared" si="31"/>
        <v>4839.5264268998462</v>
      </c>
      <c r="S69" s="198">
        <f t="shared" si="31"/>
        <v>0</v>
      </c>
      <c r="T69" s="198">
        <f t="shared" si="31"/>
        <v>0</v>
      </c>
      <c r="U69" s="198">
        <f t="shared" si="31"/>
        <v>0</v>
      </c>
      <c r="V69" s="198">
        <f t="shared" si="31"/>
        <v>0</v>
      </c>
    </row>
    <row r="70" spans="1:22">
      <c r="A70" s="16" t="s">
        <v>118</v>
      </c>
      <c r="B70" s="19">
        <f t="shared" ref="B70:V70" si="32">B67-B69</f>
        <v>164051.74328474054</v>
      </c>
      <c r="C70" s="19">
        <f t="shared" si="32"/>
        <v>155849.15612050353</v>
      </c>
      <c r="D70" s="19">
        <f t="shared" si="32"/>
        <v>140264.24050845316</v>
      </c>
      <c r="E70" s="19">
        <f t="shared" si="32"/>
        <v>126237.81645760784</v>
      </c>
      <c r="F70" s="19">
        <f t="shared" si="32"/>
        <v>113605.83222468282</v>
      </c>
      <c r="G70" s="19">
        <f t="shared" si="32"/>
        <v>102237.0464150503</v>
      </c>
      <c r="H70" s="19">
        <f t="shared" si="32"/>
        <v>92016.622808410961</v>
      </c>
      <c r="I70" s="19">
        <f t="shared" si="32"/>
        <v>82337.569954611274</v>
      </c>
      <c r="J70" s="19">
        <f t="shared" si="32"/>
        <v>72642.111926483107</v>
      </c>
      <c r="K70" s="19">
        <f t="shared" si="32"/>
        <v>62963.059072683413</v>
      </c>
      <c r="L70" s="19">
        <f t="shared" si="32"/>
        <v>53267.601044555246</v>
      </c>
      <c r="M70" s="19">
        <f t="shared" si="32"/>
        <v>43588.548190755551</v>
      </c>
      <c r="N70" s="19">
        <f t="shared" si="32"/>
        <v>33893.090162627384</v>
      </c>
      <c r="O70" s="19">
        <f t="shared" si="32"/>
        <v>24214.03730882769</v>
      </c>
      <c r="P70" s="19">
        <f t="shared" si="32"/>
        <v>14518.579280699523</v>
      </c>
      <c r="Q70" s="19">
        <f t="shared" si="32"/>
        <v>4839.5264268998308</v>
      </c>
      <c r="R70" s="19">
        <f t="shared" si="32"/>
        <v>-1.546140993013978E-11</v>
      </c>
      <c r="S70" s="19">
        <f t="shared" si="32"/>
        <v>-1.546140993013978E-11</v>
      </c>
      <c r="T70" s="19">
        <f t="shared" si="32"/>
        <v>-1.546140993013978E-11</v>
      </c>
      <c r="U70" s="19">
        <f t="shared" si="32"/>
        <v>-1.546140993013978E-11</v>
      </c>
      <c r="V70" s="19">
        <f t="shared" si="32"/>
        <v>-1.546140993013978E-11</v>
      </c>
    </row>
    <row r="72" spans="1:22">
      <c r="A72" s="236" t="s">
        <v>10</v>
      </c>
    </row>
    <row r="73" spans="1:22">
      <c r="A73" s="16" t="s">
        <v>119</v>
      </c>
      <c r="B73" s="123">
        <f>SUM('Summary Output'!$G$8:$G$9)*Allocation!$C$8</f>
        <v>198352.78148055312</v>
      </c>
      <c r="C73" s="123">
        <f t="shared" ref="C73:V73" si="33">B76</f>
        <v>198352.78148055312</v>
      </c>
      <c r="D73" s="123">
        <f t="shared" si="33"/>
        <v>188435.14240652547</v>
      </c>
      <c r="E73" s="123">
        <f t="shared" si="33"/>
        <v>169591.62816587291</v>
      </c>
      <c r="F73" s="123">
        <f t="shared" si="33"/>
        <v>152632.46534928563</v>
      </c>
      <c r="G73" s="123">
        <f t="shared" si="33"/>
        <v>137359.30117528304</v>
      </c>
      <c r="H73" s="123">
        <f t="shared" si="33"/>
        <v>123613.4534186807</v>
      </c>
      <c r="I73" s="123">
        <f t="shared" si="33"/>
        <v>111256.07513244225</v>
      </c>
      <c r="J73" s="123">
        <f t="shared" si="33"/>
        <v>99553.26102508961</v>
      </c>
      <c r="K73" s="123">
        <f t="shared" si="33"/>
        <v>87830.611639588926</v>
      </c>
      <c r="L73" s="123">
        <f t="shared" si="33"/>
        <v>76127.797532236291</v>
      </c>
      <c r="M73" s="123">
        <f t="shared" si="33"/>
        <v>64405.148146735599</v>
      </c>
      <c r="N73" s="123">
        <f t="shared" si="33"/>
        <v>52702.334039382964</v>
      </c>
      <c r="O73" s="123">
        <f t="shared" si="33"/>
        <v>40979.684653882272</v>
      </c>
      <c r="P73" s="123">
        <f t="shared" si="33"/>
        <v>29276.870546529637</v>
      </c>
      <c r="Q73" s="123">
        <f t="shared" si="33"/>
        <v>17554.221161028945</v>
      </c>
      <c r="R73" s="123">
        <f t="shared" si="33"/>
        <v>5851.407053676312</v>
      </c>
      <c r="S73" s="123">
        <f t="shared" si="33"/>
        <v>0</v>
      </c>
      <c r="T73" s="123">
        <f t="shared" si="33"/>
        <v>0</v>
      </c>
      <c r="U73" s="123">
        <f t="shared" si="33"/>
        <v>0</v>
      </c>
      <c r="V73" s="123">
        <f t="shared" si="33"/>
        <v>0</v>
      </c>
    </row>
    <row r="74" spans="1:22">
      <c r="A74" s="16" t="s">
        <v>106</v>
      </c>
      <c r="B74" s="302">
        <f t="shared" ref="B74:R74" si="34">VLOOKUP(B5,$Y$45:$Z$61,2)</f>
        <v>0</v>
      </c>
      <c r="C74" s="302">
        <f t="shared" si="34"/>
        <v>0.05</v>
      </c>
      <c r="D74" s="302">
        <f t="shared" si="34"/>
        <v>9.5000000000000001E-2</v>
      </c>
      <c r="E74" s="302">
        <f t="shared" si="34"/>
        <v>8.5500000000000007E-2</v>
      </c>
      <c r="F74" s="302">
        <f t="shared" si="34"/>
        <v>7.6999999999999999E-2</v>
      </c>
      <c r="G74" s="302">
        <f t="shared" si="34"/>
        <v>6.93E-2</v>
      </c>
      <c r="H74" s="302">
        <f t="shared" si="34"/>
        <v>6.2300000000000001E-2</v>
      </c>
      <c r="I74" s="302">
        <f t="shared" si="34"/>
        <v>5.8999999999999997E-2</v>
      </c>
      <c r="J74" s="302">
        <f t="shared" si="34"/>
        <v>5.91E-2</v>
      </c>
      <c r="K74" s="302">
        <f t="shared" si="34"/>
        <v>5.8999999999999997E-2</v>
      </c>
      <c r="L74" s="302">
        <f t="shared" si="34"/>
        <v>5.91E-2</v>
      </c>
      <c r="M74" s="302">
        <f t="shared" si="34"/>
        <v>5.8999999999999997E-2</v>
      </c>
      <c r="N74" s="302">
        <f t="shared" si="34"/>
        <v>5.91E-2</v>
      </c>
      <c r="O74" s="302">
        <f t="shared" si="34"/>
        <v>5.8999999999999997E-2</v>
      </c>
      <c r="P74" s="302">
        <f t="shared" si="34"/>
        <v>5.91E-2</v>
      </c>
      <c r="Q74" s="302">
        <f t="shared" si="34"/>
        <v>5.8999999999999997E-2</v>
      </c>
      <c r="R74" s="302">
        <f t="shared" si="34"/>
        <v>2.9499999999999998E-2</v>
      </c>
      <c r="S74" s="302">
        <v>0</v>
      </c>
      <c r="T74" s="302">
        <v>0</v>
      </c>
      <c r="U74" s="302">
        <v>0</v>
      </c>
      <c r="V74" s="302">
        <v>0</v>
      </c>
    </row>
    <row r="75" spans="1:22">
      <c r="A75" s="16" t="s">
        <v>108</v>
      </c>
      <c r="B75" s="198">
        <f>$B$73*B74</f>
        <v>0</v>
      </c>
      <c r="C75" s="198">
        <f t="shared" ref="C75:V75" si="35">$B$73*C74</f>
        <v>9917.6390740276565</v>
      </c>
      <c r="D75" s="198">
        <f t="shared" si="35"/>
        <v>18843.514240652548</v>
      </c>
      <c r="E75" s="198">
        <f t="shared" si="35"/>
        <v>16959.162816587293</v>
      </c>
      <c r="F75" s="198">
        <f t="shared" si="35"/>
        <v>15273.16417400259</v>
      </c>
      <c r="G75" s="198">
        <f t="shared" si="35"/>
        <v>13745.847756602332</v>
      </c>
      <c r="H75" s="198">
        <f t="shared" si="35"/>
        <v>12357.37828623846</v>
      </c>
      <c r="I75" s="198">
        <f t="shared" si="35"/>
        <v>11702.814107352633</v>
      </c>
      <c r="J75" s="198">
        <f t="shared" si="35"/>
        <v>11722.64938550069</v>
      </c>
      <c r="K75" s="198">
        <f t="shared" si="35"/>
        <v>11702.814107352633</v>
      </c>
      <c r="L75" s="198">
        <f t="shared" si="35"/>
        <v>11722.64938550069</v>
      </c>
      <c r="M75" s="198">
        <f t="shared" si="35"/>
        <v>11702.814107352633</v>
      </c>
      <c r="N75" s="198">
        <f t="shared" si="35"/>
        <v>11722.64938550069</v>
      </c>
      <c r="O75" s="198">
        <f t="shared" si="35"/>
        <v>11702.814107352633</v>
      </c>
      <c r="P75" s="198">
        <f t="shared" si="35"/>
        <v>11722.64938550069</v>
      </c>
      <c r="Q75" s="198">
        <f t="shared" si="35"/>
        <v>11702.814107352633</v>
      </c>
      <c r="R75" s="198">
        <f t="shared" si="35"/>
        <v>5851.4070536763165</v>
      </c>
      <c r="S75" s="198">
        <f t="shared" si="35"/>
        <v>0</v>
      </c>
      <c r="T75" s="198">
        <f t="shared" si="35"/>
        <v>0</v>
      </c>
      <c r="U75" s="198">
        <f t="shared" si="35"/>
        <v>0</v>
      </c>
      <c r="V75" s="198">
        <f t="shared" si="35"/>
        <v>0</v>
      </c>
    </row>
    <row r="76" spans="1:22">
      <c r="A76" s="16" t="s">
        <v>118</v>
      </c>
      <c r="B76" s="19">
        <f t="shared" ref="B76:V76" si="36">B73-B75</f>
        <v>198352.78148055312</v>
      </c>
      <c r="C76" s="19">
        <f t="shared" si="36"/>
        <v>188435.14240652547</v>
      </c>
      <c r="D76" s="19">
        <f t="shared" si="36"/>
        <v>169591.62816587291</v>
      </c>
      <c r="E76" s="19">
        <f t="shared" si="36"/>
        <v>152632.46534928563</v>
      </c>
      <c r="F76" s="19">
        <f t="shared" si="36"/>
        <v>137359.30117528304</v>
      </c>
      <c r="G76" s="19">
        <f t="shared" si="36"/>
        <v>123613.4534186807</v>
      </c>
      <c r="H76" s="19">
        <f t="shared" si="36"/>
        <v>111256.07513244225</v>
      </c>
      <c r="I76" s="19">
        <f t="shared" si="36"/>
        <v>99553.26102508961</v>
      </c>
      <c r="J76" s="19">
        <f t="shared" si="36"/>
        <v>87830.611639588926</v>
      </c>
      <c r="K76" s="19">
        <f t="shared" si="36"/>
        <v>76127.797532236291</v>
      </c>
      <c r="L76" s="19">
        <f t="shared" si="36"/>
        <v>64405.148146735599</v>
      </c>
      <c r="M76" s="19">
        <f t="shared" si="36"/>
        <v>52702.334039382964</v>
      </c>
      <c r="N76" s="19">
        <f t="shared" si="36"/>
        <v>40979.684653882272</v>
      </c>
      <c r="O76" s="19">
        <f t="shared" si="36"/>
        <v>29276.870546529637</v>
      </c>
      <c r="P76" s="19">
        <f t="shared" si="36"/>
        <v>17554.221161028945</v>
      </c>
      <c r="Q76" s="19">
        <f t="shared" si="36"/>
        <v>5851.407053676312</v>
      </c>
      <c r="R76" s="19">
        <f t="shared" si="36"/>
        <v>0</v>
      </c>
      <c r="S76" s="19">
        <f t="shared" si="36"/>
        <v>0</v>
      </c>
      <c r="T76" s="19">
        <f t="shared" si="36"/>
        <v>0</v>
      </c>
      <c r="U76" s="19">
        <f t="shared" si="36"/>
        <v>0</v>
      </c>
      <c r="V76" s="19">
        <f t="shared" si="36"/>
        <v>0</v>
      </c>
    </row>
    <row r="78" spans="1:22">
      <c r="A78" s="236" t="s">
        <v>11</v>
      </c>
    </row>
    <row r="79" spans="1:22">
      <c r="A79" s="16" t="s">
        <v>119</v>
      </c>
      <c r="B79" s="123">
        <f>SUM('Summary Output'!$G$8:$G$9)*Allocation!$C$9</f>
        <v>190754.53330646225</v>
      </c>
      <c r="C79" s="123">
        <f t="shared" ref="C79:V79" si="37">B82</f>
        <v>190754.53330646225</v>
      </c>
      <c r="D79" s="123">
        <f t="shared" si="37"/>
        <v>181216.80664113915</v>
      </c>
      <c r="E79" s="123">
        <f t="shared" si="37"/>
        <v>163095.12597702522</v>
      </c>
      <c r="F79" s="123">
        <f t="shared" si="37"/>
        <v>146785.61337932269</v>
      </c>
      <c r="G79" s="123">
        <f t="shared" si="37"/>
        <v>132097.51431472509</v>
      </c>
      <c r="H79" s="123">
        <f t="shared" si="37"/>
        <v>118878.22515658726</v>
      </c>
      <c r="I79" s="123">
        <f t="shared" si="37"/>
        <v>106994.21773159466</v>
      </c>
      <c r="J79" s="123">
        <f t="shared" si="37"/>
        <v>95739.700266513391</v>
      </c>
      <c r="K79" s="123">
        <f t="shared" si="37"/>
        <v>84466.107348101476</v>
      </c>
      <c r="L79" s="123">
        <f t="shared" si="37"/>
        <v>73211.589883020206</v>
      </c>
      <c r="M79" s="123">
        <f t="shared" si="37"/>
        <v>61937.99696460829</v>
      </c>
      <c r="N79" s="123">
        <f t="shared" si="37"/>
        <v>50683.47949952702</v>
      </c>
      <c r="O79" s="123">
        <f t="shared" si="37"/>
        <v>39409.886581115104</v>
      </c>
      <c r="P79" s="123">
        <f t="shared" si="37"/>
        <v>28155.369116033831</v>
      </c>
      <c r="Q79" s="123">
        <f t="shared" si="37"/>
        <v>16881.776197621912</v>
      </c>
      <c r="R79" s="123">
        <f t="shared" si="37"/>
        <v>5627.2587325406384</v>
      </c>
      <c r="S79" s="123">
        <f t="shared" si="37"/>
        <v>0</v>
      </c>
      <c r="T79" s="123">
        <f t="shared" si="37"/>
        <v>0</v>
      </c>
      <c r="U79" s="123">
        <f t="shared" si="37"/>
        <v>0</v>
      </c>
      <c r="V79" s="123">
        <f t="shared" si="37"/>
        <v>0</v>
      </c>
    </row>
    <row r="80" spans="1:22">
      <c r="A80" s="16" t="s">
        <v>106</v>
      </c>
      <c r="B80" s="302">
        <f t="shared" ref="B80:R80" si="38">VLOOKUP(B5,$Y$45:$Z$61,2)</f>
        <v>0</v>
      </c>
      <c r="C80" s="302">
        <f t="shared" si="38"/>
        <v>0.05</v>
      </c>
      <c r="D80" s="302">
        <f t="shared" si="38"/>
        <v>9.5000000000000001E-2</v>
      </c>
      <c r="E80" s="302">
        <f t="shared" si="38"/>
        <v>8.5500000000000007E-2</v>
      </c>
      <c r="F80" s="302">
        <f t="shared" si="38"/>
        <v>7.6999999999999999E-2</v>
      </c>
      <c r="G80" s="302">
        <f t="shared" si="38"/>
        <v>6.93E-2</v>
      </c>
      <c r="H80" s="302">
        <f t="shared" si="38"/>
        <v>6.2300000000000001E-2</v>
      </c>
      <c r="I80" s="302">
        <f t="shared" si="38"/>
        <v>5.8999999999999997E-2</v>
      </c>
      <c r="J80" s="302">
        <f t="shared" si="38"/>
        <v>5.91E-2</v>
      </c>
      <c r="K80" s="302">
        <f t="shared" si="38"/>
        <v>5.8999999999999997E-2</v>
      </c>
      <c r="L80" s="302">
        <f t="shared" si="38"/>
        <v>5.91E-2</v>
      </c>
      <c r="M80" s="302">
        <f t="shared" si="38"/>
        <v>5.8999999999999997E-2</v>
      </c>
      <c r="N80" s="302">
        <f t="shared" si="38"/>
        <v>5.91E-2</v>
      </c>
      <c r="O80" s="302">
        <f t="shared" si="38"/>
        <v>5.8999999999999997E-2</v>
      </c>
      <c r="P80" s="302">
        <f t="shared" si="38"/>
        <v>5.91E-2</v>
      </c>
      <c r="Q80" s="302">
        <f t="shared" si="38"/>
        <v>5.8999999999999997E-2</v>
      </c>
      <c r="R80" s="302">
        <f t="shared" si="38"/>
        <v>2.9499999999999998E-2</v>
      </c>
      <c r="S80" s="302">
        <v>0</v>
      </c>
      <c r="T80" s="302">
        <v>0</v>
      </c>
      <c r="U80" s="302">
        <v>0</v>
      </c>
      <c r="V80" s="302">
        <v>0</v>
      </c>
    </row>
    <row r="81" spans="1:22">
      <c r="A81" s="16" t="s">
        <v>108</v>
      </c>
      <c r="B81" s="198">
        <f>$B$79*B80</f>
        <v>0</v>
      </c>
      <c r="C81" s="198">
        <f t="shared" ref="C81:V81" si="39">$B$79*C80</f>
        <v>9537.7266653231127</v>
      </c>
      <c r="D81" s="198">
        <f t="shared" si="39"/>
        <v>18121.680664113916</v>
      </c>
      <c r="E81" s="198">
        <f t="shared" si="39"/>
        <v>16309.512597702524</v>
      </c>
      <c r="F81" s="198">
        <f t="shared" si="39"/>
        <v>14688.099064597593</v>
      </c>
      <c r="G81" s="198">
        <f t="shared" si="39"/>
        <v>13219.289158137834</v>
      </c>
      <c r="H81" s="198">
        <f t="shared" si="39"/>
        <v>11884.007424992598</v>
      </c>
      <c r="I81" s="198">
        <f t="shared" si="39"/>
        <v>11254.517465081273</v>
      </c>
      <c r="J81" s="198">
        <f t="shared" si="39"/>
        <v>11273.59291841192</v>
      </c>
      <c r="K81" s="198">
        <f t="shared" si="39"/>
        <v>11254.517465081273</v>
      </c>
      <c r="L81" s="198">
        <f t="shared" si="39"/>
        <v>11273.59291841192</v>
      </c>
      <c r="M81" s="198">
        <f t="shared" si="39"/>
        <v>11254.517465081273</v>
      </c>
      <c r="N81" s="198">
        <f t="shared" si="39"/>
        <v>11273.59291841192</v>
      </c>
      <c r="O81" s="198">
        <f t="shared" si="39"/>
        <v>11254.517465081273</v>
      </c>
      <c r="P81" s="198">
        <f t="shared" si="39"/>
        <v>11273.59291841192</v>
      </c>
      <c r="Q81" s="198">
        <f t="shared" si="39"/>
        <v>11254.517465081273</v>
      </c>
      <c r="R81" s="198">
        <f t="shared" si="39"/>
        <v>5627.2587325406366</v>
      </c>
      <c r="S81" s="198">
        <f t="shared" si="39"/>
        <v>0</v>
      </c>
      <c r="T81" s="198">
        <f t="shared" si="39"/>
        <v>0</v>
      </c>
      <c r="U81" s="198">
        <f t="shared" si="39"/>
        <v>0</v>
      </c>
      <c r="V81" s="198">
        <f t="shared" si="39"/>
        <v>0</v>
      </c>
    </row>
    <row r="82" spans="1:22">
      <c r="A82" s="16" t="s">
        <v>118</v>
      </c>
      <c r="B82" s="19">
        <f t="shared" ref="B82:V82" si="40">B79-B81</f>
        <v>190754.53330646225</v>
      </c>
      <c r="C82" s="19">
        <f t="shared" si="40"/>
        <v>181216.80664113915</v>
      </c>
      <c r="D82" s="19">
        <f t="shared" si="40"/>
        <v>163095.12597702522</v>
      </c>
      <c r="E82" s="19">
        <f t="shared" si="40"/>
        <v>146785.61337932269</v>
      </c>
      <c r="F82" s="19">
        <f t="shared" si="40"/>
        <v>132097.51431472509</v>
      </c>
      <c r="G82" s="19">
        <f t="shared" si="40"/>
        <v>118878.22515658726</v>
      </c>
      <c r="H82" s="19">
        <f t="shared" si="40"/>
        <v>106994.21773159466</v>
      </c>
      <c r="I82" s="19">
        <f t="shared" si="40"/>
        <v>95739.700266513391</v>
      </c>
      <c r="J82" s="19">
        <f t="shared" si="40"/>
        <v>84466.107348101476</v>
      </c>
      <c r="K82" s="19">
        <f t="shared" si="40"/>
        <v>73211.589883020206</v>
      </c>
      <c r="L82" s="19">
        <f t="shared" si="40"/>
        <v>61937.99696460829</v>
      </c>
      <c r="M82" s="19">
        <f t="shared" si="40"/>
        <v>50683.47949952702</v>
      </c>
      <c r="N82" s="19">
        <f t="shared" si="40"/>
        <v>39409.886581115104</v>
      </c>
      <c r="O82" s="19">
        <f t="shared" si="40"/>
        <v>28155.369116033831</v>
      </c>
      <c r="P82" s="19">
        <f t="shared" si="40"/>
        <v>16881.776197621912</v>
      </c>
      <c r="Q82" s="19">
        <f t="shared" si="40"/>
        <v>5627.2587325406384</v>
      </c>
      <c r="R82" s="19">
        <f t="shared" si="40"/>
        <v>0</v>
      </c>
      <c r="S82" s="19">
        <f t="shared" si="40"/>
        <v>0</v>
      </c>
      <c r="T82" s="19">
        <f t="shared" si="40"/>
        <v>0</v>
      </c>
      <c r="U82" s="19">
        <f t="shared" si="40"/>
        <v>0</v>
      </c>
      <c r="V82" s="19">
        <f t="shared" si="40"/>
        <v>0</v>
      </c>
    </row>
    <row r="84" spans="1:22">
      <c r="A84" s="236" t="s">
        <v>103</v>
      </c>
    </row>
    <row r="85" spans="1:22">
      <c r="A85" s="16" t="s">
        <v>119</v>
      </c>
      <c r="B85" s="123">
        <f>SUM('Summary Output'!$G$8:$G$9)*Allocation!$C$12</f>
        <v>224013.58995772409</v>
      </c>
      <c r="C85" s="123">
        <f t="shared" ref="C85:V85" si="41">B88</f>
        <v>224013.58995772409</v>
      </c>
      <c r="D85" s="123">
        <f t="shared" si="41"/>
        <v>212812.91045983788</v>
      </c>
      <c r="E85" s="123">
        <f t="shared" si="41"/>
        <v>191531.61941385409</v>
      </c>
      <c r="F85" s="123">
        <f t="shared" si="41"/>
        <v>172378.45747246867</v>
      </c>
      <c r="G85" s="123">
        <f t="shared" si="41"/>
        <v>155129.41104572391</v>
      </c>
      <c r="H85" s="123">
        <f t="shared" si="41"/>
        <v>139605.26926165362</v>
      </c>
      <c r="I85" s="123">
        <f t="shared" si="41"/>
        <v>125649.2226072874</v>
      </c>
      <c r="J85" s="123">
        <f t="shared" si="41"/>
        <v>112432.42079978168</v>
      </c>
      <c r="K85" s="123">
        <f t="shared" si="41"/>
        <v>99193.21763328019</v>
      </c>
      <c r="L85" s="123">
        <f t="shared" si="41"/>
        <v>85976.415825774471</v>
      </c>
      <c r="M85" s="123">
        <f t="shared" si="41"/>
        <v>72737.212659272976</v>
      </c>
      <c r="N85" s="123">
        <f t="shared" si="41"/>
        <v>59520.410851767258</v>
      </c>
      <c r="O85" s="123">
        <f t="shared" si="41"/>
        <v>46281.207685265763</v>
      </c>
      <c r="P85" s="123">
        <f t="shared" si="41"/>
        <v>33064.405877760044</v>
      </c>
      <c r="Q85" s="123">
        <f t="shared" si="41"/>
        <v>19825.202711258549</v>
      </c>
      <c r="R85" s="123">
        <f t="shared" si="41"/>
        <v>6608.4009037528285</v>
      </c>
      <c r="S85" s="123">
        <f t="shared" si="41"/>
        <v>-3.1832314562052488E-11</v>
      </c>
      <c r="T85" s="123">
        <f t="shared" si="41"/>
        <v>-3.1832314562052488E-11</v>
      </c>
      <c r="U85" s="123">
        <f t="shared" si="41"/>
        <v>-3.1832314562052488E-11</v>
      </c>
      <c r="V85" s="123">
        <f t="shared" si="41"/>
        <v>-3.1832314562052488E-11</v>
      </c>
    </row>
    <row r="86" spans="1:22">
      <c r="A86" s="16" t="s">
        <v>106</v>
      </c>
      <c r="B86" s="302">
        <f t="shared" ref="B86:R86" si="42">VLOOKUP(B6,$Y$45:$Z$61,2)</f>
        <v>0</v>
      </c>
      <c r="C86" s="302">
        <f t="shared" si="42"/>
        <v>0.05</v>
      </c>
      <c r="D86" s="302">
        <f t="shared" si="42"/>
        <v>9.5000000000000001E-2</v>
      </c>
      <c r="E86" s="302">
        <f t="shared" si="42"/>
        <v>8.5500000000000007E-2</v>
      </c>
      <c r="F86" s="302">
        <f t="shared" si="42"/>
        <v>7.6999999999999999E-2</v>
      </c>
      <c r="G86" s="302">
        <f t="shared" si="42"/>
        <v>6.93E-2</v>
      </c>
      <c r="H86" s="302">
        <f t="shared" si="42"/>
        <v>6.2300000000000001E-2</v>
      </c>
      <c r="I86" s="302">
        <f t="shared" si="42"/>
        <v>5.8999999999999997E-2</v>
      </c>
      <c r="J86" s="302">
        <f t="shared" si="42"/>
        <v>5.91E-2</v>
      </c>
      <c r="K86" s="302">
        <f t="shared" si="42"/>
        <v>5.8999999999999997E-2</v>
      </c>
      <c r="L86" s="302">
        <f t="shared" si="42"/>
        <v>5.91E-2</v>
      </c>
      <c r="M86" s="302">
        <f t="shared" si="42"/>
        <v>5.8999999999999997E-2</v>
      </c>
      <c r="N86" s="302">
        <f t="shared" si="42"/>
        <v>5.91E-2</v>
      </c>
      <c r="O86" s="302">
        <f t="shared" si="42"/>
        <v>5.8999999999999997E-2</v>
      </c>
      <c r="P86" s="302">
        <f t="shared" si="42"/>
        <v>5.91E-2</v>
      </c>
      <c r="Q86" s="302">
        <f t="shared" si="42"/>
        <v>5.8999999999999997E-2</v>
      </c>
      <c r="R86" s="302">
        <f t="shared" si="42"/>
        <v>2.9499999999999998E-2</v>
      </c>
      <c r="S86" s="302">
        <v>0</v>
      </c>
      <c r="T86" s="302">
        <v>0</v>
      </c>
      <c r="U86" s="302">
        <v>0</v>
      </c>
      <c r="V86" s="302">
        <v>0</v>
      </c>
    </row>
    <row r="87" spans="1:22">
      <c r="A87" s="16" t="s">
        <v>108</v>
      </c>
      <c r="B87" s="198">
        <f>$B$85*B86</f>
        <v>0</v>
      </c>
      <c r="C87" s="198">
        <f t="shared" ref="C87:V87" si="43">$B$85*C86</f>
        <v>11200.679497886205</v>
      </c>
      <c r="D87" s="198">
        <f t="shared" si="43"/>
        <v>21281.291045983788</v>
      </c>
      <c r="E87" s="198">
        <f t="shared" si="43"/>
        <v>19153.16194138541</v>
      </c>
      <c r="F87" s="198">
        <f t="shared" si="43"/>
        <v>17249.046426744753</v>
      </c>
      <c r="G87" s="198">
        <f t="shared" si="43"/>
        <v>15524.14178407028</v>
      </c>
      <c r="H87" s="198">
        <f t="shared" si="43"/>
        <v>13956.046654366211</v>
      </c>
      <c r="I87" s="198">
        <f t="shared" si="43"/>
        <v>13216.801807505721</v>
      </c>
      <c r="J87" s="198">
        <f t="shared" si="43"/>
        <v>13239.203166501495</v>
      </c>
      <c r="K87" s="198">
        <f t="shared" si="43"/>
        <v>13216.801807505721</v>
      </c>
      <c r="L87" s="198">
        <f t="shared" si="43"/>
        <v>13239.203166501495</v>
      </c>
      <c r="M87" s="198">
        <f t="shared" si="43"/>
        <v>13216.801807505721</v>
      </c>
      <c r="N87" s="198">
        <f t="shared" si="43"/>
        <v>13239.203166501495</v>
      </c>
      <c r="O87" s="198">
        <f t="shared" si="43"/>
        <v>13216.801807505721</v>
      </c>
      <c r="P87" s="198">
        <f t="shared" si="43"/>
        <v>13239.203166501495</v>
      </c>
      <c r="Q87" s="198">
        <f t="shared" si="43"/>
        <v>13216.801807505721</v>
      </c>
      <c r="R87" s="198">
        <f t="shared" si="43"/>
        <v>6608.4009037528604</v>
      </c>
      <c r="S87" s="198">
        <f t="shared" si="43"/>
        <v>0</v>
      </c>
      <c r="T87" s="198">
        <f t="shared" si="43"/>
        <v>0</v>
      </c>
      <c r="U87" s="198">
        <f t="shared" si="43"/>
        <v>0</v>
      </c>
      <c r="V87" s="198">
        <f t="shared" si="43"/>
        <v>0</v>
      </c>
    </row>
    <row r="88" spans="1:22">
      <c r="A88" s="16" t="s">
        <v>118</v>
      </c>
      <c r="B88" s="19">
        <f t="shared" ref="B88:V88" si="44">B85-B87</f>
        <v>224013.58995772409</v>
      </c>
      <c r="C88" s="19">
        <f t="shared" si="44"/>
        <v>212812.91045983788</v>
      </c>
      <c r="D88" s="19">
        <f t="shared" si="44"/>
        <v>191531.61941385409</v>
      </c>
      <c r="E88" s="19">
        <f t="shared" si="44"/>
        <v>172378.45747246867</v>
      </c>
      <c r="F88" s="19">
        <f t="shared" si="44"/>
        <v>155129.41104572391</v>
      </c>
      <c r="G88" s="19">
        <f t="shared" si="44"/>
        <v>139605.26926165362</v>
      </c>
      <c r="H88" s="19">
        <f t="shared" si="44"/>
        <v>125649.2226072874</v>
      </c>
      <c r="I88" s="19">
        <f t="shared" si="44"/>
        <v>112432.42079978168</v>
      </c>
      <c r="J88" s="19">
        <f t="shared" si="44"/>
        <v>99193.21763328019</v>
      </c>
      <c r="K88" s="19">
        <f t="shared" si="44"/>
        <v>85976.415825774471</v>
      </c>
      <c r="L88" s="19">
        <f t="shared" si="44"/>
        <v>72737.212659272976</v>
      </c>
      <c r="M88" s="19">
        <f t="shared" si="44"/>
        <v>59520.410851767258</v>
      </c>
      <c r="N88" s="19">
        <f t="shared" si="44"/>
        <v>46281.207685265763</v>
      </c>
      <c r="O88" s="19">
        <f t="shared" si="44"/>
        <v>33064.405877760044</v>
      </c>
      <c r="P88" s="19">
        <f t="shared" si="44"/>
        <v>19825.202711258549</v>
      </c>
      <c r="Q88" s="19">
        <f t="shared" si="44"/>
        <v>6608.4009037528285</v>
      </c>
      <c r="R88" s="19">
        <f t="shared" si="44"/>
        <v>-3.1832314562052488E-11</v>
      </c>
      <c r="S88" s="19">
        <f t="shared" si="44"/>
        <v>-3.1832314562052488E-11</v>
      </c>
      <c r="T88" s="19">
        <f t="shared" si="44"/>
        <v>-3.1832314562052488E-11</v>
      </c>
      <c r="U88" s="19">
        <f t="shared" si="44"/>
        <v>-3.1832314562052488E-11</v>
      </c>
      <c r="V88" s="19">
        <f t="shared" si="44"/>
        <v>-3.1832314562052488E-11</v>
      </c>
    </row>
    <row r="90" spans="1:22">
      <c r="A90" s="236" t="s">
        <v>12</v>
      </c>
    </row>
    <row r="91" spans="1:22">
      <c r="A91" s="16" t="s">
        <v>119</v>
      </c>
      <c r="B91" s="123">
        <f>SUM('Summary Output'!$G$8:$G$9)*Allocation!$C$13</f>
        <v>204914.46376556004</v>
      </c>
      <c r="C91" s="123">
        <f t="shared" ref="C91:V91" si="45">B94</f>
        <v>204914.46376556004</v>
      </c>
      <c r="D91" s="123">
        <f t="shared" si="45"/>
        <v>194668.74057728203</v>
      </c>
      <c r="E91" s="123">
        <f t="shared" si="45"/>
        <v>175201.86651955382</v>
      </c>
      <c r="F91" s="123">
        <f t="shared" si="45"/>
        <v>157681.67986759843</v>
      </c>
      <c r="G91" s="123">
        <f t="shared" si="45"/>
        <v>141903.2661576503</v>
      </c>
      <c r="H91" s="123">
        <f t="shared" si="45"/>
        <v>127702.69381869699</v>
      </c>
      <c r="I91" s="123">
        <f t="shared" si="45"/>
        <v>114936.5227261026</v>
      </c>
      <c r="J91" s="123">
        <f t="shared" si="45"/>
        <v>102846.56936393456</v>
      </c>
      <c r="K91" s="123">
        <f t="shared" si="45"/>
        <v>90736.12455538995</v>
      </c>
      <c r="L91" s="123">
        <f t="shared" si="45"/>
        <v>78646.171193221904</v>
      </c>
      <c r="M91" s="123">
        <f t="shared" si="45"/>
        <v>66535.726384677313</v>
      </c>
      <c r="N91" s="123">
        <f t="shared" si="45"/>
        <v>54445.773022509267</v>
      </c>
      <c r="O91" s="123">
        <f t="shared" si="45"/>
        <v>42335.328213964669</v>
      </c>
      <c r="P91" s="123">
        <f t="shared" si="45"/>
        <v>30245.374851796627</v>
      </c>
      <c r="Q91" s="123">
        <f t="shared" si="45"/>
        <v>18134.930043252029</v>
      </c>
      <c r="R91" s="123">
        <f t="shared" si="45"/>
        <v>6044.9766810839865</v>
      </c>
      <c r="S91" s="123">
        <f t="shared" si="45"/>
        <v>-3.4560798667371273E-11</v>
      </c>
      <c r="T91" s="123">
        <f t="shared" si="45"/>
        <v>-3.4560798667371273E-11</v>
      </c>
      <c r="U91" s="123">
        <f t="shared" si="45"/>
        <v>-3.4560798667371273E-11</v>
      </c>
      <c r="V91" s="123">
        <f t="shared" si="45"/>
        <v>-3.4560798667371273E-11</v>
      </c>
    </row>
    <row r="92" spans="1:22">
      <c r="A92" s="16" t="s">
        <v>106</v>
      </c>
      <c r="B92" s="302">
        <f t="shared" ref="B92:R92" si="46">VLOOKUP(B6,$Y$45:$Z$61,2)</f>
        <v>0</v>
      </c>
      <c r="C92" s="302">
        <f t="shared" si="46"/>
        <v>0.05</v>
      </c>
      <c r="D92" s="302">
        <f t="shared" si="46"/>
        <v>9.5000000000000001E-2</v>
      </c>
      <c r="E92" s="302">
        <f t="shared" si="46"/>
        <v>8.5500000000000007E-2</v>
      </c>
      <c r="F92" s="302">
        <f t="shared" si="46"/>
        <v>7.6999999999999999E-2</v>
      </c>
      <c r="G92" s="302">
        <f t="shared" si="46"/>
        <v>6.93E-2</v>
      </c>
      <c r="H92" s="302">
        <f t="shared" si="46"/>
        <v>6.2300000000000001E-2</v>
      </c>
      <c r="I92" s="302">
        <f t="shared" si="46"/>
        <v>5.8999999999999997E-2</v>
      </c>
      <c r="J92" s="302">
        <f t="shared" si="46"/>
        <v>5.91E-2</v>
      </c>
      <c r="K92" s="302">
        <f t="shared" si="46"/>
        <v>5.8999999999999997E-2</v>
      </c>
      <c r="L92" s="302">
        <f t="shared" si="46"/>
        <v>5.91E-2</v>
      </c>
      <c r="M92" s="302">
        <f t="shared" si="46"/>
        <v>5.8999999999999997E-2</v>
      </c>
      <c r="N92" s="302">
        <f t="shared" si="46"/>
        <v>5.91E-2</v>
      </c>
      <c r="O92" s="302">
        <f t="shared" si="46"/>
        <v>5.8999999999999997E-2</v>
      </c>
      <c r="P92" s="302">
        <f t="shared" si="46"/>
        <v>5.91E-2</v>
      </c>
      <c r="Q92" s="302">
        <f t="shared" si="46"/>
        <v>5.8999999999999997E-2</v>
      </c>
      <c r="R92" s="302">
        <f t="shared" si="46"/>
        <v>2.9499999999999998E-2</v>
      </c>
      <c r="S92" s="302">
        <v>0</v>
      </c>
      <c r="T92" s="302">
        <v>0</v>
      </c>
      <c r="U92" s="302">
        <v>0</v>
      </c>
      <c r="V92" s="302">
        <v>0</v>
      </c>
    </row>
    <row r="93" spans="1:22">
      <c r="A93" s="16" t="s">
        <v>108</v>
      </c>
      <c r="B93" s="198">
        <f>$B$91*B92</f>
        <v>0</v>
      </c>
      <c r="C93" s="198">
        <f t="shared" ref="C93:V93" si="47">$B$91*C92</f>
        <v>10245.723188278003</v>
      </c>
      <c r="D93" s="198">
        <f t="shared" si="47"/>
        <v>19466.874057728204</v>
      </c>
      <c r="E93" s="198">
        <f t="shared" si="47"/>
        <v>17520.186651955384</v>
      </c>
      <c r="F93" s="198">
        <f t="shared" si="47"/>
        <v>15778.413709948123</v>
      </c>
      <c r="G93" s="198">
        <f t="shared" si="47"/>
        <v>14200.57233895331</v>
      </c>
      <c r="H93" s="198">
        <f t="shared" si="47"/>
        <v>12766.17109259439</v>
      </c>
      <c r="I93" s="198">
        <f t="shared" si="47"/>
        <v>12089.953362168042</v>
      </c>
      <c r="J93" s="198">
        <f t="shared" si="47"/>
        <v>12110.444808544598</v>
      </c>
      <c r="K93" s="198">
        <f t="shared" si="47"/>
        <v>12089.953362168042</v>
      </c>
      <c r="L93" s="198">
        <f t="shared" si="47"/>
        <v>12110.444808544598</v>
      </c>
      <c r="M93" s="198">
        <f t="shared" si="47"/>
        <v>12089.953362168042</v>
      </c>
      <c r="N93" s="198">
        <f t="shared" si="47"/>
        <v>12110.444808544598</v>
      </c>
      <c r="O93" s="198">
        <f t="shared" si="47"/>
        <v>12089.953362168042</v>
      </c>
      <c r="P93" s="198">
        <f t="shared" si="47"/>
        <v>12110.444808544598</v>
      </c>
      <c r="Q93" s="198">
        <f t="shared" si="47"/>
        <v>12089.953362168042</v>
      </c>
      <c r="R93" s="198">
        <f t="shared" si="47"/>
        <v>6044.976681084021</v>
      </c>
      <c r="S93" s="198">
        <f t="shared" si="47"/>
        <v>0</v>
      </c>
      <c r="T93" s="198">
        <f t="shared" si="47"/>
        <v>0</v>
      </c>
      <c r="U93" s="198">
        <f t="shared" si="47"/>
        <v>0</v>
      </c>
      <c r="V93" s="198">
        <f t="shared" si="47"/>
        <v>0</v>
      </c>
    </row>
    <row r="94" spans="1:22">
      <c r="A94" s="16" t="s">
        <v>118</v>
      </c>
      <c r="B94" s="19">
        <f t="shared" ref="B94:V94" si="48">B91-B93</f>
        <v>204914.46376556004</v>
      </c>
      <c r="C94" s="19">
        <f t="shared" si="48"/>
        <v>194668.74057728203</v>
      </c>
      <c r="D94" s="19">
        <f t="shared" si="48"/>
        <v>175201.86651955382</v>
      </c>
      <c r="E94" s="19">
        <f t="shared" si="48"/>
        <v>157681.67986759843</v>
      </c>
      <c r="F94" s="19">
        <f t="shared" si="48"/>
        <v>141903.2661576503</v>
      </c>
      <c r="G94" s="19">
        <f t="shared" si="48"/>
        <v>127702.69381869699</v>
      </c>
      <c r="H94" s="19">
        <f t="shared" si="48"/>
        <v>114936.5227261026</v>
      </c>
      <c r="I94" s="19">
        <f t="shared" si="48"/>
        <v>102846.56936393456</v>
      </c>
      <c r="J94" s="19">
        <f t="shared" si="48"/>
        <v>90736.12455538995</v>
      </c>
      <c r="K94" s="19">
        <f t="shared" si="48"/>
        <v>78646.171193221904</v>
      </c>
      <c r="L94" s="19">
        <f t="shared" si="48"/>
        <v>66535.726384677313</v>
      </c>
      <c r="M94" s="19">
        <f t="shared" si="48"/>
        <v>54445.773022509267</v>
      </c>
      <c r="N94" s="19">
        <f t="shared" si="48"/>
        <v>42335.328213964669</v>
      </c>
      <c r="O94" s="19">
        <f t="shared" si="48"/>
        <v>30245.374851796627</v>
      </c>
      <c r="P94" s="19">
        <f t="shared" si="48"/>
        <v>18134.930043252029</v>
      </c>
      <c r="Q94" s="19">
        <f t="shared" si="48"/>
        <v>6044.9766810839865</v>
      </c>
      <c r="R94" s="19">
        <f t="shared" si="48"/>
        <v>-3.4560798667371273E-11</v>
      </c>
      <c r="S94" s="19">
        <f t="shared" si="48"/>
        <v>-3.4560798667371273E-11</v>
      </c>
      <c r="T94" s="19">
        <f t="shared" si="48"/>
        <v>-3.4560798667371273E-11</v>
      </c>
      <c r="U94" s="19">
        <f t="shared" si="48"/>
        <v>-3.4560798667371273E-11</v>
      </c>
      <c r="V94" s="19">
        <f t="shared" si="48"/>
        <v>-3.4560798667371273E-11</v>
      </c>
    </row>
    <row r="96" spans="1:22">
      <c r="A96" s="236" t="s">
        <v>13</v>
      </c>
    </row>
    <row r="97" spans="1:22">
      <c r="A97" s="16" t="s">
        <v>119</v>
      </c>
      <c r="B97" s="123">
        <f>SUM('Summary Output'!$G$8:$G$9)*Allocation!$C$14</f>
        <v>329912.88820495975</v>
      </c>
      <c r="C97" s="19">
        <f t="shared" ref="C97:V97" si="49">B100</f>
        <v>329912.88820495975</v>
      </c>
      <c r="D97" s="19">
        <f t="shared" si="49"/>
        <v>313417.24379471177</v>
      </c>
      <c r="E97" s="19">
        <f t="shared" si="49"/>
        <v>282075.51941524062</v>
      </c>
      <c r="F97" s="19">
        <f t="shared" si="49"/>
        <v>253867.96747371656</v>
      </c>
      <c r="G97" s="19">
        <f t="shared" si="49"/>
        <v>228464.67508193466</v>
      </c>
      <c r="H97" s="19">
        <f t="shared" si="49"/>
        <v>205601.71192933095</v>
      </c>
      <c r="I97" s="19">
        <f t="shared" si="49"/>
        <v>185048.13899416197</v>
      </c>
      <c r="J97" s="19">
        <f t="shared" si="49"/>
        <v>165583.27859006936</v>
      </c>
      <c r="K97" s="19">
        <f t="shared" si="49"/>
        <v>146085.42689715623</v>
      </c>
      <c r="L97" s="19">
        <f t="shared" si="49"/>
        <v>126620.5664930636</v>
      </c>
      <c r="M97" s="19">
        <f t="shared" si="49"/>
        <v>107122.71480015048</v>
      </c>
      <c r="N97" s="19">
        <f t="shared" si="49"/>
        <v>87657.854396057854</v>
      </c>
      <c r="O97" s="19">
        <f t="shared" si="49"/>
        <v>68160.002703144739</v>
      </c>
      <c r="P97" s="19">
        <f t="shared" si="49"/>
        <v>48695.14229905211</v>
      </c>
      <c r="Q97" s="19">
        <f t="shared" si="49"/>
        <v>29197.290606138988</v>
      </c>
      <c r="R97" s="19">
        <f t="shared" si="49"/>
        <v>9732.430202046362</v>
      </c>
      <c r="S97" s="19">
        <f t="shared" si="49"/>
        <v>4.9112713895738125E-11</v>
      </c>
      <c r="T97" s="19">
        <f t="shared" si="49"/>
        <v>4.9112713895738125E-11</v>
      </c>
      <c r="U97" s="19">
        <f t="shared" si="49"/>
        <v>4.9112713895738125E-11</v>
      </c>
      <c r="V97" s="19">
        <f t="shared" si="49"/>
        <v>4.9112713895738125E-11</v>
      </c>
    </row>
    <row r="98" spans="1:22">
      <c r="A98" s="16" t="s">
        <v>106</v>
      </c>
      <c r="B98" s="302">
        <f t="shared" ref="B98:R98" si="50">VLOOKUP(B6,$Y$45:$Z$61,2)</f>
        <v>0</v>
      </c>
      <c r="C98" s="302">
        <f t="shared" si="50"/>
        <v>0.05</v>
      </c>
      <c r="D98" s="302">
        <f t="shared" si="50"/>
        <v>9.5000000000000001E-2</v>
      </c>
      <c r="E98" s="302">
        <f t="shared" si="50"/>
        <v>8.5500000000000007E-2</v>
      </c>
      <c r="F98" s="302">
        <f t="shared" si="50"/>
        <v>7.6999999999999999E-2</v>
      </c>
      <c r="G98" s="302">
        <f t="shared" si="50"/>
        <v>6.93E-2</v>
      </c>
      <c r="H98" s="302">
        <f t="shared" si="50"/>
        <v>6.2300000000000001E-2</v>
      </c>
      <c r="I98" s="302">
        <f t="shared" si="50"/>
        <v>5.8999999999999997E-2</v>
      </c>
      <c r="J98" s="302">
        <f t="shared" si="50"/>
        <v>5.91E-2</v>
      </c>
      <c r="K98" s="302">
        <f t="shared" si="50"/>
        <v>5.8999999999999997E-2</v>
      </c>
      <c r="L98" s="302">
        <f t="shared" si="50"/>
        <v>5.91E-2</v>
      </c>
      <c r="M98" s="302">
        <f t="shared" si="50"/>
        <v>5.8999999999999997E-2</v>
      </c>
      <c r="N98" s="302">
        <f t="shared" si="50"/>
        <v>5.91E-2</v>
      </c>
      <c r="O98" s="302">
        <f t="shared" si="50"/>
        <v>5.8999999999999997E-2</v>
      </c>
      <c r="P98" s="302">
        <f t="shared" si="50"/>
        <v>5.91E-2</v>
      </c>
      <c r="Q98" s="302">
        <f t="shared" si="50"/>
        <v>5.8999999999999997E-2</v>
      </c>
      <c r="R98" s="302">
        <f t="shared" si="50"/>
        <v>2.9499999999999998E-2</v>
      </c>
      <c r="S98" s="302">
        <v>0</v>
      </c>
      <c r="T98" s="302">
        <v>0</v>
      </c>
      <c r="U98" s="302">
        <v>0</v>
      </c>
      <c r="V98" s="302">
        <v>0</v>
      </c>
    </row>
    <row r="99" spans="1:22">
      <c r="A99" s="16" t="s">
        <v>108</v>
      </c>
      <c r="B99" s="198">
        <f>$B$97*B98</f>
        <v>0</v>
      </c>
      <c r="C99" s="198">
        <f t="shared" ref="C99:V99" si="51">$B$97*C98</f>
        <v>16495.644410247987</v>
      </c>
      <c r="D99" s="198">
        <f t="shared" si="51"/>
        <v>31341.724379471176</v>
      </c>
      <c r="E99" s="198">
        <f t="shared" si="51"/>
        <v>28207.55194152406</v>
      </c>
      <c r="F99" s="198">
        <f t="shared" si="51"/>
        <v>25403.292391781899</v>
      </c>
      <c r="G99" s="198">
        <f t="shared" si="51"/>
        <v>22862.963152603712</v>
      </c>
      <c r="H99" s="198">
        <f t="shared" si="51"/>
        <v>20553.572935168992</v>
      </c>
      <c r="I99" s="198">
        <f t="shared" si="51"/>
        <v>19464.860404092626</v>
      </c>
      <c r="J99" s="198">
        <f t="shared" si="51"/>
        <v>19497.851692913122</v>
      </c>
      <c r="K99" s="198">
        <f t="shared" si="51"/>
        <v>19464.860404092626</v>
      </c>
      <c r="L99" s="198">
        <f t="shared" si="51"/>
        <v>19497.851692913122</v>
      </c>
      <c r="M99" s="198">
        <f t="shared" si="51"/>
        <v>19464.860404092626</v>
      </c>
      <c r="N99" s="198">
        <f t="shared" si="51"/>
        <v>19497.851692913122</v>
      </c>
      <c r="O99" s="198">
        <f t="shared" si="51"/>
        <v>19464.860404092626</v>
      </c>
      <c r="P99" s="198">
        <f t="shared" si="51"/>
        <v>19497.851692913122</v>
      </c>
      <c r="Q99" s="198">
        <f t="shared" si="51"/>
        <v>19464.860404092626</v>
      </c>
      <c r="R99" s="198">
        <f t="shared" si="51"/>
        <v>9732.4302020463128</v>
      </c>
      <c r="S99" s="198">
        <f t="shared" si="51"/>
        <v>0</v>
      </c>
      <c r="T99" s="198">
        <f t="shared" si="51"/>
        <v>0</v>
      </c>
      <c r="U99" s="198">
        <f t="shared" si="51"/>
        <v>0</v>
      </c>
      <c r="V99" s="198">
        <f t="shared" si="51"/>
        <v>0</v>
      </c>
    </row>
    <row r="100" spans="1:22">
      <c r="A100" s="16" t="s">
        <v>118</v>
      </c>
      <c r="B100" s="19">
        <f t="shared" ref="B100:V100" si="52">B97-B99</f>
        <v>329912.88820495975</v>
      </c>
      <c r="C100" s="19">
        <f t="shared" si="52"/>
        <v>313417.24379471177</v>
      </c>
      <c r="D100" s="19">
        <f t="shared" si="52"/>
        <v>282075.51941524062</v>
      </c>
      <c r="E100" s="19">
        <f t="shared" si="52"/>
        <v>253867.96747371656</v>
      </c>
      <c r="F100" s="19">
        <f t="shared" si="52"/>
        <v>228464.67508193466</v>
      </c>
      <c r="G100" s="19">
        <f t="shared" si="52"/>
        <v>205601.71192933095</v>
      </c>
      <c r="H100" s="19">
        <f t="shared" si="52"/>
        <v>185048.13899416197</v>
      </c>
      <c r="I100" s="19">
        <f t="shared" si="52"/>
        <v>165583.27859006936</v>
      </c>
      <c r="J100" s="19">
        <f t="shared" si="52"/>
        <v>146085.42689715623</v>
      </c>
      <c r="K100" s="19">
        <f t="shared" si="52"/>
        <v>126620.5664930636</v>
      </c>
      <c r="L100" s="19">
        <f t="shared" si="52"/>
        <v>107122.71480015048</v>
      </c>
      <c r="M100" s="19">
        <f t="shared" si="52"/>
        <v>87657.854396057854</v>
      </c>
      <c r="N100" s="19">
        <f t="shared" si="52"/>
        <v>68160.002703144739</v>
      </c>
      <c r="O100" s="19">
        <f t="shared" si="52"/>
        <v>48695.14229905211</v>
      </c>
      <c r="P100" s="19">
        <f t="shared" si="52"/>
        <v>29197.290606138988</v>
      </c>
      <c r="Q100" s="19">
        <f t="shared" si="52"/>
        <v>9732.430202046362</v>
      </c>
      <c r="R100" s="19">
        <f t="shared" si="52"/>
        <v>4.9112713895738125E-11</v>
      </c>
      <c r="S100" s="19">
        <f t="shared" si="52"/>
        <v>4.9112713895738125E-11</v>
      </c>
      <c r="T100" s="19">
        <f t="shared" si="52"/>
        <v>4.9112713895738125E-11</v>
      </c>
      <c r="U100" s="19">
        <f t="shared" si="52"/>
        <v>4.9112713895738125E-11</v>
      </c>
      <c r="V100" s="19">
        <f t="shared" si="52"/>
        <v>4.9112713895738125E-11</v>
      </c>
    </row>
    <row r="102" spans="1:22">
      <c r="A102" s="236" t="s">
        <v>110</v>
      </c>
    </row>
    <row r="103" spans="1:22">
      <c r="A103" s="16" t="s">
        <v>119</v>
      </c>
      <c r="B103" s="19">
        <f>SUM(B67,B73,B79,B85,B91,B97)</f>
        <v>1311999.9999999998</v>
      </c>
      <c r="C103" s="19">
        <f>B105</f>
        <v>1311999.9999999998</v>
      </c>
      <c r="D103" s="19">
        <f t="shared" ref="D103:V103" si="53">C105</f>
        <v>1246399.9999999998</v>
      </c>
      <c r="E103" s="19">
        <f t="shared" si="53"/>
        <v>1121759.9999999998</v>
      </c>
      <c r="F103" s="19">
        <f t="shared" si="53"/>
        <v>1009583.9999999998</v>
      </c>
      <c r="G103" s="19">
        <f t="shared" si="53"/>
        <v>908559.99999999977</v>
      </c>
      <c r="H103" s="19">
        <f t="shared" si="53"/>
        <v>817638.39999999979</v>
      </c>
      <c r="I103" s="19">
        <f t="shared" si="53"/>
        <v>735900.79999999981</v>
      </c>
      <c r="J103" s="19">
        <f t="shared" si="53"/>
        <v>658492.79999999981</v>
      </c>
      <c r="K103" s="19">
        <f t="shared" si="53"/>
        <v>580953.59999999986</v>
      </c>
      <c r="L103" s="19">
        <f t="shared" si="53"/>
        <v>503545.59999999986</v>
      </c>
      <c r="M103" s="19">
        <f t="shared" si="53"/>
        <v>426006.39999999985</v>
      </c>
      <c r="N103" s="19">
        <f t="shared" si="53"/>
        <v>348598.39999999985</v>
      </c>
      <c r="O103" s="19">
        <f t="shared" si="53"/>
        <v>271059.19999999984</v>
      </c>
      <c r="P103" s="19">
        <f t="shared" si="53"/>
        <v>193651.19999999984</v>
      </c>
      <c r="Q103" s="19">
        <f t="shared" si="53"/>
        <v>116111.99999999984</v>
      </c>
      <c r="R103" s="19">
        <f t="shared" si="53"/>
        <v>38703.999999999854</v>
      </c>
      <c r="S103" s="19">
        <f t="shared" si="53"/>
        <v>-1.3824319466948509E-10</v>
      </c>
      <c r="T103" s="19">
        <f t="shared" si="53"/>
        <v>-1.3824319466948509E-10</v>
      </c>
      <c r="U103" s="19">
        <f t="shared" si="53"/>
        <v>-1.3824319466948509E-10</v>
      </c>
      <c r="V103" s="19">
        <f t="shared" si="53"/>
        <v>-1.3824319466948509E-10</v>
      </c>
    </row>
    <row r="104" spans="1:22">
      <c r="A104" s="16" t="s">
        <v>108</v>
      </c>
      <c r="B104" s="198">
        <f>SUM(B69,B75,B81,B87,B93,B99)</f>
        <v>0</v>
      </c>
      <c r="C104" s="198">
        <f t="shared" ref="C104:V104" si="54">SUM(C69,C75,C81,C87,C93,C99)</f>
        <v>65600</v>
      </c>
      <c r="D104" s="198">
        <f t="shared" si="54"/>
        <v>124639.99999999997</v>
      </c>
      <c r="E104" s="198">
        <f t="shared" si="54"/>
        <v>112175.99999999999</v>
      </c>
      <c r="F104" s="198">
        <f t="shared" si="54"/>
        <v>101023.99999999997</v>
      </c>
      <c r="G104" s="198">
        <f t="shared" si="54"/>
        <v>90921.599999999991</v>
      </c>
      <c r="H104" s="198">
        <f t="shared" si="54"/>
        <v>81737.599999999991</v>
      </c>
      <c r="I104" s="198">
        <f t="shared" si="54"/>
        <v>77407.999999999985</v>
      </c>
      <c r="J104" s="198">
        <f t="shared" si="54"/>
        <v>77539.199999999997</v>
      </c>
      <c r="K104" s="198">
        <f t="shared" si="54"/>
        <v>77407.999999999985</v>
      </c>
      <c r="L104" s="198">
        <f t="shared" si="54"/>
        <v>77539.199999999997</v>
      </c>
      <c r="M104" s="198">
        <f t="shared" si="54"/>
        <v>77407.999999999985</v>
      </c>
      <c r="N104" s="198">
        <f t="shared" si="54"/>
        <v>77539.199999999997</v>
      </c>
      <c r="O104" s="198">
        <f t="shared" si="54"/>
        <v>77407.999999999985</v>
      </c>
      <c r="P104" s="198">
        <f t="shared" si="54"/>
        <v>77539.199999999997</v>
      </c>
      <c r="Q104" s="198">
        <f t="shared" si="54"/>
        <v>77407.999999999985</v>
      </c>
      <c r="R104" s="198">
        <f t="shared" si="54"/>
        <v>38703.999999999993</v>
      </c>
      <c r="S104" s="198">
        <f t="shared" si="54"/>
        <v>0</v>
      </c>
      <c r="T104" s="198">
        <f t="shared" si="54"/>
        <v>0</v>
      </c>
      <c r="U104" s="198">
        <f t="shared" si="54"/>
        <v>0</v>
      </c>
      <c r="V104" s="198">
        <f t="shared" si="54"/>
        <v>0</v>
      </c>
    </row>
    <row r="105" spans="1:22">
      <c r="A105" s="16" t="s">
        <v>118</v>
      </c>
      <c r="B105" s="19">
        <f>B103-B104</f>
        <v>1311999.9999999998</v>
      </c>
      <c r="C105" s="19">
        <f t="shared" ref="C105:V105" si="55">C103-C104</f>
        <v>1246399.9999999998</v>
      </c>
      <c r="D105" s="19">
        <f t="shared" si="55"/>
        <v>1121759.9999999998</v>
      </c>
      <c r="E105" s="19">
        <f t="shared" si="55"/>
        <v>1009583.9999999998</v>
      </c>
      <c r="F105" s="19">
        <f t="shared" si="55"/>
        <v>908559.99999999977</v>
      </c>
      <c r="G105" s="19">
        <f t="shared" si="55"/>
        <v>817638.39999999979</v>
      </c>
      <c r="H105" s="19">
        <f t="shared" si="55"/>
        <v>735900.79999999981</v>
      </c>
      <c r="I105" s="19">
        <f t="shared" si="55"/>
        <v>658492.79999999981</v>
      </c>
      <c r="J105" s="19">
        <f t="shared" si="55"/>
        <v>580953.59999999986</v>
      </c>
      <c r="K105" s="19">
        <f t="shared" si="55"/>
        <v>503545.59999999986</v>
      </c>
      <c r="L105" s="19">
        <f t="shared" si="55"/>
        <v>426006.39999999985</v>
      </c>
      <c r="M105" s="19">
        <f t="shared" si="55"/>
        <v>348598.39999999985</v>
      </c>
      <c r="N105" s="19">
        <f t="shared" si="55"/>
        <v>271059.19999999984</v>
      </c>
      <c r="O105" s="19">
        <f t="shared" si="55"/>
        <v>193651.19999999984</v>
      </c>
      <c r="P105" s="19">
        <f t="shared" si="55"/>
        <v>116111.99999999984</v>
      </c>
      <c r="Q105" s="19">
        <f t="shared" si="55"/>
        <v>38703.999999999854</v>
      </c>
      <c r="R105" s="19">
        <f t="shared" si="55"/>
        <v>-1.3824319466948509E-10</v>
      </c>
      <c r="S105" s="19">
        <f t="shared" si="55"/>
        <v>-1.3824319466948509E-10</v>
      </c>
      <c r="T105" s="19">
        <f t="shared" si="55"/>
        <v>-1.3824319466948509E-10</v>
      </c>
      <c r="U105" s="19">
        <f t="shared" si="55"/>
        <v>-1.3824319466948509E-10</v>
      </c>
      <c r="V105" s="19">
        <f t="shared" si="55"/>
        <v>-1.3824319466948509E-10</v>
      </c>
    </row>
    <row r="109" spans="1:22">
      <c r="A109" s="44" t="s">
        <v>201</v>
      </c>
      <c r="B109" s="463">
        <f>B104</f>
        <v>0</v>
      </c>
      <c r="C109" s="463">
        <f t="shared" ref="C109:V109" si="56">C104</f>
        <v>65600</v>
      </c>
      <c r="D109" s="463">
        <f t="shared" si="56"/>
        <v>124639.99999999997</v>
      </c>
      <c r="E109" s="463">
        <f t="shared" si="56"/>
        <v>112175.99999999999</v>
      </c>
      <c r="F109" s="463">
        <f t="shared" si="56"/>
        <v>101023.99999999997</v>
      </c>
      <c r="G109" s="463">
        <f t="shared" si="56"/>
        <v>90921.599999999991</v>
      </c>
      <c r="H109" s="463">
        <f t="shared" si="56"/>
        <v>81737.599999999991</v>
      </c>
      <c r="I109" s="463">
        <f t="shared" si="56"/>
        <v>77407.999999999985</v>
      </c>
      <c r="J109" s="463">
        <f t="shared" si="56"/>
        <v>77539.199999999997</v>
      </c>
      <c r="K109" s="463">
        <f t="shared" si="56"/>
        <v>77407.999999999985</v>
      </c>
      <c r="L109" s="463">
        <f t="shared" si="56"/>
        <v>77539.199999999997</v>
      </c>
      <c r="M109" s="463">
        <f t="shared" si="56"/>
        <v>77407.999999999985</v>
      </c>
      <c r="N109" s="463">
        <f t="shared" si="56"/>
        <v>77539.199999999997</v>
      </c>
      <c r="O109" s="463">
        <f t="shared" si="56"/>
        <v>77407.999999999985</v>
      </c>
      <c r="P109" s="463">
        <f t="shared" si="56"/>
        <v>77539.199999999997</v>
      </c>
      <c r="Q109" s="463">
        <f t="shared" si="56"/>
        <v>77407.999999999985</v>
      </c>
      <c r="R109" s="463">
        <f t="shared" si="56"/>
        <v>38703.999999999993</v>
      </c>
      <c r="S109" s="463">
        <f t="shared" si="56"/>
        <v>0</v>
      </c>
      <c r="T109" s="463">
        <f t="shared" si="56"/>
        <v>0</v>
      </c>
      <c r="U109" s="463">
        <f t="shared" si="56"/>
        <v>0</v>
      </c>
      <c r="V109" s="463">
        <f t="shared" si="56"/>
        <v>0</v>
      </c>
    </row>
    <row r="110" spans="1:22">
      <c r="A110" s="399" t="s">
        <v>202</v>
      </c>
      <c r="B110" s="464">
        <v>0</v>
      </c>
      <c r="C110" s="464">
        <f>SUM(Brownsville!B91,Caledonia!B88,'New Albany'!B88,Gleason!B91,Wheatland!B92,Wilton!B85)</f>
        <v>-65600</v>
      </c>
      <c r="D110" s="464">
        <f>SUM(Brownsville!C91,Caledonia!C88,'New Albany'!C88,Gleason!C91,Wheatland!C92,Wilton!C85)</f>
        <v>-124639.99999999997</v>
      </c>
      <c r="E110" s="464">
        <f>SUM(Brownsville!D91,Caledonia!D88,'New Albany'!D88,Gleason!D91,Wheatland!D92,Wilton!D85)</f>
        <v>-112175.99999999999</v>
      </c>
      <c r="F110" s="464">
        <f>SUM(Brownsville!E91,Caledonia!E88,'New Albany'!E88,Gleason!E91,Wheatland!E92,Wilton!E85)</f>
        <v>-101023.99999999997</v>
      </c>
      <c r="G110" s="464">
        <f>SUM(Brownsville!F91,Caledonia!F88,'New Albany'!F88,Gleason!F91,Wheatland!F92,Wilton!F85)</f>
        <v>-90921.599999999991</v>
      </c>
      <c r="H110" s="464">
        <f>SUM(Brownsville!G91,Caledonia!G88,'New Albany'!G88,Gleason!G91,Wheatland!G92,Wilton!G85)</f>
        <v>-81737.599999999991</v>
      </c>
      <c r="I110" s="464">
        <f>SUM(Brownsville!H91,Caledonia!H88,'New Albany'!H88,Gleason!H91,Wheatland!H92,Wilton!H85)</f>
        <v>-77407.999999999985</v>
      </c>
      <c r="J110" s="464">
        <f>SUM(Brownsville!I91,Caledonia!I88,'New Albany'!I88,Gleason!I91,Wheatland!I92,Wilton!I85)</f>
        <v>-77539.199999999997</v>
      </c>
      <c r="K110" s="464">
        <f>SUM(Brownsville!J91,Caledonia!J88,'New Albany'!J88,Gleason!J91,Wheatland!J92,Wilton!J85)</f>
        <v>-77407.999999999985</v>
      </c>
      <c r="L110" s="464">
        <f>SUM(Brownsville!K91,Caledonia!K88,'New Albany'!K88,Gleason!K91,Wheatland!K92,Wilton!K85)</f>
        <v>-77539.199999999997</v>
      </c>
      <c r="M110" s="464">
        <f>SUM(Brownsville!L91,Caledonia!L88,'New Albany'!L88,Gleason!L91,Wheatland!L92,Wilton!L85)</f>
        <v>-77407.999999999985</v>
      </c>
      <c r="N110" s="464">
        <f>SUM(Brownsville!M91,Caledonia!M88,'New Albany'!M88,Gleason!M91,Wheatland!M92,Wilton!M85)</f>
        <v>-77539.199999999997</v>
      </c>
      <c r="O110" s="464">
        <f>SUM(Brownsville!N91,Caledonia!N88,'New Albany'!N88,Gleason!N91,Wheatland!N92,Wilton!N85)</f>
        <v>-77407.999999999985</v>
      </c>
      <c r="P110" s="464">
        <f>SUM(Brownsville!O91,Caledonia!O88,'New Albany'!O88,Gleason!O91,Wheatland!O92,Wilton!O85)</f>
        <v>-77539.199999999997</v>
      </c>
      <c r="Q110" s="464">
        <f>SUM(Brownsville!P91,Caledonia!P88,'New Albany'!P88,Gleason!P91,Wheatland!P92,Wilton!P85)</f>
        <v>-77407.999999999985</v>
      </c>
      <c r="R110" s="464">
        <f>SUM(Brownsville!Q91,Caledonia!Q88,'New Albany'!Q88,Gleason!Q91,Wheatland!Q92,Wilton!Q85)</f>
        <v>-38703.999999999993</v>
      </c>
      <c r="S110" s="464">
        <f>SUM(Brownsville!R91,Caledonia!R88,'New Albany'!R88,Gleason!R91,Wheatland!R92,Wilton!R85)</f>
        <v>0</v>
      </c>
      <c r="T110" s="464">
        <f>SUM(Brownsville!S91,Caledonia!S88,'New Albany'!S88,Gleason!S91,Wheatland!S92,Wilton!S85)</f>
        <v>0</v>
      </c>
      <c r="U110" s="464">
        <f>SUM(Brownsville!T91,Caledonia!T88,'New Albany'!T88,Gleason!T91,Wheatland!T92,Wilton!T85)</f>
        <v>0</v>
      </c>
      <c r="V110" s="464">
        <f>SUM(Brownsville!U91,Caledonia!U88,'New Albany'!U88,Gleason!U91,Wheatland!U92,Wilton!U85)</f>
        <v>0</v>
      </c>
    </row>
    <row r="111" spans="1:22">
      <c r="A111" s="44" t="s">
        <v>203</v>
      </c>
      <c r="B111" s="463">
        <f>B109+B110</f>
        <v>0</v>
      </c>
      <c r="C111" s="463">
        <f t="shared" ref="C111:V111" si="57">C109+C110</f>
        <v>0</v>
      </c>
      <c r="D111" s="463">
        <f t="shared" si="57"/>
        <v>0</v>
      </c>
      <c r="E111" s="463">
        <f t="shared" si="57"/>
        <v>0</v>
      </c>
      <c r="F111" s="463">
        <f t="shared" si="57"/>
        <v>0</v>
      </c>
      <c r="G111" s="463">
        <f t="shared" si="57"/>
        <v>0</v>
      </c>
      <c r="H111" s="463">
        <f t="shared" si="57"/>
        <v>0</v>
      </c>
      <c r="I111" s="463">
        <f t="shared" si="57"/>
        <v>0</v>
      </c>
      <c r="J111" s="463">
        <f t="shared" si="57"/>
        <v>0</v>
      </c>
      <c r="K111" s="463">
        <f t="shared" si="57"/>
        <v>0</v>
      </c>
      <c r="L111" s="463">
        <f t="shared" si="57"/>
        <v>0</v>
      </c>
      <c r="M111" s="463">
        <f t="shared" si="57"/>
        <v>0</v>
      </c>
      <c r="N111" s="463">
        <f t="shared" si="57"/>
        <v>0</v>
      </c>
      <c r="O111" s="463">
        <f t="shared" si="57"/>
        <v>0</v>
      </c>
      <c r="P111" s="463">
        <f t="shared" si="57"/>
        <v>0</v>
      </c>
      <c r="Q111" s="463">
        <f t="shared" si="57"/>
        <v>0</v>
      </c>
      <c r="R111" s="463">
        <f t="shared" si="57"/>
        <v>0</v>
      </c>
      <c r="S111" s="463">
        <f t="shared" si="57"/>
        <v>0</v>
      </c>
      <c r="T111" s="463">
        <f t="shared" si="57"/>
        <v>0</v>
      </c>
      <c r="U111" s="463">
        <f t="shared" si="57"/>
        <v>0</v>
      </c>
      <c r="V111" s="463">
        <f t="shared" si="57"/>
        <v>0</v>
      </c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170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24"/>
      <c r="B4" s="240">
        <v>3</v>
      </c>
      <c r="C4" s="240">
        <v>4</v>
      </c>
      <c r="D4" s="240">
        <v>5</v>
      </c>
      <c r="E4" s="241">
        <v>6</v>
      </c>
      <c r="F4" s="240">
        <v>7</v>
      </c>
      <c r="G4" s="240">
        <v>8</v>
      </c>
      <c r="H4" s="240">
        <v>9</v>
      </c>
      <c r="I4" s="240">
        <v>10</v>
      </c>
      <c r="J4" s="240">
        <v>11</v>
      </c>
      <c r="K4" s="241">
        <v>12</v>
      </c>
      <c r="L4" s="240">
        <v>13</v>
      </c>
      <c r="M4" s="240">
        <v>14</v>
      </c>
      <c r="N4" s="240">
        <v>15</v>
      </c>
      <c r="O4" s="240">
        <v>16</v>
      </c>
      <c r="P4" s="240">
        <v>17</v>
      </c>
      <c r="Q4" s="241">
        <v>18</v>
      </c>
      <c r="R4" s="240">
        <v>19</v>
      </c>
      <c r="S4" s="240">
        <v>20</v>
      </c>
      <c r="T4" s="240">
        <v>21</v>
      </c>
      <c r="U4" s="240">
        <v>22</v>
      </c>
      <c r="V4" s="156"/>
      <c r="W4" s="155"/>
    </row>
    <row r="5" spans="1:25" ht="13.5" thickBot="1">
      <c r="A5" s="194" t="s">
        <v>56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24"/>
      <c r="B6" s="24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25" t="s">
        <v>83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130</v>
      </c>
      <c r="B8" s="327">
        <f>SUM(Caledonia!B100,'New Albany'!B100,Wheatland!B106,Wilton!B97,Brownsville!B103,Gleason!B103)</f>
        <v>296.48996776542862</v>
      </c>
      <c r="C8" s="327">
        <f>SUM(Caledonia!C100,'New Albany'!C100,Wheatland!C106,Wilton!C97,Brownsville!C103,Gleason!C103)</f>
        <v>297.14384874839141</v>
      </c>
      <c r="D8" s="327">
        <f>SUM(Caledonia!D100,'New Albany'!D100,Wheatland!D106,Wilton!D97,Brownsville!D103,Gleason!D103)</f>
        <v>297.8207467523431</v>
      </c>
      <c r="E8" s="327">
        <f>SUM(Caledonia!E100,'New Albany'!E100,Wheatland!E106,Wilton!E97,Brownsville!E103,Gleason!E103)</f>
        <v>540.19017382831646</v>
      </c>
      <c r="F8" s="327">
        <f>SUM(Caledonia!F100,'New Albany'!F100,Wheatland!F106,Wilton!F97,Brownsville!F103,Gleason!F103)</f>
        <v>788.12514419986553</v>
      </c>
      <c r="G8" s="327">
        <f>SUM(Caledonia!G100,'New Albany'!G100,Wheatland!G106,Wilton!G97,Brownsville!G103,Gleason!G103)</f>
        <v>1954.7613361011781</v>
      </c>
      <c r="H8" s="327">
        <f>SUM(Caledonia!H100,'New Albany'!H100,Wheatland!H106,Wilton!H97,Brownsville!H103,Gleason!H103)</f>
        <v>3789.4719670718487</v>
      </c>
      <c r="I8" s="327">
        <f>SUM(Caledonia!I100,'New Albany'!I100,Wheatland!I106,Wilton!I97,Brownsville!I103,Gleason!I103)</f>
        <v>4860.7481389284203</v>
      </c>
      <c r="J8" s="327">
        <f>SUM(Caledonia!J100,'New Albany'!J100,Wheatland!J106,Wilton!J97,Brownsville!J103,Gleason!J103)</f>
        <v>6233.8317488410057</v>
      </c>
      <c r="K8" s="327">
        <f>SUM(Caledonia!K100,'New Albany'!K100,Wheatland!K106,Wilton!K97,Brownsville!K103,Gleason!K103)</f>
        <v>6705.3693523558413</v>
      </c>
      <c r="L8" s="327">
        <f>SUM(Caledonia!L100,'New Albany'!L100,Wheatland!L106,Wilton!L97,Brownsville!L103,Gleason!L103)</f>
        <v>7281.2767234353205</v>
      </c>
      <c r="M8" s="327">
        <f>SUM(Caledonia!M100,'New Albany'!M100,Wheatland!M106,Wilton!M97,Brownsville!M103,Gleason!M103)</f>
        <v>7887.7467565623083</v>
      </c>
      <c r="N8" s="327">
        <f>SUM(Caledonia!N100,'New Albany'!N100,Wheatland!N106,Wilton!N97,Brownsville!N103,Gleason!N103)</f>
        <v>8501.4069963103248</v>
      </c>
      <c r="O8" s="327">
        <f>SUM(Caledonia!O100,'New Albany'!O100,Wheatland!O106,Wilton!O97,Brownsville!O103,Gleason!O103)</f>
        <v>9104.4928450579228</v>
      </c>
      <c r="P8" s="327">
        <f>SUM(Caledonia!P100,'New Albany'!P100,Wheatland!P106,Wilton!P97,Brownsville!P103,Gleason!P103)</f>
        <v>9701.7460142074033</v>
      </c>
      <c r="Q8" s="327">
        <f>SUM(Caledonia!Q100,'New Albany'!Q100,Wheatland!Q106,Wilton!Q97,Brownsville!Q103,Gleason!Q103)</f>
        <v>12547.679438513642</v>
      </c>
      <c r="R8" s="327">
        <f>SUM(Caledonia!R100,'New Albany'!R100,Wheatland!R106,Wilton!R97,Brownsville!R103,Gleason!R103)</f>
        <v>15381.987392820172</v>
      </c>
      <c r="S8" s="327">
        <f>SUM(Caledonia!S100,'New Albany'!S100,Wheatland!S106,Wilton!S97,Brownsville!S103,Gleason!S103)</f>
        <v>15966.050288761568</v>
      </c>
      <c r="T8" s="327">
        <f>SUM(Caledonia!T100,'New Albany'!T100,Wheatland!T106,Wilton!T97,Brownsville!T103,Gleason!T103)</f>
        <v>16502.633352102333</v>
      </c>
      <c r="U8" s="327">
        <f>SUM(Caledonia!U100,'New Albany'!U100,Wheatland!U106,Wilton!U97,Brownsville!U103,Gleason!U103)</f>
        <v>17041.798175550404</v>
      </c>
      <c r="V8" s="221"/>
      <c r="W8" s="423">
        <f>SUM(B8:U8)</f>
        <v>145680.77040791404</v>
      </c>
      <c r="X8" s="422">
        <f>SUM(Brownsville!W103,Caledonia!W100,'New Albany'!W100,Gleason!W103,Wheatland!W106,Wilton!W97)</f>
        <v>145680.77040791404</v>
      </c>
      <c r="Y8" s="417">
        <f>W8-X8</f>
        <v>0</v>
      </c>
    </row>
    <row r="9" spans="1:25">
      <c r="A9" s="32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21"/>
      <c r="W9" s="221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25" t="s">
        <v>84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241</v>
      </c>
      <c r="B12" s="20">
        <f>IS!B40-IS!B13</f>
        <v>-796.09417894606304</v>
      </c>
      <c r="C12" s="20">
        <f>IS!C40-IS!C13</f>
        <v>-176.66528580908198</v>
      </c>
      <c r="D12" s="20">
        <f>IS!D40-IS!D13</f>
        <v>1009.2847082282096</v>
      </c>
      <c r="E12" s="20">
        <f>IS!E40</f>
        <v>88711.133170662317</v>
      </c>
      <c r="F12" s="20">
        <f>IS!F40</f>
        <v>102005.56429365068</v>
      </c>
      <c r="G12" s="20">
        <f>IS!G40</f>
        <v>107984.13347946586</v>
      </c>
      <c r="H12" s="20">
        <f>IS!H40</f>
        <v>114410.73954584057</v>
      </c>
      <c r="I12" s="20">
        <f>IS!I40</f>
        <v>121089.39969068429</v>
      </c>
      <c r="J12" s="20">
        <f>IS!J40</f>
        <v>128738.21685005422</v>
      </c>
      <c r="K12" s="20">
        <f>IS!K40</f>
        <v>135979.72895003928</v>
      </c>
      <c r="L12" s="20">
        <f>IS!L40</f>
        <v>145159.02530462132</v>
      </c>
      <c r="M12" s="20">
        <f>IS!M40</f>
        <v>155031.84815600881</v>
      </c>
      <c r="N12" s="20">
        <f>IS!N40</f>
        <v>164732.27281057529</v>
      </c>
      <c r="O12" s="20">
        <f>IS!O40</f>
        <v>174470.24163371674</v>
      </c>
      <c r="P12" s="20">
        <f>IS!P40</f>
        <v>183853.30088307505</v>
      </c>
      <c r="Q12" s="20">
        <f>IS!Q40</f>
        <v>193588.65221576439</v>
      </c>
      <c r="R12" s="20">
        <f>IS!R40</f>
        <v>203107.50748670549</v>
      </c>
      <c r="S12" s="20">
        <f>IS!S40</f>
        <v>212330.32229441986</v>
      </c>
      <c r="T12" s="20">
        <f>IS!T40</f>
        <v>220800.05220652826</v>
      </c>
      <c r="U12" s="20">
        <f>IS!U40</f>
        <v>229309.9915616925</v>
      </c>
      <c r="V12" s="157"/>
      <c r="W12" s="423">
        <f>SUM(B12:U12)</f>
        <v>2681338.655776978</v>
      </c>
      <c r="X12" s="422">
        <f>SUM(Caledonia!W86,'New Albany'!W86,Wheatland!W90,Wilton!W83,Brownsville!W89,Gleason!W89)</f>
        <v>2681338.655776978</v>
      </c>
      <c r="Y12" s="417">
        <f>W12-X12</f>
        <v>0</v>
      </c>
    </row>
    <row r="13" spans="1:25">
      <c r="A13" s="21" t="s">
        <v>132</v>
      </c>
      <c r="B13" s="20">
        <f>IS!B34</f>
        <v>44225.064199866087</v>
      </c>
      <c r="C13" s="20">
        <f>IS!C34</f>
        <v>44225.064199866087</v>
      </c>
      <c r="D13" s="20">
        <f>IS!D34</f>
        <v>44225.064199866087</v>
      </c>
      <c r="E13" s="20">
        <f>IS!E34</f>
        <v>44225.064199866087</v>
      </c>
      <c r="F13" s="20">
        <f>IS!F34</f>
        <v>44225.064199866087</v>
      </c>
      <c r="G13" s="20">
        <f>IS!G34</f>
        <v>44225.064199866087</v>
      </c>
      <c r="H13" s="20">
        <f>IS!H34</f>
        <v>44225.064199866087</v>
      </c>
      <c r="I13" s="20">
        <f>IS!I34</f>
        <v>44225.064199866087</v>
      </c>
      <c r="J13" s="20">
        <f>IS!J34</f>
        <v>44225.064199866087</v>
      </c>
      <c r="K13" s="20">
        <f>IS!K34</f>
        <v>44225.064199866087</v>
      </c>
      <c r="L13" s="20">
        <f>IS!L34</f>
        <v>44225.064199866087</v>
      </c>
      <c r="M13" s="20">
        <f>IS!M34</f>
        <v>44225.064199866087</v>
      </c>
      <c r="N13" s="20">
        <f>IS!N34</f>
        <v>44225.064199866087</v>
      </c>
      <c r="O13" s="20">
        <f>IS!O34</f>
        <v>44225.064199866087</v>
      </c>
      <c r="P13" s="20">
        <f>IS!P34</f>
        <v>44225.064199866087</v>
      </c>
      <c r="Q13" s="20">
        <f>IS!Q34</f>
        <v>44225.064199866087</v>
      </c>
      <c r="R13" s="20">
        <f>IS!R34</f>
        <v>44225.064199866087</v>
      </c>
      <c r="S13" s="20">
        <f>IS!S34</f>
        <v>44225.064199866087</v>
      </c>
      <c r="T13" s="20">
        <f>IS!T34</f>
        <v>44225.064199866087</v>
      </c>
      <c r="U13" s="20">
        <f>IS!U34</f>
        <v>44225.064199866087</v>
      </c>
      <c r="V13" s="157"/>
      <c r="W13" s="423">
        <f>SUM(B13:U13)</f>
        <v>884501.28399732127</v>
      </c>
      <c r="X13" s="422">
        <f>SUM(Caledonia!W87,'New Albany'!W87,Wheatland!W91,Wilton!W84,Brownsville!W90,Gleason!W90)</f>
        <v>884501.2839973215</v>
      </c>
      <c r="Y13" s="417">
        <f>W13-X13</f>
        <v>0</v>
      </c>
    </row>
    <row r="14" spans="1:25">
      <c r="A14" s="21" t="s">
        <v>199</v>
      </c>
      <c r="B14" s="22">
        <f>-Depreciation!C104</f>
        <v>-65600</v>
      </c>
      <c r="C14" s="22">
        <f>-Depreciation!D104</f>
        <v>-124639.99999999997</v>
      </c>
      <c r="D14" s="22">
        <f>-Depreciation!E104</f>
        <v>-112175.99999999999</v>
      </c>
      <c r="E14" s="22">
        <f>-Depreciation!F104</f>
        <v>-101023.99999999997</v>
      </c>
      <c r="F14" s="22">
        <f>-Depreciation!G104</f>
        <v>-90921.599999999991</v>
      </c>
      <c r="G14" s="22">
        <f>-Depreciation!H104</f>
        <v>-81737.599999999991</v>
      </c>
      <c r="H14" s="22">
        <f>-Depreciation!I104</f>
        <v>-77407.999999999985</v>
      </c>
      <c r="I14" s="22">
        <f>-Depreciation!J104</f>
        <v>-77539.199999999997</v>
      </c>
      <c r="J14" s="22">
        <f>-Depreciation!K104</f>
        <v>-77407.999999999985</v>
      </c>
      <c r="K14" s="22">
        <f>-Depreciation!L104</f>
        <v>-77539.199999999997</v>
      </c>
      <c r="L14" s="22">
        <f>-Depreciation!M104</f>
        <v>-77407.999999999985</v>
      </c>
      <c r="M14" s="22">
        <f>-Depreciation!N104</f>
        <v>-77539.199999999997</v>
      </c>
      <c r="N14" s="22">
        <f>-Depreciation!O104</f>
        <v>-77407.999999999985</v>
      </c>
      <c r="O14" s="22">
        <f>-Depreciation!P104</f>
        <v>-77539.199999999997</v>
      </c>
      <c r="P14" s="22">
        <f>-Depreciation!Q104</f>
        <v>-77407.999999999985</v>
      </c>
      <c r="Q14" s="22">
        <f>-Depreciation!R104</f>
        <v>-38703.999999999993</v>
      </c>
      <c r="R14" s="22">
        <f>-Depreciation!S104</f>
        <v>0</v>
      </c>
      <c r="S14" s="22">
        <f>-Depreciation!T104</f>
        <v>0</v>
      </c>
      <c r="T14" s="22">
        <f>-Depreciation!U104</f>
        <v>0</v>
      </c>
      <c r="U14" s="22">
        <f>-Depreciation!V104</f>
        <v>0</v>
      </c>
      <c r="V14" s="157"/>
      <c r="W14" s="423">
        <f>SUM(B14:U14)</f>
        <v>-1311999.9999999995</v>
      </c>
      <c r="X14" s="422">
        <f>SUM(Caledonia!W88,'New Albany'!W88,Wheatland!W92,Wilton!W85,Brownsville!W91,Gleason!W91)</f>
        <v>-1311999.9999999998</v>
      </c>
      <c r="Y14" s="417">
        <f>W14-X14</f>
        <v>0</v>
      </c>
    </row>
    <row r="15" spans="1:25" ht="15">
      <c r="A15" s="21" t="s">
        <v>139</v>
      </c>
      <c r="B15" s="232">
        <f>-B8</f>
        <v>-296.48996776542862</v>
      </c>
      <c r="C15" s="232">
        <f t="shared" ref="C15:U15" si="0">-C8</f>
        <v>-297.14384874839141</v>
      </c>
      <c r="D15" s="232">
        <f t="shared" si="0"/>
        <v>-297.8207467523431</v>
      </c>
      <c r="E15" s="232">
        <f t="shared" si="0"/>
        <v>-540.19017382831646</v>
      </c>
      <c r="F15" s="232">
        <f t="shared" si="0"/>
        <v>-788.12514419986553</v>
      </c>
      <c r="G15" s="232">
        <f t="shared" si="0"/>
        <v>-1954.7613361011781</v>
      </c>
      <c r="H15" s="232">
        <f t="shared" si="0"/>
        <v>-3789.4719670718487</v>
      </c>
      <c r="I15" s="232">
        <f t="shared" si="0"/>
        <v>-4860.7481389284203</v>
      </c>
      <c r="J15" s="232">
        <f t="shared" si="0"/>
        <v>-6233.8317488410057</v>
      </c>
      <c r="K15" s="232">
        <f t="shared" si="0"/>
        <v>-6705.3693523558413</v>
      </c>
      <c r="L15" s="232">
        <f t="shared" si="0"/>
        <v>-7281.2767234353205</v>
      </c>
      <c r="M15" s="232">
        <f t="shared" si="0"/>
        <v>-7887.7467565623083</v>
      </c>
      <c r="N15" s="232">
        <f t="shared" si="0"/>
        <v>-8501.4069963103248</v>
      </c>
      <c r="O15" s="232">
        <f t="shared" si="0"/>
        <v>-9104.4928450579228</v>
      </c>
      <c r="P15" s="232">
        <f t="shared" si="0"/>
        <v>-9701.7460142074033</v>
      </c>
      <c r="Q15" s="232">
        <f t="shared" si="0"/>
        <v>-12547.679438513642</v>
      </c>
      <c r="R15" s="232">
        <f t="shared" si="0"/>
        <v>-15381.987392820172</v>
      </c>
      <c r="S15" s="232">
        <f t="shared" si="0"/>
        <v>-15966.050288761568</v>
      </c>
      <c r="T15" s="232">
        <f t="shared" si="0"/>
        <v>-16502.633352102333</v>
      </c>
      <c r="U15" s="232">
        <f t="shared" si="0"/>
        <v>-17041.798175550404</v>
      </c>
      <c r="V15" s="159"/>
      <c r="W15" s="423">
        <f>SUM(B15:U15)</f>
        <v>-145680.77040791404</v>
      </c>
      <c r="X15" s="422">
        <f>SUM(Brownsville!W103,Caledonia!W100,'New Albany'!W100,Gleason!W103,Wheatland!W106,Wilton!W97)</f>
        <v>145680.77040791404</v>
      </c>
      <c r="Y15" s="417">
        <f>X15+W15</f>
        <v>0</v>
      </c>
    </row>
    <row r="16" spans="1:25">
      <c r="A16" s="227" t="s">
        <v>198</v>
      </c>
      <c r="B16" s="34">
        <f t="shared" ref="B16:U16" si="1">SUM(B12:B15)</f>
        <v>-22467.519946845405</v>
      </c>
      <c r="C16" s="34">
        <f t="shared" si="1"/>
        <v>-80888.744934691364</v>
      </c>
      <c r="D16" s="34">
        <f t="shared" si="1"/>
        <v>-67239.471838658035</v>
      </c>
      <c r="E16" s="34">
        <f t="shared" si="1"/>
        <v>31372.007196700131</v>
      </c>
      <c r="F16" s="34">
        <f t="shared" si="1"/>
        <v>54520.903349316904</v>
      </c>
      <c r="G16" s="34">
        <f t="shared" si="1"/>
        <v>68516.836343230767</v>
      </c>
      <c r="H16" s="34">
        <f t="shared" si="1"/>
        <v>77438.33177863482</v>
      </c>
      <c r="I16" s="34">
        <f t="shared" si="1"/>
        <v>82914.515751621948</v>
      </c>
      <c r="J16" s="34">
        <f t="shared" si="1"/>
        <v>89321.449301079308</v>
      </c>
      <c r="K16" s="34">
        <f t="shared" si="1"/>
        <v>95960.223797549523</v>
      </c>
      <c r="L16" s="34">
        <f t="shared" si="1"/>
        <v>104694.8127810521</v>
      </c>
      <c r="M16" s="34">
        <f t="shared" si="1"/>
        <v>113829.96559931259</v>
      </c>
      <c r="N16" s="34">
        <f t="shared" si="1"/>
        <v>123047.93001413108</v>
      </c>
      <c r="O16" s="34">
        <f t="shared" si="1"/>
        <v>132051.6129885249</v>
      </c>
      <c r="P16" s="34">
        <f t="shared" si="1"/>
        <v>140968.61906873374</v>
      </c>
      <c r="Q16" s="34">
        <f t="shared" si="1"/>
        <v>186562.03697711683</v>
      </c>
      <c r="R16" s="34">
        <f t="shared" si="1"/>
        <v>231950.5842937514</v>
      </c>
      <c r="S16" s="34">
        <f t="shared" si="1"/>
        <v>240589.33620552439</v>
      </c>
      <c r="T16" s="34">
        <f t="shared" si="1"/>
        <v>248522.48305429201</v>
      </c>
      <c r="U16" s="34">
        <f t="shared" si="1"/>
        <v>256493.25758600817</v>
      </c>
      <c r="V16" s="158"/>
      <c r="W16" s="423"/>
      <c r="X16" s="422"/>
      <c r="Y16" s="417"/>
    </row>
    <row r="17" spans="1:25">
      <c r="A17" s="2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140</v>
      </c>
      <c r="B18" s="495">
        <f>Assumptions!$K$37</f>
        <v>0.35</v>
      </c>
      <c r="C18" s="495">
        <f>Assumptions!$K$37</f>
        <v>0.35</v>
      </c>
      <c r="D18" s="495">
        <f>Assumptions!$K$37</f>
        <v>0.35</v>
      </c>
      <c r="E18" s="495">
        <f>Assumptions!$K$37</f>
        <v>0.35</v>
      </c>
      <c r="F18" s="495">
        <f>Assumptions!$K$37</f>
        <v>0.35</v>
      </c>
      <c r="G18" s="495">
        <f>Assumptions!$K$37</f>
        <v>0.35</v>
      </c>
      <c r="H18" s="495">
        <f>Assumptions!$K$37</f>
        <v>0.35</v>
      </c>
      <c r="I18" s="495">
        <f>Assumptions!$K$37</f>
        <v>0.35</v>
      </c>
      <c r="J18" s="495">
        <f>Assumptions!$K$37</f>
        <v>0.35</v>
      </c>
      <c r="K18" s="495">
        <f>Assumptions!$K$37</f>
        <v>0.35</v>
      </c>
      <c r="L18" s="495">
        <f>Assumptions!$K$37</f>
        <v>0.35</v>
      </c>
      <c r="M18" s="495">
        <f>Assumptions!$K$37</f>
        <v>0.35</v>
      </c>
      <c r="N18" s="495">
        <f>Assumptions!$K$37</f>
        <v>0.35</v>
      </c>
      <c r="O18" s="495">
        <f>Assumptions!$K$37</f>
        <v>0.35</v>
      </c>
      <c r="P18" s="495">
        <f>Assumptions!$K$37</f>
        <v>0.35</v>
      </c>
      <c r="Q18" s="495">
        <f>Assumptions!$K$37</f>
        <v>0.35</v>
      </c>
      <c r="R18" s="495">
        <f>Assumptions!$K$37</f>
        <v>0.35</v>
      </c>
      <c r="S18" s="495">
        <f>Assumptions!$K$37</f>
        <v>0.35</v>
      </c>
      <c r="T18" s="495">
        <f>Assumptions!$K$37</f>
        <v>0.35</v>
      </c>
      <c r="U18" s="495">
        <f>Assumptions!$K$37</f>
        <v>0.35</v>
      </c>
      <c r="V18" s="160"/>
      <c r="W18" s="160"/>
    </row>
    <row r="19" spans="1:25">
      <c r="A19" s="227" t="s">
        <v>141</v>
      </c>
      <c r="B19" s="34">
        <f t="shared" ref="B19:U19" si="2">B16*B18</f>
        <v>-7863.6319813958908</v>
      </c>
      <c r="C19" s="34">
        <f t="shared" si="2"/>
        <v>-28311.060727141976</v>
      </c>
      <c r="D19" s="34">
        <f t="shared" si="2"/>
        <v>-23533.815143530312</v>
      </c>
      <c r="E19" s="34">
        <f t="shared" si="2"/>
        <v>10980.202518845046</v>
      </c>
      <c r="F19" s="34">
        <f t="shared" si="2"/>
        <v>19082.316172260915</v>
      </c>
      <c r="G19" s="34">
        <f t="shared" si="2"/>
        <v>23980.892720130767</v>
      </c>
      <c r="H19" s="34">
        <f t="shared" si="2"/>
        <v>27103.416122522187</v>
      </c>
      <c r="I19" s="34">
        <f t="shared" si="2"/>
        <v>29020.080513067678</v>
      </c>
      <c r="J19" s="34">
        <f t="shared" si="2"/>
        <v>31262.507255377757</v>
      </c>
      <c r="K19" s="34">
        <f t="shared" si="2"/>
        <v>33586.078329142329</v>
      </c>
      <c r="L19" s="34">
        <f t="shared" si="2"/>
        <v>36643.18447336823</v>
      </c>
      <c r="M19" s="34">
        <f t="shared" si="2"/>
        <v>39840.487959759404</v>
      </c>
      <c r="N19" s="34">
        <f t="shared" si="2"/>
        <v>43066.775504945879</v>
      </c>
      <c r="O19" s="34">
        <f t="shared" si="2"/>
        <v>46218.064545983711</v>
      </c>
      <c r="P19" s="34">
        <f t="shared" si="2"/>
        <v>49339.016674056802</v>
      </c>
      <c r="Q19" s="34">
        <f t="shared" si="2"/>
        <v>65296.712941990889</v>
      </c>
      <c r="R19" s="34">
        <f t="shared" si="2"/>
        <v>81182.70450281298</v>
      </c>
      <c r="S19" s="34">
        <f t="shared" si="2"/>
        <v>84206.267671933529</v>
      </c>
      <c r="T19" s="34">
        <f t="shared" si="2"/>
        <v>86982.869069002205</v>
      </c>
      <c r="U19" s="34">
        <f t="shared" si="2"/>
        <v>89772.640155102854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226</v>
      </c>
      <c r="B21" s="239">
        <f>IF(B19&lt;0,-B19,0)</f>
        <v>7863.6319813958908</v>
      </c>
      <c r="C21" s="239">
        <f>IF(C19&lt;0,-C19+B21-B22,B21-B22)</f>
        <v>36174.69270853787</v>
      </c>
      <c r="D21" s="239">
        <f t="shared" ref="D21:U21" si="3">IF(D19&lt;0,-D19+C21-C22,C21-C22)</f>
        <v>59708.507852068185</v>
      </c>
      <c r="E21" s="239">
        <f t="shared" si="3"/>
        <v>59708.507852068185</v>
      </c>
      <c r="F21" s="239">
        <f t="shared" si="3"/>
        <v>48728.305333223136</v>
      </c>
      <c r="G21" s="239">
        <f t="shared" si="3"/>
        <v>29645.989160962221</v>
      </c>
      <c r="H21" s="239">
        <f t="shared" si="3"/>
        <v>5665.0964408314539</v>
      </c>
      <c r="I21" s="239">
        <f t="shared" si="3"/>
        <v>0</v>
      </c>
      <c r="J21" s="239">
        <f t="shared" si="3"/>
        <v>0</v>
      </c>
      <c r="K21" s="239">
        <f t="shared" si="3"/>
        <v>0</v>
      </c>
      <c r="L21" s="239">
        <f t="shared" si="3"/>
        <v>0</v>
      </c>
      <c r="M21" s="239">
        <f t="shared" si="3"/>
        <v>0</v>
      </c>
      <c r="N21" s="239">
        <f t="shared" si="3"/>
        <v>0</v>
      </c>
      <c r="O21" s="239">
        <f t="shared" si="3"/>
        <v>0</v>
      </c>
      <c r="P21" s="239">
        <f t="shared" si="3"/>
        <v>0</v>
      </c>
      <c r="Q21" s="239">
        <f t="shared" si="3"/>
        <v>0</v>
      </c>
      <c r="R21" s="239">
        <f t="shared" si="3"/>
        <v>0</v>
      </c>
      <c r="S21" s="239">
        <f t="shared" si="3"/>
        <v>0</v>
      </c>
      <c r="T21" s="239">
        <f t="shared" si="3"/>
        <v>0</v>
      </c>
      <c r="U21" s="239">
        <f t="shared" si="3"/>
        <v>0</v>
      </c>
      <c r="V21" s="157"/>
      <c r="W21" s="157"/>
    </row>
    <row r="22" spans="1:25">
      <c r="A22" s="17" t="s">
        <v>137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10980.202518845046</v>
      </c>
      <c r="F22" s="20">
        <f t="shared" si="4"/>
        <v>19082.316172260915</v>
      </c>
      <c r="G22" s="20">
        <f t="shared" si="4"/>
        <v>23980.892720130767</v>
      </c>
      <c r="H22" s="239">
        <f t="shared" si="4"/>
        <v>5665.0964408314539</v>
      </c>
      <c r="I22" s="239">
        <f t="shared" si="4"/>
        <v>0</v>
      </c>
      <c r="J22" s="239">
        <f t="shared" si="4"/>
        <v>0</v>
      </c>
      <c r="K22" s="239">
        <f t="shared" si="4"/>
        <v>0</v>
      </c>
      <c r="L22" s="239">
        <f t="shared" si="4"/>
        <v>0</v>
      </c>
      <c r="M22" s="239">
        <f t="shared" si="4"/>
        <v>0</v>
      </c>
      <c r="N22" s="239">
        <f t="shared" si="4"/>
        <v>0</v>
      </c>
      <c r="O22" s="239">
        <f t="shared" si="4"/>
        <v>0</v>
      </c>
      <c r="P22" s="239">
        <f t="shared" si="4"/>
        <v>0</v>
      </c>
      <c r="Q22" s="239">
        <f t="shared" si="4"/>
        <v>0</v>
      </c>
      <c r="R22" s="239">
        <f t="shared" si="4"/>
        <v>0</v>
      </c>
      <c r="S22" s="239">
        <f t="shared" si="4"/>
        <v>0</v>
      </c>
      <c r="T22" s="239">
        <f t="shared" si="4"/>
        <v>0</v>
      </c>
      <c r="U22" s="239">
        <f t="shared" si="4"/>
        <v>0</v>
      </c>
      <c r="V22" s="481"/>
      <c r="W22" s="481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227</v>
      </c>
      <c r="B24" s="496">
        <f t="shared" ref="B24:T24" si="5">IF(B19&lt;0,0,(B19-B22))</f>
        <v>0</v>
      </c>
      <c r="C24" s="496">
        <f t="shared" si="5"/>
        <v>0</v>
      </c>
      <c r="D24" s="496">
        <f t="shared" si="5"/>
        <v>0</v>
      </c>
      <c r="E24" s="496">
        <f t="shared" si="5"/>
        <v>0</v>
      </c>
      <c r="F24" s="496">
        <f t="shared" si="5"/>
        <v>0</v>
      </c>
      <c r="G24" s="496">
        <f t="shared" si="5"/>
        <v>0</v>
      </c>
      <c r="H24" s="496">
        <f t="shared" si="5"/>
        <v>21438.319681690733</v>
      </c>
      <c r="I24" s="496">
        <f t="shared" si="5"/>
        <v>29020.080513067678</v>
      </c>
      <c r="J24" s="496">
        <f t="shared" si="5"/>
        <v>31262.507255377757</v>
      </c>
      <c r="K24" s="496">
        <f t="shared" si="5"/>
        <v>33586.078329142329</v>
      </c>
      <c r="L24" s="496">
        <f t="shared" si="5"/>
        <v>36643.18447336823</v>
      </c>
      <c r="M24" s="496">
        <f t="shared" si="5"/>
        <v>39840.487959759404</v>
      </c>
      <c r="N24" s="496">
        <f t="shared" si="5"/>
        <v>43066.775504945879</v>
      </c>
      <c r="O24" s="496">
        <f t="shared" si="5"/>
        <v>46218.064545983711</v>
      </c>
      <c r="P24" s="496">
        <f t="shared" si="5"/>
        <v>49339.016674056802</v>
      </c>
      <c r="Q24" s="496">
        <f t="shared" si="5"/>
        <v>65296.712941990889</v>
      </c>
      <c r="R24" s="496">
        <f t="shared" si="5"/>
        <v>81182.70450281298</v>
      </c>
      <c r="S24" s="496">
        <f t="shared" si="5"/>
        <v>84206.267671933529</v>
      </c>
      <c r="T24" s="496">
        <f t="shared" si="5"/>
        <v>86982.869069002205</v>
      </c>
      <c r="U24" s="496">
        <f>IF(U19&lt;0,0,(U19-U22))</f>
        <v>89772.640155102854</v>
      </c>
      <c r="V24" s="161"/>
      <c r="W24" s="423">
        <f>SUM(B24:U24)</f>
        <v>737855.70927823498</v>
      </c>
      <c r="X24" s="422">
        <f>SUM(Brownsville!W62,Caledonia!W62,'New Albany'!W62,Gleason!W62,Wheatland!W62,Wilton!W62)</f>
        <v>-737855.70927823498</v>
      </c>
      <c r="Y24" s="417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75" right="0.75" top="1" bottom="1" header="0.5" footer="0.5"/>
  <pageSetup scale="50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7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92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1429.0040386638611</v>
      </c>
      <c r="AA7" s="470">
        <f>C10+C11</f>
        <v>1471.8741598237771</v>
      </c>
      <c r="AB7" s="470">
        <f>D10+D11</f>
        <v>1516.0303846184906</v>
      </c>
      <c r="AC7" s="470">
        <f t="shared" ref="AC7:AS7" si="1">E16</f>
        <v>1223.858653157045</v>
      </c>
      <c r="AD7" s="470">
        <f t="shared" si="1"/>
        <v>1260.5744127517564</v>
      </c>
      <c r="AE7" s="470">
        <f t="shared" si="1"/>
        <v>1298.3916451343091</v>
      </c>
      <c r="AF7" s="470">
        <f t="shared" si="1"/>
        <v>1337.3433944883384</v>
      </c>
      <c r="AG7" s="470">
        <f t="shared" si="1"/>
        <v>1377.4636963229882</v>
      </c>
      <c r="AH7" s="470">
        <f t="shared" si="1"/>
        <v>1418.787607212678</v>
      </c>
      <c r="AI7" s="470">
        <f t="shared" si="1"/>
        <v>1461.3512354290585</v>
      </c>
      <c r="AJ7" s="470">
        <f t="shared" si="1"/>
        <v>1505.1917724919304</v>
      </c>
      <c r="AK7" s="470">
        <f t="shared" si="1"/>
        <v>1550.3475256666879</v>
      </c>
      <c r="AL7" s="470">
        <f t="shared" si="1"/>
        <v>1596.8579514366886</v>
      </c>
      <c r="AM7" s="470">
        <f t="shared" si="1"/>
        <v>1644.7636899797892</v>
      </c>
      <c r="AN7" s="470">
        <f t="shared" si="1"/>
        <v>1694.1066006791832</v>
      </c>
      <c r="AO7" s="470">
        <f t="shared" si="1"/>
        <v>1744.9297986995584</v>
      </c>
      <c r="AP7" s="470">
        <f t="shared" si="1"/>
        <v>1797.2776926605452</v>
      </c>
      <c r="AQ7" s="470">
        <f t="shared" si="1"/>
        <v>1851.1960234403614</v>
      </c>
      <c r="AR7" s="470">
        <f t="shared" si="1"/>
        <v>1906.7319041435724</v>
      </c>
      <c r="AS7" s="470">
        <f t="shared" si="1"/>
        <v>1963.9338612678794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1429.0040386638611</v>
      </c>
      <c r="AA8" s="491">
        <f>C23+C24</f>
        <v>1471.8741598237771</v>
      </c>
      <c r="AB8" s="491">
        <f>D23+D24</f>
        <v>1516.0303846184906</v>
      </c>
      <c r="AC8" s="491">
        <f t="shared" ref="AC8:AS8" si="2">E23+1/3*E24</f>
        <v>1223.858653157045</v>
      </c>
      <c r="AD8" s="491">
        <f t="shared" si="2"/>
        <v>1260.5744127517564</v>
      </c>
      <c r="AE8" s="491">
        <f t="shared" si="2"/>
        <v>1298.3916451343091</v>
      </c>
      <c r="AF8" s="491">
        <f t="shared" si="2"/>
        <v>1337.3433944883384</v>
      </c>
      <c r="AG8" s="491">
        <f t="shared" si="2"/>
        <v>1377.4636963229884</v>
      </c>
      <c r="AH8" s="491">
        <f t="shared" si="2"/>
        <v>1418.7876072126783</v>
      </c>
      <c r="AI8" s="491">
        <f t="shared" si="2"/>
        <v>1461.3512354290588</v>
      </c>
      <c r="AJ8" s="491">
        <f t="shared" si="2"/>
        <v>1505.1917724919304</v>
      </c>
      <c r="AK8" s="491">
        <f t="shared" si="2"/>
        <v>1550.3475256666882</v>
      </c>
      <c r="AL8" s="491">
        <f t="shared" si="2"/>
        <v>1596.8579514366888</v>
      </c>
      <c r="AM8" s="491">
        <f t="shared" si="2"/>
        <v>1644.7636899797894</v>
      </c>
      <c r="AN8" s="491">
        <f t="shared" si="2"/>
        <v>1694.1066006791832</v>
      </c>
      <c r="AO8" s="491">
        <f t="shared" si="2"/>
        <v>1744.9297986995584</v>
      </c>
      <c r="AP8" s="491">
        <f t="shared" si="2"/>
        <v>1797.2776926605454</v>
      </c>
      <c r="AQ8" s="491">
        <f t="shared" si="2"/>
        <v>1851.1960234403616</v>
      </c>
      <c r="AR8" s="491">
        <f t="shared" si="2"/>
        <v>1906.7319041435726</v>
      </c>
      <c r="AS8" s="491">
        <f t="shared" si="2"/>
        <v>1963.9338612678794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Assumption'!C27*12*Assumptions!$C$9</f>
        <v>21984</v>
      </c>
      <c r="C9" s="56">
        <f>'Power Price Assumption'!D27*12*Assumptions!$C$9</f>
        <v>21984</v>
      </c>
      <c r="D9" s="56">
        <f>'Power Price Assumption'!E27*12*Assumptions!$C$9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Assumptions!C19*Assumptions!C17/1000*(1+Assumptions!$C$25)</f>
        <v>965.50403866386125</v>
      </c>
      <c r="C10" s="56">
        <f>B10*(1+Assumptions!$C$25)</f>
        <v>994.46915982377709</v>
      </c>
      <c r="D10" s="56">
        <f>C10*(1+Assumptions!$C$25)</f>
        <v>1024.3032346184905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2984.2764331061289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Assumptions!$C$18*Assumptions!$C$11*Assumptions!$C$8/1000*(1+Assumptions!$C$25)</f>
        <v>463.5</v>
      </c>
      <c r="C11" s="91">
        <f>B11*(1+Assumptions!$C$25)</f>
        <v>477.40500000000003</v>
      </c>
      <c r="D11" s="91">
        <f>C11*(1+Assumptions!$C$25)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Contract'!$C$11/3</f>
        <v>8116.9579548695401</v>
      </c>
      <c r="C12" s="127">
        <f>'Amortization of Power Contract'!$C$11/3</f>
        <v>8116.9579548695401</v>
      </c>
      <c r="D12" s="127">
        <f>'Amortization of Power Contract'!$C$11/3</f>
        <v>8116.9579548695401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24350.87386460862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Assumption'!F27*Assumptions!$C$9*12</f>
        <v>35282.900644089299</v>
      </c>
      <c r="F15" s="19">
        <f>'Power Price Assumption'!G27*Assumptions!$C$9*12</f>
        <v>37032.451918507053</v>
      </c>
      <c r="G15" s="19">
        <f>'Power Price Assumption'!H27*Assumptions!$C$9*12</f>
        <v>37507.345204401674</v>
      </c>
      <c r="H15" s="19">
        <f>'Power Price Assumption'!I27*Assumptions!$C$9*12</f>
        <v>37988.328382304651</v>
      </c>
      <c r="I15" s="19">
        <f>'Power Price Assumption'!J27*Assumptions!$C$9*12</f>
        <v>38475.479547202296</v>
      </c>
      <c r="J15" s="19">
        <f>'Power Price Assumption'!K27*Assumptions!$C$9*12</f>
        <v>38968.877795548135</v>
      </c>
      <c r="K15" s="19">
        <f>'Power Price Assumption'!L27*Assumptions!$C$9*12</f>
        <v>39468.603238105337</v>
      </c>
      <c r="L15" s="19">
        <f>'Power Price Assumption'!M27*Assumptions!$C$9*12</f>
        <v>40215.43427377467</v>
      </c>
      <c r="M15" s="19">
        <f>'Power Price Assumption'!N27*Assumptions!$C$9*12</f>
        <v>40976.396962202896</v>
      </c>
      <c r="N15" s="19">
        <f>'Power Price Assumption'!O27*Assumptions!$C$9*12</f>
        <v>41751.758704716616</v>
      </c>
      <c r="O15" s="19">
        <f>'Power Price Assumption'!P27*Assumptions!$C$9*12</f>
        <v>42541.791962451833</v>
      </c>
      <c r="P15" s="19">
        <f>'Power Price Assumption'!Q27*Assumptions!$C$9*12</f>
        <v>43346.774352096516</v>
      </c>
      <c r="Q15" s="19">
        <f>'Power Price Assumption'!R27*Assumptions!$C$9*12</f>
        <v>43965.220802977667</v>
      </c>
      <c r="R15" s="19">
        <f>'Power Price Assumption'!S27*Assumptions!$C$9*12</f>
        <v>44592.490886489504</v>
      </c>
      <c r="S15" s="19">
        <f>'Power Price Assumption'!T27*Assumptions!$C$9*12</f>
        <v>45228.710493067127</v>
      </c>
      <c r="T15" s="19">
        <f>'Power Price Assumption'!U27*Assumptions!$C$9*12</f>
        <v>45874.007309276829</v>
      </c>
      <c r="U15" s="19">
        <f>'Power Price Assumption'!V27*Assumptions!$C$9*12</f>
        <v>46528.510843442287</v>
      </c>
      <c r="W15" s="91">
        <f>SUM(B15:U15)</f>
        <v>699745.08332065446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1/3*Assumptions!$C$18*Assumptions!$C$11*Assumptions!$C$8/1000*(1+Assumptions!$C$25)^(E5-2000)+Assumptions!$C$19*Assumptions!$C$17*(1+Assumptions!$C$25)^(E5-2000)/1000</f>
        <v>1223.858653157045</v>
      </c>
      <c r="F16" s="127">
        <f>1/3*Assumptions!$C$18*Assumptions!$C$11*Assumptions!$C$8/1000*(1+Assumptions!$C$25)^(F5-2000)+Assumptions!$C$19*Assumptions!$C$17*(1+Assumptions!$C$25)^(F5-2000)/1000</f>
        <v>1260.5744127517564</v>
      </c>
      <c r="G16" s="127">
        <f>1/3*Assumptions!$C$18*Assumptions!$C$11*Assumptions!$C$8/1000*(1+Assumptions!$C$25)^(G5-2000)+Assumptions!$C$19*Assumptions!$C$17*(1+Assumptions!$C$25)^(G5-2000)/1000</f>
        <v>1298.3916451343091</v>
      </c>
      <c r="H16" s="127">
        <f>1/3*Assumptions!$C$18*Assumptions!$C$11*Assumptions!$C$8/1000*(1+Assumptions!$C$25)^(H5-2000)+Assumptions!$C$19*Assumptions!$C$17*(1+Assumptions!$C$25)^(H5-2000)/1000</f>
        <v>1337.3433944883384</v>
      </c>
      <c r="I16" s="127">
        <f>1/3*Assumptions!$C$18*Assumptions!$C$11*Assumptions!$C$8/1000*(1+Assumptions!$C$25)^(I5-2000)+Assumptions!$C$19*Assumptions!$C$17*(1+Assumptions!$C$25)^(I5-2000)/1000</f>
        <v>1377.4636963229882</v>
      </c>
      <c r="J16" s="127">
        <f>1/3*Assumptions!$C$18*Assumptions!$C$11*Assumptions!$C$8/1000*(1+Assumptions!$C$25)^(J5-2000)+Assumptions!$C$19*Assumptions!$C$17*(1+Assumptions!$C$25)^(J5-2000)/1000</f>
        <v>1418.787607212678</v>
      </c>
      <c r="K16" s="127">
        <f>1/3*Assumptions!$C$18*Assumptions!$C$11*Assumptions!$C$8/1000*(1+Assumptions!$C$25)^(K5-2000)+Assumptions!$C$19*Assumptions!$C$17*(1+Assumptions!$C$25)^(K5-2000)/1000</f>
        <v>1461.3512354290585</v>
      </c>
      <c r="L16" s="127">
        <f>1/3*Assumptions!$C$18*Assumptions!$C$11*Assumptions!$C$8/1000*(1+Assumptions!$C$25)^(L5-2000)+Assumptions!$C$19*Assumptions!$C$17*(1+Assumptions!$C$25)^(L5-2000)/1000</f>
        <v>1505.1917724919304</v>
      </c>
      <c r="M16" s="127">
        <f>1/3*Assumptions!$C$18*Assumptions!$C$11*Assumptions!$C$8/1000*(1+Assumptions!$C$25)^(M5-2000)+Assumptions!$C$19*Assumptions!$C$17*(1+Assumptions!$C$25)^(M5-2000)/1000</f>
        <v>1550.3475256666879</v>
      </c>
      <c r="N16" s="127">
        <f>1/3*Assumptions!$C$18*Assumptions!$C$11*Assumptions!$C$8/1000*(1+Assumptions!$C$25)^(N5-2000)+Assumptions!$C$19*Assumptions!$C$17*(1+Assumptions!$C$25)^(N5-2000)/1000</f>
        <v>1596.8579514366886</v>
      </c>
      <c r="O16" s="127">
        <f>1/3*Assumptions!$C$18*Assumptions!$C$11*Assumptions!$C$8/1000*(1+Assumptions!$C$25)^(O5-2000)+Assumptions!$C$19*Assumptions!$C$17*(1+Assumptions!$C$25)^(O5-2000)/1000</f>
        <v>1644.7636899797892</v>
      </c>
      <c r="P16" s="127">
        <f>1/3*Assumptions!$C$18*Assumptions!$C$11*Assumptions!$C$8/1000*(1+Assumptions!$C$25)^(P5-2000)+Assumptions!$C$19*Assumptions!$C$17*(1+Assumptions!$C$25)^(P5-2000)/1000</f>
        <v>1694.1066006791832</v>
      </c>
      <c r="Q16" s="127">
        <f>1/3*Assumptions!$C$18*Assumptions!$C$11*Assumptions!$C$8/1000*(1+Assumptions!$C$25)^(Q5-2000)+Assumptions!$C$19*Assumptions!$C$17*(1+Assumptions!$C$25)^(Q5-2000)/1000</f>
        <v>1744.9297986995584</v>
      </c>
      <c r="R16" s="127">
        <f>1/3*Assumptions!$C$18*Assumptions!$C$11*Assumptions!$C$8/1000*(1+Assumptions!$C$25)^(R5-2000)+Assumptions!$C$19*Assumptions!$C$17*(1+Assumptions!$C$25)^(R5-2000)/1000</f>
        <v>1797.2776926605452</v>
      </c>
      <c r="S16" s="127">
        <f>1/3*Assumptions!$C$18*Assumptions!$C$11*Assumptions!$C$8/1000*(1+Assumptions!$C$25)^(S5-2000)+Assumptions!$C$19*Assumptions!$C$17*(1+Assumptions!$C$25)^(S5-2000)/1000</f>
        <v>1851.1960234403614</v>
      </c>
      <c r="T16" s="127">
        <f>1/3*Assumptions!$C$18*Assumptions!$C$11*Assumptions!$C$8/1000*(1+Assumptions!$C$25)^(T5-2000)+Assumptions!$C$19*Assumptions!$C$17*(1+Assumptions!$C$25)^(T5-2000)/1000</f>
        <v>1906.7319041435724</v>
      </c>
      <c r="U16" s="127">
        <f>1/3*Assumptions!$C$18*Assumptions!$C$11*Assumptions!$C$8/1000*(1+Assumptions!$C$25)^(U5-2000)+Assumptions!$C$19*Assumptions!$C$17*(1+Assumptions!$C$25)^(U5-2000)/1000</f>
        <v>1963.9338612678794</v>
      </c>
      <c r="W16" s="91">
        <f>SUM(B16:U16)</f>
        <v>26633.10746496237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239.33555647057702</v>
      </c>
      <c r="C18" s="198">
        <f>(SUM(C9:C11)-SUM(C22:C27))*'Summary Output'!$B$29/4</f>
        <v>238.11645424824201</v>
      </c>
      <c r="D18" s="198">
        <f>(SUM(D9:D11)-SUM(D22:D27))*'Summary Output'!$B$29/4</f>
        <v>237.47462345949086</v>
      </c>
      <c r="E18" s="198">
        <f>(SUM(E9:E16)-SUM(E22:E27))*'Summary Output'!$B$29/4</f>
        <v>398.87379048964789</v>
      </c>
      <c r="F18" s="198">
        <f>(SUM(F9:F16)-SUM(F22:F27))*'Summary Output'!$B$29/4</f>
        <v>419.95099200575146</v>
      </c>
      <c r="G18" s="198">
        <f>(SUM(G9:G16)-SUM(G22:G27))*'Summary Output'!$B$29/4</f>
        <v>425.06590415928508</v>
      </c>
      <c r="H18" s="198">
        <f>(SUM(H9:H16)-SUM(H22:H27))*'Summary Output'!$B$29/4</f>
        <v>430.22700352171125</v>
      </c>
      <c r="I18" s="198">
        <f>(SUM(I9:I16)-SUM(I22:I27))*'Summary Output'!$B$29/4</f>
        <v>435.43436818712263</v>
      </c>
      <c r="J18" s="198">
        <f>(SUM(J9:J16)-SUM(J22:J27))*'Summary Output'!$B$29/4</f>
        <v>440.68806182515482</v>
      </c>
      <c r="K18" s="198">
        <f>(SUM(K9:K16)-SUM(K22:K27))*'Summary Output'!$B$29/4</f>
        <v>445.98813303323305</v>
      </c>
      <c r="L18" s="198">
        <f>(SUM(L9:L16)-SUM(L22:L27))*'Summary Output'!$B$29/4</f>
        <v>454.34333042688905</v>
      </c>
      <c r="M18" s="198">
        <f>(SUM(M9:M16)-SUM(M22:M27))*'Summary Output'!$B$29/4</f>
        <v>462.84046893985743</v>
      </c>
      <c r="N18" s="198">
        <f>(SUM(N9:N16)-SUM(N22:N27))*'Summary Output'!$B$29/4</f>
        <v>471.48184995251569</v>
      </c>
      <c r="O18" s="198">
        <f>(SUM(O9:O16)-SUM(O22:O27))*'Summary Output'!$B$29/4</f>
        <v>480.26980685877243</v>
      </c>
      <c r="P18" s="198">
        <f>(SUM(P9:P16)-SUM(P22:P27))*'Summary Output'!$B$29/4</f>
        <v>488.54860156108191</v>
      </c>
      <c r="Q18" s="198">
        <f>(SUM(Q9:Q16)-SUM(Q22:Q27))*'Summary Output'!$B$29/4</f>
        <v>495.00782845258522</v>
      </c>
      <c r="R18" s="198">
        <f>(SUM(R9:R16)-SUM(R22:R27))*'Summary Output'!$B$29/4</f>
        <v>501.53498043678229</v>
      </c>
      <c r="S18" s="198">
        <f>(SUM(S9:S16)-SUM(S22:S27))*'Summary Output'!$B$29/4</f>
        <v>508.13038141707131</v>
      </c>
      <c r="T18" s="198">
        <f>(SUM(T9:T16)-SUM(T22:T27))*'Summary Output'!$B$29/4</f>
        <v>514.79434068432761</v>
      </c>
      <c r="U18" s="198">
        <f>(SUM(U9:U16)-SUM(U22:U27))*'Summary Output'!$B$29/4</f>
        <v>521.64287720244999</v>
      </c>
      <c r="W18" s="91">
        <f>SUM(B18:U18)</f>
        <v>8609.7493533325505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31769.297550003979</v>
      </c>
      <c r="C19" s="56">
        <f t="shared" ref="C19:U19" si="4">SUM(C9:C18)</f>
        <v>31810.94856894156</v>
      </c>
      <c r="D19" s="56">
        <f t="shared" si="4"/>
        <v>31854.46296294752</v>
      </c>
      <c r="E19" s="56">
        <f t="shared" si="4"/>
        <v>36905.633087735994</v>
      </c>
      <c r="F19" s="56">
        <f t="shared" si="4"/>
        <v>38712.97732326456</v>
      </c>
      <c r="G19" s="56">
        <f t="shared" si="4"/>
        <v>39230.802753695272</v>
      </c>
      <c r="H19" s="56">
        <f t="shared" si="4"/>
        <v>39755.898780314696</v>
      </c>
      <c r="I19" s="56">
        <f t="shared" si="4"/>
        <v>40288.377611712407</v>
      </c>
      <c r="J19" s="56">
        <f t="shared" si="4"/>
        <v>40828.353464585962</v>
      </c>
      <c r="K19" s="56">
        <f t="shared" si="4"/>
        <v>41375.942606567631</v>
      </c>
      <c r="L19" s="56">
        <f t="shared" si="4"/>
        <v>42174.969376693494</v>
      </c>
      <c r="M19" s="56">
        <f t="shared" si="4"/>
        <v>42989.584956809442</v>
      </c>
      <c r="N19" s="56">
        <f t="shared" si="4"/>
        <v>43820.098506105816</v>
      </c>
      <c r="O19" s="56">
        <f t="shared" si="4"/>
        <v>44666.82545929039</v>
      </c>
      <c r="P19" s="56">
        <f t="shared" si="4"/>
        <v>45529.429554336777</v>
      </c>
      <c r="Q19" s="56">
        <f t="shared" si="4"/>
        <v>46205.158430129813</v>
      </c>
      <c r="R19" s="56">
        <f t="shared" si="4"/>
        <v>46891.303559586828</v>
      </c>
      <c r="S19" s="56">
        <f t="shared" si="4"/>
        <v>47588.036897924554</v>
      </c>
      <c r="T19" s="56">
        <f t="shared" si="4"/>
        <v>48295.533554104724</v>
      </c>
      <c r="U19" s="56">
        <f t="shared" si="4"/>
        <v>49014.087581912616</v>
      </c>
      <c r="W19" s="91">
        <f>SUM(B19:U19)</f>
        <v>829707.72258666414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3" t="s">
        <v>48</v>
      </c>
      <c r="B22" s="127">
        <f>Assumptions!C28*(1+Assumptions!$C$25)</f>
        <v>1610.5404141000004</v>
      </c>
      <c r="C22" s="91">
        <f>B22*(1+Assumptions!$C$25)</f>
        <v>1658.8566265230004</v>
      </c>
      <c r="D22" s="91">
        <f>C22*(1+Assumptions!$C$25)</f>
        <v>1708.6223253186904</v>
      </c>
      <c r="E22" s="91">
        <f>D22*(1+Assumptions!$C$25)</f>
        <v>1759.8809950782511</v>
      </c>
      <c r="F22" s="91">
        <f>E22*(1+Assumptions!$C$25)</f>
        <v>1812.6774249305986</v>
      </c>
      <c r="G22" s="91">
        <f>F22*(1+Assumptions!$C$25)</f>
        <v>1867.0577476785165</v>
      </c>
      <c r="H22" s="91">
        <f>G22*(1+Assumptions!$C$25)</f>
        <v>1923.0694801088721</v>
      </c>
      <c r="I22" s="91">
        <f>H22*(1+Assumptions!$C$25)</f>
        <v>1980.7615645121382</v>
      </c>
      <c r="J22" s="91">
        <f>I22*(1+Assumptions!$C$25)</f>
        <v>2040.1844114475025</v>
      </c>
      <c r="K22" s="91">
        <f>J22*(1+Assumptions!$C$25)</f>
        <v>2101.3899437909276</v>
      </c>
      <c r="L22" s="91">
        <f>K22*(1+Assumptions!$C$25)</f>
        <v>2164.4316421046556</v>
      </c>
      <c r="M22" s="91">
        <f>L22*(1+Assumptions!$C$25)</f>
        <v>2229.3645913677951</v>
      </c>
      <c r="N22" s="91">
        <f>M22*(1+Assumptions!$C$25)</f>
        <v>2296.245529108829</v>
      </c>
      <c r="O22" s="91">
        <f>N22*(1+Assumptions!$C$25)</f>
        <v>2365.1328949820941</v>
      </c>
      <c r="P22" s="91">
        <f>O22*(1+Assumptions!$C$25)</f>
        <v>2436.0868818315571</v>
      </c>
      <c r="Q22" s="91">
        <f>P22*(1+Assumptions!$C$25)</f>
        <v>2509.169488286504</v>
      </c>
      <c r="R22" s="91">
        <f>Q22*(1+Assumptions!$C$25)</f>
        <v>2584.4445729350991</v>
      </c>
      <c r="S22" s="91">
        <f>R22*(1+Assumptions!$C$25)</f>
        <v>2661.977910123152</v>
      </c>
      <c r="T22" s="91">
        <f>S22*(1+Assumptions!$C$25)</f>
        <v>2741.8372474268467</v>
      </c>
      <c r="U22" s="91">
        <f>T22*(1+Assumptions!$C$25)</f>
        <v>2824.0923648496523</v>
      </c>
      <c r="W22" s="91">
        <f t="shared" ref="W22:W28" si="5">SUM(B22:U22)</f>
        <v>43275.824056504687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49</v>
      </c>
      <c r="B23" s="127">
        <f>Assumptions!$C$29*(1+Assumptions!$C$25)</f>
        <v>965.50403866386125</v>
      </c>
      <c r="C23" s="127">
        <f>B23*(1+Assumptions!$C$25)</f>
        <v>994.46915982377709</v>
      </c>
      <c r="D23" s="127">
        <f>C23*(1+Assumptions!$C$25)</f>
        <v>1024.3032346184905</v>
      </c>
      <c r="E23" s="127">
        <f>Assumptions!$C$19*Assumptions!$C$23*(1+Assumptions!$C$25)^(E5-2000)/1000</f>
        <v>1055.032331657045</v>
      </c>
      <c r="F23" s="127">
        <f>Assumptions!$C$19*Assumptions!$C$23*(1+Assumptions!$C$25)^(F5-2000)/1000</f>
        <v>1086.6833016067565</v>
      </c>
      <c r="G23" s="127">
        <f>Assumptions!$C$19*Assumptions!$C$23*(1+Assumptions!$C$25)^(G5-2000)/1000</f>
        <v>1119.2838006549591</v>
      </c>
      <c r="H23" s="127">
        <f>Assumptions!$C$19*Assumptions!$C$23*(1+Assumptions!$C$25)^(H5-2000)/1000</f>
        <v>1152.8623146746079</v>
      </c>
      <c r="I23" s="127">
        <f>Assumptions!$C$19*Assumptions!$C$23*(1+Assumptions!$C$25)^(I5-2000)/1000</f>
        <v>1187.4481841148458</v>
      </c>
      <c r="J23" s="127">
        <f>Assumptions!$C$19*Assumptions!$C$23*(1+Assumptions!$C$25)^(J5-2000)/1000</f>
        <v>1223.0716296382914</v>
      </c>
      <c r="K23" s="127">
        <f>Assumptions!$C$19*Assumptions!$C$23*(1+Assumptions!$C$25)^(K5-2000)/1000</f>
        <v>1259.7637785274403</v>
      </c>
      <c r="L23" s="127">
        <f>Assumptions!$C$19*Assumptions!$C$23*(1+Assumptions!$C$25)^(L5-2000)/1000</f>
        <v>1297.5566918832635</v>
      </c>
      <c r="M23" s="127">
        <f>Assumptions!$C$19*Assumptions!$C$23*(1+Assumptions!$C$25)^(M5-2000)/1000</f>
        <v>1336.4833926397612</v>
      </c>
      <c r="N23" s="127">
        <f>Assumptions!$C$19*Assumptions!$C$23*(1+Assumptions!$C$25)^(N5-2000)/1000</f>
        <v>1376.577894418954</v>
      </c>
      <c r="O23" s="127">
        <f>Assumptions!$C$19*Assumptions!$C$23*(1+Assumptions!$C$25)^(O5-2000)/1000</f>
        <v>1417.8752312515226</v>
      </c>
      <c r="P23" s="127">
        <f>Assumptions!$C$19*Assumptions!$C$23*(1+Assumptions!$C$25)^(P5-2000)/1000</f>
        <v>1460.4114881890685</v>
      </c>
      <c r="Q23" s="127">
        <f>Assumptions!$C$19*Assumptions!$C$23*(1+Assumptions!$C$25)^(Q5-2000)/1000</f>
        <v>1504.2238328347403</v>
      </c>
      <c r="R23" s="127">
        <f>Assumptions!$C$19*Assumptions!$C$23*(1+Assumptions!$C$25)^(R5-2000)/1000</f>
        <v>1549.3505478197826</v>
      </c>
      <c r="S23" s="127">
        <f>Assumptions!$C$19*Assumptions!$C$23*(1+Assumptions!$C$25)^(S5-2000)/1000</f>
        <v>1595.8310642543759</v>
      </c>
      <c r="T23" s="127">
        <f>Assumptions!$C$19*Assumptions!$C$23*(1+Assumptions!$C$25)^(T5-2000)/1000</f>
        <v>1643.7059961820073</v>
      </c>
      <c r="U23" s="127">
        <f>Assumptions!$C$19*Assumptions!$C$23*(1+Assumptions!$C$25)^(U5-2000)/1000</f>
        <v>1693.0171760674673</v>
      </c>
      <c r="W23" s="91">
        <f t="shared" si="5"/>
        <v>25943.455089521016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256</v>
      </c>
      <c r="B24" s="127">
        <f>Assumptions!$C$24*Assumptions!$C$11*Assumptions!$C$8/1000*(1+Assumptions!$C$25)</f>
        <v>463.5</v>
      </c>
      <c r="C24" s="91">
        <f>B24*(1+Assumptions!$C$25)</f>
        <v>477.40500000000003</v>
      </c>
      <c r="D24" s="91">
        <f>C24*(1+Assumptions!$C$25)</f>
        <v>491.72715000000005</v>
      </c>
      <c r="E24" s="91">
        <f>D24*(1+Assumptions!$C$25)</f>
        <v>506.47896450000007</v>
      </c>
      <c r="F24" s="91">
        <f>E24*(1+Assumptions!$C$25)</f>
        <v>521.67333343500013</v>
      </c>
      <c r="G24" s="91">
        <f>F24*(1+Assumptions!$C$25)</f>
        <v>537.32353343805016</v>
      </c>
      <c r="H24" s="91">
        <f>G24*(1+Assumptions!$C$25)</f>
        <v>553.44323944119174</v>
      </c>
      <c r="I24" s="91">
        <f>H24*(1+Assumptions!$C$25)</f>
        <v>570.04653662442752</v>
      </c>
      <c r="J24" s="91">
        <f>I24*(1+Assumptions!$C$25)</f>
        <v>587.14793272316035</v>
      </c>
      <c r="K24" s="91">
        <f>J24*(1+Assumptions!$C$25)</f>
        <v>604.76237070485513</v>
      </c>
      <c r="L24" s="91">
        <f>K24*(1+Assumptions!$C$25)</f>
        <v>622.90524182600075</v>
      </c>
      <c r="M24" s="91">
        <f>L24*(1+Assumptions!$C$25)</f>
        <v>641.59239908078075</v>
      </c>
      <c r="N24" s="91">
        <f>M24*(1+Assumptions!$C$25)</f>
        <v>660.84017105320424</v>
      </c>
      <c r="O24" s="91">
        <f>N24*(1+Assumptions!$C$25)</f>
        <v>680.66537618480038</v>
      </c>
      <c r="P24" s="91">
        <f>O24*(1+Assumptions!$C$25)</f>
        <v>701.08533747034437</v>
      </c>
      <c r="Q24" s="91">
        <f>P24*(1+Assumptions!$C$25)</f>
        <v>722.11789759445469</v>
      </c>
      <c r="R24" s="91">
        <f>Q24*(1+Assumptions!$C$25)</f>
        <v>743.78143452228835</v>
      </c>
      <c r="S24" s="91">
        <f>R24*(1+Assumptions!$C$25)</f>
        <v>766.09487755795703</v>
      </c>
      <c r="T24" s="91">
        <f>S24*(1+Assumptions!$C$25)</f>
        <v>789.07772388469573</v>
      </c>
      <c r="U24" s="91">
        <f>T24*(1+Assumptions!$C$25)</f>
        <v>812.75005560123657</v>
      </c>
      <c r="W24" s="91">
        <f t="shared" si="5"/>
        <v>12454.418575642445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112</v>
      </c>
      <c r="B25" s="127">
        <f>Assumptions!C31*(1+Assumptions!$C$25)</f>
        <v>444.73872166666666</v>
      </c>
      <c r="C25" s="91">
        <f>B25*(1+Assumptions!$C$25)</f>
        <v>458.0808833166667</v>
      </c>
      <c r="D25" s="91">
        <f>C25*(1+Assumptions!$C$25)</f>
        <v>471.82330981616673</v>
      </c>
      <c r="E25" s="91">
        <f>D25*(1+Assumptions!$C$25)</f>
        <v>485.97800911065173</v>
      </c>
      <c r="F25" s="91">
        <f>E25*(1+Assumptions!$C$25)</f>
        <v>500.55734938397131</v>
      </c>
      <c r="G25" s="91">
        <f>F25*(1+Assumptions!$C$25)</f>
        <v>515.57406986549051</v>
      </c>
      <c r="H25" s="91">
        <f>G25*(1+Assumptions!$C$25)</f>
        <v>531.04129196145527</v>
      </c>
      <c r="I25" s="91">
        <f>H25*(1+Assumptions!$C$25)</f>
        <v>546.97253072029889</v>
      </c>
      <c r="J25" s="91">
        <f>I25*(1+Assumptions!$C$25)</f>
        <v>563.38170664190784</v>
      </c>
      <c r="K25" s="91">
        <f>J25*(1+Assumptions!$C$25)</f>
        <v>580.28315784116512</v>
      </c>
      <c r="L25" s="91">
        <f>K25*(1+Assumptions!$C$25)</f>
        <v>597.69165257640009</v>
      </c>
      <c r="M25" s="91">
        <f>L25*(1+Assumptions!$C$25)</f>
        <v>615.62240215369206</v>
      </c>
      <c r="N25" s="91">
        <f>M25*(1+Assumptions!$C$25)</f>
        <v>634.09107421830288</v>
      </c>
      <c r="O25" s="91">
        <f>N25*(1+Assumptions!$C$25)</f>
        <v>653.113806444852</v>
      </c>
      <c r="P25" s="91">
        <f>O25*(1+Assumptions!$C$25)</f>
        <v>672.70722063819755</v>
      </c>
      <c r="Q25" s="91">
        <f>P25*(1+Assumptions!$C$25)</f>
        <v>692.88843725734353</v>
      </c>
      <c r="R25" s="91">
        <f>Q25*(1+Assumptions!$C$25)</f>
        <v>713.67509037506386</v>
      </c>
      <c r="S25" s="91">
        <f>R25*(1+Assumptions!$C$25)</f>
        <v>735.08534308631579</v>
      </c>
      <c r="T25" s="91">
        <f>S25*(1+Assumptions!$C$25)</f>
        <v>757.13790337890532</v>
      </c>
      <c r="U25" s="91">
        <f>T25*(1+Assumptions!$C$25)</f>
        <v>779.85204048027254</v>
      </c>
      <c r="W25" s="91">
        <f t="shared" si="5"/>
        <v>11950.296000933786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189</v>
      </c>
      <c r="B26" s="456">
        <v>325</v>
      </c>
      <c r="C26" s="456">
        <v>375</v>
      </c>
      <c r="D26" s="456">
        <v>375</v>
      </c>
      <c r="E26" s="456">
        <v>375</v>
      </c>
      <c r="F26" s="456">
        <v>375</v>
      </c>
      <c r="G26" s="456">
        <v>375</v>
      </c>
      <c r="H26" s="456">
        <v>375</v>
      </c>
      <c r="I26" s="456">
        <v>375</v>
      </c>
      <c r="J26" s="456">
        <v>375</v>
      </c>
      <c r="K26" s="456">
        <v>375</v>
      </c>
      <c r="L26" s="456">
        <v>375</v>
      </c>
      <c r="M26" s="456">
        <v>375</v>
      </c>
      <c r="N26" s="456">
        <v>375</v>
      </c>
      <c r="O26" s="456">
        <v>375</v>
      </c>
      <c r="P26" s="456">
        <v>427.64830117962356</v>
      </c>
      <c r="Q26" s="456">
        <v>436.20126720321605</v>
      </c>
      <c r="R26" s="456">
        <v>444.92529254728038</v>
      </c>
      <c r="S26" s="456">
        <v>453.82379839822596</v>
      </c>
      <c r="T26" s="456">
        <v>462.9002743661905</v>
      </c>
      <c r="U26" s="456">
        <f>T26</f>
        <v>462.9002743661905</v>
      </c>
      <c r="W26" s="91">
        <f t="shared" si="5"/>
        <v>7888.3992080607268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s="16" customFormat="1">
      <c r="A27" s="3" t="s">
        <v>185</v>
      </c>
      <c r="B27" s="146">
        <f>B84</f>
        <v>456.87634658717172</v>
      </c>
      <c r="C27" s="146">
        <f t="shared" ref="C27:U27" si="6">C84</f>
        <v>442.74615030097056</v>
      </c>
      <c r="D27" s="146">
        <f t="shared" si="6"/>
        <v>430.58448810587538</v>
      </c>
      <c r="E27" s="146">
        <f t="shared" si="6"/>
        <v>414.48575772856822</v>
      </c>
      <c r="F27" s="146">
        <f t="shared" si="6"/>
        <v>400.35556144236705</v>
      </c>
      <c r="G27" s="146">
        <f t="shared" si="6"/>
        <v>386.22536515616588</v>
      </c>
      <c r="H27" s="146">
        <f t="shared" si="6"/>
        <v>372.09516886996471</v>
      </c>
      <c r="I27" s="146">
        <f t="shared" si="6"/>
        <v>357.96497258376354</v>
      </c>
      <c r="J27" s="146">
        <f t="shared" si="6"/>
        <v>343.83477629756237</v>
      </c>
      <c r="K27" s="146">
        <f t="shared" si="6"/>
        <v>329.7045800113612</v>
      </c>
      <c r="L27" s="146">
        <f t="shared" si="6"/>
        <v>315.57438372516003</v>
      </c>
      <c r="M27" s="146">
        <f t="shared" si="6"/>
        <v>301.44418743895886</v>
      </c>
      <c r="N27" s="146">
        <f t="shared" si="6"/>
        <v>287.31399115275769</v>
      </c>
      <c r="O27" s="146">
        <f t="shared" si="6"/>
        <v>273.18379486655647</v>
      </c>
      <c r="P27" s="146">
        <f t="shared" si="6"/>
        <v>259.0535985803553</v>
      </c>
      <c r="Q27" s="146">
        <f t="shared" si="6"/>
        <v>244.92340229415416</v>
      </c>
      <c r="R27" s="146">
        <f t="shared" si="6"/>
        <v>230.79320600795299</v>
      </c>
      <c r="S27" s="146">
        <f t="shared" si="6"/>
        <v>216.66300972175182</v>
      </c>
      <c r="T27" s="146">
        <f t="shared" si="6"/>
        <v>202.53281343555065</v>
      </c>
      <c r="U27" s="146">
        <f t="shared" si="6"/>
        <v>188.40261714934945</v>
      </c>
      <c r="V27" s="91"/>
      <c r="W27" s="91">
        <f t="shared" si="5"/>
        <v>6454.7581714563175</v>
      </c>
    </row>
    <row r="28" spans="1:55">
      <c r="A28" s="3" t="s">
        <v>62</v>
      </c>
      <c r="B28" s="127">
        <f t="shared" ref="B28:U28" si="7">SUM(B22:B27)</f>
        <v>4266.1595210177002</v>
      </c>
      <c r="C28" s="127">
        <f t="shared" si="7"/>
        <v>4406.5578199644151</v>
      </c>
      <c r="D28" s="127">
        <f t="shared" si="7"/>
        <v>4502.0605078592234</v>
      </c>
      <c r="E28" s="127">
        <f t="shared" si="7"/>
        <v>4596.856058074517</v>
      </c>
      <c r="F28" s="127">
        <f t="shared" si="7"/>
        <v>4696.9469707986927</v>
      </c>
      <c r="G28" s="127">
        <f t="shared" si="7"/>
        <v>4800.4645167931822</v>
      </c>
      <c r="H28" s="127">
        <f t="shared" si="7"/>
        <v>4907.511495056091</v>
      </c>
      <c r="I28" s="127">
        <f t="shared" si="7"/>
        <v>5018.1937885554735</v>
      </c>
      <c r="J28" s="127">
        <f t="shared" si="7"/>
        <v>5132.6204567484256</v>
      </c>
      <c r="K28" s="127">
        <f t="shared" si="7"/>
        <v>5250.903830875749</v>
      </c>
      <c r="L28" s="127">
        <f t="shared" si="7"/>
        <v>5373.1596121154798</v>
      </c>
      <c r="M28" s="127">
        <f t="shared" si="7"/>
        <v>5499.506972680987</v>
      </c>
      <c r="N28" s="127">
        <f t="shared" si="7"/>
        <v>5630.0686599520486</v>
      </c>
      <c r="O28" s="127">
        <f t="shared" si="7"/>
        <v>5764.9711037298257</v>
      </c>
      <c r="P28" s="127">
        <f t="shared" si="7"/>
        <v>5956.9928278891466</v>
      </c>
      <c r="Q28" s="127">
        <f t="shared" si="7"/>
        <v>6109.5243254704137</v>
      </c>
      <c r="R28" s="127">
        <f t="shared" si="7"/>
        <v>6266.9701442074665</v>
      </c>
      <c r="S28" s="127">
        <f t="shared" si="7"/>
        <v>6429.4760031417791</v>
      </c>
      <c r="T28" s="127">
        <f t="shared" si="7"/>
        <v>6597.191958674196</v>
      </c>
      <c r="U28" s="127">
        <f t="shared" si="7"/>
        <v>6761.0145285141689</v>
      </c>
      <c r="W28" s="91">
        <f t="shared" si="5"/>
        <v>107967.15110211898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62" customFormat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57" customFormat="1">
      <c r="A31" s="1" t="s">
        <v>63</v>
      </c>
      <c r="B31" s="132">
        <f t="shared" ref="B31:U31" si="8">B19-B28</f>
        <v>27503.138028986279</v>
      </c>
      <c r="C31" s="133">
        <f t="shared" si="8"/>
        <v>27404.390748977145</v>
      </c>
      <c r="D31" s="132">
        <f t="shared" si="8"/>
        <v>27352.402455088297</v>
      </c>
      <c r="E31" s="132">
        <f t="shared" si="8"/>
        <v>32308.777029661476</v>
      </c>
      <c r="F31" s="132">
        <f t="shared" si="8"/>
        <v>34016.030352465867</v>
      </c>
      <c r="G31" s="132">
        <f t="shared" si="8"/>
        <v>34430.338236902091</v>
      </c>
      <c r="H31" s="132">
        <f t="shared" si="8"/>
        <v>34848.387285258606</v>
      </c>
      <c r="I31" s="132">
        <f t="shared" si="8"/>
        <v>35270.183823156935</v>
      </c>
      <c r="J31" s="132">
        <f t="shared" si="8"/>
        <v>35695.733007837538</v>
      </c>
      <c r="K31" s="132">
        <f t="shared" si="8"/>
        <v>36125.038775691879</v>
      </c>
      <c r="L31" s="132">
        <f t="shared" si="8"/>
        <v>36801.809764578014</v>
      </c>
      <c r="M31" s="132">
        <f t="shared" si="8"/>
        <v>37490.077984128453</v>
      </c>
      <c r="N31" s="132">
        <f t="shared" si="8"/>
        <v>38190.029846153768</v>
      </c>
      <c r="O31" s="132">
        <f t="shared" si="8"/>
        <v>38901.854355560565</v>
      </c>
      <c r="P31" s="132">
        <f t="shared" si="8"/>
        <v>39572.436726447631</v>
      </c>
      <c r="Q31" s="132">
        <f t="shared" si="8"/>
        <v>40095.634104659403</v>
      </c>
      <c r="R31" s="132">
        <f t="shared" si="8"/>
        <v>40624.333415379362</v>
      </c>
      <c r="S31" s="132">
        <f t="shared" si="8"/>
        <v>41158.560894782771</v>
      </c>
      <c r="T31" s="132">
        <f t="shared" si="8"/>
        <v>41698.341595430531</v>
      </c>
      <c r="U31" s="132">
        <f t="shared" si="8"/>
        <v>42253.073053398446</v>
      </c>
      <c r="W31" s="91">
        <f>SUM(B31:U31)</f>
        <v>721740.57148454501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>
      <c r="A33" s="3" t="s">
        <v>64</v>
      </c>
      <c r="B33" s="127">
        <f>Depreciation!C13</f>
        <v>5652.078514480475</v>
      </c>
      <c r="C33" s="127">
        <f>Depreciation!D13</f>
        <v>5652.078514480475</v>
      </c>
      <c r="D33" s="127">
        <f>Depreciation!E13</f>
        <v>5652.078514480475</v>
      </c>
      <c r="E33" s="127">
        <f>Depreciation!F13</f>
        <v>5652.078514480475</v>
      </c>
      <c r="F33" s="127">
        <f>Depreciation!G13</f>
        <v>5652.078514480475</v>
      </c>
      <c r="G33" s="127">
        <f>Depreciation!H13</f>
        <v>5652.078514480475</v>
      </c>
      <c r="H33" s="127">
        <f>Depreciation!I13</f>
        <v>5652.078514480475</v>
      </c>
      <c r="I33" s="127">
        <f>Depreciation!J13</f>
        <v>5652.078514480475</v>
      </c>
      <c r="J33" s="127">
        <f>Depreciation!K13</f>
        <v>5652.078514480475</v>
      </c>
      <c r="K33" s="127">
        <f>Depreciation!L13</f>
        <v>5652.078514480475</v>
      </c>
      <c r="L33" s="127">
        <f>Depreciation!M13</f>
        <v>5652.078514480475</v>
      </c>
      <c r="M33" s="127">
        <f>Depreciation!N13</f>
        <v>5652.078514480475</v>
      </c>
      <c r="N33" s="127">
        <f>Depreciation!O13</f>
        <v>5652.078514480475</v>
      </c>
      <c r="O33" s="127">
        <f>Depreciation!P13</f>
        <v>5652.078514480475</v>
      </c>
      <c r="P33" s="127">
        <f>Depreciation!Q13</f>
        <v>5652.078514480475</v>
      </c>
      <c r="Q33" s="127">
        <f>Depreciation!R13</f>
        <v>5652.078514480475</v>
      </c>
      <c r="R33" s="127">
        <f>Depreciation!S13</f>
        <v>5652.078514480475</v>
      </c>
      <c r="S33" s="127">
        <f>Depreciation!T13</f>
        <v>5652.078514480475</v>
      </c>
      <c r="T33" s="127">
        <f>Depreciation!U13</f>
        <v>5652.078514480475</v>
      </c>
      <c r="U33" s="127">
        <f>Depreciation!V13</f>
        <v>5652.078514480475</v>
      </c>
      <c r="W33" s="91">
        <f>SUM(B33:U33)</f>
        <v>113041.57028960944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7.5" customHeight="1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s="57" customFormat="1">
      <c r="A35" s="1" t="s">
        <v>65</v>
      </c>
      <c r="B35" s="132">
        <f t="shared" ref="B35:U35" si="9">B31-B33</f>
        <v>21851.059514505803</v>
      </c>
      <c r="C35" s="132">
        <f t="shared" si="9"/>
        <v>21752.312234496669</v>
      </c>
      <c r="D35" s="132">
        <f t="shared" si="9"/>
        <v>21700.323940607821</v>
      </c>
      <c r="E35" s="132">
        <f t="shared" si="9"/>
        <v>26656.698515181</v>
      </c>
      <c r="F35" s="132">
        <f t="shared" si="9"/>
        <v>28363.951837985391</v>
      </c>
      <c r="G35" s="132">
        <f t="shared" si="9"/>
        <v>28778.259722421615</v>
      </c>
      <c r="H35" s="132">
        <f t="shared" si="9"/>
        <v>29196.308770778131</v>
      </c>
      <c r="I35" s="132">
        <f t="shared" si="9"/>
        <v>29618.105308676459</v>
      </c>
      <c r="J35" s="132">
        <f t="shared" si="9"/>
        <v>30043.654493357062</v>
      </c>
      <c r="K35" s="132">
        <f t="shared" si="9"/>
        <v>30472.960261211403</v>
      </c>
      <c r="L35" s="132">
        <f t="shared" si="9"/>
        <v>31149.731250097539</v>
      </c>
      <c r="M35" s="132">
        <f t="shared" si="9"/>
        <v>31837.999469647977</v>
      </c>
      <c r="N35" s="132">
        <f t="shared" si="9"/>
        <v>32537.951331673292</v>
      </c>
      <c r="O35" s="132">
        <f t="shared" si="9"/>
        <v>33249.775841080089</v>
      </c>
      <c r="P35" s="132">
        <f t="shared" si="9"/>
        <v>33920.358211967156</v>
      </c>
      <c r="Q35" s="132">
        <f t="shared" si="9"/>
        <v>34443.555590178927</v>
      </c>
      <c r="R35" s="132">
        <f t="shared" si="9"/>
        <v>34972.254900898886</v>
      </c>
      <c r="S35" s="132">
        <f t="shared" si="9"/>
        <v>35506.482380302295</v>
      </c>
      <c r="T35" s="132">
        <f t="shared" si="9"/>
        <v>36046.263080950055</v>
      </c>
      <c r="U35" s="132">
        <f t="shared" si="9"/>
        <v>36600.99453891797</v>
      </c>
      <c r="W35" s="91">
        <f>SUM(B35:U35)</f>
        <v>608699.00119493564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6" t="s">
        <v>66</v>
      </c>
      <c r="B37" s="127">
        <f>IS!B38*Allocation!$E$7</f>
        <v>12382.562267653238</v>
      </c>
      <c r="C37" s="127">
        <f>IS!C38*Allocation!$E$7</f>
        <v>12196.766322065658</v>
      </c>
      <c r="D37" s="127">
        <f>IS!D38*Allocation!$E$7</f>
        <v>11934.694857798173</v>
      </c>
      <c r="E37" s="127">
        <f>IS!E38*Allocation!$E$7</f>
        <v>11728.969632493878</v>
      </c>
      <c r="F37" s="127">
        <f>IS!F38*Allocation!$E$7</f>
        <v>11364.997871469264</v>
      </c>
      <c r="G37" s="127">
        <f>IS!G38*Allocation!$E$7</f>
        <v>10933.597157420234</v>
      </c>
      <c r="H37" s="127">
        <f>IS!H38*Allocation!$E$7</f>
        <v>10448.760838706417</v>
      </c>
      <c r="I37" s="127">
        <f>IS!I38*Allocation!$E$7</f>
        <v>9941.5330320109479</v>
      </c>
      <c r="J37" s="127">
        <f>IS!J38*Allocation!$E$7</f>
        <v>9311.4769588689869</v>
      </c>
      <c r="K37" s="127">
        <f>IS!K38*Allocation!$E$7</f>
        <v>8613.3278937557552</v>
      </c>
      <c r="L37" s="127">
        <f>IS!L38*Allocation!$E$7</f>
        <v>7878.715574154663</v>
      </c>
      <c r="M37" s="127">
        <f>IS!M38*Allocation!$E$7</f>
        <v>7077.7437474979342</v>
      </c>
      <c r="N37" s="127">
        <f>IS!N38*Allocation!$E$7</f>
        <v>6236.9650941338523</v>
      </c>
      <c r="O37" s="127">
        <f>IS!O38*Allocation!$E$7</f>
        <v>5416.0898541234474</v>
      </c>
      <c r="P37" s="127">
        <f>IS!P38*Allocation!$E$7</f>
        <v>4584.8693371156514</v>
      </c>
      <c r="Q37" s="127">
        <f>IS!Q38*Allocation!$E$7</f>
        <v>3723.4001297567856</v>
      </c>
      <c r="R37" s="127">
        <f>IS!R38*Allocation!$E$7</f>
        <v>2809.6422940958882</v>
      </c>
      <c r="S37" s="127">
        <f>IS!S38*Allocation!$E$7</f>
        <v>1948.0606380740085</v>
      </c>
      <c r="T37" s="127">
        <f>IS!T38*Allocation!$E$7</f>
        <v>1209.2729220646436</v>
      </c>
      <c r="U37" s="127">
        <f>IS!U38*Allocation!$E$7</f>
        <v>472.28438466352077</v>
      </c>
      <c r="W37" s="91">
        <f>SUM(B37:U37)</f>
        <v>150213.7308079229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s="57" customFormat="1">
      <c r="A39" s="1" t="s">
        <v>67</v>
      </c>
      <c r="B39" s="132">
        <f t="shared" ref="B39:U39" si="10">B35-B37</f>
        <v>9468.4972468525648</v>
      </c>
      <c r="C39" s="132">
        <f t="shared" si="10"/>
        <v>9555.5459124310109</v>
      </c>
      <c r="D39" s="132">
        <f t="shared" si="10"/>
        <v>9765.629082809648</v>
      </c>
      <c r="E39" s="132">
        <f t="shared" si="10"/>
        <v>14927.728882687123</v>
      </c>
      <c r="F39" s="132">
        <f t="shared" si="10"/>
        <v>16998.953966516128</v>
      </c>
      <c r="G39" s="132">
        <f t="shared" si="10"/>
        <v>17844.662565001381</v>
      </c>
      <c r="H39" s="132">
        <f t="shared" si="10"/>
        <v>18747.547932071713</v>
      </c>
      <c r="I39" s="132">
        <f t="shared" si="10"/>
        <v>19676.572276665509</v>
      </c>
      <c r="J39" s="132">
        <f t="shared" si="10"/>
        <v>20732.177534488073</v>
      </c>
      <c r="K39" s="132">
        <f t="shared" si="10"/>
        <v>21859.632367455648</v>
      </c>
      <c r="L39" s="132">
        <f t="shared" si="10"/>
        <v>23271.015675942876</v>
      </c>
      <c r="M39" s="132">
        <f t="shared" si="10"/>
        <v>24760.255722150043</v>
      </c>
      <c r="N39" s="132">
        <f t="shared" si="10"/>
        <v>26300.98623753944</v>
      </c>
      <c r="O39" s="132">
        <f t="shared" si="10"/>
        <v>27833.68598695664</v>
      </c>
      <c r="P39" s="132">
        <f t="shared" si="10"/>
        <v>29335.488874851504</v>
      </c>
      <c r="Q39" s="132">
        <f t="shared" si="10"/>
        <v>30720.155460422142</v>
      </c>
      <c r="R39" s="132">
        <f t="shared" si="10"/>
        <v>32162.612606802999</v>
      </c>
      <c r="S39" s="132">
        <f t="shared" si="10"/>
        <v>33558.421742228289</v>
      </c>
      <c r="T39" s="132">
        <f t="shared" si="10"/>
        <v>34836.990158885412</v>
      </c>
      <c r="U39" s="132">
        <f t="shared" si="10"/>
        <v>36128.710154254448</v>
      </c>
      <c r="W39" s="91">
        <f>SUM(B39:U39)</f>
        <v>458485.27038701263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>
      <c r="A41" s="3" t="s">
        <v>68</v>
      </c>
      <c r="B41" s="127">
        <f>B39*-Assumptions!$C$38</f>
        <v>-568.10983481115386</v>
      </c>
      <c r="C41" s="127">
        <f>C39*-Assumptions!$C$38</f>
        <v>-573.3327547458606</v>
      </c>
      <c r="D41" s="127">
        <f>D39*-Assumptions!$C$38</f>
        <v>-585.93774496857884</v>
      </c>
      <c r="E41" s="127">
        <f>E39*-Assumptions!$C$38</f>
        <v>-895.66373296122731</v>
      </c>
      <c r="F41" s="127">
        <f>F39*-Assumptions!$C$38</f>
        <v>-1019.9372379909677</v>
      </c>
      <c r="G41" s="127">
        <f>G39*-Assumptions!$C$38</f>
        <v>-1070.6797539000829</v>
      </c>
      <c r="H41" s="127">
        <f>H39*-Assumptions!$C$38</f>
        <v>-1124.8528759243027</v>
      </c>
      <c r="I41" s="127">
        <f>I39*-Assumptions!$C$38</f>
        <v>-1180.5943365999306</v>
      </c>
      <c r="J41" s="127">
        <f>J39*-Assumptions!$C$38</f>
        <v>-1243.9306520692844</v>
      </c>
      <c r="K41" s="127">
        <f>K39*-Assumptions!$C$38</f>
        <v>-1311.5779420473389</v>
      </c>
      <c r="L41" s="127">
        <f>L39*-Assumptions!$C$38</f>
        <v>-1396.2609405565725</v>
      </c>
      <c r="M41" s="127">
        <f>M39*-Assumptions!$C$38</f>
        <v>-1485.6153433290026</v>
      </c>
      <c r="N41" s="127">
        <f>N39*-Assumptions!$C$38</f>
        <v>-1578.0591742523663</v>
      </c>
      <c r="O41" s="127">
        <f>O39*-Assumptions!$C$38</f>
        <v>-1670.0211592173982</v>
      </c>
      <c r="P41" s="127">
        <f>P39*-Assumptions!$C$38</f>
        <v>-1760.1293324910903</v>
      </c>
      <c r="Q41" s="127">
        <f>Q39*-Assumptions!$C$38</f>
        <v>-1843.2093276253283</v>
      </c>
      <c r="R41" s="127">
        <f>R39*-Assumptions!$C$38</f>
        <v>-1929.7567564081799</v>
      </c>
      <c r="S41" s="127">
        <f>S39*-Assumptions!$C$38</f>
        <v>-2013.5053045336972</v>
      </c>
      <c r="T41" s="127">
        <f>T39*-Assumptions!$C$38</f>
        <v>-2090.2194095331247</v>
      </c>
      <c r="U41" s="127">
        <f>U39*-Assumptions!$C$38</f>
        <v>-2167.7226092552669</v>
      </c>
      <c r="W41" s="91">
        <f>SUM(B41:U41)</f>
        <v>-27509.116223220757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3" t="s">
        <v>69</v>
      </c>
      <c r="B42" s="121">
        <f>(B39+B41)*-Assumptions!$C$37</f>
        <v>-3115.1355942144937</v>
      </c>
      <c r="C42" s="121">
        <f>(C39+C41)*-Assumptions!$C$37</f>
        <v>-3143.7746051898021</v>
      </c>
      <c r="D42" s="121">
        <f>(D39+D41)*-Assumptions!$C$37</f>
        <v>-3212.8919682443743</v>
      </c>
      <c r="E42" s="121">
        <f>(E39+E41)*-Assumptions!$C$37</f>
        <v>-4911.2228024040633</v>
      </c>
      <c r="F42" s="121">
        <f>(F39+F41)*-Assumptions!$C$37</f>
        <v>-5592.6558549838064</v>
      </c>
      <c r="G42" s="121">
        <f>(G39+G41)*-Assumptions!$C$37</f>
        <v>-5870.893983885454</v>
      </c>
      <c r="H42" s="121">
        <f>(H39+H41)*-Assumptions!$C$37</f>
        <v>-6167.9432696515933</v>
      </c>
      <c r="I42" s="121">
        <f>(I39+I41)*-Assumptions!$C$37</f>
        <v>-6473.5922790229524</v>
      </c>
      <c r="J42" s="121">
        <f>(J39+J41)*-Assumptions!$C$37</f>
        <v>-6820.8864088465762</v>
      </c>
      <c r="K42" s="121">
        <f>(K39+K41)*-Assumptions!$C$37</f>
        <v>-7191.8190488929085</v>
      </c>
      <c r="L42" s="121">
        <f>(L39+L41)*-Assumptions!$C$37</f>
        <v>-7656.1641573852057</v>
      </c>
      <c r="M42" s="121">
        <f>(M39+M41)*-Assumptions!$C$37</f>
        <v>-8146.1241325873634</v>
      </c>
      <c r="N42" s="121">
        <f>(N39+N41)*-Assumptions!$C$37</f>
        <v>-8653.024472150475</v>
      </c>
      <c r="O42" s="121">
        <f>(O39+O41)*-Assumptions!$C$37</f>
        <v>-9157.2826897087343</v>
      </c>
      <c r="P42" s="121">
        <f>(P39+P41)*-Assumptions!$C$37</f>
        <v>-9651.3758398261434</v>
      </c>
      <c r="Q42" s="121">
        <f>(Q39+Q41)*-Assumptions!$C$37</f>
        <v>-10106.931146478884</v>
      </c>
      <c r="R42" s="121">
        <f>(R39+R41)*-Assumptions!$C$37</f>
        <v>-10581.499547638186</v>
      </c>
      <c r="S42" s="121">
        <f>(S39+S41)*-Assumptions!$C$37</f>
        <v>-11040.720753193107</v>
      </c>
      <c r="T42" s="121">
        <f>(T39+T41)*-Assumptions!$C$37</f>
        <v>-11461.3697622733</v>
      </c>
      <c r="U42" s="121">
        <f>(U39+U41)*-Assumptions!$C$37</f>
        <v>-11886.345640749712</v>
      </c>
      <c r="W42" s="91">
        <f>SUM(B42:U42)</f>
        <v>-150841.6539573271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s="64" customFormat="1" ht="15.75">
      <c r="A44" s="45" t="s">
        <v>216</v>
      </c>
      <c r="B44" s="134">
        <f t="shared" ref="B44:U44" si="11">SUM(B39:B42)</f>
        <v>5785.2518178269174</v>
      </c>
      <c r="C44" s="134">
        <f t="shared" si="11"/>
        <v>5838.4385524953477</v>
      </c>
      <c r="D44" s="134">
        <f t="shared" si="11"/>
        <v>5966.7993695966961</v>
      </c>
      <c r="E44" s="134">
        <f t="shared" si="11"/>
        <v>9120.8423473218318</v>
      </c>
      <c r="F44" s="134">
        <f t="shared" si="11"/>
        <v>10386.360873541355</v>
      </c>
      <c r="G44" s="134">
        <f t="shared" si="11"/>
        <v>10903.088827215845</v>
      </c>
      <c r="H44" s="134">
        <f t="shared" si="11"/>
        <v>11454.751786495817</v>
      </c>
      <c r="I44" s="134">
        <f t="shared" si="11"/>
        <v>12022.385661042626</v>
      </c>
      <c r="J44" s="134">
        <f t="shared" si="11"/>
        <v>12667.360473572213</v>
      </c>
      <c r="K44" s="134">
        <f t="shared" si="11"/>
        <v>13356.235376515402</v>
      </c>
      <c r="L44" s="134">
        <f t="shared" si="11"/>
        <v>14218.590578001098</v>
      </c>
      <c r="M44" s="134">
        <f t="shared" si="11"/>
        <v>15128.516246233678</v>
      </c>
      <c r="N44" s="134">
        <f t="shared" si="11"/>
        <v>16069.902591136601</v>
      </c>
      <c r="O44" s="134">
        <f t="shared" si="11"/>
        <v>17006.382138030509</v>
      </c>
      <c r="P44" s="134">
        <f t="shared" si="11"/>
        <v>17923.983702534271</v>
      </c>
      <c r="Q44" s="134">
        <f t="shared" si="11"/>
        <v>18770.014986317929</v>
      </c>
      <c r="R44" s="134">
        <f t="shared" si="11"/>
        <v>19651.356302756634</v>
      </c>
      <c r="S44" s="134">
        <f t="shared" si="11"/>
        <v>20504.195684501487</v>
      </c>
      <c r="T44" s="134">
        <f t="shared" si="11"/>
        <v>21285.400987078989</v>
      </c>
      <c r="U44" s="134">
        <f t="shared" si="11"/>
        <v>22074.641904249467</v>
      </c>
      <c r="W44" s="91">
        <f>SUM(B44:U44)</f>
        <v>280134.50020646479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s="62" customFormat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 ht="18.75">
      <c r="A48" s="55" t="s">
        <v>213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2.75" customHeight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2.75" customHeight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3.5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3" t="s">
        <v>270</v>
      </c>
      <c r="B54" s="67">
        <f>B31-B12</f>
        <v>19386.180074116739</v>
      </c>
      <c r="C54" s="67">
        <f>C31-C12</f>
        <v>19287.432794107604</v>
      </c>
      <c r="D54" s="67">
        <f>D31-D12</f>
        <v>19235.444500218757</v>
      </c>
      <c r="E54" s="67">
        <f t="shared" ref="E54:U54" si="13">E31</f>
        <v>32308.777029661476</v>
      </c>
      <c r="F54" s="67">
        <f t="shared" si="13"/>
        <v>34016.030352465867</v>
      </c>
      <c r="G54" s="67">
        <f t="shared" si="13"/>
        <v>34430.338236902091</v>
      </c>
      <c r="H54" s="67">
        <f t="shared" si="13"/>
        <v>34848.387285258606</v>
      </c>
      <c r="I54" s="67">
        <f t="shared" si="13"/>
        <v>35270.183823156935</v>
      </c>
      <c r="J54" s="67">
        <f t="shared" si="13"/>
        <v>35695.733007837538</v>
      </c>
      <c r="K54" s="67">
        <f t="shared" si="13"/>
        <v>36125.038775691879</v>
      </c>
      <c r="L54" s="67">
        <f t="shared" si="13"/>
        <v>36801.809764578014</v>
      </c>
      <c r="M54" s="67">
        <f t="shared" si="13"/>
        <v>37490.077984128453</v>
      </c>
      <c r="N54" s="67">
        <f t="shared" si="13"/>
        <v>38190.029846153768</v>
      </c>
      <c r="O54" s="67">
        <f t="shared" si="13"/>
        <v>38901.854355560565</v>
      </c>
      <c r="P54" s="67">
        <f t="shared" si="13"/>
        <v>39572.436726447631</v>
      </c>
      <c r="Q54" s="67">
        <f t="shared" si="13"/>
        <v>40095.634104659403</v>
      </c>
      <c r="R54" s="67">
        <f t="shared" si="13"/>
        <v>40624.333415379362</v>
      </c>
      <c r="S54" s="67">
        <f t="shared" si="13"/>
        <v>41158.560894782771</v>
      </c>
      <c r="T54" s="67">
        <f t="shared" si="13"/>
        <v>41698.341595430531</v>
      </c>
      <c r="U54" s="67">
        <f t="shared" si="13"/>
        <v>42253.073053398446</v>
      </c>
      <c r="W54" s="400">
        <f>SUM(B54:U54)</f>
        <v>697389.69761993643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2" customHeight="1">
      <c r="A55" s="13" t="s">
        <v>168</v>
      </c>
      <c r="B55" s="67">
        <f>B26</f>
        <v>325</v>
      </c>
      <c r="C55" s="67">
        <f t="shared" ref="C55:T55" si="14">C26</f>
        <v>375</v>
      </c>
      <c r="D55" s="67">
        <f t="shared" si="14"/>
        <v>375</v>
      </c>
      <c r="E55" s="67">
        <f t="shared" si="14"/>
        <v>375</v>
      </c>
      <c r="F55" s="67">
        <f t="shared" si="14"/>
        <v>375</v>
      </c>
      <c r="G55" s="67">
        <f t="shared" si="14"/>
        <v>375</v>
      </c>
      <c r="H55" s="67">
        <f t="shared" si="14"/>
        <v>375</v>
      </c>
      <c r="I55" s="67">
        <f t="shared" si="14"/>
        <v>375</v>
      </c>
      <c r="J55" s="67">
        <f t="shared" si="14"/>
        <v>375</v>
      </c>
      <c r="K55" s="67">
        <f t="shared" si="14"/>
        <v>375</v>
      </c>
      <c r="L55" s="67">
        <f t="shared" si="14"/>
        <v>375</v>
      </c>
      <c r="M55" s="67">
        <f t="shared" si="14"/>
        <v>375</v>
      </c>
      <c r="N55" s="67">
        <f t="shared" si="14"/>
        <v>375</v>
      </c>
      <c r="O55" s="67">
        <f t="shared" si="14"/>
        <v>375</v>
      </c>
      <c r="P55" s="67">
        <f t="shared" si="14"/>
        <v>427.64830117962356</v>
      </c>
      <c r="Q55" s="67">
        <f t="shared" si="14"/>
        <v>436.20126720321605</v>
      </c>
      <c r="R55" s="67">
        <f t="shared" si="14"/>
        <v>444.92529254728038</v>
      </c>
      <c r="S55" s="67">
        <f t="shared" si="14"/>
        <v>453.82379839822596</v>
      </c>
      <c r="T55" s="67">
        <f t="shared" si="14"/>
        <v>462.9002743661905</v>
      </c>
      <c r="U55" s="67">
        <f>T55</f>
        <v>462.9002743661905</v>
      </c>
      <c r="W55" s="400">
        <f>SUM(B55:U55)</f>
        <v>7888.3992080607268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-250</v>
      </c>
      <c r="C56" s="67">
        <f>-B55</f>
        <v>-325</v>
      </c>
      <c r="D56" s="67">
        <f t="shared" ref="D56:U56" si="15">-C55</f>
        <v>-375</v>
      </c>
      <c r="E56" s="67">
        <f t="shared" si="15"/>
        <v>-375</v>
      </c>
      <c r="F56" s="67">
        <f t="shared" si="15"/>
        <v>-375</v>
      </c>
      <c r="G56" s="67">
        <f t="shared" si="15"/>
        <v>-375</v>
      </c>
      <c r="H56" s="67">
        <f t="shared" si="15"/>
        <v>-375</v>
      </c>
      <c r="I56" s="67">
        <f t="shared" si="15"/>
        <v>-375</v>
      </c>
      <c r="J56" s="67">
        <f t="shared" si="15"/>
        <v>-375</v>
      </c>
      <c r="K56" s="67">
        <f t="shared" si="15"/>
        <v>-375</v>
      </c>
      <c r="L56" s="67">
        <f t="shared" si="15"/>
        <v>-375</v>
      </c>
      <c r="M56" s="67">
        <f t="shared" si="15"/>
        <v>-375</v>
      </c>
      <c r="N56" s="67">
        <f t="shared" si="15"/>
        <v>-375</v>
      </c>
      <c r="O56" s="67">
        <f t="shared" si="15"/>
        <v>-375</v>
      </c>
      <c r="P56" s="67">
        <f t="shared" si="15"/>
        <v>-375</v>
      </c>
      <c r="Q56" s="67">
        <f t="shared" si="15"/>
        <v>-427.64830117962356</v>
      </c>
      <c r="R56" s="67">
        <f t="shared" si="15"/>
        <v>-436.20126720321605</v>
      </c>
      <c r="S56" s="67">
        <f t="shared" si="15"/>
        <v>-444.92529254728038</v>
      </c>
      <c r="T56" s="67">
        <f t="shared" si="15"/>
        <v>-453.82379839822596</v>
      </c>
      <c r="U56" s="67">
        <f t="shared" si="15"/>
        <v>-462.9002743661905</v>
      </c>
      <c r="W56" s="400">
        <f>SUM(B56:U56)</f>
        <v>-7675.4989336945364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>
      <c r="A57" s="13" t="s">
        <v>71</v>
      </c>
      <c r="B57" s="398">
        <f>-Debt!B77*Allocation!$E$7</f>
        <v>-14775.848168319584</v>
      </c>
      <c r="C57" s="398">
        <f>-Debt!C77*Allocation!$E$7</f>
        <v>-14763.758457457789</v>
      </c>
      <c r="D57" s="398">
        <f>-Debt!D77*Allocation!$E$7</f>
        <v>-14694.693920663392</v>
      </c>
      <c r="E57" s="398">
        <f>-Debt!E77*Allocation!$E$7</f>
        <v>-14485.108556809637</v>
      </c>
      <c r="F57" s="398">
        <f>-Debt!F77*Allocation!$E$7</f>
        <v>-15158.742037880367</v>
      </c>
      <c r="G57" s="398">
        <f>-Debt!G77*Allocation!$E$7</f>
        <v>-15246.14394487901</v>
      </c>
      <c r="H57" s="398">
        <f>-Debt!H77*Allocation!$E$7</f>
        <v>-15150.409591950945</v>
      </c>
      <c r="I57" s="398">
        <f>-Debt!I77*Allocation!$E$7</f>
        <v>-15291.685061565064</v>
      </c>
      <c r="J57" s="398">
        <f>-Debt!J77*Allocation!$E$7</f>
        <v>-15180.431609470777</v>
      </c>
      <c r="K57" s="398">
        <f>-Debt!K77*Allocation!$E$7</f>
        <v>-15355.445884245812</v>
      </c>
      <c r="L57" s="398">
        <f>-Debt!L77*Allocation!$E$7</f>
        <v>-15212.978818132169</v>
      </c>
      <c r="M57" s="398">
        <f>-Debt!M77*Allocation!$E$7</f>
        <v>-14412.006991475442</v>
      </c>
      <c r="N57" s="398">
        <f>-Debt!N77*Allocation!$E$7</f>
        <v>-13571.228338111359</v>
      </c>
      <c r="O57" s="398">
        <f>-Debt!O77*Allocation!$E$7</f>
        <v>-12750.353098100954</v>
      </c>
      <c r="P57" s="398">
        <f>-Debt!P77*Allocation!$E$7</f>
        <v>-12285.845743292033</v>
      </c>
      <c r="Q57" s="398">
        <f>-Debt!Q77*Allocation!$E$7</f>
        <v>-11791.089698132044</v>
      </c>
      <c r="R57" s="398">
        <f>-Debt!R77*Allocation!$E$7</f>
        <v>-10877.331862471148</v>
      </c>
      <c r="S57" s="398">
        <f>-Debt!S77*Allocation!$E$7</f>
        <v>-8548.897557653765</v>
      </c>
      <c r="T57" s="398">
        <f>-Debt!T77*Allocation!$E$7</f>
        <v>-7810.1098416444001</v>
      </c>
      <c r="U57" s="398">
        <f>-Debt!U77*Allocation!$E$7</f>
        <v>-6339.6949798455335</v>
      </c>
      <c r="W57" s="400">
        <f>SUM(B57:U57)</f>
        <v>-263701.8041621013</v>
      </c>
    </row>
    <row r="58" spans="1:55">
      <c r="A58" s="13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W58" s="401"/>
    </row>
    <row r="59" spans="1:55" s="57" customFormat="1">
      <c r="A59" s="12" t="s">
        <v>72</v>
      </c>
      <c r="B59" s="136">
        <f t="shared" ref="B59:U59" si="16">SUM(B54:B57)</f>
        <v>4685.3319057971548</v>
      </c>
      <c r="C59" s="136">
        <f t="shared" si="16"/>
        <v>4573.6743366498158</v>
      </c>
      <c r="D59" s="136">
        <f t="shared" si="16"/>
        <v>4540.7505795553643</v>
      </c>
      <c r="E59" s="136">
        <f t="shared" si="16"/>
        <v>17823.668472851838</v>
      </c>
      <c r="F59" s="136">
        <f t="shared" si="16"/>
        <v>18857.288314585501</v>
      </c>
      <c r="G59" s="136">
        <f t="shared" si="16"/>
        <v>19184.194292023079</v>
      </c>
      <c r="H59" s="136">
        <f t="shared" si="16"/>
        <v>19697.977693307661</v>
      </c>
      <c r="I59" s="136">
        <f t="shared" si="16"/>
        <v>19978.498761591873</v>
      </c>
      <c r="J59" s="136">
        <f t="shared" si="16"/>
        <v>20515.301398366762</v>
      </c>
      <c r="K59" s="136">
        <f t="shared" si="16"/>
        <v>20769.592891446067</v>
      </c>
      <c r="L59" s="136">
        <f t="shared" si="16"/>
        <v>21588.830946445843</v>
      </c>
      <c r="M59" s="136">
        <f t="shared" si="16"/>
        <v>23078.070992653011</v>
      </c>
      <c r="N59" s="136">
        <f t="shared" si="16"/>
        <v>24618.801508042408</v>
      </c>
      <c r="O59" s="136">
        <f t="shared" si="16"/>
        <v>26151.501257459611</v>
      </c>
      <c r="P59" s="136">
        <f t="shared" si="16"/>
        <v>27339.239284335221</v>
      </c>
      <c r="Q59" s="136">
        <f t="shared" si="16"/>
        <v>28313.09737255095</v>
      </c>
      <c r="R59" s="136">
        <f t="shared" si="16"/>
        <v>29755.725578252284</v>
      </c>
      <c r="S59" s="136">
        <f t="shared" si="16"/>
        <v>32618.561842979951</v>
      </c>
      <c r="T59" s="136">
        <f t="shared" si="16"/>
        <v>33897.308229754097</v>
      </c>
      <c r="U59" s="136">
        <f t="shared" si="16"/>
        <v>35913.378073552914</v>
      </c>
      <c r="W59" s="400">
        <f>SUM(B59:U59)</f>
        <v>433900.79373220139</v>
      </c>
    </row>
    <row r="60" spans="1:55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>
      <c r="A61" s="13" t="s">
        <v>99</v>
      </c>
      <c r="B61" s="129">
        <f>-B103</f>
        <v>0</v>
      </c>
      <c r="C61" s="129">
        <f t="shared" ref="C61:U61" si="17">-C103</f>
        <v>0</v>
      </c>
      <c r="D61" s="129">
        <f t="shared" si="17"/>
        <v>0</v>
      </c>
      <c r="E61" s="129">
        <f t="shared" si="17"/>
        <v>0</v>
      </c>
      <c r="F61" s="129">
        <f t="shared" si="17"/>
        <v>-168.67061576399954</v>
      </c>
      <c r="G61" s="129">
        <f t="shared" si="17"/>
        <v>-796.57904837055116</v>
      </c>
      <c r="H61" s="129">
        <f t="shared" si="17"/>
        <v>-883.23441556514979</v>
      </c>
      <c r="I61" s="129">
        <f t="shared" si="17"/>
        <v>-937.99156578106908</v>
      </c>
      <c r="J61" s="129">
        <f t="shared" si="17"/>
        <v>-1002.3121917101313</v>
      </c>
      <c r="K61" s="129">
        <f t="shared" si="17"/>
        <v>-1068.9751712284774</v>
      </c>
      <c r="L61" s="129">
        <f t="shared" si="17"/>
        <v>-1154.6424801974197</v>
      </c>
      <c r="M61" s="129">
        <f t="shared" si="17"/>
        <v>-1243.0125725101411</v>
      </c>
      <c r="N61" s="129">
        <f t="shared" si="17"/>
        <v>-1336.4407138932136</v>
      </c>
      <c r="O61" s="129">
        <f t="shared" si="17"/>
        <v>-1427.4183883985368</v>
      </c>
      <c r="P61" s="129">
        <f t="shared" si="17"/>
        <v>-1518.5108721319368</v>
      </c>
      <c r="Q61" s="129">
        <f t="shared" si="17"/>
        <v>-1891.962452880166</v>
      </c>
      <c r="R61" s="129">
        <f t="shared" si="17"/>
        <v>-2268.8814672770086</v>
      </c>
      <c r="S61" s="129">
        <f t="shared" si="17"/>
        <v>-2352.6300154025257</v>
      </c>
      <c r="T61" s="129">
        <f t="shared" si="17"/>
        <v>-2429.3441204019532</v>
      </c>
      <c r="U61" s="129">
        <f t="shared" si="17"/>
        <v>-2506.8473201240954</v>
      </c>
      <c r="W61" s="400">
        <f>SUM(B61:U61)</f>
        <v>-22987.453411636379</v>
      </c>
    </row>
    <row r="62" spans="1:55">
      <c r="A62" s="13" t="s">
        <v>100</v>
      </c>
      <c r="B62" s="128">
        <f>-Allocation!$E$7*Tax!B24</f>
        <v>0</v>
      </c>
      <c r="C62" s="128">
        <f>-Allocation!$E$7*Tax!C24</f>
        <v>0</v>
      </c>
      <c r="D62" s="128">
        <f>-Allocation!$E$7*Tax!D24</f>
        <v>0</v>
      </c>
      <c r="E62" s="128">
        <f>-Allocation!$E$7*Tax!E24</f>
        <v>0</v>
      </c>
      <c r="F62" s="128">
        <f>-Allocation!$E$7*Tax!F24</f>
        <v>0</v>
      </c>
      <c r="G62" s="128">
        <f>-Allocation!$E$7*Tax!G24</f>
        <v>0</v>
      </c>
      <c r="H62" s="128">
        <f>-Allocation!$E$7*Tax!H24</f>
        <v>-3310.1953695592401</v>
      </c>
      <c r="I62" s="128">
        <f>-Allocation!$E$7*Tax!I24</f>
        <v>-4480.8612598791624</v>
      </c>
      <c r="J62" s="128">
        <f>-Allocation!$E$7*Tax!J24</f>
        <v>-4827.1043763725729</v>
      </c>
      <c r="K62" s="128">
        <f>-Allocation!$E$7*Tax!K24</f>
        <v>-5185.8766273426963</v>
      </c>
      <c r="L62" s="128">
        <f>-Allocation!$E$7*Tax!L24</f>
        <v>-5657.9107584276189</v>
      </c>
      <c r="M62" s="128">
        <f>-Allocation!$E$7*Tax!M24</f>
        <v>-6151.5921361135124</v>
      </c>
      <c r="N62" s="128">
        <f>-Allocation!$E$7*Tax!N24</f>
        <v>-6649.7488131064301</v>
      </c>
      <c r="O62" s="128">
        <f>-Allocation!$E$7*Tax!O24</f>
        <v>-7136.3253054187007</v>
      </c>
      <c r="P62" s="128">
        <f>-Allocation!$E$7*Tax!P24</f>
        <v>-7618.2176102426984</v>
      </c>
      <c r="Q62" s="128">
        <f>-Allocation!$E$7*Tax!Q24</f>
        <v>-10082.17435122093</v>
      </c>
      <c r="R62" s="128">
        <f>-Allocation!$E$7*Tax!R24</f>
        <v>-12535.059488035127</v>
      </c>
      <c r="S62" s="128">
        <f>-Allocation!$E$7*Tax!S24</f>
        <v>-13001.914397869337</v>
      </c>
      <c r="T62" s="128">
        <f>-Allocation!$E$7*Tax!T24</f>
        <v>-13430.637041441914</v>
      </c>
      <c r="U62" s="128">
        <f>-Allocation!$E$7*Tax!U24</f>
        <v>-13861.393157987161</v>
      </c>
      <c r="W62" s="400">
        <f>SUM(B62:U62)</f>
        <v>-113929.01069301707</v>
      </c>
    </row>
    <row r="63" spans="1:55">
      <c r="A63" s="13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W63" s="401"/>
    </row>
    <row r="64" spans="1:55" s="64" customFormat="1" ht="15.75">
      <c r="A64" s="222" t="s">
        <v>73</v>
      </c>
      <c r="B64" s="137">
        <f t="shared" ref="B64:U64" si="18">B59+B62+B61</f>
        <v>4685.3319057971548</v>
      </c>
      <c r="C64" s="137">
        <f t="shared" si="18"/>
        <v>4573.6743366498158</v>
      </c>
      <c r="D64" s="137">
        <f t="shared" si="18"/>
        <v>4540.7505795553643</v>
      </c>
      <c r="E64" s="137">
        <f t="shared" si="18"/>
        <v>17823.668472851838</v>
      </c>
      <c r="F64" s="137">
        <f t="shared" si="18"/>
        <v>18688.617698821501</v>
      </c>
      <c r="G64" s="137">
        <f t="shared" si="18"/>
        <v>18387.61524365253</v>
      </c>
      <c r="H64" s="137">
        <f t="shared" si="18"/>
        <v>15504.547908183269</v>
      </c>
      <c r="I64" s="137">
        <f t="shared" si="18"/>
        <v>14559.645935931641</v>
      </c>
      <c r="J64" s="137">
        <f t="shared" si="18"/>
        <v>14685.88483028406</v>
      </c>
      <c r="K64" s="137">
        <f t="shared" si="18"/>
        <v>14514.741092874894</v>
      </c>
      <c r="L64" s="137">
        <f t="shared" si="18"/>
        <v>14776.277707820806</v>
      </c>
      <c r="M64" s="137">
        <f t="shared" si="18"/>
        <v>15683.466284029359</v>
      </c>
      <c r="N64" s="137">
        <f t="shared" si="18"/>
        <v>16632.611981042763</v>
      </c>
      <c r="O64" s="137">
        <f t="shared" si="18"/>
        <v>17587.757563642375</v>
      </c>
      <c r="P64" s="137">
        <f t="shared" si="18"/>
        <v>18202.510801960587</v>
      </c>
      <c r="Q64" s="137">
        <f t="shared" si="18"/>
        <v>16338.960568449853</v>
      </c>
      <c r="R64" s="137">
        <f t="shared" si="18"/>
        <v>14951.784622940148</v>
      </c>
      <c r="S64" s="137">
        <f t="shared" si="18"/>
        <v>17264.017429708085</v>
      </c>
      <c r="T64" s="137">
        <f t="shared" si="18"/>
        <v>18037.327067910228</v>
      </c>
      <c r="U64" s="137">
        <f t="shared" si="18"/>
        <v>19545.137595441658</v>
      </c>
      <c r="W64" s="400">
        <f>SUM(B64:U64)</f>
        <v>296984.329627548</v>
      </c>
    </row>
    <row r="65" spans="1:23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ht="18.75">
      <c r="A68" s="55" t="s">
        <v>190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57" t="s">
        <v>192</v>
      </c>
      <c r="B76" s="439">
        <f>Depreciation!C14</f>
        <v>182750.53863486869</v>
      </c>
      <c r="C76" s="439">
        <f>Depreciation!D14</f>
        <v>177098.46012038822</v>
      </c>
      <c r="D76" s="439">
        <f>Depreciation!E14</f>
        <v>171446.38160590775</v>
      </c>
      <c r="E76" s="439">
        <f>Depreciation!F14</f>
        <v>165794.30309142728</v>
      </c>
      <c r="F76" s="439">
        <f>Depreciation!G14</f>
        <v>160142.22457694681</v>
      </c>
      <c r="G76" s="439">
        <f>Depreciation!H14</f>
        <v>154490.14606246635</v>
      </c>
      <c r="H76" s="439">
        <f>Depreciation!I14</f>
        <v>148838.06754798588</v>
      </c>
      <c r="I76" s="439">
        <f>Depreciation!J14</f>
        <v>143185.98903350541</v>
      </c>
      <c r="J76" s="439">
        <f>Depreciation!K14</f>
        <v>137533.91051902494</v>
      </c>
      <c r="K76" s="439">
        <f>Depreciation!L14</f>
        <v>131881.83200454447</v>
      </c>
      <c r="L76" s="439">
        <f>Depreciation!M14</f>
        <v>126229.753490064</v>
      </c>
      <c r="M76" s="439">
        <f>Depreciation!N14</f>
        <v>120577.67497558353</v>
      </c>
      <c r="N76" s="439">
        <f>Depreciation!O14</f>
        <v>114925.59646110306</v>
      </c>
      <c r="O76" s="439">
        <f>Depreciation!P14</f>
        <v>109273.5179466226</v>
      </c>
      <c r="P76" s="439">
        <f>Depreciation!Q14</f>
        <v>103621.43943214213</v>
      </c>
      <c r="Q76" s="439">
        <f>Depreciation!R14</f>
        <v>97969.360917661659</v>
      </c>
      <c r="R76" s="439">
        <f>Depreciation!S14</f>
        <v>92317.282403181191</v>
      </c>
      <c r="S76" s="439">
        <f>Depreciation!T14</f>
        <v>86665.203888700722</v>
      </c>
      <c r="T76" s="439">
        <f>Depreciation!U14</f>
        <v>81013.125374220253</v>
      </c>
      <c r="U76" s="439">
        <f>Depreciation!V14</f>
        <v>75361.046859739785</v>
      </c>
      <c r="W76" s="420">
        <f t="shared" ref="W76:W84" si="19">SUM(B76:U76)</f>
        <v>2581115.8549460853</v>
      </c>
    </row>
    <row r="77" spans="1:23">
      <c r="A77" s="7" t="s">
        <v>180</v>
      </c>
      <c r="B77" s="439">
        <f>'Summary Output'!$C$8*Allocation!$C$7</f>
        <v>72147.756002511669</v>
      </c>
      <c r="C77" s="439">
        <f>'Summary Output'!$C$8*Allocation!$C$7</f>
        <v>72147.756002511669</v>
      </c>
      <c r="D77" s="439">
        <f>'Summary Output'!$C$8*Allocation!$C$7</f>
        <v>72147.756002511669</v>
      </c>
      <c r="E77" s="439">
        <f>'Summary Output'!$C$8*Allocation!$C$7</f>
        <v>72147.756002511669</v>
      </c>
      <c r="F77" s="439">
        <f>'Summary Output'!$C$8*Allocation!$C$7</f>
        <v>72147.756002511669</v>
      </c>
      <c r="G77" s="439">
        <f>'Summary Output'!$C$8*Allocation!$C$7</f>
        <v>72147.756002511669</v>
      </c>
      <c r="H77" s="439">
        <f>'Summary Output'!$C$8*Allocation!$C$7</f>
        <v>72147.756002511669</v>
      </c>
      <c r="I77" s="439">
        <f>'Summary Output'!$C$8*Allocation!$C$7</f>
        <v>72147.756002511669</v>
      </c>
      <c r="J77" s="439">
        <f>'Summary Output'!$C$8*Allocation!$C$7</f>
        <v>72147.756002511669</v>
      </c>
      <c r="K77" s="439">
        <f>'Summary Output'!$C$8*Allocation!$C$7</f>
        <v>72147.756002511669</v>
      </c>
      <c r="L77" s="439">
        <f>'Summary Output'!$C$8*Allocation!$C$7</f>
        <v>72147.756002511669</v>
      </c>
      <c r="M77" s="439">
        <f>'Summary Output'!$C$8*Allocation!$C$7</f>
        <v>72147.756002511669</v>
      </c>
      <c r="N77" s="439">
        <f>'Summary Output'!$C$8*Allocation!$C$7</f>
        <v>72147.756002511669</v>
      </c>
      <c r="O77" s="439">
        <f>'Summary Output'!$C$8*Allocation!$C$7</f>
        <v>72147.756002511669</v>
      </c>
      <c r="P77" s="439">
        <f>'Summary Output'!$C$8*Allocation!$C$7</f>
        <v>72147.756002511669</v>
      </c>
      <c r="Q77" s="439">
        <f>'Summary Output'!$C$8*Allocation!$C$7</f>
        <v>72147.756002511669</v>
      </c>
      <c r="R77" s="439">
        <f>'Summary Output'!$C$8*Allocation!$C$7</f>
        <v>72147.756002511669</v>
      </c>
      <c r="S77" s="439">
        <f>'Summary Output'!$C$8*Allocation!$C$7</f>
        <v>72147.756002511669</v>
      </c>
      <c r="T77" s="439">
        <f>'Summary Output'!$C$8*Allocation!$C$7</f>
        <v>72147.756002511669</v>
      </c>
      <c r="U77" s="439">
        <f>'Summary Output'!$C$8*Allocation!$C$7</f>
        <v>72147.756002511669</v>
      </c>
      <c r="W77" s="420">
        <f t="shared" si="19"/>
        <v>1442955.1200502333</v>
      </c>
    </row>
    <row r="78" spans="1:23">
      <c r="A78" s="443" t="s">
        <v>273</v>
      </c>
      <c r="B78" s="440">
        <f>B44-B64-B12*(Assumptions!$C$38+(1-Assumptions!$C$38)*Assumptions!$C$37)</f>
        <v>-2057.5767324144881</v>
      </c>
      <c r="C78" s="440">
        <f>C44-C64-C12*(Assumptions!$C$38+(1-Assumptions!$C$38)*Assumptions!$C$37)+B78</f>
        <v>-3950.3091610132069</v>
      </c>
      <c r="D78" s="440">
        <f>D44-D64-D12*(Assumptions!$C$38+(1-Assumptions!$C$38)*Assumptions!$C$37)+C78</f>
        <v>-5681.7570154161258</v>
      </c>
      <c r="E78" s="440">
        <f t="shared" ref="E78:U78" si="20">E44-E64+D78</f>
        <v>-14384.583140946132</v>
      </c>
      <c r="F78" s="440">
        <f t="shared" si="20"/>
        <v>-22686.839966226278</v>
      </c>
      <c r="G78" s="440">
        <f t="shared" si="20"/>
        <v>-30171.366382662964</v>
      </c>
      <c r="H78" s="440">
        <f t="shared" si="20"/>
        <v>-34221.162504350417</v>
      </c>
      <c r="I78" s="440">
        <f t="shared" si="20"/>
        <v>-36758.42277923943</v>
      </c>
      <c r="J78" s="440">
        <f t="shared" si="20"/>
        <v>-38776.947135951275</v>
      </c>
      <c r="K78" s="440">
        <f t="shared" si="20"/>
        <v>-39935.452852310766</v>
      </c>
      <c r="L78" s="440">
        <f t="shared" si="20"/>
        <v>-40493.139982130473</v>
      </c>
      <c r="M78" s="440">
        <f t="shared" si="20"/>
        <v>-41048.090019926152</v>
      </c>
      <c r="N78" s="440">
        <f t="shared" si="20"/>
        <v>-41610.799409832311</v>
      </c>
      <c r="O78" s="440">
        <f t="shared" si="20"/>
        <v>-42192.174835444181</v>
      </c>
      <c r="P78" s="440">
        <f t="shared" si="20"/>
        <v>-42470.701934870493</v>
      </c>
      <c r="Q78" s="440">
        <f t="shared" si="20"/>
        <v>-40039.64751700242</v>
      </c>
      <c r="R78" s="440">
        <f t="shared" si="20"/>
        <v>-35340.075837185934</v>
      </c>
      <c r="S78" s="440">
        <f t="shared" si="20"/>
        <v>-32099.897582392532</v>
      </c>
      <c r="T78" s="440">
        <f t="shared" si="20"/>
        <v>-28851.823663223771</v>
      </c>
      <c r="U78" s="440">
        <f t="shared" si="20"/>
        <v>-26322.319354415962</v>
      </c>
      <c r="W78" s="420">
        <f t="shared" si="19"/>
        <v>-599093.08780695533</v>
      </c>
    </row>
    <row r="79" spans="1:23">
      <c r="A79" s="443" t="s">
        <v>187</v>
      </c>
      <c r="B79" s="441">
        <f>Debt!B73*Allocation!$E$7</f>
        <v>111094.78745351192</v>
      </c>
      <c r="C79" s="441">
        <f>Debt!C73*Allocation!$E$7</f>
        <v>108527.7953181198</v>
      </c>
      <c r="D79" s="441">
        <f>Debt!D73*Allocation!$E$7</f>
        <v>105767.79625525458</v>
      </c>
      <c r="E79" s="441">
        <f>Debt!E73*Allocation!$E$7</f>
        <v>103011.65733093882</v>
      </c>
      <c r="F79" s="441">
        <f>Debt!F73*Allocation!$E$7</f>
        <v>99217.913164527723</v>
      </c>
      <c r="G79" s="441">
        <f>Debt!G73*Allocation!$E$7</f>
        <v>94905.366377068945</v>
      </c>
      <c r="H79" s="441">
        <f>Debt!H73*Allocation!$E$7</f>
        <v>90203.717623824414</v>
      </c>
      <c r="I79" s="441">
        <f>Debt!I73*Allocation!$E$7</f>
        <v>84853.565594270302</v>
      </c>
      <c r="J79" s="441">
        <f>Debt!J73*Allocation!$E$7</f>
        <v>78984.610943668507</v>
      </c>
      <c r="K79" s="441">
        <f>Debt!K73*Allocation!$E$7</f>
        <v>72242.492953178444</v>
      </c>
      <c r="L79" s="441">
        <f>Debt!L73*Allocation!$E$7</f>
        <v>64908.229709200939</v>
      </c>
      <c r="M79" s="441">
        <f>Debt!M73*Allocation!$E$7</f>
        <v>57573.966465223435</v>
      </c>
      <c r="N79" s="441">
        <f>Debt!N73*Allocation!$E$7</f>
        <v>50239.703221245923</v>
      </c>
      <c r="O79" s="441">
        <f>Debt!O73*Allocation!$E$7</f>
        <v>42905.439977268419</v>
      </c>
      <c r="P79" s="441">
        <f>Debt!P73*Allocation!$E$7</f>
        <v>35204.463571092034</v>
      </c>
      <c r="Q79" s="441">
        <f>Debt!Q73*Allocation!$E$7</f>
        <v>27136.774002716778</v>
      </c>
      <c r="R79" s="441">
        <f>Debt!R73*Allocation!$E$7</f>
        <v>19069.084434341519</v>
      </c>
      <c r="S79" s="441">
        <f>Debt!S73*Allocation!$E$7</f>
        <v>12468.247514761762</v>
      </c>
      <c r="T79" s="441">
        <f>Debt!T73*Allocation!$E$7</f>
        <v>5867.4105951820056</v>
      </c>
      <c r="U79" s="441">
        <f>Debt!U73*Allocation!$E$7</f>
        <v>-6.1789649835671744E-12</v>
      </c>
      <c r="W79" s="420">
        <f t="shared" si="19"/>
        <v>1264183.0225053965</v>
      </c>
    </row>
    <row r="80" spans="1:23">
      <c r="A80" s="57" t="s">
        <v>193</v>
      </c>
      <c r="B80" s="442">
        <f>SUM(B77:B79)</f>
        <v>181184.9667236091</v>
      </c>
      <c r="C80" s="442">
        <f t="shared" ref="C80:U80" si="21">SUM(C77:C79)</f>
        <v>176725.24215961824</v>
      </c>
      <c r="D80" s="442">
        <f t="shared" si="21"/>
        <v>172233.79524235014</v>
      </c>
      <c r="E80" s="442">
        <f t="shared" si="21"/>
        <v>160774.83019250436</v>
      </c>
      <c r="F80" s="442">
        <f t="shared" si="21"/>
        <v>148678.82920081311</v>
      </c>
      <c r="G80" s="442">
        <f t="shared" si="21"/>
        <v>136881.75599691767</v>
      </c>
      <c r="H80" s="442">
        <f t="shared" si="21"/>
        <v>128130.31112198567</v>
      </c>
      <c r="I80" s="442">
        <f t="shared" si="21"/>
        <v>120242.89881754253</v>
      </c>
      <c r="J80" s="442">
        <f t="shared" si="21"/>
        <v>112355.41981022889</v>
      </c>
      <c r="K80" s="442">
        <f t="shared" si="21"/>
        <v>104454.79610337934</v>
      </c>
      <c r="L80" s="442">
        <f t="shared" si="21"/>
        <v>96562.845729582128</v>
      </c>
      <c r="M80" s="442">
        <f t="shared" si="21"/>
        <v>88673.632447808952</v>
      </c>
      <c r="N80" s="442">
        <f t="shared" si="21"/>
        <v>80776.659813925275</v>
      </c>
      <c r="O80" s="442">
        <f t="shared" si="21"/>
        <v>72861.021144335915</v>
      </c>
      <c r="P80" s="442">
        <f t="shared" si="21"/>
        <v>64881.51763873321</v>
      </c>
      <c r="Q80" s="442">
        <f t="shared" si="21"/>
        <v>59244.882488226023</v>
      </c>
      <c r="R80" s="442">
        <f t="shared" si="21"/>
        <v>55876.764599667251</v>
      </c>
      <c r="S80" s="442">
        <f t="shared" si="21"/>
        <v>52516.105934880907</v>
      </c>
      <c r="T80" s="442">
        <f t="shared" si="21"/>
        <v>49163.342934469911</v>
      </c>
      <c r="U80" s="442">
        <f t="shared" si="21"/>
        <v>45825.436648095703</v>
      </c>
      <c r="W80" s="420">
        <f t="shared" si="19"/>
        <v>2108045.0547486735</v>
      </c>
    </row>
    <row r="81" spans="1:44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>
        <f t="shared" si="19"/>
        <v>0</v>
      </c>
    </row>
    <row r="82" spans="1:44">
      <c r="A82" s="57" t="s">
        <v>215</v>
      </c>
      <c r="B82" s="442">
        <f>MAX(B80,B76)</f>
        <v>182750.53863486869</v>
      </c>
      <c r="C82" s="442">
        <f t="shared" ref="C82:U82" si="22">MAX(C80,C76)</f>
        <v>177098.46012038822</v>
      </c>
      <c r="D82" s="442">
        <f t="shared" si="22"/>
        <v>172233.79524235014</v>
      </c>
      <c r="E82" s="442">
        <f t="shared" si="22"/>
        <v>165794.30309142728</v>
      </c>
      <c r="F82" s="442">
        <f t="shared" si="22"/>
        <v>160142.22457694681</v>
      </c>
      <c r="G82" s="442">
        <f t="shared" si="22"/>
        <v>154490.14606246635</v>
      </c>
      <c r="H82" s="442">
        <f t="shared" si="22"/>
        <v>148838.06754798588</v>
      </c>
      <c r="I82" s="442">
        <f t="shared" si="22"/>
        <v>143185.98903350541</v>
      </c>
      <c r="J82" s="442">
        <f t="shared" si="22"/>
        <v>137533.91051902494</v>
      </c>
      <c r="K82" s="442">
        <f t="shared" si="22"/>
        <v>131881.83200454447</v>
      </c>
      <c r="L82" s="442">
        <f t="shared" si="22"/>
        <v>126229.753490064</v>
      </c>
      <c r="M82" s="442">
        <f t="shared" si="22"/>
        <v>120577.67497558353</v>
      </c>
      <c r="N82" s="442">
        <f t="shared" si="22"/>
        <v>114925.59646110306</v>
      </c>
      <c r="O82" s="442">
        <f t="shared" si="22"/>
        <v>109273.5179466226</v>
      </c>
      <c r="P82" s="442">
        <f t="shared" si="22"/>
        <v>103621.43943214213</v>
      </c>
      <c r="Q82" s="442">
        <f t="shared" si="22"/>
        <v>97969.360917661659</v>
      </c>
      <c r="R82" s="442">
        <f t="shared" si="22"/>
        <v>92317.282403181191</v>
      </c>
      <c r="S82" s="442">
        <f t="shared" si="22"/>
        <v>86665.203888700722</v>
      </c>
      <c r="T82" s="442">
        <f t="shared" si="22"/>
        <v>81013.125374220253</v>
      </c>
      <c r="U82" s="442">
        <f t="shared" si="22"/>
        <v>75361.046859739785</v>
      </c>
      <c r="W82" s="420">
        <f t="shared" si="19"/>
        <v>2581903.2685825275</v>
      </c>
    </row>
    <row r="83" spans="1:44">
      <c r="A83" s="443" t="s">
        <v>183</v>
      </c>
      <c r="B83" s="445">
        <f>Assumptions!$C$41</f>
        <v>2.5000000000000001E-3</v>
      </c>
      <c r="C83" s="445">
        <f>Assumptions!$C$42</f>
        <v>2.5000000000000001E-3</v>
      </c>
      <c r="D83" s="445">
        <f>Assumptions!$C$42</f>
        <v>2.5000000000000001E-3</v>
      </c>
      <c r="E83" s="445">
        <f>Assumptions!$C$42</f>
        <v>2.5000000000000001E-3</v>
      </c>
      <c r="F83" s="445">
        <f>Assumptions!$C$42</f>
        <v>2.5000000000000001E-3</v>
      </c>
      <c r="G83" s="445">
        <f>Assumptions!$C$42</f>
        <v>2.5000000000000001E-3</v>
      </c>
      <c r="H83" s="445">
        <f>Assumptions!$C$42</f>
        <v>2.5000000000000001E-3</v>
      </c>
      <c r="I83" s="445">
        <f>Assumptions!$C$42</f>
        <v>2.5000000000000001E-3</v>
      </c>
      <c r="J83" s="445">
        <f>Assumptions!$C$42</f>
        <v>2.5000000000000001E-3</v>
      </c>
      <c r="K83" s="445">
        <f>Assumptions!$C$42</f>
        <v>2.5000000000000001E-3</v>
      </c>
      <c r="L83" s="445">
        <f>Assumptions!$C$42</f>
        <v>2.5000000000000001E-3</v>
      </c>
      <c r="M83" s="445">
        <f>Assumptions!$C$42</f>
        <v>2.5000000000000001E-3</v>
      </c>
      <c r="N83" s="445">
        <f>Assumptions!$C$42</f>
        <v>2.5000000000000001E-3</v>
      </c>
      <c r="O83" s="445">
        <f>Assumptions!$C$42</f>
        <v>2.5000000000000001E-3</v>
      </c>
      <c r="P83" s="445">
        <f>Assumptions!$C$42</f>
        <v>2.5000000000000001E-3</v>
      </c>
      <c r="Q83" s="445">
        <f>Assumptions!$C$42</f>
        <v>2.5000000000000001E-3</v>
      </c>
      <c r="R83" s="445">
        <f>Assumptions!$C$42</f>
        <v>2.5000000000000001E-3</v>
      </c>
      <c r="S83" s="445">
        <f>Assumptions!$C$42</f>
        <v>2.5000000000000001E-3</v>
      </c>
      <c r="T83" s="445">
        <f>Assumptions!$C$42</f>
        <v>2.5000000000000001E-3</v>
      </c>
      <c r="U83" s="445">
        <f>Assumptions!$C$42</f>
        <v>2.5000000000000001E-3</v>
      </c>
      <c r="W83" s="420"/>
    </row>
    <row r="84" spans="1:44">
      <c r="A84" s="224" t="s">
        <v>184</v>
      </c>
      <c r="B84" s="461">
        <v>456.87634658717172</v>
      </c>
      <c r="C84" s="461">
        <v>442.74615030097056</v>
      </c>
      <c r="D84" s="461">
        <v>430.58448810587538</v>
      </c>
      <c r="E84" s="461">
        <v>414.48575772856822</v>
      </c>
      <c r="F84" s="461">
        <v>400.35556144236705</v>
      </c>
      <c r="G84" s="461">
        <v>386.22536515616588</v>
      </c>
      <c r="H84" s="461">
        <v>372.09516886996471</v>
      </c>
      <c r="I84" s="461">
        <v>357.96497258376354</v>
      </c>
      <c r="J84" s="461">
        <v>343.83477629756237</v>
      </c>
      <c r="K84" s="461">
        <v>329.7045800113612</v>
      </c>
      <c r="L84" s="461">
        <v>315.57438372516003</v>
      </c>
      <c r="M84" s="461">
        <v>301.44418743895886</v>
      </c>
      <c r="N84" s="461">
        <v>287.31399115275769</v>
      </c>
      <c r="O84" s="461">
        <v>273.18379486655647</v>
      </c>
      <c r="P84" s="461">
        <v>259.0535985803553</v>
      </c>
      <c r="Q84" s="461">
        <v>244.92340229415416</v>
      </c>
      <c r="R84" s="461">
        <v>230.79320600795299</v>
      </c>
      <c r="S84" s="461">
        <v>216.66300972175182</v>
      </c>
      <c r="T84" s="461">
        <v>202.53281343555065</v>
      </c>
      <c r="U84" s="461">
        <v>188.40261714934945</v>
      </c>
      <c r="W84" s="420">
        <f t="shared" si="19"/>
        <v>6454.7581714563175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>
      <c r="A85" s="443"/>
      <c r="B85" s="439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>
      <c r="A89" s="21" t="s">
        <v>271</v>
      </c>
      <c r="B89" s="20">
        <f>B39-B12</f>
        <v>1351.5392919830247</v>
      </c>
      <c r="C89" s="20">
        <f>C39-C12</f>
        <v>1438.5879575614708</v>
      </c>
      <c r="D89" s="20">
        <f>D39-D12</f>
        <v>1648.6711279401079</v>
      </c>
      <c r="E89" s="20">
        <f t="shared" ref="E89:U89" si="23">E39</f>
        <v>14927.728882687123</v>
      </c>
      <c r="F89" s="20">
        <f t="shared" si="23"/>
        <v>16998.953966516128</v>
      </c>
      <c r="G89" s="20">
        <f t="shared" si="23"/>
        <v>17844.662565001381</v>
      </c>
      <c r="H89" s="20">
        <f t="shared" si="23"/>
        <v>18747.547932071713</v>
      </c>
      <c r="I89" s="20">
        <f t="shared" si="23"/>
        <v>19676.572276665509</v>
      </c>
      <c r="J89" s="20">
        <f t="shared" si="23"/>
        <v>20732.177534488073</v>
      </c>
      <c r="K89" s="20">
        <f t="shared" si="23"/>
        <v>21859.632367455648</v>
      </c>
      <c r="L89" s="20">
        <f t="shared" si="23"/>
        <v>23271.015675942876</v>
      </c>
      <c r="M89" s="20">
        <f t="shared" si="23"/>
        <v>24760.255722150043</v>
      </c>
      <c r="N89" s="20">
        <f t="shared" si="23"/>
        <v>26300.98623753944</v>
      </c>
      <c r="O89" s="20">
        <f t="shared" si="23"/>
        <v>27833.68598695664</v>
      </c>
      <c r="P89" s="20">
        <f t="shared" si="23"/>
        <v>29335.488874851504</v>
      </c>
      <c r="Q89" s="20">
        <f t="shared" si="23"/>
        <v>30720.155460422142</v>
      </c>
      <c r="R89" s="20">
        <f t="shared" si="23"/>
        <v>32162.612606802999</v>
      </c>
      <c r="S89" s="20">
        <f t="shared" si="23"/>
        <v>33558.421742228289</v>
      </c>
      <c r="T89" s="20">
        <f t="shared" si="23"/>
        <v>34836.990158885412</v>
      </c>
      <c r="U89" s="20">
        <f t="shared" si="23"/>
        <v>36128.710154254448</v>
      </c>
      <c r="W89" s="420">
        <f>SUM(B89:U89)</f>
        <v>434134.39652240399</v>
      </c>
    </row>
    <row r="90" spans="1:44">
      <c r="A90" s="21" t="s">
        <v>132</v>
      </c>
      <c r="B90" s="20">
        <f>B33</f>
        <v>5652.078514480475</v>
      </c>
      <c r="C90" s="20">
        <f t="shared" ref="C90:U90" si="24">C33</f>
        <v>5652.078514480475</v>
      </c>
      <c r="D90" s="20">
        <f t="shared" si="24"/>
        <v>5652.078514480475</v>
      </c>
      <c r="E90" s="20">
        <f t="shared" si="24"/>
        <v>5652.078514480475</v>
      </c>
      <c r="F90" s="20">
        <f t="shared" si="24"/>
        <v>5652.078514480475</v>
      </c>
      <c r="G90" s="20">
        <f t="shared" si="24"/>
        <v>5652.078514480475</v>
      </c>
      <c r="H90" s="20">
        <f t="shared" si="24"/>
        <v>5652.078514480475</v>
      </c>
      <c r="I90" s="20">
        <f t="shared" si="24"/>
        <v>5652.078514480475</v>
      </c>
      <c r="J90" s="20">
        <f t="shared" si="24"/>
        <v>5652.078514480475</v>
      </c>
      <c r="K90" s="20">
        <f t="shared" si="24"/>
        <v>5652.078514480475</v>
      </c>
      <c r="L90" s="20">
        <f t="shared" si="24"/>
        <v>5652.078514480475</v>
      </c>
      <c r="M90" s="20">
        <f t="shared" si="24"/>
        <v>5652.078514480475</v>
      </c>
      <c r="N90" s="20">
        <f t="shared" si="24"/>
        <v>5652.078514480475</v>
      </c>
      <c r="O90" s="20">
        <f t="shared" si="24"/>
        <v>5652.078514480475</v>
      </c>
      <c r="P90" s="20">
        <f t="shared" si="24"/>
        <v>5652.078514480475</v>
      </c>
      <c r="Q90" s="20">
        <f t="shared" si="24"/>
        <v>5652.078514480475</v>
      </c>
      <c r="R90" s="20">
        <f t="shared" si="24"/>
        <v>5652.078514480475</v>
      </c>
      <c r="S90" s="20">
        <f t="shared" si="24"/>
        <v>5652.078514480475</v>
      </c>
      <c r="T90" s="20">
        <f t="shared" si="24"/>
        <v>5652.078514480475</v>
      </c>
      <c r="U90" s="20">
        <f t="shared" si="24"/>
        <v>5652.078514480475</v>
      </c>
      <c r="W90" s="420">
        <f>SUM(B90:U90)</f>
        <v>113041.57028960944</v>
      </c>
    </row>
    <row r="91" spans="1:44" ht="15">
      <c r="A91" s="21" t="s">
        <v>200</v>
      </c>
      <c r="B91" s="228">
        <f>-Depreciation!C69</f>
        <v>-8202.5871642370275</v>
      </c>
      <c r="C91" s="228">
        <f>-Depreciation!D69</f>
        <v>-15584.915612050352</v>
      </c>
      <c r="D91" s="228">
        <f>-Depreciation!E69</f>
        <v>-14026.424050845317</v>
      </c>
      <c r="E91" s="228">
        <f>-Depreciation!F69</f>
        <v>-12631.984232925022</v>
      </c>
      <c r="F91" s="228">
        <f>-Depreciation!G69</f>
        <v>-11368.78580963252</v>
      </c>
      <c r="G91" s="228">
        <f>-Depreciation!H69</f>
        <v>-10220.423606639337</v>
      </c>
      <c r="H91" s="228">
        <f>-Depreciation!I69</f>
        <v>-9679.0528537996925</v>
      </c>
      <c r="I91" s="228">
        <f>-Depreciation!J69</f>
        <v>-9695.4580281281669</v>
      </c>
      <c r="J91" s="228">
        <f>-Depreciation!K69</f>
        <v>-9679.0528537996925</v>
      </c>
      <c r="K91" s="228">
        <f>-Depreciation!L69</f>
        <v>-9695.4580281281669</v>
      </c>
      <c r="L91" s="228">
        <f>-Depreciation!M69</f>
        <v>-9679.0528537996925</v>
      </c>
      <c r="M91" s="228">
        <f>-Depreciation!N69</f>
        <v>-9695.4580281281669</v>
      </c>
      <c r="N91" s="228">
        <f>-Depreciation!O69</f>
        <v>-9679.0528537996925</v>
      </c>
      <c r="O91" s="228">
        <f>-Depreciation!P69</f>
        <v>-9695.4580281281669</v>
      </c>
      <c r="P91" s="228">
        <f>-Depreciation!Q69</f>
        <v>-9679.0528537996925</v>
      </c>
      <c r="Q91" s="228">
        <f>-Depreciation!R69</f>
        <v>-4839.5264268998462</v>
      </c>
      <c r="R91" s="228">
        <f>-Depreciation!S69</f>
        <v>0</v>
      </c>
      <c r="S91" s="228">
        <f>-Depreciation!T69</f>
        <v>0</v>
      </c>
      <c r="T91" s="228">
        <f>-Depreciation!U69</f>
        <v>0</v>
      </c>
      <c r="U91" s="228">
        <f>-Depreciation!V69</f>
        <v>0</v>
      </c>
      <c r="W91" s="421">
        <f>SUM(B91:U91)</f>
        <v>-164051.74328474054</v>
      </c>
    </row>
    <row r="92" spans="1:44">
      <c r="A92" s="227" t="s">
        <v>131</v>
      </c>
      <c r="B92" s="22">
        <f t="shared" ref="B92:U92" si="25">SUM(B89:B91)</f>
        <v>-1198.9693577735279</v>
      </c>
      <c r="C92" s="22">
        <f t="shared" si="25"/>
        <v>-8494.2491400084073</v>
      </c>
      <c r="D92" s="22">
        <f t="shared" si="25"/>
        <v>-6725.6744084247339</v>
      </c>
      <c r="E92" s="22">
        <f t="shared" si="25"/>
        <v>7947.8231642425762</v>
      </c>
      <c r="F92" s="22">
        <f t="shared" si="25"/>
        <v>11282.246671364084</v>
      </c>
      <c r="G92" s="22">
        <f t="shared" si="25"/>
        <v>13276.31747284252</v>
      </c>
      <c r="H92" s="22">
        <f t="shared" si="25"/>
        <v>14720.573592752497</v>
      </c>
      <c r="I92" s="22">
        <f t="shared" si="25"/>
        <v>15633.192763017818</v>
      </c>
      <c r="J92" s="22">
        <f t="shared" si="25"/>
        <v>16705.203195168855</v>
      </c>
      <c r="K92" s="22">
        <f t="shared" si="25"/>
        <v>17816.252853807957</v>
      </c>
      <c r="L92" s="22">
        <f t="shared" si="25"/>
        <v>19244.041336623661</v>
      </c>
      <c r="M92" s="22">
        <f t="shared" si="25"/>
        <v>20716.876208502352</v>
      </c>
      <c r="N92" s="22">
        <f t="shared" si="25"/>
        <v>22274.011898220226</v>
      </c>
      <c r="O92" s="22">
        <f t="shared" si="25"/>
        <v>23790.306473308949</v>
      </c>
      <c r="P92" s="22">
        <f t="shared" si="25"/>
        <v>25308.514535532282</v>
      </c>
      <c r="Q92" s="22">
        <f t="shared" si="25"/>
        <v>31532.707548002767</v>
      </c>
      <c r="R92" s="22">
        <f t="shared" si="25"/>
        <v>37814.691121283475</v>
      </c>
      <c r="S92" s="22">
        <f t="shared" si="25"/>
        <v>39210.500256708765</v>
      </c>
      <c r="T92" s="22">
        <f t="shared" si="25"/>
        <v>40489.068673365888</v>
      </c>
      <c r="U92" s="22">
        <f t="shared" si="25"/>
        <v>41780.788668734924</v>
      </c>
      <c r="W92" s="420">
        <f>SUM(B92:U92)</f>
        <v>383124.22352727293</v>
      </c>
    </row>
    <row r="93" spans="1:44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>
      <c r="A94" s="21" t="s">
        <v>39</v>
      </c>
      <c r="B94" s="418">
        <f>Assumptions!$C$38</f>
        <v>0.06</v>
      </c>
      <c r="C94" s="418">
        <f>Assumptions!$C$38</f>
        <v>0.06</v>
      </c>
      <c r="D94" s="418">
        <f>Assumptions!$C$38</f>
        <v>0.06</v>
      </c>
      <c r="E94" s="418">
        <f>Assumptions!$C$38</f>
        <v>0.06</v>
      </c>
      <c r="F94" s="418">
        <f>Assumptions!$C$38</f>
        <v>0.06</v>
      </c>
      <c r="G94" s="418">
        <f>Assumptions!$C$38</f>
        <v>0.06</v>
      </c>
      <c r="H94" s="418">
        <f>Assumptions!$C$38</f>
        <v>0.06</v>
      </c>
      <c r="I94" s="418">
        <f>Assumptions!$C$38</f>
        <v>0.06</v>
      </c>
      <c r="J94" s="418">
        <f>Assumptions!$C$38</f>
        <v>0.06</v>
      </c>
      <c r="K94" s="418">
        <f>Assumptions!$C$38</f>
        <v>0.06</v>
      </c>
      <c r="L94" s="418">
        <f>Assumptions!$C$38</f>
        <v>0.06</v>
      </c>
      <c r="M94" s="418">
        <f>Assumptions!$C$38</f>
        <v>0.06</v>
      </c>
      <c r="N94" s="418">
        <f>Assumptions!$C$38</f>
        <v>0.06</v>
      </c>
      <c r="O94" s="418">
        <f>Assumptions!$C$38</f>
        <v>0.06</v>
      </c>
      <c r="P94" s="418">
        <f>Assumptions!$C$38</f>
        <v>0.06</v>
      </c>
      <c r="Q94" s="418">
        <f>Assumptions!$C$38</f>
        <v>0.06</v>
      </c>
      <c r="R94" s="418">
        <f>Assumptions!$C$38</f>
        <v>0.06</v>
      </c>
      <c r="S94" s="418">
        <f>Assumptions!$C$38</f>
        <v>0.06</v>
      </c>
      <c r="T94" s="418">
        <f>Assumptions!$C$38</f>
        <v>0.06</v>
      </c>
      <c r="U94" s="418">
        <f>Assumptions!$C$38</f>
        <v>0.06</v>
      </c>
    </row>
    <row r="95" spans="1:44">
      <c r="A95" s="21" t="s">
        <v>133</v>
      </c>
      <c r="B95" s="20">
        <f>B92*B94</f>
        <v>-71.938161466411671</v>
      </c>
      <c r="C95" s="20">
        <f t="shared" ref="C95:U95" si="26">C92*C94</f>
        <v>-509.6549484005044</v>
      </c>
      <c r="D95" s="20">
        <f t="shared" si="26"/>
        <v>-403.54046450548401</v>
      </c>
      <c r="E95" s="20">
        <f t="shared" si="26"/>
        <v>476.86938985455458</v>
      </c>
      <c r="F95" s="20">
        <f t="shared" si="26"/>
        <v>676.93480028184501</v>
      </c>
      <c r="G95" s="20">
        <f t="shared" si="26"/>
        <v>796.57904837055116</v>
      </c>
      <c r="H95" s="20">
        <f t="shared" si="26"/>
        <v>883.23441556514979</v>
      </c>
      <c r="I95" s="20">
        <f t="shared" si="26"/>
        <v>937.99156578106908</v>
      </c>
      <c r="J95" s="20">
        <f t="shared" si="26"/>
        <v>1002.3121917101313</v>
      </c>
      <c r="K95" s="20">
        <f t="shared" si="26"/>
        <v>1068.9751712284774</v>
      </c>
      <c r="L95" s="20">
        <f t="shared" si="26"/>
        <v>1154.6424801974197</v>
      </c>
      <c r="M95" s="20">
        <f t="shared" si="26"/>
        <v>1243.0125725101411</v>
      </c>
      <c r="N95" s="20">
        <f t="shared" si="26"/>
        <v>1336.4407138932136</v>
      </c>
      <c r="O95" s="20">
        <f t="shared" si="26"/>
        <v>1427.4183883985368</v>
      </c>
      <c r="P95" s="20">
        <f t="shared" si="26"/>
        <v>1518.5108721319368</v>
      </c>
      <c r="Q95" s="20">
        <f t="shared" si="26"/>
        <v>1891.962452880166</v>
      </c>
      <c r="R95" s="20">
        <f t="shared" si="26"/>
        <v>2268.8814672770086</v>
      </c>
      <c r="S95" s="20">
        <f t="shared" si="26"/>
        <v>2352.6300154025257</v>
      </c>
      <c r="T95" s="20">
        <f t="shared" si="26"/>
        <v>2429.3441204019532</v>
      </c>
      <c r="U95" s="20">
        <f t="shared" si="26"/>
        <v>2506.8473201240954</v>
      </c>
    </row>
    <row r="96" spans="1:44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>
      <c r="A97" s="21" t="s">
        <v>134</v>
      </c>
      <c r="B97" s="20">
        <v>0</v>
      </c>
      <c r="C97" s="20">
        <f t="shared" ref="C97:U97" si="27">B101</f>
        <v>71.938161466411671</v>
      </c>
      <c r="D97" s="20">
        <f t="shared" si="27"/>
        <v>581.59310986691605</v>
      </c>
      <c r="E97" s="20">
        <f t="shared" si="27"/>
        <v>985.13357437240006</v>
      </c>
      <c r="F97" s="20">
        <f t="shared" si="27"/>
        <v>508.26418451784548</v>
      </c>
      <c r="G97" s="20">
        <f t="shared" si="27"/>
        <v>0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>
      <c r="A98" s="21" t="s">
        <v>135</v>
      </c>
      <c r="B98" s="239">
        <f t="shared" ref="B98:U98" si="28">IF(B68&gt;2020,0,IF(B95&lt;0,-B95,0))</f>
        <v>71.938161466411671</v>
      </c>
      <c r="C98" s="239">
        <f t="shared" si="28"/>
        <v>509.6549484005044</v>
      </c>
      <c r="D98" s="239">
        <f t="shared" si="28"/>
        <v>403.54046450548401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-476.86938985455458</v>
      </c>
      <c r="F100" s="230">
        <f t="shared" si="29"/>
        <v>-508.26418451784548</v>
      </c>
      <c r="G100" s="230">
        <f t="shared" si="29"/>
        <v>0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>
      <c r="A101" s="17" t="s">
        <v>138</v>
      </c>
      <c r="B101" s="230">
        <f t="shared" ref="B101:U101" si="30">SUM(B97:B100)</f>
        <v>71.938161466411671</v>
      </c>
      <c r="C101" s="230">
        <f t="shared" si="30"/>
        <v>581.59310986691605</v>
      </c>
      <c r="D101" s="230">
        <f t="shared" si="30"/>
        <v>985.13357437240006</v>
      </c>
      <c r="E101" s="230">
        <f t="shared" si="30"/>
        <v>508.26418451784548</v>
      </c>
      <c r="F101" s="230"/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168.67061576399954</v>
      </c>
      <c r="G103" s="327">
        <f t="shared" si="31"/>
        <v>796.57904837055116</v>
      </c>
      <c r="H103" s="327">
        <f t="shared" si="31"/>
        <v>883.23441556514979</v>
      </c>
      <c r="I103" s="327">
        <f t="shared" si="31"/>
        <v>937.99156578106908</v>
      </c>
      <c r="J103" s="327">
        <f t="shared" si="31"/>
        <v>1002.3121917101313</v>
      </c>
      <c r="K103" s="327">
        <f t="shared" si="31"/>
        <v>1068.9751712284774</v>
      </c>
      <c r="L103" s="327">
        <f t="shared" si="31"/>
        <v>1154.6424801974197</v>
      </c>
      <c r="M103" s="327">
        <f t="shared" si="31"/>
        <v>1243.0125725101411</v>
      </c>
      <c r="N103" s="327">
        <f t="shared" si="31"/>
        <v>1336.4407138932136</v>
      </c>
      <c r="O103" s="327">
        <f t="shared" si="31"/>
        <v>1427.4183883985368</v>
      </c>
      <c r="P103" s="327">
        <f t="shared" si="31"/>
        <v>1518.5108721319368</v>
      </c>
      <c r="Q103" s="327">
        <f t="shared" si="31"/>
        <v>1891.962452880166</v>
      </c>
      <c r="R103" s="327">
        <f t="shared" si="31"/>
        <v>2268.8814672770086</v>
      </c>
      <c r="S103" s="327">
        <f t="shared" si="31"/>
        <v>2352.6300154025257</v>
      </c>
      <c r="T103" s="327">
        <f t="shared" si="31"/>
        <v>2429.3441204019532</v>
      </c>
      <c r="U103" s="327">
        <f t="shared" si="31"/>
        <v>2506.8473201240954</v>
      </c>
      <c r="W103" s="420">
        <f>SUM(B103:U103)</f>
        <v>22987.453411636379</v>
      </c>
    </row>
    <row r="104" spans="1:23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>
      <c r="A106" s="519"/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1:23">
      <c r="A107" s="7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>
      <c r="A108" s="52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523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25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25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25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69"/>
      <c r="B115" s="59"/>
      <c r="C115" s="525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81"/>
      <c r="B116" s="59"/>
      <c r="C116" s="525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524"/>
      <c r="B117" s="152"/>
      <c r="C117" s="525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8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8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5" customHeight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4.2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>
      <c r="A136" s="83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8.75">
      <c r="A142" s="84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5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>
      <c r="A144" s="5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8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6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82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80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81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2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82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8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7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>
      <c r="A191" s="7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>
      <c r="A192" s="7"/>
      <c r="B192" s="7"/>
      <c r="C192" s="7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8.75">
      <c r="A193" s="8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2"/>
      <c r="B197" s="9"/>
      <c r="C197" s="9"/>
      <c r="D197" s="9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5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5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8.75">
      <c r="A246" s="8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s="90" customFormat="1">
      <c r="A250" s="89"/>
    </row>
    <row r="251" spans="1:2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8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7"/>
      <c r="B262" s="7"/>
      <c r="C262" s="95"/>
      <c r="D262" s="95"/>
      <c r="E262" s="95"/>
      <c r="F262" s="95"/>
      <c r="G262" s="95"/>
      <c r="H262" s="9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5"/>
      <c r="D267" s="95"/>
      <c r="E267" s="95"/>
      <c r="F267" s="95"/>
      <c r="G267" s="95"/>
      <c r="H267" s="9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5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9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5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4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94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9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57"/>
      <c r="B287" s="9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87"/>
      <c r="D294" s="87"/>
      <c r="E294" s="87"/>
      <c r="F294" s="87"/>
      <c r="G294" s="87"/>
      <c r="H294" s="8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87"/>
      <c r="D297" s="87"/>
      <c r="E297" s="87"/>
      <c r="F297" s="87"/>
      <c r="G297" s="87"/>
      <c r="H297" s="8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8.75" hidden="1" outlineLevel="1">
      <c r="A301" s="84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1">
      <c r="A302" s="5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1">
      <c r="A303" s="7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11"/>
      <c r="C304" s="11"/>
      <c r="D304" s="10"/>
      <c r="E304" s="10"/>
      <c r="F304" s="11"/>
      <c r="G304" s="11"/>
      <c r="H304" s="10"/>
      <c r="I304" s="11"/>
      <c r="J304" s="11"/>
      <c r="K304" s="11"/>
      <c r="L304" s="10"/>
      <c r="M304" s="11"/>
      <c r="N304" s="11"/>
      <c r="O304" s="7"/>
      <c r="P304" s="7"/>
      <c r="Q304" s="7"/>
      <c r="R304" s="7"/>
      <c r="S304" s="7"/>
      <c r="T304" s="11"/>
      <c r="U304" s="7"/>
    </row>
    <row r="305" spans="1:26" hidden="1" outlineLevel="1">
      <c r="A305" s="5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1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98"/>
      <c r="C309" s="98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  <c r="V311" s="87"/>
      <c r="W311" s="87"/>
      <c r="X311" s="87"/>
      <c r="Y311" s="87"/>
      <c r="Z311" s="8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collapsed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8.75">
      <c r="A322" s="8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5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>
      <c r="A327" s="5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5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2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5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8.75">
      <c r="A372" s="8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5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7"/>
      <c r="P376" s="7"/>
      <c r="Q376" s="7"/>
      <c r="R376" s="7"/>
      <c r="S376" s="7"/>
      <c r="T376" s="7"/>
      <c r="U376" s="7"/>
    </row>
    <row r="377" spans="1:21">
      <c r="A377" s="5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/>
      <c r="E407"/>
      <c r="F407"/>
      <c r="G407"/>
      <c r="H407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/>
      <c r="E408"/>
      <c r="F408"/>
      <c r="G408"/>
      <c r="H408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>
      <c r="A411" s="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5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5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2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8.75">
      <c r="A435" s="8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5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>
      <c r="A440" s="7"/>
      <c r="B440" s="7"/>
      <c r="C440" s="7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5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"/>
      <c r="P445" s="7"/>
      <c r="Q445" s="7"/>
      <c r="R445" s="7"/>
      <c r="S445" s="7"/>
      <c r="T445" s="7"/>
      <c r="U445" s="7"/>
    </row>
    <row r="446" spans="1:21">
      <c r="A446" s="94"/>
      <c r="B446" s="7"/>
      <c r="C446" s="73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7"/>
      <c r="P446" s="7"/>
      <c r="Q446" s="7"/>
      <c r="R446" s="7"/>
      <c r="S446" s="7"/>
      <c r="T446" s="7"/>
      <c r="U446" s="7"/>
    </row>
    <row r="447" spans="1:21">
      <c r="A447" s="94"/>
      <c r="B447" s="7"/>
      <c r="C447" s="73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7"/>
      <c r="P447" s="7"/>
      <c r="Q447" s="7"/>
      <c r="R447" s="7"/>
      <c r="S447" s="7"/>
      <c r="T447" s="7"/>
      <c r="U447" s="7"/>
    </row>
    <row r="448" spans="1:21">
      <c r="A448" s="5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102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57"/>
      <c r="B451" s="7"/>
      <c r="C451" s="73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s="106" customFormat="1" ht="18.75">
      <c r="A456" s="104"/>
      <c r="B456" s="105"/>
      <c r="C456" s="105"/>
    </row>
    <row r="457" spans="1:21" s="106" customFormat="1">
      <c r="A457" s="105"/>
      <c r="B457" s="107"/>
      <c r="C457" s="108"/>
      <c r="D457" s="105"/>
      <c r="E457" s="109"/>
    </row>
    <row r="458" spans="1:21" s="106" customFormat="1">
      <c r="A458" s="105"/>
      <c r="B458" s="110"/>
      <c r="C458" s="88"/>
      <c r="D458" s="88"/>
      <c r="E458" s="109"/>
    </row>
    <row r="459" spans="1:21" s="106" customFormat="1">
      <c r="A459" s="105"/>
      <c r="B459" s="88"/>
      <c r="C459" s="109"/>
      <c r="D459" s="88"/>
      <c r="E459" s="110"/>
    </row>
    <row r="460" spans="1:21" s="106" customFormat="1">
      <c r="A460" s="111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</row>
    <row r="461" spans="1:21" s="106" customFormat="1">
      <c r="A461" s="80"/>
      <c r="B461" s="105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>
      <c r="A463" s="79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6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80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8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79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6" customFormat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ht="13.9" customHeight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16" customFormat="1">
      <c r="A489" s="115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80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>
      <c r="A496"/>
      <c r="B496"/>
      <c r="C496"/>
      <c r="D496"/>
      <c r="E496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/>
      <c r="B497"/>
      <c r="C497"/>
      <c r="D497"/>
      <c r="E497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 s="117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>
      <c r="A510" s="80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8.75">
      <c r="A515" s="8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118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5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86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119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collapsed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Amortization of Power Contract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'Amortization of Power Contract'!Print_Area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2000-05-18T22:26:42Z</cp:lastPrinted>
  <dcterms:created xsi:type="dcterms:W3CDTF">1999-04-02T01:38:38Z</dcterms:created>
  <dcterms:modified xsi:type="dcterms:W3CDTF">2014-09-03T14:58:13Z</dcterms:modified>
</cp:coreProperties>
</file>